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 defaultThemeVersion="166925"/>
  <xr:revisionPtr revIDLastSave="7465" documentId="8_{DC4D0AB5-E1AC-4E07-ADE7-DE17F95E8C41}" xr6:coauthVersionLast="47" xr6:coauthVersionMax="47" xr10:uidLastSave="{B5077376-2AC8-46C5-BCD8-6C872963B58E}"/>
  <bookViews>
    <workbookView xWindow="28680" yWindow="-120" windowWidth="29040" windowHeight="15720" firstSheet="20" activeTab="20" xr2:uid="{A22C7B05-6B0A-4116-A99A-60EDDEA67682}"/>
  </bookViews>
  <sheets>
    <sheet name="202106 JUNIO" sheetId="1" r:id="rId1"/>
    <sheet name="202107 JULIO" sheetId="3" r:id="rId2"/>
    <sheet name="202108 AGOSTO" sheetId="4" r:id="rId3"/>
    <sheet name="202109 SEPTIEMBRE" sheetId="12" r:id="rId4"/>
    <sheet name="202110 OCTUBRE" sheetId="11" r:id="rId5"/>
    <sheet name="202111 NOVIEMBRE" sheetId="10" r:id="rId6"/>
    <sheet name="202112 DICIEMBRE" sheetId="9" r:id="rId7"/>
    <sheet name="202201 ENERO" sheetId="8" r:id="rId8"/>
    <sheet name="202202 FEBRERO" sheetId="7" r:id="rId9"/>
    <sheet name="202203 MARZO " sheetId="6" r:id="rId10"/>
    <sheet name="202204 ABRIL" sheetId="5" r:id="rId11"/>
    <sheet name="202205 MAYO" sheetId="13" r:id="rId12"/>
    <sheet name="202206 JUNIO" sheetId="14" r:id="rId13"/>
    <sheet name="202207 JULIO" sheetId="15" r:id="rId14"/>
    <sheet name="202208 AGOSTO" sheetId="16" r:id="rId15"/>
    <sheet name="202209 SEPTIEMBRE" sheetId="17" r:id="rId16"/>
    <sheet name="202210 OCTUBRE" sheetId="18" r:id="rId17"/>
    <sheet name="202211 NOVIEMBRE" sheetId="21" r:id="rId18"/>
    <sheet name="202212 DICIEMBRE" sheetId="20" r:id="rId19"/>
    <sheet name="202301 ENERO" sheetId="22" r:id="rId20"/>
    <sheet name="202302 FEBRERO" sheetId="23" r:id="rId21"/>
  </sheets>
  <definedNames>
    <definedName name="_xlnm._FilterDatabase" localSheetId="18" hidden="1">'202212 DICIEMBRE'!$M$1:$V$720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69" i="23" l="1"/>
  <c r="E90" i="23"/>
  <c r="D90" i="23"/>
  <c r="E173" i="23"/>
  <c r="D173" i="23"/>
  <c r="H259" i="23"/>
  <c r="G259" i="23"/>
  <c r="D259" i="23"/>
  <c r="E390" i="23"/>
  <c r="D390" i="23"/>
  <c r="E708" i="23"/>
  <c r="D708" i="23"/>
  <c r="E333" i="23"/>
  <c r="D333" i="23"/>
  <c r="E216" i="23"/>
  <c r="D216" i="23"/>
  <c r="E130" i="23"/>
  <c r="D130" i="23"/>
  <c r="E392" i="23"/>
  <c r="D392" i="23"/>
  <c r="E725" i="23"/>
  <c r="D725" i="23"/>
  <c r="D415" i="23"/>
  <c r="D391" i="23"/>
  <c r="E363" i="23"/>
  <c r="G309" i="23"/>
  <c r="D237" i="23"/>
  <c r="I226" i="23"/>
  <c r="E162" i="23"/>
  <c r="E104" i="23"/>
  <c r="E450" i="23"/>
  <c r="D450" i="23"/>
  <c r="E345" i="23"/>
  <c r="D345" i="23"/>
  <c r="E339" i="23"/>
  <c r="D339" i="23"/>
  <c r="E452" i="23"/>
  <c r="D452" i="23"/>
  <c r="E338" i="23"/>
  <c r="D338" i="23"/>
  <c r="E111" i="23"/>
  <c r="D111" i="23"/>
  <c r="E382" i="23"/>
  <c r="D382" i="23"/>
  <c r="E389" i="23"/>
  <c r="D389" i="23"/>
  <c r="H266" i="23"/>
  <c r="G266" i="23"/>
  <c r="D266" i="23"/>
  <c r="H314" i="23"/>
  <c r="G314" i="23"/>
  <c r="E314" i="23"/>
  <c r="D314" i="23"/>
  <c r="H275" i="23"/>
  <c r="G275" i="23"/>
  <c r="E275" i="23"/>
  <c r="D275" i="23"/>
  <c r="E217" i="23"/>
  <c r="D217" i="23"/>
  <c r="E62" i="23"/>
  <c r="D62" i="23"/>
  <c r="E58" i="23"/>
  <c r="D58" i="23"/>
  <c r="E49" i="23"/>
  <c r="D49" i="23"/>
  <c r="E700" i="23"/>
  <c r="D700" i="23"/>
  <c r="D170" i="23"/>
  <c r="E160" i="23"/>
  <c r="D160" i="23"/>
  <c r="E402" i="23"/>
  <c r="D402" i="23"/>
  <c r="H280" i="23"/>
  <c r="G280" i="23"/>
  <c r="D280" i="23"/>
  <c r="E213" i="23"/>
  <c r="D213" i="23"/>
  <c r="E218" i="23"/>
  <c r="D218" i="23"/>
  <c r="E420" i="22"/>
  <c r="E337" i="23"/>
  <c r="D337" i="23"/>
  <c r="H248" i="23"/>
  <c r="G248" i="23"/>
  <c r="E441" i="23"/>
  <c r="D441" i="23"/>
  <c r="E434" i="23"/>
  <c r="D434" i="23"/>
  <c r="H244" i="23"/>
  <c r="G244" i="23"/>
  <c r="D244" i="23"/>
  <c r="E120" i="23"/>
  <c r="D120" i="23"/>
  <c r="E112" i="23"/>
  <c r="D112" i="23"/>
  <c r="E426" i="23"/>
  <c r="D426" i="23"/>
  <c r="E427" i="23"/>
  <c r="D427" i="23"/>
  <c r="E405" i="23"/>
  <c r="D405" i="23"/>
  <c r="E404" i="23"/>
  <c r="D404" i="23"/>
  <c r="E396" i="23"/>
  <c r="D396" i="23"/>
  <c r="E371" i="23"/>
  <c r="D371" i="23"/>
  <c r="E340" i="23"/>
  <c r="D340" i="23"/>
  <c r="H274" i="23"/>
  <c r="G274" i="23"/>
  <c r="E274" i="23"/>
  <c r="D274" i="23"/>
  <c r="E224" i="23"/>
  <c r="D224" i="23"/>
  <c r="E46" i="23"/>
  <c r="D46" i="23"/>
  <c r="E44" i="23"/>
  <c r="D44" i="23"/>
  <c r="E159" i="23"/>
  <c r="D159" i="23"/>
  <c r="E157" i="23"/>
  <c r="D157" i="23"/>
  <c r="E152" i="23"/>
  <c r="D152" i="23"/>
  <c r="E147" i="23"/>
  <c r="D147" i="23"/>
  <c r="E143" i="23"/>
  <c r="D143" i="23"/>
  <c r="E108" i="23"/>
  <c r="D108" i="23"/>
  <c r="E56" i="23"/>
  <c r="D56" i="23"/>
  <c r="E51" i="23"/>
  <c r="D51" i="23"/>
  <c r="E447" i="23"/>
  <c r="D447" i="23"/>
  <c r="E440" i="23"/>
  <c r="D440" i="23"/>
  <c r="E433" i="23"/>
  <c r="D433" i="23"/>
  <c r="E397" i="23"/>
  <c r="D397" i="23"/>
  <c r="E385" i="23"/>
  <c r="D385" i="23"/>
  <c r="E355" i="23"/>
  <c r="D355" i="23"/>
  <c r="G288" i="23"/>
  <c r="H267" i="23"/>
  <c r="G267" i="23"/>
  <c r="E267" i="23"/>
  <c r="D267" i="23"/>
  <c r="D229" i="23"/>
  <c r="E186" i="23"/>
  <c r="D186" i="23"/>
  <c r="E210" i="23"/>
  <c r="D210" i="23"/>
  <c r="E189" i="23"/>
  <c r="D189" i="23"/>
  <c r="E171" i="23"/>
  <c r="D171" i="23"/>
  <c r="E161" i="23"/>
  <c r="D161" i="23"/>
  <c r="E127" i="23"/>
  <c r="D127" i="23"/>
  <c r="E121" i="23"/>
  <c r="D121" i="23"/>
  <c r="E52" i="23"/>
  <c r="D52" i="23"/>
  <c r="E705" i="23"/>
  <c r="D705" i="23"/>
  <c r="E387" i="23"/>
  <c r="D387" i="23"/>
  <c r="E379" i="23"/>
  <c r="D379" i="23"/>
  <c r="E368" i="23"/>
  <c r="D368" i="23"/>
  <c r="E341" i="23"/>
  <c r="D341" i="23"/>
  <c r="E183" i="23"/>
  <c r="D183" i="23"/>
  <c r="E151" i="23"/>
  <c r="D151" i="23"/>
  <c r="D718" i="23"/>
  <c r="E429" i="23"/>
  <c r="D429" i="23"/>
  <c r="E407" i="23"/>
  <c r="D407" i="23"/>
  <c r="E388" i="23"/>
  <c r="D388" i="23"/>
  <c r="E351" i="23"/>
  <c r="D351" i="23"/>
  <c r="E357" i="23"/>
  <c r="D357" i="23"/>
  <c r="H322" i="23"/>
  <c r="G322" i="23"/>
  <c r="E322" i="23"/>
  <c r="D322" i="23"/>
  <c r="H272" i="23"/>
  <c r="G272" i="23"/>
  <c r="H269" i="23"/>
  <c r="G269" i="23"/>
  <c r="E269" i="23"/>
  <c r="D269" i="23"/>
  <c r="E142" i="23"/>
  <c r="D142" i="23"/>
  <c r="E136" i="23"/>
  <c r="D136" i="23"/>
  <c r="E132" i="23"/>
  <c r="D132" i="23"/>
  <c r="E119" i="23"/>
  <c r="D119" i="23"/>
  <c r="E109" i="23"/>
  <c r="D109" i="23"/>
  <c r="E57" i="23"/>
  <c r="D57" i="23"/>
  <c r="E83" i="23"/>
  <c r="D83" i="23"/>
  <c r="E707" i="23"/>
  <c r="D707" i="23"/>
  <c r="E423" i="23"/>
  <c r="D423" i="23"/>
  <c r="E418" i="23"/>
  <c r="D418" i="23"/>
  <c r="H321" i="23"/>
  <c r="G321" i="23"/>
  <c r="D321" i="23"/>
  <c r="E227" i="23"/>
  <c r="D227" i="23"/>
  <c r="E206" i="23"/>
  <c r="D206" i="23"/>
  <c r="D104" i="23"/>
  <c r="E163" i="23"/>
  <c r="D163" i="23"/>
  <c r="E150" i="23"/>
  <c r="D150" i="23"/>
  <c r="E149" i="23"/>
  <c r="D149" i="23"/>
  <c r="E21" i="23"/>
  <c r="D21" i="23"/>
  <c r="E444" i="23"/>
  <c r="D444" i="23"/>
  <c r="H240" i="23"/>
  <c r="G240" i="23"/>
  <c r="E240" i="23"/>
  <c r="D240" i="23"/>
  <c r="D232" i="23"/>
  <c r="E222" i="23"/>
  <c r="D222" i="23"/>
  <c r="E107" i="23"/>
  <c r="D107" i="23"/>
  <c r="D37" i="23"/>
  <c r="E166" i="23"/>
  <c r="D166" i="23"/>
  <c r="E154" i="23"/>
  <c r="D154" i="23"/>
  <c r="E425" i="23"/>
  <c r="D425" i="23"/>
  <c r="E406" i="23"/>
  <c r="D406" i="23"/>
  <c r="E370" i="23"/>
  <c r="D370" i="23"/>
  <c r="E369" i="23"/>
  <c r="D369" i="23"/>
  <c r="E220" i="23"/>
  <c r="D220" i="23"/>
  <c r="E194" i="23"/>
  <c r="D194" i="23"/>
  <c r="E106" i="23"/>
  <c r="D106" i="23"/>
  <c r="E102" i="23"/>
  <c r="D102" i="23"/>
  <c r="E167" i="23"/>
  <c r="D167" i="23"/>
  <c r="E50" i="23"/>
  <c r="D50" i="23"/>
  <c r="E155" i="23"/>
  <c r="D155" i="23"/>
  <c r="D710" i="23"/>
  <c r="E422" i="23"/>
  <c r="D422" i="23"/>
  <c r="E420" i="23"/>
  <c r="D420" i="23"/>
  <c r="E398" i="23"/>
  <c r="D398" i="23"/>
  <c r="E374" i="23"/>
  <c r="D374" i="23"/>
  <c r="E377" i="23"/>
  <c r="D377" i="23"/>
  <c r="H250" i="23"/>
  <c r="G250" i="23"/>
  <c r="E250" i="23"/>
  <c r="E221" i="23"/>
  <c r="D221" i="23"/>
  <c r="E190" i="23"/>
  <c r="D190" i="23"/>
  <c r="E43" i="23"/>
  <c r="D43" i="23"/>
  <c r="E187" i="23"/>
  <c r="D187" i="23"/>
  <c r="E36" i="23"/>
  <c r="D36" i="23"/>
  <c r="E177" i="23"/>
  <c r="D177" i="23"/>
  <c r="E716" i="23"/>
  <c r="D716" i="23"/>
  <c r="D713" i="23"/>
  <c r="E439" i="23"/>
  <c r="D439" i="23"/>
  <c r="E432" i="23"/>
  <c r="D432" i="23"/>
  <c r="E409" i="23"/>
  <c r="D409" i="23"/>
  <c r="E408" i="23"/>
  <c r="D408" i="23"/>
  <c r="E412" i="23"/>
  <c r="D412" i="23"/>
  <c r="E403" i="23"/>
  <c r="D403" i="23"/>
  <c r="E352" i="23"/>
  <c r="D352" i="23"/>
  <c r="G277" i="23"/>
  <c r="D277" i="23"/>
  <c r="G271" i="23"/>
  <c r="D271" i="23"/>
  <c r="H241" i="23"/>
  <c r="G241" i="23"/>
  <c r="E201" i="23"/>
  <c r="D201" i="23"/>
  <c r="E197" i="23"/>
  <c r="D197" i="23"/>
  <c r="E199" i="23"/>
  <c r="D199" i="23"/>
  <c r="D182" i="23"/>
  <c r="E87" i="23"/>
  <c r="D87" i="23"/>
  <c r="E38" i="23"/>
  <c r="D38" i="23"/>
  <c r="E131" i="23"/>
  <c r="D131" i="23"/>
  <c r="E64" i="23"/>
  <c r="D64" i="23"/>
  <c r="E101" i="23"/>
  <c r="D101" i="23"/>
  <c r="E395" i="23"/>
  <c r="D395" i="23"/>
  <c r="E359" i="23"/>
  <c r="D359" i="23"/>
  <c r="E93" i="23"/>
  <c r="D93" i="23"/>
  <c r="D165" i="23"/>
  <c r="E113" i="23"/>
  <c r="D113" i="23"/>
  <c r="D721" i="23"/>
  <c r="E413" i="23"/>
  <c r="D413" i="23"/>
  <c r="E401" i="23"/>
  <c r="D401" i="23"/>
  <c r="H293" i="23"/>
  <c r="G293" i="23"/>
  <c r="E233" i="23"/>
  <c r="D233" i="23"/>
  <c r="E78" i="23"/>
  <c r="D78" i="23"/>
  <c r="E144" i="23"/>
  <c r="D144" i="23"/>
  <c r="E72" i="23"/>
  <c r="D72" i="23"/>
  <c r="E431" i="23"/>
  <c r="D431" i="23"/>
  <c r="E373" i="23"/>
  <c r="D373" i="23"/>
  <c r="H297" i="23"/>
  <c r="G297" i="23"/>
  <c r="D297" i="23"/>
  <c r="H249" i="23"/>
  <c r="G249" i="23"/>
  <c r="D249" i="23"/>
  <c r="E141" i="23"/>
  <c r="D141" i="23"/>
  <c r="E706" i="23"/>
  <c r="D706" i="23"/>
  <c r="E715" i="23"/>
  <c r="D715" i="23"/>
  <c r="E443" i="23"/>
  <c r="D443" i="23"/>
  <c r="E383" i="23"/>
  <c r="D383" i="23"/>
  <c r="E365" i="23"/>
  <c r="D365" i="23"/>
  <c r="E364" i="23"/>
  <c r="D364" i="23"/>
  <c r="E361" i="23"/>
  <c r="D361" i="23"/>
  <c r="H289" i="23"/>
  <c r="G289" i="23"/>
  <c r="D289" i="23"/>
  <c r="H268" i="23"/>
  <c r="G268" i="23"/>
  <c r="D268" i="23"/>
  <c r="E191" i="23"/>
  <c r="E205" i="23"/>
  <c r="D191" i="23"/>
  <c r="E96" i="23"/>
  <c r="D96" i="23"/>
  <c r="D205" i="23"/>
  <c r="E168" i="23"/>
  <c r="D168" i="23"/>
  <c r="E110" i="23"/>
  <c r="D110" i="23"/>
  <c r="E381" i="23"/>
  <c r="D381" i="23"/>
  <c r="E208" i="23"/>
  <c r="D208" i="23"/>
  <c r="E158" i="23"/>
  <c r="D158" i="23"/>
  <c r="E128" i="23"/>
  <c r="D128" i="23"/>
  <c r="E719" i="23"/>
  <c r="D719" i="23"/>
  <c r="E703" i="23"/>
  <c r="D703" i="23"/>
  <c r="G264" i="23"/>
  <c r="D264" i="23"/>
  <c r="D42" i="23"/>
  <c r="D258" i="23"/>
  <c r="E31" i="23"/>
  <c r="D31" i="23"/>
  <c r="G262" i="23"/>
  <c r="D262" i="23"/>
  <c r="E29" i="23"/>
  <c r="D29" i="23"/>
  <c r="D34" i="23"/>
  <c r="H255" i="23"/>
  <c r="G255" i="23"/>
  <c r="D255" i="23"/>
  <c r="H260" i="23"/>
  <c r="G260" i="23"/>
  <c r="E260" i="23"/>
  <c r="D260" i="23"/>
  <c r="E23" i="23"/>
  <c r="D23" i="23"/>
  <c r="H263" i="23"/>
  <c r="G263" i="23"/>
  <c r="E263" i="23"/>
  <c r="D263" i="23"/>
  <c r="E41" i="23"/>
  <c r="D41" i="23"/>
  <c r="E25" i="23"/>
  <c r="D25" i="23"/>
  <c r="H299" i="23"/>
  <c r="G299" i="23"/>
  <c r="D299" i="23"/>
  <c r="E26" i="23"/>
  <c r="D26" i="23"/>
  <c r="G300" i="23"/>
  <c r="D300" i="23"/>
  <c r="E28" i="23"/>
  <c r="D28" i="23"/>
  <c r="G305" i="23"/>
  <c r="E40" i="23"/>
  <c r="D40" i="23"/>
  <c r="G261" i="23"/>
  <c r="G304" i="23"/>
  <c r="D304" i="23"/>
  <c r="E35" i="23"/>
  <c r="D35" i="23"/>
  <c r="E22" i="23"/>
  <c r="D22" i="23"/>
  <c r="H298" i="23"/>
  <c r="G298" i="23"/>
  <c r="E298" i="23"/>
  <c r="D298" i="23"/>
  <c r="H296" i="23"/>
  <c r="G296" i="23"/>
  <c r="E296" i="23"/>
  <c r="D296" i="23"/>
  <c r="D30" i="23"/>
  <c r="G302" i="23"/>
  <c r="D302" i="23"/>
  <c r="D39" i="23"/>
  <c r="H301" i="23"/>
  <c r="D33" i="23"/>
  <c r="E82" i="23"/>
  <c r="D82" i="23"/>
  <c r="H324" i="23"/>
  <c r="G324" i="23"/>
  <c r="E89" i="23"/>
  <c r="D89" i="23"/>
  <c r="E79" i="23"/>
  <c r="D79" i="23"/>
  <c r="H330" i="23"/>
  <c r="G330" i="23"/>
  <c r="D330" i="23"/>
  <c r="D329" i="23"/>
  <c r="E71" i="23"/>
  <c r="D71" i="23"/>
  <c r="E75" i="23"/>
  <c r="D75" i="23"/>
  <c r="H328" i="23"/>
  <c r="G328" i="23"/>
  <c r="E328" i="23"/>
  <c r="D328" i="23"/>
  <c r="H332" i="23"/>
  <c r="G332" i="23"/>
  <c r="E332" i="23"/>
  <c r="D332" i="23"/>
  <c r="E18" i="23"/>
  <c r="D18" i="23"/>
  <c r="D53" i="23"/>
  <c r="G331" i="23"/>
  <c r="H284" i="23"/>
  <c r="G284" i="23"/>
  <c r="D284" i="23"/>
  <c r="E84" i="23"/>
  <c r="D84" i="23"/>
  <c r="E88" i="23"/>
  <c r="D88" i="23"/>
  <c r="E76" i="23"/>
  <c r="D76" i="23"/>
  <c r="H327" i="23"/>
  <c r="G327" i="23"/>
  <c r="E327" i="23"/>
  <c r="D327" i="23"/>
  <c r="E70" i="23"/>
  <c r="D70" i="23"/>
  <c r="G287" i="23"/>
  <c r="H286" i="23"/>
  <c r="E27" i="23"/>
  <c r="D27" i="23"/>
  <c r="D85" i="23"/>
  <c r="H285" i="23"/>
  <c r="G285" i="23"/>
  <c r="G281" i="23"/>
  <c r="E281" i="23"/>
  <c r="D281" i="23"/>
  <c r="E77" i="23"/>
  <c r="D77" i="23"/>
  <c r="E80" i="23"/>
  <c r="D80" i="23"/>
  <c r="H283" i="23"/>
  <c r="G283" i="23"/>
  <c r="D283" i="23"/>
  <c r="E74" i="23"/>
  <c r="D74" i="23"/>
  <c r="E722" i="23"/>
  <c r="D722" i="23"/>
  <c r="E367" i="23"/>
  <c r="D367" i="23"/>
  <c r="G308" i="23"/>
  <c r="D308" i="23"/>
  <c r="H256" i="23"/>
  <c r="G256" i="23"/>
  <c r="H243" i="23"/>
  <c r="G243" i="23"/>
  <c r="D243" i="23"/>
  <c r="E105" i="23"/>
  <c r="D105" i="23"/>
  <c r="E215" i="23"/>
  <c r="D215" i="23"/>
  <c r="D195" i="23"/>
  <c r="D24" i="23"/>
  <c r="E172" i="23"/>
  <c r="D172" i="23"/>
  <c r="D145" i="23"/>
  <c r="E334" i="23"/>
  <c r="D334" i="23"/>
  <c r="H313" i="23"/>
  <c r="G313" i="23"/>
  <c r="D313" i="23"/>
  <c r="E181" i="23"/>
  <c r="D181" i="23"/>
  <c r="E400" i="23"/>
  <c r="D400" i="23"/>
  <c r="E176" i="23"/>
  <c r="D176" i="23"/>
  <c r="H270" i="23"/>
  <c r="G270" i="23"/>
  <c r="D270" i="23"/>
  <c r="E198" i="23"/>
  <c r="D198" i="23"/>
  <c r="H242" i="23"/>
  <c r="G242" i="23"/>
  <c r="D242" i="23"/>
  <c r="E414" i="23"/>
  <c r="D414" i="23"/>
  <c r="E139" i="23"/>
  <c r="D139" i="23"/>
  <c r="E123" i="23"/>
  <c r="D123" i="23"/>
  <c r="E68" i="23"/>
  <c r="D68" i="23"/>
  <c r="E63" i="23"/>
  <c r="D63" i="23"/>
  <c r="E394" i="23"/>
  <c r="D394" i="23"/>
  <c r="E354" i="23"/>
  <c r="D354" i="23"/>
  <c r="H325" i="23"/>
  <c r="G325" i="23"/>
  <c r="D325" i="23"/>
  <c r="H315" i="23"/>
  <c r="G315" i="23"/>
  <c r="D315" i="23"/>
  <c r="E100" i="23"/>
  <c r="D100" i="23"/>
  <c r="D175" i="23"/>
  <c r="E126" i="23"/>
  <c r="D126" i="23"/>
  <c r="E417" i="23"/>
  <c r="D417" i="23"/>
  <c r="E411" i="23"/>
  <c r="D411" i="23"/>
  <c r="H306" i="23"/>
  <c r="G306" i="23"/>
  <c r="D306" i="23"/>
  <c r="H319" i="23"/>
  <c r="G319" i="23"/>
  <c r="D319" i="23"/>
  <c r="H236" i="23"/>
  <c r="G236" i="23"/>
  <c r="E236" i="23"/>
  <c r="D236" i="23"/>
  <c r="G238" i="23"/>
  <c r="D238" i="23"/>
  <c r="E209" i="23"/>
  <c r="D209" i="23"/>
  <c r="E122" i="23"/>
  <c r="D122" i="23"/>
  <c r="E69" i="23"/>
  <c r="D69" i="23"/>
  <c r="D55" i="23"/>
  <c r="D726" i="23"/>
  <c r="E424" i="23"/>
  <c r="D424" i="23"/>
  <c r="E415" i="23"/>
  <c r="E343" i="23"/>
  <c r="D343" i="23"/>
  <c r="H320" i="23"/>
  <c r="G320" i="23"/>
  <c r="D320" i="23"/>
  <c r="H253" i="23"/>
  <c r="G253" i="23"/>
  <c r="D253" i="23"/>
  <c r="D192" i="23"/>
  <c r="E92" i="23"/>
  <c r="D92" i="23"/>
  <c r="D723" i="23"/>
  <c r="E140" i="23"/>
  <c r="D140" i="23"/>
  <c r="D125" i="23"/>
  <c r="D73" i="23"/>
  <c r="E430" i="23"/>
  <c r="D430" i="23"/>
  <c r="E204" i="23"/>
  <c r="D204" i="23"/>
  <c r="H246" i="23"/>
  <c r="G246" i="23"/>
  <c r="D246" i="23"/>
  <c r="D164" i="23"/>
  <c r="E156" i="23"/>
  <c r="D156" i="23"/>
  <c r="D162" i="23"/>
  <c r="E114" i="23"/>
  <c r="D114" i="23"/>
  <c r="D48" i="23"/>
  <c r="E358" i="23"/>
  <c r="D358" i="23"/>
  <c r="H312" i="23"/>
  <c r="G312" i="23"/>
  <c r="D312" i="23"/>
  <c r="G251" i="23"/>
  <c r="D251" i="23"/>
  <c r="G235" i="23"/>
  <c r="E223" i="23"/>
  <c r="D223" i="23"/>
  <c r="E211" i="23"/>
  <c r="D211" i="23"/>
  <c r="E95" i="23"/>
  <c r="D95" i="23"/>
  <c r="E174" i="23"/>
  <c r="D174" i="23"/>
  <c r="E153" i="23"/>
  <c r="D153" i="23"/>
  <c r="E360" i="23"/>
  <c r="D360" i="23"/>
  <c r="E138" i="23"/>
  <c r="D138" i="23"/>
  <c r="H307" i="23"/>
  <c r="G307" i="23"/>
  <c r="D307" i="23"/>
  <c r="G247" i="23"/>
  <c r="E203" i="23"/>
  <c r="D203" i="23"/>
  <c r="E98" i="23"/>
  <c r="D98" i="23"/>
  <c r="E45" i="23"/>
  <c r="D45" i="23"/>
  <c r="D702" i="23"/>
  <c r="E437" i="23"/>
  <c r="D437" i="23"/>
  <c r="E410" i="23"/>
  <c r="D410" i="23"/>
  <c r="E380" i="23"/>
  <c r="D380" i="23"/>
  <c r="E375" i="23"/>
  <c r="D375" i="23"/>
  <c r="D363" i="23"/>
  <c r="E336" i="23"/>
  <c r="D336" i="23"/>
  <c r="H316" i="23"/>
  <c r="G316" i="23"/>
  <c r="E316" i="23"/>
  <c r="D316" i="23"/>
  <c r="G239" i="23"/>
  <c r="D239" i="23"/>
  <c r="D234" i="23"/>
  <c r="E179" i="23"/>
  <c r="D179" i="23"/>
  <c r="D178" i="23"/>
  <c r="D129" i="23"/>
  <c r="D115" i="23"/>
  <c r="E54" i="23"/>
  <c r="D54" i="23"/>
  <c r="H276" i="23"/>
  <c r="G276" i="23"/>
  <c r="D276" i="23"/>
  <c r="E384" i="23"/>
  <c r="D384" i="23"/>
  <c r="G252" i="23"/>
  <c r="D252" i="23"/>
  <c r="E180" i="23"/>
  <c r="D180" i="23"/>
  <c r="E436" i="23"/>
  <c r="D436" i="23"/>
  <c r="G265" i="23"/>
  <c r="D265" i="23"/>
  <c r="E103" i="23"/>
  <c r="D103" i="23"/>
  <c r="D20" i="23"/>
  <c r="H727" i="23"/>
  <c r="G727" i="23"/>
  <c r="D727" i="23"/>
  <c r="D712" i="23"/>
  <c r="E438" i="23"/>
  <c r="D438" i="23"/>
  <c r="E421" i="23"/>
  <c r="D421" i="23"/>
  <c r="E372" i="23"/>
  <c r="D372" i="23"/>
  <c r="E348" i="23"/>
  <c r="D348" i="23"/>
  <c r="H323" i="23"/>
  <c r="G323" i="23"/>
  <c r="E323" i="23"/>
  <c r="E230" i="23"/>
  <c r="D230" i="23"/>
  <c r="E207" i="23"/>
  <c r="D207" i="23"/>
  <c r="E185" i="23"/>
  <c r="D185" i="23"/>
  <c r="E184" i="23"/>
  <c r="D184" i="23"/>
  <c r="E200" i="23"/>
  <c r="D200" i="23"/>
  <c r="E94" i="23"/>
  <c r="D94" i="23"/>
  <c r="E134" i="23"/>
  <c r="D134" i="23"/>
  <c r="E717" i="23"/>
  <c r="D717" i="23"/>
  <c r="G728" i="23"/>
  <c r="E701" i="23"/>
  <c r="D701" i="23"/>
  <c r="E428" i="23"/>
  <c r="D428" i="23"/>
  <c r="E202" i="23"/>
  <c r="D202" i="23"/>
  <c r="E86" i="23"/>
  <c r="D86" i="23"/>
  <c r="D99" i="23"/>
  <c r="E219" i="23"/>
  <c r="D219" i="23"/>
  <c r="E133" i="23"/>
  <c r="D133" i="23"/>
  <c r="E81" i="23"/>
  <c r="D81" i="23"/>
  <c r="E146" i="23"/>
  <c r="D146" i="23"/>
  <c r="E356" i="23"/>
  <c r="D356" i="23"/>
  <c r="H295" i="23"/>
  <c r="G295" i="23"/>
  <c r="E295" i="23"/>
  <c r="D295" i="23"/>
  <c r="E344" i="23"/>
  <c r="D344" i="23"/>
  <c r="E59" i="23"/>
  <c r="D59" i="23"/>
  <c r="E346" i="23"/>
  <c r="D346" i="23"/>
  <c r="E231" i="23"/>
  <c r="D231" i="23"/>
  <c r="E117" i="23"/>
  <c r="D117" i="23"/>
  <c r="H245" i="23"/>
  <c r="G245" i="23"/>
  <c r="E245" i="23"/>
  <c r="D245" i="23"/>
  <c r="E60" i="23"/>
  <c r="D60" i="23"/>
  <c r="E393" i="23"/>
  <c r="D393" i="23"/>
  <c r="E124" i="23"/>
  <c r="D124" i="23"/>
  <c r="H311" i="23"/>
  <c r="G311" i="23"/>
  <c r="D311" i="23"/>
  <c r="E704" i="23"/>
  <c r="D704" i="23"/>
  <c r="E350" i="23"/>
  <c r="D350" i="23"/>
  <c r="G317" i="23"/>
  <c r="D317" i="23"/>
  <c r="E214" i="23"/>
  <c r="D214" i="23"/>
  <c r="E435" i="23"/>
  <c r="D435" i="23"/>
  <c r="G729" i="23"/>
  <c r="D729" i="23"/>
  <c r="E445" i="23"/>
  <c r="D445" i="23"/>
  <c r="E442" i="23"/>
  <c r="D442" i="23"/>
  <c r="E419" i="23"/>
  <c r="D419" i="23"/>
  <c r="E376" i="23"/>
  <c r="D376" i="23"/>
  <c r="H318" i="23"/>
  <c r="G318" i="23"/>
  <c r="D318" i="23"/>
  <c r="H291" i="23"/>
  <c r="G291" i="23"/>
  <c r="E291" i="23"/>
  <c r="D291" i="23"/>
  <c r="H310" i="23"/>
  <c r="G310" i="23"/>
  <c r="E310" i="23"/>
  <c r="D310" i="23"/>
  <c r="H303" i="23"/>
  <c r="G303" i="23"/>
  <c r="E303" i="23"/>
  <c r="D303" i="23"/>
  <c r="G254" i="23"/>
  <c r="D254" i="23"/>
  <c r="H237" i="23"/>
  <c r="G237" i="23"/>
  <c r="E237" i="23"/>
  <c r="D228" i="23"/>
  <c r="E196" i="23"/>
  <c r="D196" i="23"/>
  <c r="E188" i="23"/>
  <c r="D188" i="23"/>
  <c r="E135" i="23"/>
  <c r="D135" i="23"/>
  <c r="E118" i="23"/>
  <c r="D118" i="23"/>
  <c r="E116" i="23"/>
  <c r="D116" i="23"/>
  <c r="E67" i="23"/>
  <c r="D67" i="23"/>
  <c r="E61" i="23"/>
  <c r="D61" i="23"/>
  <c r="D19" i="23"/>
  <c r="E19" i="23"/>
  <c r="E342" i="23"/>
  <c r="D342" i="23"/>
  <c r="E714" i="23"/>
  <c r="D714" i="23"/>
  <c r="E193" i="23"/>
  <c r="D193" i="23"/>
  <c r="E391" i="23"/>
  <c r="E362" i="23"/>
  <c r="D362" i="23"/>
  <c r="E366" i="23"/>
  <c r="D366" i="23"/>
  <c r="E349" i="22"/>
  <c r="D349" i="22"/>
  <c r="E347" i="22"/>
  <c r="D347" i="22"/>
  <c r="E345" i="22"/>
  <c r="D345" i="22"/>
  <c r="E339" i="22"/>
  <c r="D339" i="22"/>
  <c r="E338" i="22"/>
  <c r="D338" i="22"/>
  <c r="E335" i="22"/>
  <c r="D335" i="22"/>
  <c r="D19" i="22"/>
  <c r="E452" i="22"/>
  <c r="D452" i="22"/>
  <c r="E450" i="22"/>
  <c r="D450" i="22"/>
  <c r="E19" i="22"/>
  <c r="D187" i="22"/>
  <c r="E428" i="22"/>
  <c r="D362" i="22"/>
  <c r="D355" i="22"/>
  <c r="H237" i="22"/>
  <c r="G237" i="22"/>
  <c r="E423" i="22"/>
  <c r="D423" i="22"/>
  <c r="H321" i="22"/>
  <c r="G321" i="22"/>
  <c r="D321" i="22"/>
  <c r="E707" i="22"/>
  <c r="D707" i="22"/>
  <c r="E418" i="22"/>
  <c r="D418" i="22"/>
  <c r="E227" i="22"/>
  <c r="D227" i="22"/>
  <c r="E206" i="22"/>
  <c r="D206" i="22"/>
  <c r="E104" i="22"/>
  <c r="D104" i="22"/>
  <c r="E163" i="22"/>
  <c r="D163" i="22"/>
  <c r="E150" i="22"/>
  <c r="D150" i="22"/>
  <c r="E149" i="22"/>
  <c r="D149" i="22"/>
  <c r="E21" i="22"/>
  <c r="D21" i="22"/>
  <c r="S729" i="1"/>
  <c r="R729" i="1"/>
  <c r="Q729" i="1"/>
  <c r="P729" i="1"/>
  <c r="O729" i="1"/>
  <c r="N729" i="1"/>
  <c r="S728" i="1"/>
  <c r="R728" i="1"/>
  <c r="Q728" i="1"/>
  <c r="P728" i="1"/>
  <c r="O728" i="1"/>
  <c r="N728" i="1"/>
  <c r="S727" i="1"/>
  <c r="R727" i="1"/>
  <c r="Q727" i="1"/>
  <c r="P727" i="1"/>
  <c r="O727" i="1"/>
  <c r="N727" i="1"/>
  <c r="S726" i="1"/>
  <c r="R726" i="1"/>
  <c r="Q726" i="1"/>
  <c r="P726" i="1"/>
  <c r="O726" i="1"/>
  <c r="N726" i="1"/>
  <c r="S725" i="1"/>
  <c r="R725" i="1"/>
  <c r="Q725" i="1"/>
  <c r="P725" i="1"/>
  <c r="O725" i="1"/>
  <c r="N725" i="1"/>
  <c r="S724" i="1"/>
  <c r="R724" i="1"/>
  <c r="Q724" i="1"/>
  <c r="P724" i="1"/>
  <c r="O724" i="1"/>
  <c r="N724" i="1"/>
  <c r="S723" i="1"/>
  <c r="R723" i="1"/>
  <c r="Q723" i="1"/>
  <c r="P723" i="1"/>
  <c r="O723" i="1"/>
  <c r="N723" i="1"/>
  <c r="S722" i="1"/>
  <c r="R722" i="1"/>
  <c r="Q722" i="1"/>
  <c r="P722" i="1"/>
  <c r="O722" i="1"/>
  <c r="N722" i="1"/>
  <c r="M721" i="1"/>
  <c r="M722" i="1"/>
  <c r="M723" i="1"/>
  <c r="M724" i="1"/>
  <c r="M725" i="1"/>
  <c r="M726" i="1"/>
  <c r="M727" i="1"/>
  <c r="M728" i="1"/>
  <c r="M729" i="1"/>
  <c r="N721" i="1"/>
  <c r="O721" i="1"/>
  <c r="P721" i="1"/>
  <c r="Q721" i="1"/>
  <c r="R721" i="1"/>
  <c r="S721" i="1"/>
  <c r="E725" i="22"/>
  <c r="D725" i="22"/>
  <c r="E708" i="22"/>
  <c r="D708" i="22"/>
  <c r="E392" i="22"/>
  <c r="D392" i="22"/>
  <c r="E390" i="22"/>
  <c r="D390" i="22"/>
  <c r="E333" i="22"/>
  <c r="D333" i="22"/>
  <c r="H259" i="22"/>
  <c r="G259" i="22"/>
  <c r="D259" i="22"/>
  <c r="E90" i="22"/>
  <c r="D90" i="22"/>
  <c r="E216" i="22"/>
  <c r="D216" i="22"/>
  <c r="E173" i="22"/>
  <c r="D173" i="22"/>
  <c r="D169" i="22"/>
  <c r="E130" i="22"/>
  <c r="D130" i="22"/>
  <c r="E700" i="22"/>
  <c r="D700" i="22"/>
  <c r="E389" i="22"/>
  <c r="D389" i="22"/>
  <c r="E382" i="22"/>
  <c r="D382" i="22"/>
  <c r="H314" i="22"/>
  <c r="G314" i="22"/>
  <c r="E314" i="22"/>
  <c r="D314" i="22"/>
  <c r="H275" i="22"/>
  <c r="G275" i="22"/>
  <c r="E275" i="22"/>
  <c r="D275" i="22"/>
  <c r="H266" i="22"/>
  <c r="G266" i="22"/>
  <c r="D266" i="22"/>
  <c r="E217" i="22"/>
  <c r="D217" i="22"/>
  <c r="E62" i="22"/>
  <c r="D62" i="22"/>
  <c r="E58" i="22"/>
  <c r="D58" i="22"/>
  <c r="E49" i="22"/>
  <c r="D49" i="22"/>
  <c r="E402" i="22"/>
  <c r="D402" i="22"/>
  <c r="H280" i="22"/>
  <c r="G280" i="22"/>
  <c r="D280" i="22"/>
  <c r="E213" i="22"/>
  <c r="D213" i="22"/>
  <c r="E218" i="22"/>
  <c r="D218" i="22"/>
  <c r="D170" i="22"/>
  <c r="D160" i="22"/>
  <c r="E337" i="22"/>
  <c r="D337" i="22"/>
  <c r="H248" i="22"/>
  <c r="G248" i="22"/>
  <c r="H244" i="22"/>
  <c r="G244" i="22"/>
  <c r="D244" i="22"/>
  <c r="E441" i="22"/>
  <c r="D441" i="22"/>
  <c r="E120" i="22"/>
  <c r="D120" i="22"/>
  <c r="E434" i="22"/>
  <c r="D434" i="22"/>
  <c r="D112" i="22"/>
  <c r="E714" i="22"/>
  <c r="D714" i="22"/>
  <c r="E391" i="22"/>
  <c r="D391" i="22"/>
  <c r="E366" i="22"/>
  <c r="D366" i="22"/>
  <c r="E362" i="22"/>
  <c r="E342" i="22"/>
  <c r="D342" i="22"/>
  <c r="E193" i="22"/>
  <c r="D193" i="22"/>
  <c r="E720" i="22"/>
  <c r="D720" i="22"/>
  <c r="E426" i="22"/>
  <c r="D426" i="22"/>
  <c r="E427" i="22"/>
  <c r="D427" i="22"/>
  <c r="E405" i="22"/>
  <c r="D405" i="22"/>
  <c r="E404" i="22"/>
  <c r="D404" i="22"/>
  <c r="E396" i="22"/>
  <c r="D396" i="22"/>
  <c r="E371" i="22"/>
  <c r="D371" i="22"/>
  <c r="H274" i="22"/>
  <c r="G274" i="22"/>
  <c r="E274" i="22"/>
  <c r="D274" i="22"/>
  <c r="E224" i="22"/>
  <c r="D224" i="22"/>
  <c r="E46" i="22"/>
  <c r="D46" i="22"/>
  <c r="E44" i="22"/>
  <c r="D44" i="22"/>
  <c r="E159" i="22"/>
  <c r="D159" i="22"/>
  <c r="E157" i="22"/>
  <c r="D157" i="22"/>
  <c r="E152" i="22"/>
  <c r="D152" i="22"/>
  <c r="E147" i="22"/>
  <c r="D147" i="22"/>
  <c r="E143" i="22"/>
  <c r="D143" i="22"/>
  <c r="E108" i="22"/>
  <c r="D108" i="22"/>
  <c r="E56" i="22"/>
  <c r="D56" i="22"/>
  <c r="E51" i="22"/>
  <c r="D51" i="22"/>
  <c r="D699" i="22"/>
  <c r="E440" i="22"/>
  <c r="D440" i="22"/>
  <c r="E433" i="22"/>
  <c r="D433" i="22"/>
  <c r="E397" i="22"/>
  <c r="D397" i="22"/>
  <c r="E385" i="22"/>
  <c r="D385" i="22"/>
  <c r="E355" i="22"/>
  <c r="G288" i="22"/>
  <c r="H267" i="22"/>
  <c r="G267" i="22"/>
  <c r="E267" i="22"/>
  <c r="D267" i="22"/>
  <c r="D229" i="22"/>
  <c r="E186" i="22"/>
  <c r="D186" i="22"/>
  <c r="E210" i="22"/>
  <c r="D210" i="22"/>
  <c r="E189" i="22"/>
  <c r="D189" i="22"/>
  <c r="E171" i="22"/>
  <c r="D171" i="22"/>
  <c r="E161" i="22"/>
  <c r="D161" i="22"/>
  <c r="E127" i="22"/>
  <c r="D127" i="22"/>
  <c r="E121" i="22"/>
  <c r="D121" i="22"/>
  <c r="E52" i="22"/>
  <c r="D52" i="22"/>
  <c r="E705" i="22"/>
  <c r="D705" i="22"/>
  <c r="E387" i="22"/>
  <c r="D387" i="22"/>
  <c r="E379" i="22"/>
  <c r="D379" i="22"/>
  <c r="E368" i="22"/>
  <c r="D368" i="22"/>
  <c r="E341" i="22"/>
  <c r="D341" i="22"/>
  <c r="H291" i="22"/>
  <c r="G291" i="22"/>
  <c r="E291" i="22"/>
  <c r="D291" i="22"/>
  <c r="E183" i="22"/>
  <c r="D183" i="22"/>
  <c r="E151" i="22"/>
  <c r="D151" i="22"/>
  <c r="D718" i="22"/>
  <c r="E429" i="22"/>
  <c r="D429" i="22"/>
  <c r="E407" i="22"/>
  <c r="D407" i="22"/>
  <c r="E388" i="22"/>
  <c r="D388" i="22"/>
  <c r="E351" i="22"/>
  <c r="D351" i="22"/>
  <c r="E357" i="22"/>
  <c r="D357" i="22"/>
  <c r="H322" i="22"/>
  <c r="G322" i="22"/>
  <c r="E322" i="22"/>
  <c r="D322" i="22"/>
  <c r="H272" i="22"/>
  <c r="G272" i="22"/>
  <c r="H269" i="22"/>
  <c r="G269" i="22"/>
  <c r="E269" i="22"/>
  <c r="D269" i="22"/>
  <c r="E142" i="22"/>
  <c r="D142" i="22"/>
  <c r="E136" i="22"/>
  <c r="D136" i="22"/>
  <c r="E132" i="22"/>
  <c r="D132" i="22"/>
  <c r="E119" i="22"/>
  <c r="D119" i="22"/>
  <c r="E109" i="22"/>
  <c r="D109" i="22"/>
  <c r="E57" i="22"/>
  <c r="D57" i="22"/>
  <c r="G729" i="22"/>
  <c r="D729" i="22"/>
  <c r="E83" i="22"/>
  <c r="D83" i="22"/>
  <c r="E444" i="22"/>
  <c r="D444" i="22"/>
  <c r="H240" i="22"/>
  <c r="G240" i="22"/>
  <c r="E240" i="22"/>
  <c r="D240" i="22"/>
  <c r="D232" i="22"/>
  <c r="E222" i="22"/>
  <c r="D222" i="22"/>
  <c r="E107" i="22"/>
  <c r="D107" i="22"/>
  <c r="D37" i="22"/>
  <c r="E166" i="22"/>
  <c r="D166" i="22"/>
  <c r="E154" i="22"/>
  <c r="D154" i="22"/>
  <c r="E425" i="22"/>
  <c r="D425" i="22"/>
  <c r="E406" i="22"/>
  <c r="D406" i="22"/>
  <c r="E370" i="22"/>
  <c r="D370" i="22"/>
  <c r="E369" i="22"/>
  <c r="D369" i="22"/>
  <c r="E220" i="22"/>
  <c r="D220" i="22"/>
  <c r="E194" i="22"/>
  <c r="D194" i="22"/>
  <c r="E106" i="22"/>
  <c r="D106" i="22"/>
  <c r="E102" i="22"/>
  <c r="D102" i="22"/>
  <c r="E167" i="22"/>
  <c r="D167" i="22"/>
  <c r="E50" i="22"/>
  <c r="D50" i="22"/>
  <c r="D710" i="22"/>
  <c r="E422" i="22"/>
  <c r="D422" i="22"/>
  <c r="D420" i="22"/>
  <c r="E398" i="22"/>
  <c r="D398" i="22"/>
  <c r="E374" i="22"/>
  <c r="D374" i="22"/>
  <c r="E377" i="22"/>
  <c r="D377" i="22"/>
  <c r="H250" i="22"/>
  <c r="G250" i="22"/>
  <c r="E250" i="22"/>
  <c r="E221" i="22"/>
  <c r="D221" i="22"/>
  <c r="E190" i="22"/>
  <c r="D190" i="22"/>
  <c r="E43" i="22"/>
  <c r="D43" i="22"/>
  <c r="E187" i="22"/>
  <c r="E36" i="22"/>
  <c r="D36" i="22"/>
  <c r="E177" i="22"/>
  <c r="D177" i="22"/>
  <c r="E155" i="22"/>
  <c r="D155" i="22"/>
  <c r="E716" i="22"/>
  <c r="D716" i="22"/>
  <c r="D713" i="22"/>
  <c r="E439" i="22"/>
  <c r="D439" i="22"/>
  <c r="E432" i="22"/>
  <c r="D432" i="22"/>
  <c r="E409" i="22"/>
  <c r="D409" i="22"/>
  <c r="E408" i="22"/>
  <c r="D408" i="22"/>
  <c r="E412" i="22"/>
  <c r="D412" i="22"/>
  <c r="E403" i="22"/>
  <c r="D403" i="22"/>
  <c r="E352" i="22"/>
  <c r="D352" i="22"/>
  <c r="G309" i="22"/>
  <c r="G277" i="22"/>
  <c r="D277" i="22"/>
  <c r="G271" i="22"/>
  <c r="D271" i="22"/>
  <c r="H241" i="22"/>
  <c r="G241" i="22"/>
  <c r="E201" i="22"/>
  <c r="D201" i="22"/>
  <c r="E197" i="22"/>
  <c r="D197" i="22"/>
  <c r="E199" i="22"/>
  <c r="D199" i="22"/>
  <c r="D182" i="22"/>
  <c r="E87" i="22"/>
  <c r="D87" i="22"/>
  <c r="E38" i="22"/>
  <c r="D38" i="22"/>
  <c r="E131" i="22"/>
  <c r="D131" i="22"/>
  <c r="E64" i="22"/>
  <c r="D64" i="22"/>
  <c r="E101" i="22"/>
  <c r="D101" i="22"/>
  <c r="E395" i="22"/>
  <c r="D395" i="22"/>
  <c r="E359" i="22"/>
  <c r="D359" i="22"/>
  <c r="E93" i="22"/>
  <c r="D93" i="22"/>
  <c r="D165" i="22"/>
  <c r="E113" i="22"/>
  <c r="D113" i="22"/>
  <c r="D721" i="22"/>
  <c r="E413" i="22"/>
  <c r="D413" i="22"/>
  <c r="E401" i="22"/>
  <c r="D401" i="22"/>
  <c r="H293" i="22"/>
  <c r="G293" i="22"/>
  <c r="E233" i="22"/>
  <c r="D233" i="22"/>
  <c r="E78" i="22"/>
  <c r="D78" i="22"/>
  <c r="E144" i="22"/>
  <c r="D144" i="22"/>
  <c r="E72" i="22"/>
  <c r="D72" i="22"/>
  <c r="E706" i="22"/>
  <c r="D706" i="22"/>
  <c r="E431" i="22"/>
  <c r="D431" i="22"/>
  <c r="E373" i="22"/>
  <c r="D373" i="22"/>
  <c r="H297" i="22"/>
  <c r="G297" i="22"/>
  <c r="D297" i="22"/>
  <c r="H249" i="22"/>
  <c r="G249" i="22"/>
  <c r="D249" i="22"/>
  <c r="E141" i="22"/>
  <c r="D141" i="22"/>
  <c r="E715" i="22"/>
  <c r="D715" i="22"/>
  <c r="E443" i="22"/>
  <c r="D443" i="22"/>
  <c r="E383" i="22"/>
  <c r="D383" i="22"/>
  <c r="E365" i="22"/>
  <c r="D365" i="22"/>
  <c r="E364" i="22"/>
  <c r="D364" i="22"/>
  <c r="E361" i="22"/>
  <c r="D361" i="22"/>
  <c r="H289" i="22"/>
  <c r="G289" i="22"/>
  <c r="D289" i="22"/>
  <c r="H268" i="22"/>
  <c r="G268" i="22"/>
  <c r="D268" i="22"/>
  <c r="E191" i="22"/>
  <c r="D191" i="22"/>
  <c r="E96" i="22"/>
  <c r="D96" i="22"/>
  <c r="E205" i="22"/>
  <c r="D205" i="22"/>
  <c r="E168" i="22"/>
  <c r="D168" i="22"/>
  <c r="E110" i="22"/>
  <c r="D110" i="22"/>
  <c r="G290" i="22"/>
  <c r="D290" i="22"/>
  <c r="H282" i="22"/>
  <c r="G282" i="22"/>
  <c r="D282" i="22"/>
  <c r="E212" i="22"/>
  <c r="D212" i="22"/>
  <c r="E97" i="22"/>
  <c r="D97" i="22"/>
  <c r="E417" i="22"/>
  <c r="D417" i="22"/>
  <c r="E719" i="22"/>
  <c r="D719" i="22"/>
  <c r="E703" i="22"/>
  <c r="D703" i="22"/>
  <c r="E381" i="22"/>
  <c r="D381" i="22"/>
  <c r="H257" i="22"/>
  <c r="G257" i="22"/>
  <c r="D257" i="22"/>
  <c r="E208" i="22"/>
  <c r="D208" i="22"/>
  <c r="E158" i="22"/>
  <c r="D158" i="22"/>
  <c r="E128" i="22"/>
  <c r="D128" i="22"/>
  <c r="G264" i="22"/>
  <c r="D264" i="22"/>
  <c r="D42" i="22"/>
  <c r="D258" i="22"/>
  <c r="E31" i="22"/>
  <c r="D31" i="22"/>
  <c r="G262" i="22"/>
  <c r="D262" i="22"/>
  <c r="E29" i="22"/>
  <c r="D29" i="22"/>
  <c r="H255" i="22"/>
  <c r="G255" i="22"/>
  <c r="D255" i="22"/>
  <c r="D34" i="22"/>
  <c r="H260" i="22"/>
  <c r="G260" i="22"/>
  <c r="E260" i="22"/>
  <c r="D260" i="22"/>
  <c r="E23" i="22"/>
  <c r="D23" i="22"/>
  <c r="H263" i="22"/>
  <c r="G263" i="22"/>
  <c r="E263" i="22"/>
  <c r="D263" i="22"/>
  <c r="E41" i="22"/>
  <c r="D41" i="22"/>
  <c r="H299" i="22"/>
  <c r="G299" i="22"/>
  <c r="D299" i="22"/>
  <c r="E25" i="22"/>
  <c r="D25" i="22"/>
  <c r="G300" i="22"/>
  <c r="D300" i="22"/>
  <c r="E26" i="22"/>
  <c r="D26" i="22"/>
  <c r="G305" i="22"/>
  <c r="E28" i="22"/>
  <c r="D28" i="22"/>
  <c r="G261" i="22"/>
  <c r="E40" i="22"/>
  <c r="D40" i="22"/>
  <c r="G304" i="22"/>
  <c r="D304" i="22"/>
  <c r="E35" i="22"/>
  <c r="D35" i="22"/>
  <c r="H298" i="22"/>
  <c r="G298" i="22"/>
  <c r="D298" i="22"/>
  <c r="E22" i="22"/>
  <c r="D22" i="22"/>
  <c r="H296" i="22"/>
  <c r="G296" i="22"/>
  <c r="E296" i="22"/>
  <c r="D296" i="22"/>
  <c r="D30" i="22"/>
  <c r="G302" i="22"/>
  <c r="D302" i="22"/>
  <c r="D39" i="22"/>
  <c r="H301" i="22"/>
  <c r="D33" i="22"/>
  <c r="H324" i="22"/>
  <c r="G324" i="22"/>
  <c r="E82" i="22"/>
  <c r="D82" i="22"/>
  <c r="E89" i="22"/>
  <c r="D89" i="22"/>
  <c r="H330" i="22"/>
  <c r="G330" i="22"/>
  <c r="D330" i="22"/>
  <c r="E79" i="22"/>
  <c r="D79" i="22"/>
  <c r="D329" i="22"/>
  <c r="E71" i="22"/>
  <c r="D71" i="22"/>
  <c r="H328" i="22"/>
  <c r="G328" i="22"/>
  <c r="E328" i="22"/>
  <c r="D328" i="22"/>
  <c r="E75" i="22"/>
  <c r="D75" i="22"/>
  <c r="H332" i="22"/>
  <c r="G332" i="22"/>
  <c r="D332" i="22"/>
  <c r="E18" i="22"/>
  <c r="D18" i="22"/>
  <c r="G331" i="22"/>
  <c r="D53" i="22"/>
  <c r="H284" i="22"/>
  <c r="G284" i="22"/>
  <c r="D284" i="22"/>
  <c r="E84" i="22"/>
  <c r="D84" i="22"/>
  <c r="E88" i="22"/>
  <c r="D88" i="22"/>
  <c r="H327" i="22"/>
  <c r="G327" i="22"/>
  <c r="E327" i="22"/>
  <c r="D327" i="22"/>
  <c r="E76" i="22"/>
  <c r="D76" i="22"/>
  <c r="G287" i="22"/>
  <c r="E70" i="22"/>
  <c r="D70" i="22"/>
  <c r="E27" i="22"/>
  <c r="D27" i="22"/>
  <c r="H285" i="22"/>
  <c r="G285" i="22"/>
  <c r="D85" i="22"/>
  <c r="G281" i="22"/>
  <c r="E281" i="22"/>
  <c r="D281" i="22"/>
  <c r="E77" i="22"/>
  <c r="D77" i="22"/>
  <c r="E80" i="22"/>
  <c r="D80" i="22"/>
  <c r="E74" i="22"/>
  <c r="D74" i="22"/>
  <c r="H283" i="22"/>
  <c r="G283" i="22"/>
  <c r="D283" i="22"/>
  <c r="E722" i="22"/>
  <c r="D722" i="22"/>
  <c r="E367" i="22"/>
  <c r="D367" i="22"/>
  <c r="G308" i="22"/>
  <c r="D308" i="22"/>
  <c r="H256" i="22"/>
  <c r="G256" i="22"/>
  <c r="H243" i="22"/>
  <c r="G243" i="22"/>
  <c r="D243" i="22"/>
  <c r="E105" i="22"/>
  <c r="D105" i="22"/>
  <c r="E215" i="22"/>
  <c r="D215" i="22"/>
  <c r="D195" i="22"/>
  <c r="D24" i="22"/>
  <c r="E172" i="22"/>
  <c r="D172" i="22"/>
  <c r="D145" i="22"/>
  <c r="E111" i="22"/>
  <c r="D111" i="22"/>
  <c r="E334" i="22"/>
  <c r="D334" i="22"/>
  <c r="H313" i="22"/>
  <c r="G313" i="22"/>
  <c r="D313" i="22"/>
  <c r="E181" i="22"/>
  <c r="D181" i="22"/>
  <c r="E400" i="22"/>
  <c r="D400" i="22"/>
  <c r="H270" i="22"/>
  <c r="G270" i="22"/>
  <c r="D270" i="22"/>
  <c r="E176" i="22"/>
  <c r="D176" i="22"/>
  <c r="H242" i="22"/>
  <c r="G242" i="22"/>
  <c r="D242" i="22"/>
  <c r="E198" i="22"/>
  <c r="D198" i="22"/>
  <c r="E139" i="22"/>
  <c r="D139" i="22"/>
  <c r="E414" i="22"/>
  <c r="D414" i="22"/>
  <c r="E148" i="22"/>
  <c r="D148" i="22"/>
  <c r="E394" i="22"/>
  <c r="D394" i="22"/>
  <c r="E354" i="22"/>
  <c r="D354" i="22"/>
  <c r="H325" i="22"/>
  <c r="G325" i="22"/>
  <c r="D325" i="22"/>
  <c r="E100" i="22"/>
  <c r="D100" i="22"/>
  <c r="H315" i="22"/>
  <c r="G315" i="22"/>
  <c r="D315" i="22"/>
  <c r="D175" i="22"/>
  <c r="E126" i="22"/>
  <c r="D126" i="22"/>
  <c r="E123" i="22"/>
  <c r="D123" i="22"/>
  <c r="E68" i="22"/>
  <c r="D68" i="22"/>
  <c r="E63" i="22"/>
  <c r="D63" i="22"/>
  <c r="D726" i="22"/>
  <c r="E411" i="22"/>
  <c r="D411" i="22"/>
  <c r="H306" i="22"/>
  <c r="G306" i="22"/>
  <c r="D306" i="22"/>
  <c r="H319" i="22"/>
  <c r="G319" i="22"/>
  <c r="D319" i="22"/>
  <c r="G238" i="22"/>
  <c r="D238" i="22"/>
  <c r="E122" i="22"/>
  <c r="D122" i="22"/>
  <c r="E69" i="22"/>
  <c r="D69" i="22"/>
  <c r="E65" i="22"/>
  <c r="D65" i="22"/>
  <c r="D55" i="22"/>
  <c r="D723" i="22"/>
  <c r="E430" i="22"/>
  <c r="D430" i="22"/>
  <c r="E424" i="22"/>
  <c r="D424" i="22"/>
  <c r="E415" i="22"/>
  <c r="D415" i="22"/>
  <c r="E343" i="22"/>
  <c r="D343" i="22"/>
  <c r="H320" i="22"/>
  <c r="G320" i="22"/>
  <c r="D320" i="22"/>
  <c r="H253" i="22"/>
  <c r="G253" i="22"/>
  <c r="D253" i="22"/>
  <c r="E92" i="22"/>
  <c r="D92" i="22"/>
  <c r="D192" i="22"/>
  <c r="E140" i="22"/>
  <c r="D140" i="22"/>
  <c r="D125" i="22"/>
  <c r="D73" i="22"/>
  <c r="E204" i="22"/>
  <c r="D204" i="22"/>
  <c r="H246" i="22"/>
  <c r="G246" i="22"/>
  <c r="D246" i="22"/>
  <c r="D164" i="22"/>
  <c r="E162" i="22"/>
  <c r="D162" i="22"/>
  <c r="E156" i="22"/>
  <c r="D156" i="22"/>
  <c r="E114" i="22"/>
  <c r="D114" i="22"/>
  <c r="D48" i="22"/>
  <c r="E360" i="22"/>
  <c r="D360" i="22"/>
  <c r="E358" i="22"/>
  <c r="D358" i="22"/>
  <c r="H312" i="22"/>
  <c r="G312" i="22"/>
  <c r="D312" i="22"/>
  <c r="G251" i="22"/>
  <c r="D251" i="22"/>
  <c r="G235" i="22"/>
  <c r="I226" i="22"/>
  <c r="E223" i="22"/>
  <c r="D223" i="22"/>
  <c r="E211" i="22"/>
  <c r="D211" i="22"/>
  <c r="E95" i="22"/>
  <c r="D95" i="22"/>
  <c r="E174" i="22"/>
  <c r="D174" i="22"/>
  <c r="E153" i="22"/>
  <c r="D153" i="22"/>
  <c r="G247" i="22"/>
  <c r="E203" i="22"/>
  <c r="D203" i="22"/>
  <c r="E98" i="22"/>
  <c r="D98" i="22"/>
  <c r="E45" i="22"/>
  <c r="D45" i="22"/>
  <c r="E138" i="22"/>
  <c r="D138" i="22"/>
  <c r="H307" i="22"/>
  <c r="G307" i="22"/>
  <c r="D307" i="22"/>
  <c r="D702" i="22"/>
  <c r="E437" i="22"/>
  <c r="D437" i="22"/>
  <c r="E410" i="22"/>
  <c r="D410" i="22"/>
  <c r="E380" i="22"/>
  <c r="D380" i="22"/>
  <c r="D375" i="22"/>
  <c r="E363" i="22"/>
  <c r="D363" i="22"/>
  <c r="E336" i="22"/>
  <c r="D336" i="22"/>
  <c r="H316" i="22"/>
  <c r="G316" i="22"/>
  <c r="E316" i="22"/>
  <c r="D316" i="22"/>
  <c r="G239" i="22"/>
  <c r="D239" i="22"/>
  <c r="D234" i="22"/>
  <c r="E179" i="22"/>
  <c r="D179" i="22"/>
  <c r="D178" i="22"/>
  <c r="D129" i="22"/>
  <c r="D115" i="22"/>
  <c r="E54" i="22"/>
  <c r="D54" i="22"/>
  <c r="H276" i="22"/>
  <c r="G276" i="22"/>
  <c r="D276" i="22"/>
  <c r="E180" i="22"/>
  <c r="D180" i="22"/>
  <c r="G252" i="22"/>
  <c r="D252" i="22"/>
  <c r="E384" i="22"/>
  <c r="D384" i="22"/>
  <c r="E436" i="22"/>
  <c r="D436" i="22"/>
  <c r="G265" i="22"/>
  <c r="D265" i="22"/>
  <c r="E103" i="22"/>
  <c r="D103" i="22"/>
  <c r="D20" i="22"/>
  <c r="H727" i="22"/>
  <c r="G727" i="22"/>
  <c r="D727" i="22"/>
  <c r="D712" i="22"/>
  <c r="E438" i="22"/>
  <c r="D438" i="22"/>
  <c r="E421" i="22"/>
  <c r="D421" i="22"/>
  <c r="E372" i="22"/>
  <c r="D372" i="22"/>
  <c r="E348" i="22"/>
  <c r="D348" i="22"/>
  <c r="H323" i="22"/>
  <c r="G323" i="22"/>
  <c r="E323" i="22"/>
  <c r="E230" i="22"/>
  <c r="D230" i="22"/>
  <c r="E207" i="22"/>
  <c r="D207" i="22"/>
  <c r="E185" i="22"/>
  <c r="D185" i="22"/>
  <c r="E184" i="22"/>
  <c r="D184" i="22"/>
  <c r="E200" i="22"/>
  <c r="D200" i="22"/>
  <c r="E94" i="22"/>
  <c r="D94" i="22"/>
  <c r="E134" i="22"/>
  <c r="D134" i="22"/>
  <c r="E717" i="22"/>
  <c r="D717" i="22"/>
  <c r="G728" i="22"/>
  <c r="D428" i="22"/>
  <c r="E202" i="22"/>
  <c r="D202" i="22"/>
  <c r="E86" i="22"/>
  <c r="D86" i="22"/>
  <c r="E219" i="22"/>
  <c r="D219" i="22"/>
  <c r="D99" i="22"/>
  <c r="E81" i="22"/>
  <c r="D81" i="22"/>
  <c r="E133" i="22"/>
  <c r="D133" i="22"/>
  <c r="E393" i="22"/>
  <c r="D393" i="22"/>
  <c r="E356" i="22"/>
  <c r="D356" i="22"/>
  <c r="E346" i="22"/>
  <c r="D346" i="22"/>
  <c r="E344" i="22"/>
  <c r="D344" i="22"/>
  <c r="H295" i="22"/>
  <c r="G295" i="22"/>
  <c r="D295" i="22"/>
  <c r="H245" i="22"/>
  <c r="G245" i="22"/>
  <c r="E245" i="22"/>
  <c r="D245" i="22"/>
  <c r="E231" i="22"/>
  <c r="D231" i="22"/>
  <c r="E146" i="22"/>
  <c r="D146" i="22"/>
  <c r="E124" i="22"/>
  <c r="D124" i="22"/>
  <c r="E117" i="22"/>
  <c r="D117" i="22"/>
  <c r="E60" i="22"/>
  <c r="D60" i="22"/>
  <c r="E59" i="22"/>
  <c r="D59" i="22"/>
  <c r="E704" i="22"/>
  <c r="D704" i="22"/>
  <c r="E435" i="22"/>
  <c r="D435" i="22"/>
  <c r="E350" i="22"/>
  <c r="D350" i="22"/>
  <c r="G317" i="22"/>
  <c r="D317" i="22"/>
  <c r="H311" i="22"/>
  <c r="G311" i="22"/>
  <c r="D311" i="22"/>
  <c r="E214" i="22"/>
  <c r="D214" i="22"/>
  <c r="E445" i="22"/>
  <c r="D445" i="22"/>
  <c r="E442" i="22"/>
  <c r="D442" i="22"/>
  <c r="E419" i="22"/>
  <c r="D419" i="22"/>
  <c r="E376" i="22"/>
  <c r="D376" i="22"/>
  <c r="H303" i="22"/>
  <c r="G303" i="22"/>
  <c r="E303" i="22"/>
  <c r="D303" i="22"/>
  <c r="H318" i="22"/>
  <c r="G318" i="22"/>
  <c r="D318" i="22"/>
  <c r="H310" i="22"/>
  <c r="G310" i="22"/>
  <c r="E310" i="22"/>
  <c r="D310" i="22"/>
  <c r="G254" i="22"/>
  <c r="D254" i="22"/>
  <c r="H236" i="22"/>
  <c r="G236" i="22"/>
  <c r="E236" i="22"/>
  <c r="D236" i="22"/>
  <c r="E237" i="22"/>
  <c r="D237" i="22"/>
  <c r="D228" i="22"/>
  <c r="E196" i="22"/>
  <c r="D196" i="22"/>
  <c r="E209" i="22"/>
  <c r="D209" i="22"/>
  <c r="E188" i="22"/>
  <c r="D188" i="22"/>
  <c r="E135" i="22"/>
  <c r="D135" i="22"/>
  <c r="E118" i="22"/>
  <c r="D118" i="22"/>
  <c r="E116" i="22"/>
  <c r="D116" i="22"/>
  <c r="E67" i="22"/>
  <c r="D67" i="22"/>
  <c r="E61" i="22"/>
  <c r="D61" i="22"/>
  <c r="E397" i="20"/>
  <c r="E334" i="20"/>
  <c r="D334" i="20"/>
  <c r="D115" i="20"/>
  <c r="D129" i="20"/>
  <c r="E410" i="20"/>
  <c r="D410" i="20"/>
  <c r="E49" i="20"/>
  <c r="D49" i="20"/>
  <c r="E62" i="20"/>
  <c r="D62" i="20"/>
  <c r="E58" i="20"/>
  <c r="D58" i="20"/>
  <c r="H314" i="20"/>
  <c r="G314" i="20"/>
  <c r="E314" i="20"/>
  <c r="D314" i="20"/>
  <c r="E382" i="20"/>
  <c r="D382" i="20"/>
  <c r="E389" i="20"/>
  <c r="D389" i="20"/>
  <c r="H266" i="20"/>
  <c r="G266" i="20"/>
  <c r="D266" i="20"/>
  <c r="E700" i="20"/>
  <c r="D700" i="20"/>
  <c r="E217" i="20"/>
  <c r="D217" i="20"/>
  <c r="E218" i="20"/>
  <c r="D218" i="20"/>
  <c r="D160" i="20"/>
  <c r="E213" i="20"/>
  <c r="D213" i="20"/>
  <c r="E402" i="20"/>
  <c r="D402" i="20"/>
  <c r="H280" i="20"/>
  <c r="G280" i="20"/>
  <c r="D280" i="20"/>
  <c r="D170" i="20"/>
  <c r="E337" i="20"/>
  <c r="D337" i="20"/>
  <c r="H248" i="20"/>
  <c r="G248" i="20"/>
  <c r="E434" i="20"/>
  <c r="D434" i="20"/>
  <c r="E120" i="20"/>
  <c r="D120" i="20"/>
  <c r="H244" i="20"/>
  <c r="G244" i="20"/>
  <c r="D244" i="20"/>
  <c r="D112" i="20"/>
  <c r="E441" i="20"/>
  <c r="D441" i="20"/>
  <c r="E44" i="20"/>
  <c r="D44" i="20"/>
  <c r="E46" i="20"/>
  <c r="D46" i="20"/>
  <c r="E56" i="20"/>
  <c r="D56" i="20"/>
  <c r="E143" i="20"/>
  <c r="D143" i="20"/>
  <c r="E396" i="20"/>
  <c r="D396" i="20"/>
  <c r="E371" i="20"/>
  <c r="D371" i="20"/>
  <c r="E427" i="20"/>
  <c r="D427" i="20"/>
  <c r="E108" i="20"/>
  <c r="D108" i="20"/>
  <c r="E147" i="20"/>
  <c r="D147" i="20"/>
  <c r="H274" i="20"/>
  <c r="G274" i="20"/>
  <c r="E274" i="20"/>
  <c r="D274" i="20"/>
  <c r="E159" i="20"/>
  <c r="D159" i="20"/>
  <c r="E157" i="20"/>
  <c r="D157" i="20"/>
  <c r="E405" i="20"/>
  <c r="D405" i="20"/>
  <c r="E152" i="20"/>
  <c r="D152" i="20"/>
  <c r="E426" i="20"/>
  <c r="D426" i="20"/>
  <c r="E51" i="20"/>
  <c r="D51" i="20"/>
  <c r="E720" i="20"/>
  <c r="D720" i="20"/>
  <c r="E404" i="20"/>
  <c r="D404" i="20"/>
  <c r="E224" i="20"/>
  <c r="D224" i="20"/>
  <c r="E440" i="20"/>
  <c r="D440" i="20"/>
  <c r="E385" i="20"/>
  <c r="D385" i="20"/>
  <c r="D397" i="20"/>
  <c r="E368" i="20"/>
  <c r="D368" i="20"/>
  <c r="E341" i="20"/>
  <c r="D341" i="20"/>
  <c r="E387" i="20"/>
  <c r="D387" i="20"/>
  <c r="E379" i="20"/>
  <c r="D379" i="20"/>
  <c r="E183" i="20"/>
  <c r="D183" i="20"/>
  <c r="E151" i="20"/>
  <c r="D151" i="20"/>
  <c r="H291" i="20"/>
  <c r="G291" i="20"/>
  <c r="E291" i="20"/>
  <c r="D291" i="20"/>
  <c r="E705" i="20"/>
  <c r="D705" i="20"/>
  <c r="D718" i="20"/>
  <c r="H269" i="20"/>
  <c r="G269" i="20"/>
  <c r="E269" i="20"/>
  <c r="D269" i="20"/>
  <c r="H272" i="20"/>
  <c r="G272" i="20"/>
  <c r="E351" i="20"/>
  <c r="D351" i="20"/>
  <c r="E429" i="20"/>
  <c r="D429" i="20"/>
  <c r="E57" i="20"/>
  <c r="D57" i="20"/>
  <c r="E119" i="20"/>
  <c r="D119" i="20"/>
  <c r="E136" i="20"/>
  <c r="D136" i="20"/>
  <c r="E142" i="20"/>
  <c r="D142" i="20"/>
  <c r="H322" i="20"/>
  <c r="G322" i="20"/>
  <c r="E322" i="20"/>
  <c r="D322" i="20"/>
  <c r="E407" i="20"/>
  <c r="D407" i="20"/>
  <c r="E132" i="20"/>
  <c r="D132" i="20"/>
  <c r="E388" i="20"/>
  <c r="D388" i="20"/>
  <c r="E357" i="20"/>
  <c r="D357" i="20"/>
  <c r="E109" i="20"/>
  <c r="D109" i="20"/>
  <c r="G729" i="20"/>
  <c r="D729" i="20"/>
  <c r="E83" i="20"/>
  <c r="D83" i="20"/>
  <c r="E227" i="20"/>
  <c r="D227" i="20"/>
  <c r="E418" i="20"/>
  <c r="D418" i="20"/>
  <c r="E206" i="20"/>
  <c r="D206" i="20"/>
  <c r="H321" i="20"/>
  <c r="G321" i="20"/>
  <c r="D321" i="20"/>
  <c r="D163" i="20"/>
  <c r="E423" i="20"/>
  <c r="D423" i="20"/>
  <c r="E707" i="20"/>
  <c r="D707" i="20"/>
  <c r="E163" i="20"/>
  <c r="E149" i="20"/>
  <c r="D149" i="20"/>
  <c r="E104" i="20"/>
  <c r="D104" i="20"/>
  <c r="E150" i="20"/>
  <c r="D150" i="20"/>
  <c r="E21" i="20"/>
  <c r="D21" i="20"/>
  <c r="D232" i="20"/>
  <c r="E444" i="20"/>
  <c r="D444" i="20"/>
  <c r="H240" i="20"/>
  <c r="G240" i="20"/>
  <c r="E240" i="20"/>
  <c r="D240" i="20"/>
  <c r="E222" i="20"/>
  <c r="D222" i="20"/>
  <c r="E107" i="20"/>
  <c r="D107" i="20"/>
  <c r="D37" i="20"/>
  <c r="E166" i="20"/>
  <c r="D166" i="20"/>
  <c r="E154" i="20"/>
  <c r="D154" i="20"/>
  <c r="E167" i="20"/>
  <c r="D167" i="20"/>
  <c r="E406" i="20"/>
  <c r="D406" i="20"/>
  <c r="E369" i="20"/>
  <c r="D369" i="20"/>
  <c r="E220" i="20"/>
  <c r="D220" i="20"/>
  <c r="E370" i="20"/>
  <c r="D370" i="20"/>
  <c r="E425" i="20"/>
  <c r="D425" i="20"/>
  <c r="E106" i="20"/>
  <c r="D106" i="20"/>
  <c r="E194" i="20"/>
  <c r="D194" i="20"/>
  <c r="E377" i="20"/>
  <c r="D377" i="20"/>
  <c r="H250" i="20"/>
  <c r="G250" i="20"/>
  <c r="E250" i="20"/>
  <c r="E398" i="20"/>
  <c r="D398" i="20"/>
  <c r="E148" i="20"/>
  <c r="D148" i="20"/>
  <c r="E420" i="20"/>
  <c r="D420" i="20"/>
  <c r="E187" i="20"/>
  <c r="D187" i="20"/>
  <c r="D710" i="20"/>
  <c r="E43" i="20"/>
  <c r="D43" i="20"/>
  <c r="E177" i="20"/>
  <c r="D177" i="20"/>
  <c r="E190" i="20"/>
  <c r="D190" i="20"/>
  <c r="E36" i="20"/>
  <c r="D36" i="20"/>
  <c r="E374" i="20"/>
  <c r="D374" i="20"/>
  <c r="E221" i="20"/>
  <c r="D221" i="20"/>
  <c r="E422" i="20"/>
  <c r="D422" i="20"/>
  <c r="E155" i="20"/>
  <c r="D155" i="20"/>
  <c r="E439" i="20"/>
  <c r="D439" i="20"/>
  <c r="E716" i="20"/>
  <c r="D716" i="20"/>
  <c r="D713" i="20"/>
  <c r="E432" i="20"/>
  <c r="D432" i="20"/>
  <c r="E409" i="20"/>
  <c r="D409" i="20"/>
  <c r="E408" i="20"/>
  <c r="D408" i="20"/>
  <c r="E412" i="20"/>
  <c r="D412" i="20"/>
  <c r="E403" i="20"/>
  <c r="D403" i="20"/>
  <c r="E352" i="20"/>
  <c r="D352" i="20"/>
  <c r="G309" i="20"/>
  <c r="G277" i="20"/>
  <c r="D277" i="20"/>
  <c r="G271" i="20"/>
  <c r="D271" i="20"/>
  <c r="H241" i="20"/>
  <c r="G241" i="20"/>
  <c r="E201" i="20"/>
  <c r="D201" i="20"/>
  <c r="E197" i="20"/>
  <c r="D197" i="20"/>
  <c r="E199" i="20"/>
  <c r="D199" i="20"/>
  <c r="D182" i="20"/>
  <c r="E87" i="20"/>
  <c r="D87" i="20"/>
  <c r="E38" i="20"/>
  <c r="D38" i="20"/>
  <c r="E131" i="20"/>
  <c r="D131" i="20"/>
  <c r="E64" i="20"/>
  <c r="D64" i="20"/>
  <c r="E101" i="20"/>
  <c r="D101" i="20"/>
  <c r="E395" i="20"/>
  <c r="D395" i="20"/>
  <c r="E93" i="20"/>
  <c r="D93" i="20"/>
  <c r="E359" i="20"/>
  <c r="D359" i="20"/>
  <c r="E113" i="20"/>
  <c r="D113" i="20"/>
  <c r="D165" i="20"/>
  <c r="D721" i="20"/>
  <c r="E413" i="20"/>
  <c r="D413" i="20"/>
  <c r="E401" i="20"/>
  <c r="D401" i="20"/>
  <c r="H293" i="20"/>
  <c r="G293" i="20"/>
  <c r="E233" i="20"/>
  <c r="D233" i="20"/>
  <c r="E78" i="20"/>
  <c r="D78" i="20"/>
  <c r="E72" i="20"/>
  <c r="D72" i="20"/>
  <c r="E144" i="20"/>
  <c r="D144" i="20"/>
  <c r="H297" i="20"/>
  <c r="G297" i="20"/>
  <c r="D297" i="20"/>
  <c r="E431" i="20"/>
  <c r="D431" i="20"/>
  <c r="E373" i="20"/>
  <c r="D373" i="20"/>
  <c r="E706" i="20"/>
  <c r="D706" i="20"/>
  <c r="H249" i="20"/>
  <c r="G249" i="20"/>
  <c r="D249" i="20"/>
  <c r="E141" i="20"/>
  <c r="D141" i="20"/>
  <c r="E208" i="20"/>
  <c r="D208" i="20"/>
  <c r="E719" i="20"/>
  <c r="D719" i="20"/>
  <c r="E381" i="20"/>
  <c r="D381" i="20"/>
  <c r="E703" i="20"/>
  <c r="D703" i="20"/>
  <c r="E158" i="20"/>
  <c r="D158" i="20"/>
  <c r="E128" i="20"/>
  <c r="D128" i="20"/>
  <c r="H257" i="20"/>
  <c r="G257" i="20"/>
  <c r="D257" i="20"/>
  <c r="E335" i="20"/>
  <c r="D335" i="20"/>
  <c r="E345" i="20"/>
  <c r="D345" i="20"/>
  <c r="E347" i="20"/>
  <c r="D347" i="20"/>
  <c r="E349" i="20"/>
  <c r="D349" i="20"/>
  <c r="E450" i="20"/>
  <c r="D450" i="20"/>
  <c r="E452" i="20"/>
  <c r="D452" i="20"/>
  <c r="E181" i="20"/>
  <c r="D181" i="20"/>
  <c r="H313" i="20"/>
  <c r="G313" i="20"/>
  <c r="D313" i="20"/>
  <c r="H270" i="20"/>
  <c r="G270" i="20"/>
  <c r="D270" i="20"/>
  <c r="E400" i="20"/>
  <c r="D400" i="20"/>
  <c r="E176" i="20"/>
  <c r="D176" i="20"/>
  <c r="E198" i="20"/>
  <c r="D198" i="20"/>
  <c r="E414" i="20"/>
  <c r="D414" i="20"/>
  <c r="H242" i="20"/>
  <c r="G242" i="20"/>
  <c r="D242" i="20"/>
  <c r="E139" i="20"/>
  <c r="D139" i="20"/>
  <c r="E126" i="20"/>
  <c r="D126" i="20"/>
  <c r="E63" i="20"/>
  <c r="D63" i="20"/>
  <c r="E123" i="20"/>
  <c r="D123" i="20"/>
  <c r="H315" i="20"/>
  <c r="G315" i="20"/>
  <c r="D315" i="20"/>
  <c r="E68" i="20"/>
  <c r="D68" i="20"/>
  <c r="E394" i="20"/>
  <c r="D394" i="20"/>
  <c r="E100" i="20"/>
  <c r="D100" i="20"/>
  <c r="H325" i="20"/>
  <c r="G325" i="20"/>
  <c r="D325" i="20"/>
  <c r="E354" i="20"/>
  <c r="D354" i="20"/>
  <c r="D175" i="20"/>
  <c r="H320" i="20"/>
  <c r="G320" i="20"/>
  <c r="D320" i="20"/>
  <c r="E430" i="20"/>
  <c r="D430" i="20"/>
  <c r="E424" i="20"/>
  <c r="D424" i="20"/>
  <c r="D125" i="20"/>
  <c r="H253" i="20"/>
  <c r="G253" i="20"/>
  <c r="D253" i="20"/>
  <c r="D73" i="20"/>
  <c r="D192" i="20"/>
  <c r="E415" i="20"/>
  <c r="D415" i="20"/>
  <c r="E140" i="20"/>
  <c r="D140" i="20"/>
  <c r="D723" i="20"/>
  <c r="E343" i="20"/>
  <c r="D343" i="20"/>
  <c r="E92" i="20"/>
  <c r="D92" i="20"/>
  <c r="E162" i="20"/>
  <c r="D162" i="20"/>
  <c r="D164" i="20"/>
  <c r="E114" i="20"/>
  <c r="D114" i="20"/>
  <c r="E204" i="20"/>
  <c r="D204" i="20"/>
  <c r="D48" i="20"/>
  <c r="H246" i="20"/>
  <c r="G246" i="20"/>
  <c r="D246" i="20"/>
  <c r="E156" i="20"/>
  <c r="D156" i="20"/>
  <c r="G235" i="20"/>
  <c r="G251" i="20"/>
  <c r="D251" i="20"/>
  <c r="E223" i="20"/>
  <c r="D223" i="20"/>
  <c r="I226" i="20"/>
  <c r="E358" i="20"/>
  <c r="D358" i="20"/>
  <c r="E360" i="20"/>
  <c r="D360" i="20"/>
  <c r="E95" i="20"/>
  <c r="D95" i="20"/>
  <c r="E211" i="20"/>
  <c r="D211" i="20"/>
  <c r="E174" i="20"/>
  <c r="D174" i="20"/>
  <c r="H312" i="20"/>
  <c r="G312" i="20"/>
  <c r="D312" i="20"/>
  <c r="E153" i="20"/>
  <c r="D153" i="20"/>
  <c r="E98" i="20"/>
  <c r="D98" i="20"/>
  <c r="E138" i="20"/>
  <c r="D138" i="20"/>
  <c r="E45" i="20"/>
  <c r="D45" i="20"/>
  <c r="H307" i="20"/>
  <c r="G307" i="20"/>
  <c r="D307" i="20"/>
  <c r="G247" i="20"/>
  <c r="H316" i="20"/>
  <c r="G316" i="20"/>
  <c r="E316" i="20"/>
  <c r="D316" i="20"/>
  <c r="D375" i="20"/>
  <c r="E54" i="20"/>
  <c r="D54" i="20"/>
  <c r="E363" i="20"/>
  <c r="D363" i="20"/>
  <c r="G239" i="20"/>
  <c r="D239" i="20"/>
  <c r="E336" i="20"/>
  <c r="D336" i="20"/>
  <c r="D702" i="20"/>
  <c r="E437" i="20"/>
  <c r="D437" i="20"/>
  <c r="D234" i="20"/>
  <c r="E380" i="20"/>
  <c r="D380" i="20"/>
  <c r="D178" i="20"/>
  <c r="H276" i="20"/>
  <c r="G276" i="20"/>
  <c r="D276" i="20"/>
  <c r="E32" i="20"/>
  <c r="D32" i="20"/>
  <c r="E180" i="20"/>
  <c r="D180" i="20"/>
  <c r="G252" i="20"/>
  <c r="D252" i="20"/>
  <c r="E384" i="20"/>
  <c r="D384" i="20"/>
  <c r="E103" i="20"/>
  <c r="D103" i="20"/>
  <c r="G265" i="20"/>
  <c r="D265" i="20"/>
  <c r="E436" i="20"/>
  <c r="D436" i="20"/>
  <c r="G727" i="20"/>
  <c r="D727" i="20"/>
  <c r="D20" i="20"/>
  <c r="D712" i="20"/>
  <c r="E230" i="20"/>
  <c r="D230" i="20"/>
  <c r="H323" i="20"/>
  <c r="G323" i="20"/>
  <c r="E323" i="20"/>
  <c r="E372" i="20"/>
  <c r="D372" i="20"/>
  <c r="E348" i="20"/>
  <c r="D348" i="20"/>
  <c r="E421" i="20"/>
  <c r="D421" i="20"/>
  <c r="E185" i="20"/>
  <c r="D185" i="20"/>
  <c r="E184" i="20"/>
  <c r="D184" i="20"/>
  <c r="E200" i="20"/>
  <c r="D200" i="20"/>
  <c r="E438" i="20"/>
  <c r="D438" i="20"/>
  <c r="E94" i="20"/>
  <c r="D94" i="20"/>
  <c r="E207" i="20"/>
  <c r="D207" i="20"/>
  <c r="E134" i="20"/>
  <c r="D134" i="20"/>
  <c r="E356" i="20"/>
  <c r="D356" i="20"/>
  <c r="H295" i="20"/>
  <c r="G295" i="20"/>
  <c r="D295" i="20"/>
  <c r="E124" i="20"/>
  <c r="D124" i="20"/>
  <c r="E231" i="20"/>
  <c r="D231" i="20"/>
  <c r="E60" i="20"/>
  <c r="D60" i="20"/>
  <c r="H245" i="20"/>
  <c r="G245" i="20"/>
  <c r="E245" i="20"/>
  <c r="D245" i="20"/>
  <c r="E117" i="20"/>
  <c r="D117" i="20"/>
  <c r="E393" i="20"/>
  <c r="D393" i="20"/>
  <c r="E59" i="20"/>
  <c r="D59" i="20"/>
  <c r="E346" i="20"/>
  <c r="D346" i="20"/>
  <c r="E344" i="20"/>
  <c r="D344" i="20"/>
  <c r="E146" i="20"/>
  <c r="D146" i="20"/>
  <c r="E704" i="20"/>
  <c r="D704" i="20"/>
  <c r="E350" i="20"/>
  <c r="D350" i="20"/>
  <c r="E214" i="20"/>
  <c r="D214" i="20"/>
  <c r="G317" i="20"/>
  <c r="D317" i="20"/>
  <c r="E435" i="20"/>
  <c r="D435" i="20"/>
  <c r="H311" i="20"/>
  <c r="G311" i="20"/>
  <c r="D311" i="20"/>
  <c r="E19" i="20"/>
  <c r="D19" i="20"/>
  <c r="E118" i="20"/>
  <c r="D118" i="20"/>
  <c r="H237" i="20"/>
  <c r="G237" i="20"/>
  <c r="E237" i="20"/>
  <c r="D237" i="20"/>
  <c r="E116" i="20"/>
  <c r="D116" i="20"/>
  <c r="E61" i="20"/>
  <c r="D61" i="20"/>
  <c r="E445" i="20"/>
  <c r="D445" i="20"/>
  <c r="E442" i="20"/>
  <c r="D442" i="20"/>
  <c r="E419" i="20"/>
  <c r="D419" i="20"/>
  <c r="H310" i="20"/>
  <c r="G310" i="20"/>
  <c r="E310" i="20"/>
  <c r="D310" i="20"/>
  <c r="E376" i="20"/>
  <c r="D376" i="20"/>
  <c r="E188" i="20"/>
  <c r="D188" i="20"/>
  <c r="E196" i="20"/>
  <c r="D196" i="20"/>
  <c r="D228" i="20"/>
  <c r="E67" i="20"/>
  <c r="D67" i="20"/>
  <c r="H318" i="20"/>
  <c r="G318" i="20"/>
  <c r="D318" i="20"/>
  <c r="H303" i="20"/>
  <c r="G303" i="20"/>
  <c r="E303" i="20"/>
  <c r="D303" i="20"/>
  <c r="E135" i="20"/>
  <c r="D135" i="20"/>
  <c r="G254" i="20"/>
  <c r="D254" i="20"/>
  <c r="E391" i="20"/>
  <c r="D391" i="20"/>
  <c r="E714" i="20"/>
  <c r="D714" i="20"/>
  <c r="E366" i="20"/>
  <c r="D366" i="20"/>
  <c r="E362" i="20"/>
  <c r="D362" i="20"/>
  <c r="E342" i="20"/>
  <c r="D342" i="20"/>
  <c r="E193" i="20"/>
  <c r="D193" i="20"/>
  <c r="E334" i="18"/>
  <c r="D334" i="18"/>
  <c r="E334" i="17"/>
  <c r="D334" i="17"/>
  <c r="G729" i="21"/>
  <c r="D729" i="21"/>
  <c r="G728" i="21"/>
  <c r="G727" i="21"/>
  <c r="D727" i="21"/>
  <c r="D726" i="21"/>
  <c r="E725" i="21"/>
  <c r="D725" i="21"/>
  <c r="D723" i="21"/>
  <c r="E722" i="21"/>
  <c r="D722" i="21"/>
  <c r="D721" i="21"/>
  <c r="E720" i="21"/>
  <c r="D720" i="21"/>
  <c r="E719" i="21"/>
  <c r="D719" i="21"/>
  <c r="D718" i="21"/>
  <c r="E717" i="21"/>
  <c r="D717" i="21"/>
  <c r="E715" i="21"/>
  <c r="D715" i="21"/>
  <c r="E714" i="21"/>
  <c r="D714" i="21"/>
  <c r="D713" i="21"/>
  <c r="D712" i="21"/>
  <c r="D710" i="21"/>
  <c r="E708" i="21"/>
  <c r="D708" i="21"/>
  <c r="E707" i="21"/>
  <c r="D707" i="21"/>
  <c r="E706" i="21"/>
  <c r="D706" i="21"/>
  <c r="E705" i="21"/>
  <c r="D705" i="21"/>
  <c r="E704" i="21"/>
  <c r="D704" i="21"/>
  <c r="E703" i="21"/>
  <c r="D703" i="21"/>
  <c r="D702" i="21"/>
  <c r="E701" i="21"/>
  <c r="D701" i="21"/>
  <c r="E700" i="21"/>
  <c r="D700" i="21"/>
  <c r="D699" i="21"/>
  <c r="E452" i="21"/>
  <c r="D452" i="21"/>
  <c r="E450" i="21"/>
  <c r="D450" i="21"/>
  <c r="E445" i="21"/>
  <c r="D445" i="21"/>
  <c r="E444" i="21"/>
  <c r="D444" i="21"/>
  <c r="E443" i="21"/>
  <c r="D443" i="21"/>
  <c r="E442" i="21"/>
  <c r="D442" i="21"/>
  <c r="E441" i="21"/>
  <c r="D441" i="21"/>
  <c r="E440" i="21"/>
  <c r="D440" i="21"/>
  <c r="E438" i="21"/>
  <c r="D438" i="21"/>
  <c r="E437" i="21"/>
  <c r="D437" i="21"/>
  <c r="E436" i="21"/>
  <c r="D436" i="21"/>
  <c r="E435" i="21"/>
  <c r="D435" i="21"/>
  <c r="E434" i="21"/>
  <c r="D434" i="21"/>
  <c r="E433" i="21"/>
  <c r="D433" i="21"/>
  <c r="E432" i="21"/>
  <c r="D432" i="21"/>
  <c r="E431" i="21"/>
  <c r="D431" i="21"/>
  <c r="E430" i="21"/>
  <c r="D430" i="21"/>
  <c r="E429" i="21"/>
  <c r="D429" i="21"/>
  <c r="E428" i="21"/>
  <c r="D428" i="21"/>
  <c r="E427" i="21"/>
  <c r="D427" i="21"/>
  <c r="E426" i="21"/>
  <c r="D426" i="21"/>
  <c r="E425" i="21"/>
  <c r="D425" i="21"/>
  <c r="E424" i="21"/>
  <c r="D424" i="21"/>
  <c r="E423" i="21"/>
  <c r="D423" i="21"/>
  <c r="E422" i="21"/>
  <c r="D422" i="21"/>
  <c r="E421" i="21"/>
  <c r="D421" i="21"/>
  <c r="E420" i="21"/>
  <c r="D420" i="21"/>
  <c r="E419" i="21"/>
  <c r="D419" i="21"/>
  <c r="E418" i="21"/>
  <c r="D418" i="21"/>
  <c r="E417" i="21"/>
  <c r="D417" i="21"/>
  <c r="E415" i="21"/>
  <c r="D415" i="21"/>
  <c r="E414" i="21"/>
  <c r="D414" i="21"/>
  <c r="E413" i="21"/>
  <c r="D413" i="21"/>
  <c r="E412" i="21"/>
  <c r="D412" i="21"/>
  <c r="E411" i="21"/>
  <c r="D411" i="21"/>
  <c r="E410" i="21"/>
  <c r="D410" i="21"/>
  <c r="E409" i="21"/>
  <c r="D409" i="21"/>
  <c r="E408" i="21"/>
  <c r="D408" i="21"/>
  <c r="E407" i="21"/>
  <c r="D407" i="21"/>
  <c r="E406" i="21"/>
  <c r="D406" i="21"/>
  <c r="E405" i="21"/>
  <c r="D405" i="21"/>
  <c r="E404" i="21"/>
  <c r="D404" i="21"/>
  <c r="E403" i="21"/>
  <c r="D403" i="21"/>
  <c r="E402" i="21"/>
  <c r="D402" i="21"/>
  <c r="E401" i="21"/>
  <c r="D401" i="21"/>
  <c r="E400" i="21"/>
  <c r="D400" i="21"/>
  <c r="E398" i="21"/>
  <c r="D398" i="21"/>
  <c r="E397" i="21"/>
  <c r="D397" i="21"/>
  <c r="E396" i="21"/>
  <c r="D396" i="21"/>
  <c r="E395" i="21"/>
  <c r="D395" i="21"/>
  <c r="E394" i="21"/>
  <c r="D394" i="21"/>
  <c r="E393" i="21"/>
  <c r="D393" i="21"/>
  <c r="E392" i="21"/>
  <c r="D392" i="21"/>
  <c r="E391" i="21"/>
  <c r="D391" i="21"/>
  <c r="E390" i="21"/>
  <c r="D390" i="21"/>
  <c r="E389" i="21"/>
  <c r="D389" i="21"/>
  <c r="E388" i="21"/>
  <c r="D388" i="21"/>
  <c r="E387" i="21"/>
  <c r="D387" i="21"/>
  <c r="E385" i="21"/>
  <c r="D385" i="21"/>
  <c r="E384" i="21"/>
  <c r="D384" i="21"/>
  <c r="E383" i="21"/>
  <c r="D383" i="21"/>
  <c r="E382" i="21"/>
  <c r="D382" i="21"/>
  <c r="E381" i="21"/>
  <c r="D381" i="21"/>
  <c r="E380" i="21"/>
  <c r="D380" i="21"/>
  <c r="E379" i="21"/>
  <c r="D379" i="21"/>
  <c r="E377" i="21"/>
  <c r="D377" i="21"/>
  <c r="E376" i="21"/>
  <c r="D376" i="21"/>
  <c r="D375" i="21"/>
  <c r="E374" i="21"/>
  <c r="D374" i="21"/>
  <c r="E373" i="21"/>
  <c r="D373" i="21"/>
  <c r="E372" i="21"/>
  <c r="D372" i="21"/>
  <c r="E371" i="21"/>
  <c r="D371" i="21"/>
  <c r="E370" i="21"/>
  <c r="D370" i="21"/>
  <c r="E369" i="21"/>
  <c r="D369" i="21"/>
  <c r="E368" i="21"/>
  <c r="D368" i="21"/>
  <c r="E367" i="21"/>
  <c r="D367" i="21"/>
  <c r="E366" i="21"/>
  <c r="D366" i="21"/>
  <c r="E365" i="21"/>
  <c r="D365" i="21"/>
  <c r="E364" i="21"/>
  <c r="D364" i="21"/>
  <c r="E363" i="21"/>
  <c r="D363" i="21"/>
  <c r="E362" i="21"/>
  <c r="D362" i="21"/>
  <c r="E361" i="21"/>
  <c r="D361" i="21"/>
  <c r="E360" i="21"/>
  <c r="D360" i="21"/>
  <c r="E359" i="21"/>
  <c r="D359" i="21"/>
  <c r="E358" i="21"/>
  <c r="D358" i="21"/>
  <c r="E357" i="21"/>
  <c r="D357" i="21"/>
  <c r="E356" i="21"/>
  <c r="D356" i="21"/>
  <c r="E355" i="21"/>
  <c r="D355" i="21"/>
  <c r="E354" i="21"/>
  <c r="D354" i="21"/>
  <c r="E352" i="21"/>
  <c r="D352" i="21"/>
  <c r="E351" i="21"/>
  <c r="D351" i="21"/>
  <c r="E350" i="21"/>
  <c r="D350" i="21"/>
  <c r="E349" i="21"/>
  <c r="D349" i="21"/>
  <c r="E348" i="21"/>
  <c r="D348" i="21"/>
  <c r="E347" i="21"/>
  <c r="D347" i="21"/>
  <c r="E346" i="21"/>
  <c r="D346" i="21"/>
  <c r="E345" i="21"/>
  <c r="D345" i="21"/>
  <c r="E344" i="21"/>
  <c r="D344" i="21"/>
  <c r="E343" i="21"/>
  <c r="D343" i="21"/>
  <c r="E342" i="21"/>
  <c r="D342" i="21"/>
  <c r="E341" i="21"/>
  <c r="D341" i="21"/>
  <c r="E337" i="21"/>
  <c r="D337" i="21"/>
  <c r="E336" i="21"/>
  <c r="D336" i="21"/>
  <c r="E335" i="21"/>
  <c r="D335" i="21"/>
  <c r="E334" i="21"/>
  <c r="D334" i="21"/>
  <c r="E333" i="21"/>
  <c r="D333" i="21"/>
  <c r="H332" i="21"/>
  <c r="G332" i="21"/>
  <c r="D332" i="21"/>
  <c r="G331" i="21"/>
  <c r="H330" i="21"/>
  <c r="G330" i="21"/>
  <c r="D330" i="21"/>
  <c r="H328" i="21"/>
  <c r="G328" i="21"/>
  <c r="E328" i="21"/>
  <c r="D328" i="21"/>
  <c r="H327" i="21"/>
  <c r="G327" i="21"/>
  <c r="E327" i="21"/>
  <c r="D327" i="21"/>
  <c r="H325" i="21"/>
  <c r="G325" i="21"/>
  <c r="D325" i="21"/>
  <c r="H324" i="21"/>
  <c r="G324" i="21"/>
  <c r="H323" i="21"/>
  <c r="G323" i="21"/>
  <c r="E323" i="21"/>
  <c r="H322" i="21"/>
  <c r="G322" i="21"/>
  <c r="E322" i="21"/>
  <c r="D322" i="21"/>
  <c r="H321" i="21"/>
  <c r="G321" i="21"/>
  <c r="D321" i="21"/>
  <c r="H320" i="21"/>
  <c r="G320" i="21"/>
  <c r="D320" i="21"/>
  <c r="H319" i="21"/>
  <c r="G319" i="21"/>
  <c r="D319" i="21"/>
  <c r="H318" i="21"/>
  <c r="G318" i="21"/>
  <c r="D318" i="21"/>
  <c r="G317" i="21"/>
  <c r="D317" i="21"/>
  <c r="G316" i="21"/>
  <c r="E316" i="21"/>
  <c r="D316" i="21"/>
  <c r="H315" i="21"/>
  <c r="G315" i="21"/>
  <c r="D315" i="21"/>
  <c r="H314" i="21"/>
  <c r="G314" i="21"/>
  <c r="E314" i="21"/>
  <c r="D314" i="21"/>
  <c r="H313" i="21"/>
  <c r="G313" i="21"/>
  <c r="D313" i="21"/>
  <c r="H312" i="21"/>
  <c r="G312" i="21"/>
  <c r="D312" i="21"/>
  <c r="H311" i="21"/>
  <c r="G311" i="21"/>
  <c r="D311" i="21"/>
  <c r="H310" i="21"/>
  <c r="G310" i="21"/>
  <c r="E310" i="21"/>
  <c r="D310" i="21"/>
  <c r="G309" i="21"/>
  <c r="G308" i="21"/>
  <c r="D308" i="21"/>
  <c r="H307" i="21"/>
  <c r="G307" i="21"/>
  <c r="D307" i="21"/>
  <c r="H306" i="21"/>
  <c r="G306" i="21"/>
  <c r="D306" i="21"/>
  <c r="G305" i="21"/>
  <c r="G304" i="21"/>
  <c r="D304" i="21"/>
  <c r="H303" i="21"/>
  <c r="G303" i="21"/>
  <c r="E303" i="21"/>
  <c r="D303" i="21"/>
  <c r="G302" i="21"/>
  <c r="D302" i="21"/>
  <c r="H301" i="21"/>
  <c r="H299" i="21"/>
  <c r="G299" i="21"/>
  <c r="D299" i="21"/>
  <c r="G298" i="21"/>
  <c r="D298" i="21"/>
  <c r="H297" i="21"/>
  <c r="G297" i="21"/>
  <c r="D297" i="21"/>
  <c r="H296" i="21"/>
  <c r="G296" i="21"/>
  <c r="E296" i="21"/>
  <c r="D296" i="21"/>
  <c r="H295" i="21"/>
  <c r="G295" i="21"/>
  <c r="D295" i="21"/>
  <c r="G293" i="21"/>
  <c r="H291" i="21"/>
  <c r="G291" i="21"/>
  <c r="E291" i="21"/>
  <c r="D291" i="21"/>
  <c r="G290" i="21"/>
  <c r="D290" i="21"/>
  <c r="H289" i="21"/>
  <c r="G289" i="21"/>
  <c r="D289" i="21"/>
  <c r="G288" i="21"/>
  <c r="G287" i="21"/>
  <c r="D287" i="21"/>
  <c r="H285" i="21"/>
  <c r="G285" i="21"/>
  <c r="H284" i="21"/>
  <c r="G284" i="21"/>
  <c r="D284" i="21"/>
  <c r="H283" i="21"/>
  <c r="G283" i="21"/>
  <c r="D283" i="21"/>
  <c r="H282" i="21"/>
  <c r="G282" i="21"/>
  <c r="D282" i="21"/>
  <c r="G281" i="21"/>
  <c r="E281" i="21"/>
  <c r="D281" i="21"/>
  <c r="H280" i="21"/>
  <c r="G280" i="21"/>
  <c r="D280" i="21"/>
  <c r="G277" i="21"/>
  <c r="D277" i="21"/>
  <c r="H276" i="21"/>
  <c r="G276" i="21"/>
  <c r="D276" i="21"/>
  <c r="H275" i="21"/>
  <c r="G275" i="21"/>
  <c r="E275" i="21"/>
  <c r="D275" i="21"/>
  <c r="H274" i="21"/>
  <c r="G274" i="21"/>
  <c r="E274" i="21"/>
  <c r="D274" i="21"/>
  <c r="H272" i="21"/>
  <c r="G272" i="21"/>
  <c r="G271" i="21"/>
  <c r="D271" i="21"/>
  <c r="H270" i="21"/>
  <c r="G270" i="21"/>
  <c r="D270" i="21"/>
  <c r="H269" i="21"/>
  <c r="G269" i="21"/>
  <c r="E269" i="21"/>
  <c r="D269" i="21"/>
  <c r="H268" i="21"/>
  <c r="G268" i="21"/>
  <c r="D268" i="21"/>
  <c r="H267" i="21"/>
  <c r="G267" i="21"/>
  <c r="E267" i="21"/>
  <c r="D267" i="21"/>
  <c r="H266" i="21"/>
  <c r="G266" i="21"/>
  <c r="D266" i="21"/>
  <c r="G265" i="21"/>
  <c r="D265" i="21"/>
  <c r="G264" i="21"/>
  <c r="D264" i="21"/>
  <c r="H263" i="21"/>
  <c r="G263" i="21"/>
  <c r="D263" i="21"/>
  <c r="G262" i="21"/>
  <c r="D262" i="21"/>
  <c r="H260" i="21"/>
  <c r="G260" i="21"/>
  <c r="E260" i="21"/>
  <c r="D260" i="21"/>
  <c r="H259" i="21"/>
  <c r="G259" i="21"/>
  <c r="D259" i="21"/>
  <c r="D258" i="21"/>
  <c r="G257" i="21"/>
  <c r="D257" i="21"/>
  <c r="H256" i="21"/>
  <c r="G256" i="21"/>
  <c r="H255" i="21"/>
  <c r="G255" i="21"/>
  <c r="D255" i="21"/>
  <c r="G254" i="21"/>
  <c r="D254" i="21"/>
  <c r="H253" i="21"/>
  <c r="G253" i="21"/>
  <c r="D253" i="21"/>
  <c r="G252" i="21"/>
  <c r="D252" i="21"/>
  <c r="G251" i="21"/>
  <c r="D251" i="21"/>
  <c r="H250" i="21"/>
  <c r="G250" i="21"/>
  <c r="E250" i="21"/>
  <c r="H249" i="21"/>
  <c r="G249" i="21"/>
  <c r="D249" i="21"/>
  <c r="H248" i="21"/>
  <c r="G248" i="21"/>
  <c r="G247" i="21"/>
  <c r="H246" i="21"/>
  <c r="G246" i="21"/>
  <c r="D246" i="21"/>
  <c r="H245" i="21"/>
  <c r="G245" i="21"/>
  <c r="E245" i="21"/>
  <c r="D245" i="21"/>
  <c r="H244" i="21"/>
  <c r="G244" i="21"/>
  <c r="D244" i="21"/>
  <c r="H243" i="21"/>
  <c r="G243" i="21"/>
  <c r="D243" i="21"/>
  <c r="H242" i="21"/>
  <c r="G242" i="21"/>
  <c r="D242" i="21"/>
  <c r="H241" i="21"/>
  <c r="G241" i="21"/>
  <c r="H240" i="21"/>
  <c r="G240" i="21"/>
  <c r="E240" i="21"/>
  <c r="D240" i="21"/>
  <c r="G239" i="21"/>
  <c r="D239" i="21"/>
  <c r="G238" i="21"/>
  <c r="D238" i="21"/>
  <c r="H237" i="21"/>
  <c r="G237" i="21"/>
  <c r="E237" i="21"/>
  <c r="D237" i="21"/>
  <c r="H236" i="21"/>
  <c r="G236" i="21"/>
  <c r="E236" i="21"/>
  <c r="D236" i="21"/>
  <c r="G235" i="21"/>
  <c r="D234" i="21"/>
  <c r="E233" i="21"/>
  <c r="D233" i="21"/>
  <c r="E231" i="21"/>
  <c r="D231" i="21"/>
  <c r="E230" i="21"/>
  <c r="D230" i="21"/>
  <c r="D229" i="21"/>
  <c r="D228" i="21"/>
  <c r="E227" i="21"/>
  <c r="D227" i="21"/>
  <c r="I226" i="21"/>
  <c r="E224" i="21"/>
  <c r="D224" i="21"/>
  <c r="E223" i="21"/>
  <c r="D223" i="21"/>
  <c r="E222" i="21"/>
  <c r="D222" i="21"/>
  <c r="E221" i="21"/>
  <c r="D221" i="21"/>
  <c r="E220" i="21"/>
  <c r="D220" i="21"/>
  <c r="E219" i="21"/>
  <c r="D219" i="21"/>
  <c r="E218" i="21"/>
  <c r="D218" i="21"/>
  <c r="E217" i="21"/>
  <c r="D217" i="21"/>
  <c r="E216" i="21"/>
  <c r="D216" i="21"/>
  <c r="E215" i="21"/>
  <c r="D215" i="21"/>
  <c r="E214" i="21"/>
  <c r="D214" i="21"/>
  <c r="E213" i="21"/>
  <c r="D213" i="21"/>
  <c r="E212" i="21"/>
  <c r="D212" i="21"/>
  <c r="E211" i="21"/>
  <c r="D211" i="21"/>
  <c r="E210" i="21"/>
  <c r="D210" i="21"/>
  <c r="E209" i="21"/>
  <c r="D209" i="21"/>
  <c r="E208" i="21"/>
  <c r="D208" i="21"/>
  <c r="E207" i="21"/>
  <c r="D207" i="21"/>
  <c r="E206" i="21"/>
  <c r="D206" i="21"/>
  <c r="E205" i="21"/>
  <c r="D205" i="21"/>
  <c r="E204" i="21"/>
  <c r="D204" i="21"/>
  <c r="E203" i="21"/>
  <c r="D203" i="21"/>
  <c r="E202" i="21"/>
  <c r="D202" i="21"/>
  <c r="E201" i="21"/>
  <c r="D201" i="21"/>
  <c r="E200" i="21"/>
  <c r="D200" i="21"/>
  <c r="E199" i="21"/>
  <c r="D199" i="21"/>
  <c r="E198" i="21"/>
  <c r="D198" i="21"/>
  <c r="E197" i="21"/>
  <c r="D197" i="21"/>
  <c r="E196" i="21"/>
  <c r="D196" i="21"/>
  <c r="D195" i="21"/>
  <c r="E194" i="21"/>
  <c r="D194" i="21"/>
  <c r="E193" i="21"/>
  <c r="D193" i="21"/>
  <c r="D192" i="21"/>
  <c r="E191" i="21"/>
  <c r="D191" i="21"/>
  <c r="E190" i="21"/>
  <c r="D190" i="21"/>
  <c r="E189" i="21"/>
  <c r="D189" i="21"/>
  <c r="E188" i="21"/>
  <c r="D188" i="21"/>
  <c r="E187" i="21"/>
  <c r="D187" i="21"/>
  <c r="E186" i="21"/>
  <c r="D186" i="21"/>
  <c r="E185" i="21"/>
  <c r="D185" i="21"/>
  <c r="E184" i="21"/>
  <c r="D184" i="21"/>
  <c r="E183" i="21"/>
  <c r="D183" i="21"/>
  <c r="D182" i="21"/>
  <c r="E181" i="21"/>
  <c r="D181" i="21"/>
  <c r="E180" i="21"/>
  <c r="D180" i="21"/>
  <c r="E179" i="21"/>
  <c r="D179" i="21"/>
  <c r="D178" i="21"/>
  <c r="E177" i="21"/>
  <c r="D177" i="21"/>
  <c r="E176" i="21"/>
  <c r="D176" i="21"/>
  <c r="D175" i="21"/>
  <c r="E174" i="21"/>
  <c r="D174" i="21"/>
  <c r="E173" i="21"/>
  <c r="D173" i="21"/>
  <c r="E172" i="21"/>
  <c r="D172" i="21"/>
  <c r="E171" i="21"/>
  <c r="D171" i="21"/>
  <c r="D170" i="21"/>
  <c r="D169" i="21"/>
  <c r="E168" i="21"/>
  <c r="D168" i="21"/>
  <c r="E167" i="21"/>
  <c r="D167" i="21"/>
  <c r="E166" i="21"/>
  <c r="D166" i="21"/>
  <c r="D165" i="21"/>
  <c r="D164" i="21"/>
  <c r="E163" i="21"/>
  <c r="D163" i="21"/>
  <c r="E162" i="21"/>
  <c r="D162" i="21"/>
  <c r="E161" i="21"/>
  <c r="D161" i="21"/>
  <c r="D160" i="21"/>
  <c r="E159" i="21"/>
  <c r="D159" i="21"/>
  <c r="E158" i="21"/>
  <c r="D158" i="21"/>
  <c r="E157" i="21"/>
  <c r="D157" i="21"/>
  <c r="E156" i="21"/>
  <c r="D156" i="21"/>
  <c r="E155" i="21"/>
  <c r="D155" i="21"/>
  <c r="E154" i="21"/>
  <c r="D154" i="21"/>
  <c r="E153" i="21"/>
  <c r="D153" i="21"/>
  <c r="E152" i="21"/>
  <c r="D152" i="21"/>
  <c r="E151" i="21"/>
  <c r="D151" i="21"/>
  <c r="E150" i="21"/>
  <c r="D150" i="21"/>
  <c r="E149" i="21"/>
  <c r="D149" i="21"/>
  <c r="E148" i="21"/>
  <c r="D148" i="21"/>
  <c r="E147" i="21"/>
  <c r="D147" i="21"/>
  <c r="E146" i="21"/>
  <c r="D146" i="21"/>
  <c r="D145" i="21"/>
  <c r="E144" i="21"/>
  <c r="D144" i="21"/>
  <c r="E143" i="21"/>
  <c r="D143" i="21"/>
  <c r="E142" i="21"/>
  <c r="D142" i="21"/>
  <c r="E141" i="21"/>
  <c r="D141" i="21"/>
  <c r="E140" i="21"/>
  <c r="D140" i="21"/>
  <c r="E139" i="21"/>
  <c r="D139" i="21"/>
  <c r="E138" i="21"/>
  <c r="D138" i="21"/>
  <c r="E136" i="21"/>
  <c r="D136" i="21"/>
  <c r="E135" i="21"/>
  <c r="D135" i="21"/>
  <c r="E134" i="21"/>
  <c r="D134" i="21"/>
  <c r="E133" i="21"/>
  <c r="D133" i="21"/>
  <c r="E132" i="21"/>
  <c r="D132" i="21"/>
  <c r="E131" i="21"/>
  <c r="D131" i="21"/>
  <c r="E130" i="21"/>
  <c r="D130" i="21"/>
  <c r="D129" i="21"/>
  <c r="E128" i="21"/>
  <c r="D128" i="21"/>
  <c r="E127" i="21"/>
  <c r="D127" i="21"/>
  <c r="E126" i="21"/>
  <c r="D126" i="21"/>
  <c r="D125" i="21"/>
  <c r="E124" i="21"/>
  <c r="D124" i="21"/>
  <c r="E123" i="21"/>
  <c r="D123" i="21"/>
  <c r="E122" i="21"/>
  <c r="D122" i="21"/>
  <c r="E121" i="21"/>
  <c r="D121" i="21"/>
  <c r="E120" i="21"/>
  <c r="D120" i="21"/>
  <c r="E119" i="21"/>
  <c r="D119" i="21"/>
  <c r="E118" i="21"/>
  <c r="D118" i="21"/>
  <c r="E117" i="21"/>
  <c r="D117" i="21"/>
  <c r="E116" i="21"/>
  <c r="D116" i="21"/>
  <c r="D115" i="21"/>
  <c r="E114" i="21"/>
  <c r="D114" i="21"/>
  <c r="E113" i="21"/>
  <c r="D113" i="21"/>
  <c r="D112" i="21"/>
  <c r="E111" i="21"/>
  <c r="D111" i="21"/>
  <c r="E110" i="21"/>
  <c r="D110" i="21"/>
  <c r="E109" i="21"/>
  <c r="D109" i="21"/>
  <c r="E108" i="21"/>
  <c r="D108" i="21"/>
  <c r="E107" i="21"/>
  <c r="D107" i="21"/>
  <c r="E106" i="21"/>
  <c r="D106" i="21"/>
  <c r="E105" i="21"/>
  <c r="D105" i="21"/>
  <c r="E104" i="21"/>
  <c r="D104" i="21"/>
  <c r="E103" i="21"/>
  <c r="D103" i="21"/>
  <c r="E102" i="21"/>
  <c r="D102" i="21"/>
  <c r="E101" i="21"/>
  <c r="D101" i="21"/>
  <c r="E100" i="21"/>
  <c r="D100" i="21"/>
  <c r="D99" i="21"/>
  <c r="E98" i="21"/>
  <c r="D98" i="21"/>
  <c r="E97" i="21"/>
  <c r="D97" i="21"/>
  <c r="E96" i="21"/>
  <c r="D96" i="21"/>
  <c r="E95" i="21"/>
  <c r="D95" i="21"/>
  <c r="E94" i="21"/>
  <c r="D94" i="21"/>
  <c r="E93" i="21"/>
  <c r="D93" i="21"/>
  <c r="E90" i="21"/>
  <c r="D90" i="21"/>
  <c r="E89" i="21"/>
  <c r="D89" i="21"/>
  <c r="E88" i="21"/>
  <c r="D88" i="21"/>
  <c r="E87" i="21"/>
  <c r="D87" i="21"/>
  <c r="E86" i="21"/>
  <c r="D86" i="21"/>
  <c r="D85" i="21"/>
  <c r="E84" i="21"/>
  <c r="D84" i="21"/>
  <c r="E83" i="21"/>
  <c r="D83" i="21"/>
  <c r="E82" i="21"/>
  <c r="D82" i="21"/>
  <c r="E81" i="21"/>
  <c r="D81" i="21"/>
  <c r="E80" i="21"/>
  <c r="D80" i="21"/>
  <c r="E79" i="21"/>
  <c r="D79" i="21"/>
  <c r="E78" i="21"/>
  <c r="D78" i="21"/>
  <c r="E77" i="21"/>
  <c r="D77" i="21"/>
  <c r="E76" i="21"/>
  <c r="D76" i="21"/>
  <c r="E75" i="21"/>
  <c r="D75" i="21"/>
  <c r="E74" i="21"/>
  <c r="D74" i="21"/>
  <c r="D73" i="21"/>
  <c r="E72" i="21"/>
  <c r="D72" i="21"/>
  <c r="E71" i="21"/>
  <c r="D71" i="21"/>
  <c r="E70" i="21"/>
  <c r="D70" i="21"/>
  <c r="E69" i="21"/>
  <c r="D69" i="21"/>
  <c r="E68" i="21"/>
  <c r="D68" i="21"/>
  <c r="E67" i="21"/>
  <c r="D67" i="21"/>
  <c r="E65" i="21"/>
  <c r="D65" i="21"/>
  <c r="E64" i="21"/>
  <c r="D64" i="21"/>
  <c r="E63" i="21"/>
  <c r="D63" i="21"/>
  <c r="E62" i="21"/>
  <c r="D62" i="21"/>
  <c r="E61" i="21"/>
  <c r="D61" i="21"/>
  <c r="E60" i="21"/>
  <c r="D60" i="21"/>
  <c r="E59" i="21"/>
  <c r="D59" i="21"/>
  <c r="E58" i="21"/>
  <c r="D58" i="21"/>
  <c r="E57" i="21"/>
  <c r="D57" i="21"/>
  <c r="E56" i="21"/>
  <c r="D56" i="21"/>
  <c r="D55" i="21"/>
  <c r="E54" i="21"/>
  <c r="D54" i="21"/>
  <c r="D53" i="21"/>
  <c r="E52" i="21"/>
  <c r="D52" i="21"/>
  <c r="E51" i="21"/>
  <c r="D51" i="21"/>
  <c r="E50" i="21"/>
  <c r="D50" i="21"/>
  <c r="E49" i="21"/>
  <c r="D49" i="21"/>
  <c r="D48" i="21"/>
  <c r="E46" i="21"/>
  <c r="D46" i="21"/>
  <c r="E45" i="21"/>
  <c r="D45" i="21"/>
  <c r="E44" i="21"/>
  <c r="D44" i="21"/>
  <c r="E43" i="21"/>
  <c r="D43" i="21"/>
  <c r="D42" i="21"/>
  <c r="E41" i="21"/>
  <c r="D41" i="21"/>
  <c r="E40" i="21"/>
  <c r="D40" i="21"/>
  <c r="D39" i="21"/>
  <c r="E38" i="21"/>
  <c r="D38" i="21"/>
  <c r="D37" i="21"/>
  <c r="E36" i="21"/>
  <c r="D36" i="21"/>
  <c r="E35" i="21"/>
  <c r="D35" i="21"/>
  <c r="D34" i="21"/>
  <c r="D33" i="21"/>
  <c r="E32" i="21"/>
  <c r="D32" i="21"/>
  <c r="E31" i="21"/>
  <c r="D31" i="21"/>
  <c r="D30" i="21"/>
  <c r="E29" i="21"/>
  <c r="D29" i="21"/>
  <c r="E28" i="21"/>
  <c r="D28" i="21"/>
  <c r="E27" i="21"/>
  <c r="D27" i="21"/>
  <c r="E25" i="21"/>
  <c r="D25" i="21"/>
  <c r="D24" i="21"/>
  <c r="E23" i="21"/>
  <c r="D23" i="21"/>
  <c r="E22" i="21"/>
  <c r="D22" i="21"/>
  <c r="E21" i="21"/>
  <c r="D21" i="21"/>
  <c r="E19" i="21"/>
  <c r="D19" i="21"/>
  <c r="E18" i="21"/>
  <c r="D18" i="21"/>
  <c r="X2" i="3"/>
  <c r="Y2" i="3"/>
  <c r="Z2" i="3"/>
  <c r="AA2" i="3"/>
  <c r="AB2" i="3"/>
  <c r="AC2" i="3"/>
  <c r="X3" i="3"/>
  <c r="Y3" i="3"/>
  <c r="Z3" i="3"/>
  <c r="AA3" i="3"/>
  <c r="AB3" i="3"/>
  <c r="AC3" i="3"/>
  <c r="X4" i="3"/>
  <c r="Y4" i="3"/>
  <c r="Z4" i="3"/>
  <c r="AA4" i="3"/>
  <c r="AB4" i="3"/>
  <c r="AC4" i="3"/>
  <c r="X5" i="3"/>
  <c r="Y5" i="3"/>
  <c r="Z5" i="3"/>
  <c r="AA5" i="3"/>
  <c r="AB5" i="3"/>
  <c r="AC5" i="3"/>
  <c r="X6" i="3"/>
  <c r="Y6" i="3"/>
  <c r="Z6" i="3"/>
  <c r="AA6" i="3"/>
  <c r="AB6" i="3"/>
  <c r="AC6" i="3"/>
  <c r="X7" i="3"/>
  <c r="Y7" i="3"/>
  <c r="Z7" i="3"/>
  <c r="AA7" i="3"/>
  <c r="AB7" i="3"/>
  <c r="AC7" i="3"/>
  <c r="X8" i="3"/>
  <c r="Y8" i="3"/>
  <c r="Z8" i="3"/>
  <c r="AA8" i="3"/>
  <c r="AB8" i="3"/>
  <c r="AC8" i="3"/>
  <c r="X9" i="3"/>
  <c r="Y9" i="3"/>
  <c r="Z9" i="3"/>
  <c r="AA9" i="3"/>
  <c r="AB9" i="3"/>
  <c r="AC9" i="3"/>
  <c r="X10" i="3"/>
  <c r="Y10" i="3"/>
  <c r="Z10" i="3"/>
  <c r="AA10" i="3"/>
  <c r="AB10" i="3"/>
  <c r="AC10" i="3"/>
  <c r="X11" i="3"/>
  <c r="Y11" i="3"/>
  <c r="Z11" i="3"/>
  <c r="AA11" i="3"/>
  <c r="AB11" i="3"/>
  <c r="AC11" i="3"/>
  <c r="X12" i="3"/>
  <c r="Y12" i="3"/>
  <c r="Z12" i="3"/>
  <c r="AA12" i="3"/>
  <c r="AB12" i="3"/>
  <c r="AC12" i="3"/>
  <c r="X13" i="3"/>
  <c r="Y13" i="3"/>
  <c r="Z13" i="3"/>
  <c r="AA13" i="3"/>
  <c r="AB13" i="3"/>
  <c r="AC13" i="3"/>
  <c r="X14" i="3"/>
  <c r="Y14" i="3"/>
  <c r="Z14" i="3"/>
  <c r="AA14" i="3"/>
  <c r="AB14" i="3"/>
  <c r="AC14" i="3"/>
  <c r="X15" i="3"/>
  <c r="Y15" i="3"/>
  <c r="Z15" i="3"/>
  <c r="AA15" i="3"/>
  <c r="AB15" i="3"/>
  <c r="AC15" i="3"/>
  <c r="X16" i="3"/>
  <c r="Y16" i="3"/>
  <c r="Z16" i="3"/>
  <c r="AA16" i="3"/>
  <c r="AB16" i="3"/>
  <c r="AC16" i="3"/>
  <c r="X17" i="3"/>
  <c r="Y17" i="3"/>
  <c r="Z17" i="3"/>
  <c r="AA17" i="3"/>
  <c r="AB17" i="3"/>
  <c r="AC17" i="3"/>
  <c r="X18" i="3"/>
  <c r="Y18" i="3"/>
  <c r="Z18" i="3"/>
  <c r="AA18" i="3"/>
  <c r="AB18" i="3"/>
  <c r="AC18" i="3"/>
  <c r="X19" i="3"/>
  <c r="Y19" i="3"/>
  <c r="Z19" i="3"/>
  <c r="AA19" i="3"/>
  <c r="AB19" i="3"/>
  <c r="AC19" i="3"/>
  <c r="X20" i="3"/>
  <c r="Y20" i="3"/>
  <c r="Z20" i="3"/>
  <c r="AA20" i="3"/>
  <c r="AB20" i="3"/>
  <c r="AC20" i="3"/>
  <c r="X21" i="3"/>
  <c r="Y21" i="3"/>
  <c r="Z21" i="3"/>
  <c r="AA21" i="3"/>
  <c r="AB21" i="3"/>
  <c r="AC21" i="3"/>
  <c r="X22" i="3"/>
  <c r="Y22" i="3"/>
  <c r="Z22" i="3"/>
  <c r="AA22" i="3"/>
  <c r="AB22" i="3"/>
  <c r="AC22" i="3"/>
  <c r="X23" i="3"/>
  <c r="Y23" i="3"/>
  <c r="Z23" i="3"/>
  <c r="AA23" i="3"/>
  <c r="AB23" i="3"/>
  <c r="AC23" i="3"/>
  <c r="X24" i="3"/>
  <c r="Y24" i="3"/>
  <c r="Z24" i="3"/>
  <c r="AA24" i="3"/>
  <c r="AB24" i="3"/>
  <c r="AC24" i="3"/>
  <c r="X25" i="3"/>
  <c r="Y25" i="3"/>
  <c r="Z25" i="3"/>
  <c r="AA25" i="3"/>
  <c r="AB25" i="3"/>
  <c r="AC25" i="3"/>
  <c r="X26" i="3"/>
  <c r="Y26" i="3"/>
  <c r="Z26" i="3"/>
  <c r="AA26" i="3"/>
  <c r="AB26" i="3"/>
  <c r="AC26" i="3"/>
  <c r="X27" i="3"/>
  <c r="Y27" i="3"/>
  <c r="Z27" i="3"/>
  <c r="AA27" i="3"/>
  <c r="AB27" i="3"/>
  <c r="AC27" i="3"/>
  <c r="X28" i="3"/>
  <c r="Y28" i="3"/>
  <c r="Z28" i="3"/>
  <c r="AA28" i="3"/>
  <c r="AB28" i="3"/>
  <c r="AC28" i="3"/>
  <c r="X29" i="3"/>
  <c r="Y29" i="3"/>
  <c r="Z29" i="3"/>
  <c r="AA29" i="3"/>
  <c r="AB29" i="3"/>
  <c r="AC29" i="3"/>
  <c r="X30" i="3"/>
  <c r="Y30" i="3"/>
  <c r="Z30" i="3"/>
  <c r="AA30" i="3"/>
  <c r="AB30" i="3"/>
  <c r="AC30" i="3"/>
  <c r="X31" i="3"/>
  <c r="Y31" i="3"/>
  <c r="Z31" i="3"/>
  <c r="AA31" i="3"/>
  <c r="AB31" i="3"/>
  <c r="AC31" i="3"/>
  <c r="X32" i="3"/>
  <c r="Y32" i="3"/>
  <c r="Z32" i="3"/>
  <c r="AA32" i="3"/>
  <c r="AB32" i="3"/>
  <c r="AC32" i="3"/>
  <c r="X33" i="3"/>
  <c r="Y33" i="3"/>
  <c r="Z33" i="3"/>
  <c r="AA33" i="3"/>
  <c r="AB33" i="3"/>
  <c r="AC33" i="3"/>
  <c r="X34" i="3"/>
  <c r="Y34" i="3"/>
  <c r="Z34" i="3"/>
  <c r="AA34" i="3"/>
  <c r="AB34" i="3"/>
  <c r="AC34" i="3"/>
  <c r="X35" i="3"/>
  <c r="Y35" i="3"/>
  <c r="Z35" i="3"/>
  <c r="AA35" i="3"/>
  <c r="AB35" i="3"/>
  <c r="AC35" i="3"/>
  <c r="X36" i="3"/>
  <c r="Y36" i="3"/>
  <c r="Z36" i="3"/>
  <c r="AA36" i="3"/>
  <c r="AB36" i="3"/>
  <c r="AC36" i="3"/>
  <c r="X37" i="3"/>
  <c r="Y37" i="3"/>
  <c r="Z37" i="3"/>
  <c r="AA37" i="3"/>
  <c r="AB37" i="3"/>
  <c r="AC37" i="3"/>
  <c r="X38" i="3"/>
  <c r="Y38" i="3"/>
  <c r="Z38" i="3"/>
  <c r="AA38" i="3"/>
  <c r="AB38" i="3"/>
  <c r="AC38" i="3"/>
  <c r="X39" i="3"/>
  <c r="Y39" i="3"/>
  <c r="Z39" i="3"/>
  <c r="AA39" i="3"/>
  <c r="AB39" i="3"/>
  <c r="AC39" i="3"/>
  <c r="X40" i="3"/>
  <c r="Y40" i="3"/>
  <c r="Z40" i="3"/>
  <c r="AA40" i="3"/>
  <c r="AB40" i="3"/>
  <c r="AC40" i="3"/>
  <c r="X41" i="3"/>
  <c r="Y41" i="3"/>
  <c r="Z41" i="3"/>
  <c r="AA41" i="3"/>
  <c r="AB41" i="3"/>
  <c r="AC41" i="3"/>
  <c r="X42" i="3"/>
  <c r="Y42" i="3"/>
  <c r="Z42" i="3"/>
  <c r="AA42" i="3"/>
  <c r="AB42" i="3"/>
  <c r="AC42" i="3"/>
  <c r="X43" i="3"/>
  <c r="Y43" i="3"/>
  <c r="Z43" i="3"/>
  <c r="AA43" i="3"/>
  <c r="AB43" i="3"/>
  <c r="AC43" i="3"/>
  <c r="X44" i="3"/>
  <c r="Y44" i="3"/>
  <c r="Z44" i="3"/>
  <c r="AA44" i="3"/>
  <c r="AB44" i="3"/>
  <c r="AC44" i="3"/>
  <c r="X45" i="3"/>
  <c r="Y45" i="3"/>
  <c r="Z45" i="3"/>
  <c r="AA45" i="3"/>
  <c r="AB45" i="3"/>
  <c r="AC45" i="3"/>
  <c r="X46" i="3"/>
  <c r="Y46" i="3"/>
  <c r="Z46" i="3"/>
  <c r="AA46" i="3"/>
  <c r="AB46" i="3"/>
  <c r="AC46" i="3"/>
  <c r="X47" i="3"/>
  <c r="Y47" i="3"/>
  <c r="Z47" i="3"/>
  <c r="AA47" i="3"/>
  <c r="AB47" i="3"/>
  <c r="AC47" i="3"/>
  <c r="X48" i="3"/>
  <c r="Y48" i="3"/>
  <c r="Z48" i="3"/>
  <c r="AA48" i="3"/>
  <c r="AB48" i="3"/>
  <c r="AC48" i="3"/>
  <c r="X49" i="3"/>
  <c r="Y49" i="3"/>
  <c r="Z49" i="3"/>
  <c r="AA49" i="3"/>
  <c r="AB49" i="3"/>
  <c r="AC49" i="3"/>
  <c r="X50" i="3"/>
  <c r="Y50" i="3"/>
  <c r="Z50" i="3"/>
  <c r="AA50" i="3"/>
  <c r="AB50" i="3"/>
  <c r="AC50" i="3"/>
  <c r="X51" i="3"/>
  <c r="Y51" i="3"/>
  <c r="Z51" i="3"/>
  <c r="AA51" i="3"/>
  <c r="AB51" i="3"/>
  <c r="AC51" i="3"/>
  <c r="X52" i="3"/>
  <c r="Y52" i="3"/>
  <c r="Z52" i="3"/>
  <c r="AA52" i="3"/>
  <c r="AB52" i="3"/>
  <c r="AC52" i="3"/>
  <c r="X53" i="3"/>
  <c r="Y53" i="3"/>
  <c r="Z53" i="3"/>
  <c r="AA53" i="3"/>
  <c r="AB53" i="3"/>
  <c r="AC53" i="3"/>
  <c r="X54" i="3"/>
  <c r="Y54" i="3"/>
  <c r="Z54" i="3"/>
  <c r="AA54" i="3"/>
  <c r="AB54" i="3"/>
  <c r="AC54" i="3"/>
  <c r="X55" i="3"/>
  <c r="Y55" i="3"/>
  <c r="Z55" i="3"/>
  <c r="AA55" i="3"/>
  <c r="AB55" i="3"/>
  <c r="AC55" i="3"/>
  <c r="X56" i="3"/>
  <c r="Y56" i="3"/>
  <c r="Z56" i="3"/>
  <c r="AA56" i="3"/>
  <c r="AB56" i="3"/>
  <c r="AC56" i="3"/>
  <c r="X57" i="3"/>
  <c r="Y57" i="3"/>
  <c r="Z57" i="3"/>
  <c r="AA57" i="3"/>
  <c r="AB57" i="3"/>
  <c r="AC57" i="3"/>
  <c r="X58" i="3"/>
  <c r="Y58" i="3"/>
  <c r="Z58" i="3"/>
  <c r="AA58" i="3"/>
  <c r="AB58" i="3"/>
  <c r="AC58" i="3"/>
  <c r="X59" i="3"/>
  <c r="Y59" i="3"/>
  <c r="Z59" i="3"/>
  <c r="AA59" i="3"/>
  <c r="AB59" i="3"/>
  <c r="AC59" i="3"/>
  <c r="X60" i="3"/>
  <c r="Y60" i="3"/>
  <c r="Z60" i="3"/>
  <c r="AA60" i="3"/>
  <c r="AB60" i="3"/>
  <c r="AC60" i="3"/>
  <c r="X61" i="3"/>
  <c r="Y61" i="3"/>
  <c r="Z61" i="3"/>
  <c r="AA61" i="3"/>
  <c r="AB61" i="3"/>
  <c r="AC61" i="3"/>
  <c r="X62" i="3"/>
  <c r="Y62" i="3"/>
  <c r="Z62" i="3"/>
  <c r="AA62" i="3"/>
  <c r="AB62" i="3"/>
  <c r="AC62" i="3"/>
  <c r="X63" i="3"/>
  <c r="Y63" i="3"/>
  <c r="Z63" i="3"/>
  <c r="AA63" i="3"/>
  <c r="AB63" i="3"/>
  <c r="AC63" i="3"/>
  <c r="X64" i="3"/>
  <c r="Y64" i="3"/>
  <c r="Z64" i="3"/>
  <c r="AA64" i="3"/>
  <c r="AB64" i="3"/>
  <c r="AC64" i="3"/>
  <c r="X65" i="3"/>
  <c r="Y65" i="3"/>
  <c r="Z65" i="3"/>
  <c r="AA65" i="3"/>
  <c r="AB65" i="3"/>
  <c r="AC65" i="3"/>
  <c r="X66" i="3"/>
  <c r="Y66" i="3"/>
  <c r="Z66" i="3"/>
  <c r="AA66" i="3"/>
  <c r="AB66" i="3"/>
  <c r="AC66" i="3"/>
  <c r="X67" i="3"/>
  <c r="Y67" i="3"/>
  <c r="Z67" i="3"/>
  <c r="AA67" i="3"/>
  <c r="AB67" i="3"/>
  <c r="AC67" i="3"/>
  <c r="X68" i="3"/>
  <c r="Y68" i="3"/>
  <c r="Z68" i="3"/>
  <c r="AA68" i="3"/>
  <c r="AB68" i="3"/>
  <c r="AC68" i="3"/>
  <c r="X69" i="3"/>
  <c r="Y69" i="3"/>
  <c r="Z69" i="3"/>
  <c r="AA69" i="3"/>
  <c r="AB69" i="3"/>
  <c r="AC69" i="3"/>
  <c r="X70" i="3"/>
  <c r="Y70" i="3"/>
  <c r="Z70" i="3"/>
  <c r="AA70" i="3"/>
  <c r="AB70" i="3"/>
  <c r="AC70" i="3"/>
  <c r="X71" i="3"/>
  <c r="Y71" i="3"/>
  <c r="Z71" i="3"/>
  <c r="AA71" i="3"/>
  <c r="AB71" i="3"/>
  <c r="AC71" i="3"/>
  <c r="X72" i="3"/>
  <c r="Y72" i="3"/>
  <c r="Z72" i="3"/>
  <c r="AA72" i="3"/>
  <c r="AB72" i="3"/>
  <c r="AC72" i="3"/>
  <c r="X73" i="3"/>
  <c r="Y73" i="3"/>
  <c r="Z73" i="3"/>
  <c r="AA73" i="3"/>
  <c r="AB73" i="3"/>
  <c r="AC73" i="3"/>
  <c r="X74" i="3"/>
  <c r="Y74" i="3"/>
  <c r="Z74" i="3"/>
  <c r="AA74" i="3"/>
  <c r="AB74" i="3"/>
  <c r="AC74" i="3"/>
  <c r="X75" i="3"/>
  <c r="Y75" i="3"/>
  <c r="Z75" i="3"/>
  <c r="AA75" i="3"/>
  <c r="AB75" i="3"/>
  <c r="AC75" i="3"/>
  <c r="X76" i="3"/>
  <c r="Y76" i="3"/>
  <c r="Z76" i="3"/>
  <c r="AA76" i="3"/>
  <c r="AB76" i="3"/>
  <c r="AC76" i="3"/>
  <c r="X77" i="3"/>
  <c r="Y77" i="3"/>
  <c r="Z77" i="3"/>
  <c r="AA77" i="3"/>
  <c r="AB77" i="3"/>
  <c r="AC77" i="3"/>
  <c r="X78" i="3"/>
  <c r="Y78" i="3"/>
  <c r="Z78" i="3"/>
  <c r="AA78" i="3"/>
  <c r="AB78" i="3"/>
  <c r="AC78" i="3"/>
  <c r="X79" i="3"/>
  <c r="Y79" i="3"/>
  <c r="Z79" i="3"/>
  <c r="AA79" i="3"/>
  <c r="AB79" i="3"/>
  <c r="AC79" i="3"/>
  <c r="X80" i="3"/>
  <c r="Y80" i="3"/>
  <c r="Z80" i="3"/>
  <c r="AA80" i="3"/>
  <c r="AB80" i="3"/>
  <c r="AC80" i="3"/>
  <c r="X81" i="3"/>
  <c r="Y81" i="3"/>
  <c r="Z81" i="3"/>
  <c r="AA81" i="3"/>
  <c r="AB81" i="3"/>
  <c r="AC81" i="3"/>
  <c r="X82" i="3"/>
  <c r="Y82" i="3"/>
  <c r="Z82" i="3"/>
  <c r="AA82" i="3"/>
  <c r="AB82" i="3"/>
  <c r="AC82" i="3"/>
  <c r="X83" i="3"/>
  <c r="Y83" i="3"/>
  <c r="Z83" i="3"/>
  <c r="AA83" i="3"/>
  <c r="AB83" i="3"/>
  <c r="AC83" i="3"/>
  <c r="X84" i="3"/>
  <c r="Y84" i="3"/>
  <c r="Z84" i="3"/>
  <c r="AA84" i="3"/>
  <c r="AB84" i="3"/>
  <c r="AC84" i="3"/>
  <c r="X85" i="3"/>
  <c r="Y85" i="3"/>
  <c r="Z85" i="3"/>
  <c r="AA85" i="3"/>
  <c r="AB85" i="3"/>
  <c r="AC85" i="3"/>
  <c r="X86" i="3"/>
  <c r="Y86" i="3"/>
  <c r="Z86" i="3"/>
  <c r="AA86" i="3"/>
  <c r="AB86" i="3"/>
  <c r="AC86" i="3"/>
  <c r="X87" i="3"/>
  <c r="Y87" i="3"/>
  <c r="Z87" i="3"/>
  <c r="AA87" i="3"/>
  <c r="AB87" i="3"/>
  <c r="AC87" i="3"/>
  <c r="X88" i="3"/>
  <c r="Y88" i="3"/>
  <c r="Z88" i="3"/>
  <c r="AA88" i="3"/>
  <c r="AB88" i="3"/>
  <c r="AC88" i="3"/>
  <c r="X89" i="3"/>
  <c r="Y89" i="3"/>
  <c r="Z89" i="3"/>
  <c r="AA89" i="3"/>
  <c r="AB89" i="3"/>
  <c r="AC89" i="3"/>
  <c r="X90" i="3"/>
  <c r="Y90" i="3"/>
  <c r="Z90" i="3"/>
  <c r="AA90" i="3"/>
  <c r="AB90" i="3"/>
  <c r="AC90" i="3"/>
  <c r="X91" i="3"/>
  <c r="Y91" i="3"/>
  <c r="Z91" i="3"/>
  <c r="AA91" i="3"/>
  <c r="AB91" i="3"/>
  <c r="AC91" i="3"/>
  <c r="X92" i="3"/>
  <c r="Y92" i="3"/>
  <c r="Z92" i="3"/>
  <c r="AA92" i="3"/>
  <c r="AB92" i="3"/>
  <c r="AC92" i="3"/>
  <c r="X93" i="3"/>
  <c r="Y93" i="3"/>
  <c r="Z93" i="3"/>
  <c r="AA93" i="3"/>
  <c r="AB93" i="3"/>
  <c r="AC93" i="3"/>
  <c r="X94" i="3"/>
  <c r="Y94" i="3"/>
  <c r="Z94" i="3"/>
  <c r="AA94" i="3"/>
  <c r="AB94" i="3"/>
  <c r="AC94" i="3"/>
  <c r="X95" i="3"/>
  <c r="Y95" i="3"/>
  <c r="Z95" i="3"/>
  <c r="AA95" i="3"/>
  <c r="AB95" i="3"/>
  <c r="AC95" i="3"/>
  <c r="X96" i="3"/>
  <c r="Y96" i="3"/>
  <c r="Z96" i="3"/>
  <c r="AA96" i="3"/>
  <c r="AB96" i="3"/>
  <c r="AC96" i="3"/>
  <c r="X97" i="3"/>
  <c r="Y97" i="3"/>
  <c r="Z97" i="3"/>
  <c r="AA97" i="3"/>
  <c r="AB97" i="3"/>
  <c r="AC97" i="3"/>
  <c r="X98" i="3"/>
  <c r="Y98" i="3"/>
  <c r="Z98" i="3"/>
  <c r="AA98" i="3"/>
  <c r="AB98" i="3"/>
  <c r="AC98" i="3"/>
  <c r="X99" i="3"/>
  <c r="Y99" i="3"/>
  <c r="Z99" i="3"/>
  <c r="AA99" i="3"/>
  <c r="AB99" i="3"/>
  <c r="AC99" i="3"/>
  <c r="X100" i="3"/>
  <c r="Y100" i="3"/>
  <c r="Z100" i="3"/>
  <c r="AA100" i="3"/>
  <c r="AB100" i="3"/>
  <c r="AC100" i="3"/>
  <c r="X101" i="3"/>
  <c r="Y101" i="3"/>
  <c r="Z101" i="3"/>
  <c r="AA101" i="3"/>
  <c r="AB101" i="3"/>
  <c r="AC101" i="3"/>
  <c r="X102" i="3"/>
  <c r="Y102" i="3"/>
  <c r="Z102" i="3"/>
  <c r="AA102" i="3"/>
  <c r="AB102" i="3"/>
  <c r="AC102" i="3"/>
  <c r="X103" i="3"/>
  <c r="Y103" i="3"/>
  <c r="Z103" i="3"/>
  <c r="AA103" i="3"/>
  <c r="AB103" i="3"/>
  <c r="AC103" i="3"/>
  <c r="X104" i="3"/>
  <c r="Y104" i="3"/>
  <c r="Z104" i="3"/>
  <c r="AA104" i="3"/>
  <c r="AB104" i="3"/>
  <c r="AC104" i="3"/>
  <c r="X105" i="3"/>
  <c r="Y105" i="3"/>
  <c r="Z105" i="3"/>
  <c r="AA105" i="3"/>
  <c r="AB105" i="3"/>
  <c r="AC105" i="3"/>
  <c r="X106" i="3"/>
  <c r="Y106" i="3"/>
  <c r="Z106" i="3"/>
  <c r="AA106" i="3"/>
  <c r="AB106" i="3"/>
  <c r="AC106" i="3"/>
  <c r="X107" i="3"/>
  <c r="Y107" i="3"/>
  <c r="Z107" i="3"/>
  <c r="AA107" i="3"/>
  <c r="AB107" i="3"/>
  <c r="AC107" i="3"/>
  <c r="X108" i="3"/>
  <c r="Y108" i="3"/>
  <c r="Z108" i="3"/>
  <c r="AA108" i="3"/>
  <c r="AB108" i="3"/>
  <c r="AC108" i="3"/>
  <c r="X109" i="3"/>
  <c r="Y109" i="3"/>
  <c r="Z109" i="3"/>
  <c r="AA109" i="3"/>
  <c r="AB109" i="3"/>
  <c r="AC109" i="3"/>
  <c r="X110" i="3"/>
  <c r="Y110" i="3"/>
  <c r="Z110" i="3"/>
  <c r="AA110" i="3"/>
  <c r="AB110" i="3"/>
  <c r="AC110" i="3"/>
  <c r="X111" i="3"/>
  <c r="Y111" i="3"/>
  <c r="Z111" i="3"/>
  <c r="AA111" i="3"/>
  <c r="AB111" i="3"/>
  <c r="AC111" i="3"/>
  <c r="X112" i="3"/>
  <c r="Y112" i="3"/>
  <c r="Z112" i="3"/>
  <c r="AA112" i="3"/>
  <c r="AB112" i="3"/>
  <c r="AC112" i="3"/>
  <c r="X113" i="3"/>
  <c r="Y113" i="3"/>
  <c r="Z113" i="3"/>
  <c r="AA113" i="3"/>
  <c r="AB113" i="3"/>
  <c r="AC113" i="3"/>
  <c r="X114" i="3"/>
  <c r="Y114" i="3"/>
  <c r="Z114" i="3"/>
  <c r="AA114" i="3"/>
  <c r="AB114" i="3"/>
  <c r="AC114" i="3"/>
  <c r="X115" i="3"/>
  <c r="Y115" i="3"/>
  <c r="Z115" i="3"/>
  <c r="AA115" i="3"/>
  <c r="AB115" i="3"/>
  <c r="AC115" i="3"/>
  <c r="X116" i="3"/>
  <c r="Y116" i="3"/>
  <c r="Z116" i="3"/>
  <c r="AA116" i="3"/>
  <c r="AB116" i="3"/>
  <c r="AC116" i="3"/>
  <c r="X117" i="3"/>
  <c r="Y117" i="3"/>
  <c r="Z117" i="3"/>
  <c r="AA117" i="3"/>
  <c r="AB117" i="3"/>
  <c r="AC117" i="3"/>
  <c r="X118" i="3"/>
  <c r="Y118" i="3"/>
  <c r="Z118" i="3"/>
  <c r="AA118" i="3"/>
  <c r="AB118" i="3"/>
  <c r="AC118" i="3"/>
  <c r="X119" i="3"/>
  <c r="Y119" i="3"/>
  <c r="Z119" i="3"/>
  <c r="AA119" i="3"/>
  <c r="AB119" i="3"/>
  <c r="AC119" i="3"/>
  <c r="X120" i="3"/>
  <c r="Y120" i="3"/>
  <c r="Z120" i="3"/>
  <c r="AA120" i="3"/>
  <c r="AB120" i="3"/>
  <c r="AC120" i="3"/>
  <c r="X121" i="3"/>
  <c r="Y121" i="3"/>
  <c r="Z121" i="3"/>
  <c r="AA121" i="3"/>
  <c r="AB121" i="3"/>
  <c r="AC121" i="3"/>
  <c r="X122" i="3"/>
  <c r="Y122" i="3"/>
  <c r="Z122" i="3"/>
  <c r="AA122" i="3"/>
  <c r="AB122" i="3"/>
  <c r="AC122" i="3"/>
  <c r="X123" i="3"/>
  <c r="Y123" i="3"/>
  <c r="Z123" i="3"/>
  <c r="AA123" i="3"/>
  <c r="AB123" i="3"/>
  <c r="AC123" i="3"/>
  <c r="X124" i="3"/>
  <c r="Y124" i="3"/>
  <c r="Z124" i="3"/>
  <c r="AA124" i="3"/>
  <c r="AB124" i="3"/>
  <c r="AC124" i="3"/>
  <c r="X125" i="3"/>
  <c r="Y125" i="3"/>
  <c r="Z125" i="3"/>
  <c r="AA125" i="3"/>
  <c r="AB125" i="3"/>
  <c r="AC125" i="3"/>
  <c r="X126" i="3"/>
  <c r="Y126" i="3"/>
  <c r="Z126" i="3"/>
  <c r="AA126" i="3"/>
  <c r="AB126" i="3"/>
  <c r="AC126" i="3"/>
  <c r="X127" i="3"/>
  <c r="Y127" i="3"/>
  <c r="Z127" i="3"/>
  <c r="AA127" i="3"/>
  <c r="AB127" i="3"/>
  <c r="AC127" i="3"/>
  <c r="X128" i="3"/>
  <c r="Y128" i="3"/>
  <c r="Z128" i="3"/>
  <c r="AA128" i="3"/>
  <c r="AB128" i="3"/>
  <c r="AC128" i="3"/>
  <c r="X129" i="3"/>
  <c r="Y129" i="3"/>
  <c r="Z129" i="3"/>
  <c r="AA129" i="3"/>
  <c r="AB129" i="3"/>
  <c r="AC129" i="3"/>
  <c r="X130" i="3"/>
  <c r="Y130" i="3"/>
  <c r="Z130" i="3"/>
  <c r="AA130" i="3"/>
  <c r="AB130" i="3"/>
  <c r="AC130" i="3"/>
  <c r="X131" i="3"/>
  <c r="Y131" i="3"/>
  <c r="Z131" i="3"/>
  <c r="AA131" i="3"/>
  <c r="AB131" i="3"/>
  <c r="AC131" i="3"/>
  <c r="X132" i="3"/>
  <c r="Y132" i="3"/>
  <c r="Z132" i="3"/>
  <c r="AA132" i="3"/>
  <c r="AB132" i="3"/>
  <c r="AC132" i="3"/>
  <c r="X133" i="3"/>
  <c r="Y133" i="3"/>
  <c r="Z133" i="3"/>
  <c r="AA133" i="3"/>
  <c r="AB133" i="3"/>
  <c r="AC133" i="3"/>
  <c r="X134" i="3"/>
  <c r="Y134" i="3"/>
  <c r="Z134" i="3"/>
  <c r="AA134" i="3"/>
  <c r="AB134" i="3"/>
  <c r="AC134" i="3"/>
  <c r="X135" i="3"/>
  <c r="Y135" i="3"/>
  <c r="Z135" i="3"/>
  <c r="AA135" i="3"/>
  <c r="AB135" i="3"/>
  <c r="AC135" i="3"/>
  <c r="X136" i="3"/>
  <c r="Y136" i="3"/>
  <c r="Z136" i="3"/>
  <c r="AA136" i="3"/>
  <c r="AB136" i="3"/>
  <c r="AC136" i="3"/>
  <c r="X137" i="3"/>
  <c r="Y137" i="3"/>
  <c r="Z137" i="3"/>
  <c r="AA137" i="3"/>
  <c r="AB137" i="3"/>
  <c r="AC137" i="3"/>
  <c r="X138" i="3"/>
  <c r="Y138" i="3"/>
  <c r="Z138" i="3"/>
  <c r="AA138" i="3"/>
  <c r="AB138" i="3"/>
  <c r="AC138" i="3"/>
  <c r="X139" i="3"/>
  <c r="Y139" i="3"/>
  <c r="Z139" i="3"/>
  <c r="AA139" i="3"/>
  <c r="AB139" i="3"/>
  <c r="AC139" i="3"/>
  <c r="X140" i="3"/>
  <c r="Y140" i="3"/>
  <c r="Z140" i="3"/>
  <c r="AA140" i="3"/>
  <c r="AB140" i="3"/>
  <c r="AC140" i="3"/>
  <c r="X141" i="3"/>
  <c r="Y141" i="3"/>
  <c r="Z141" i="3"/>
  <c r="AA141" i="3"/>
  <c r="AB141" i="3"/>
  <c r="AC141" i="3"/>
  <c r="X142" i="3"/>
  <c r="Y142" i="3"/>
  <c r="Z142" i="3"/>
  <c r="AA142" i="3"/>
  <c r="AB142" i="3"/>
  <c r="AC142" i="3"/>
  <c r="X143" i="3"/>
  <c r="Y143" i="3"/>
  <c r="Z143" i="3"/>
  <c r="AA143" i="3"/>
  <c r="AB143" i="3"/>
  <c r="AC143" i="3"/>
  <c r="X144" i="3"/>
  <c r="Y144" i="3"/>
  <c r="Z144" i="3"/>
  <c r="AA144" i="3"/>
  <c r="AB144" i="3"/>
  <c r="AC144" i="3"/>
  <c r="X145" i="3"/>
  <c r="Y145" i="3"/>
  <c r="Z145" i="3"/>
  <c r="AA145" i="3"/>
  <c r="AB145" i="3"/>
  <c r="AC145" i="3"/>
  <c r="X146" i="3"/>
  <c r="Y146" i="3"/>
  <c r="Z146" i="3"/>
  <c r="AA146" i="3"/>
  <c r="AB146" i="3"/>
  <c r="AC146" i="3"/>
  <c r="X147" i="3"/>
  <c r="Y147" i="3"/>
  <c r="Z147" i="3"/>
  <c r="AA147" i="3"/>
  <c r="AB147" i="3"/>
  <c r="AC147" i="3"/>
  <c r="X148" i="3"/>
  <c r="Y148" i="3"/>
  <c r="Z148" i="3"/>
  <c r="AA148" i="3"/>
  <c r="AB148" i="3"/>
  <c r="AC148" i="3"/>
  <c r="X149" i="3"/>
  <c r="Y149" i="3"/>
  <c r="Z149" i="3"/>
  <c r="AA149" i="3"/>
  <c r="AB149" i="3"/>
  <c r="AC149" i="3"/>
  <c r="X150" i="3"/>
  <c r="Y150" i="3"/>
  <c r="Z150" i="3"/>
  <c r="AA150" i="3"/>
  <c r="AB150" i="3"/>
  <c r="AC150" i="3"/>
  <c r="X151" i="3"/>
  <c r="Y151" i="3"/>
  <c r="Z151" i="3"/>
  <c r="AA151" i="3"/>
  <c r="AB151" i="3"/>
  <c r="AC151" i="3"/>
  <c r="X152" i="3"/>
  <c r="Y152" i="3"/>
  <c r="Z152" i="3"/>
  <c r="AA152" i="3"/>
  <c r="AB152" i="3"/>
  <c r="AC152" i="3"/>
  <c r="X153" i="3"/>
  <c r="Y153" i="3"/>
  <c r="Z153" i="3"/>
  <c r="AA153" i="3"/>
  <c r="AB153" i="3"/>
  <c r="AC153" i="3"/>
  <c r="X154" i="3"/>
  <c r="Y154" i="3"/>
  <c r="Z154" i="3"/>
  <c r="AA154" i="3"/>
  <c r="AB154" i="3"/>
  <c r="AC154" i="3"/>
  <c r="X155" i="3"/>
  <c r="Y155" i="3"/>
  <c r="Z155" i="3"/>
  <c r="AA155" i="3"/>
  <c r="AB155" i="3"/>
  <c r="AC155" i="3"/>
  <c r="X156" i="3"/>
  <c r="Y156" i="3"/>
  <c r="Z156" i="3"/>
  <c r="AA156" i="3"/>
  <c r="AB156" i="3"/>
  <c r="AC156" i="3"/>
  <c r="X157" i="3"/>
  <c r="Y157" i="3"/>
  <c r="Z157" i="3"/>
  <c r="AA157" i="3"/>
  <c r="AB157" i="3"/>
  <c r="AC157" i="3"/>
  <c r="X158" i="3"/>
  <c r="Y158" i="3"/>
  <c r="Z158" i="3"/>
  <c r="AA158" i="3"/>
  <c r="AB158" i="3"/>
  <c r="AC158" i="3"/>
  <c r="X159" i="3"/>
  <c r="Y159" i="3"/>
  <c r="Z159" i="3"/>
  <c r="AA159" i="3"/>
  <c r="AB159" i="3"/>
  <c r="AC159" i="3"/>
  <c r="X160" i="3"/>
  <c r="Y160" i="3"/>
  <c r="Z160" i="3"/>
  <c r="AA160" i="3"/>
  <c r="AB160" i="3"/>
  <c r="AC160" i="3"/>
  <c r="X161" i="3"/>
  <c r="Y161" i="3"/>
  <c r="Z161" i="3"/>
  <c r="AA161" i="3"/>
  <c r="AB161" i="3"/>
  <c r="AC161" i="3"/>
  <c r="X162" i="3"/>
  <c r="Y162" i="3"/>
  <c r="Z162" i="3"/>
  <c r="AA162" i="3"/>
  <c r="AB162" i="3"/>
  <c r="AC162" i="3"/>
  <c r="X163" i="3"/>
  <c r="Y163" i="3"/>
  <c r="Z163" i="3"/>
  <c r="AA163" i="3"/>
  <c r="AB163" i="3"/>
  <c r="AC163" i="3"/>
  <c r="X164" i="3"/>
  <c r="Y164" i="3"/>
  <c r="Z164" i="3"/>
  <c r="AA164" i="3"/>
  <c r="AB164" i="3"/>
  <c r="AC164" i="3"/>
  <c r="X165" i="3"/>
  <c r="Y165" i="3"/>
  <c r="Z165" i="3"/>
  <c r="AA165" i="3"/>
  <c r="AB165" i="3"/>
  <c r="AC165" i="3"/>
  <c r="X166" i="3"/>
  <c r="Y166" i="3"/>
  <c r="Z166" i="3"/>
  <c r="AA166" i="3"/>
  <c r="AB166" i="3"/>
  <c r="AC166" i="3"/>
  <c r="X167" i="3"/>
  <c r="Y167" i="3"/>
  <c r="Z167" i="3"/>
  <c r="AA167" i="3"/>
  <c r="AB167" i="3"/>
  <c r="AC167" i="3"/>
  <c r="X168" i="3"/>
  <c r="Y168" i="3"/>
  <c r="Z168" i="3"/>
  <c r="AA168" i="3"/>
  <c r="AB168" i="3"/>
  <c r="AC168" i="3"/>
  <c r="X169" i="3"/>
  <c r="Y169" i="3"/>
  <c r="Z169" i="3"/>
  <c r="AA169" i="3"/>
  <c r="AB169" i="3"/>
  <c r="AC169" i="3"/>
  <c r="X170" i="3"/>
  <c r="Y170" i="3"/>
  <c r="Z170" i="3"/>
  <c r="AA170" i="3"/>
  <c r="AB170" i="3"/>
  <c r="AC170" i="3"/>
  <c r="X171" i="3"/>
  <c r="Y171" i="3"/>
  <c r="Z171" i="3"/>
  <c r="AA171" i="3"/>
  <c r="AB171" i="3"/>
  <c r="AC171" i="3"/>
  <c r="X172" i="3"/>
  <c r="Y172" i="3"/>
  <c r="Z172" i="3"/>
  <c r="AA172" i="3"/>
  <c r="AB172" i="3"/>
  <c r="AC172" i="3"/>
  <c r="X173" i="3"/>
  <c r="Y173" i="3"/>
  <c r="Z173" i="3"/>
  <c r="AA173" i="3"/>
  <c r="AB173" i="3"/>
  <c r="AC173" i="3"/>
  <c r="X174" i="3"/>
  <c r="Y174" i="3"/>
  <c r="Z174" i="3"/>
  <c r="AA174" i="3"/>
  <c r="AB174" i="3"/>
  <c r="AC174" i="3"/>
  <c r="X175" i="3"/>
  <c r="Y175" i="3"/>
  <c r="Z175" i="3"/>
  <c r="AA175" i="3"/>
  <c r="AB175" i="3"/>
  <c r="AC175" i="3"/>
  <c r="X176" i="3"/>
  <c r="Y176" i="3"/>
  <c r="Z176" i="3"/>
  <c r="AA176" i="3"/>
  <c r="AB176" i="3"/>
  <c r="AC176" i="3"/>
  <c r="X177" i="3"/>
  <c r="Y177" i="3"/>
  <c r="Z177" i="3"/>
  <c r="AA177" i="3"/>
  <c r="AB177" i="3"/>
  <c r="AC177" i="3"/>
  <c r="X178" i="3"/>
  <c r="Y178" i="3"/>
  <c r="Z178" i="3"/>
  <c r="AA178" i="3"/>
  <c r="AB178" i="3"/>
  <c r="AC178" i="3"/>
  <c r="X179" i="3"/>
  <c r="Y179" i="3"/>
  <c r="Z179" i="3"/>
  <c r="AA179" i="3"/>
  <c r="AB179" i="3"/>
  <c r="AC179" i="3"/>
  <c r="X180" i="3"/>
  <c r="Y180" i="3"/>
  <c r="Z180" i="3"/>
  <c r="AA180" i="3"/>
  <c r="AB180" i="3"/>
  <c r="AC180" i="3"/>
  <c r="X181" i="3"/>
  <c r="Y181" i="3"/>
  <c r="Z181" i="3"/>
  <c r="AA181" i="3"/>
  <c r="AB181" i="3"/>
  <c r="AC181" i="3"/>
  <c r="X182" i="3"/>
  <c r="Y182" i="3"/>
  <c r="Z182" i="3"/>
  <c r="AA182" i="3"/>
  <c r="AB182" i="3"/>
  <c r="AC182" i="3"/>
  <c r="X183" i="3"/>
  <c r="Y183" i="3"/>
  <c r="Z183" i="3"/>
  <c r="AA183" i="3"/>
  <c r="AB183" i="3"/>
  <c r="AC183" i="3"/>
  <c r="X184" i="3"/>
  <c r="Y184" i="3"/>
  <c r="Z184" i="3"/>
  <c r="AA184" i="3"/>
  <c r="AB184" i="3"/>
  <c r="AC184" i="3"/>
  <c r="X185" i="3"/>
  <c r="Y185" i="3"/>
  <c r="Z185" i="3"/>
  <c r="AA185" i="3"/>
  <c r="AB185" i="3"/>
  <c r="AC185" i="3"/>
  <c r="X186" i="3"/>
  <c r="Y186" i="3"/>
  <c r="Z186" i="3"/>
  <c r="AA186" i="3"/>
  <c r="AB186" i="3"/>
  <c r="AC186" i="3"/>
  <c r="X187" i="3"/>
  <c r="Y187" i="3"/>
  <c r="Z187" i="3"/>
  <c r="AA187" i="3"/>
  <c r="AB187" i="3"/>
  <c r="AC187" i="3"/>
  <c r="X188" i="3"/>
  <c r="Y188" i="3"/>
  <c r="Z188" i="3"/>
  <c r="AA188" i="3"/>
  <c r="AB188" i="3"/>
  <c r="AC188" i="3"/>
  <c r="X189" i="3"/>
  <c r="Y189" i="3"/>
  <c r="Z189" i="3"/>
  <c r="AA189" i="3"/>
  <c r="AB189" i="3"/>
  <c r="AC189" i="3"/>
  <c r="X190" i="3"/>
  <c r="Y190" i="3"/>
  <c r="Z190" i="3"/>
  <c r="AA190" i="3"/>
  <c r="AB190" i="3"/>
  <c r="AC190" i="3"/>
  <c r="X191" i="3"/>
  <c r="Y191" i="3"/>
  <c r="Z191" i="3"/>
  <c r="AA191" i="3"/>
  <c r="AB191" i="3"/>
  <c r="AC191" i="3"/>
  <c r="X192" i="3"/>
  <c r="Y192" i="3"/>
  <c r="Z192" i="3"/>
  <c r="AA192" i="3"/>
  <c r="AB192" i="3"/>
  <c r="AC192" i="3"/>
  <c r="X193" i="3"/>
  <c r="Y193" i="3"/>
  <c r="Z193" i="3"/>
  <c r="AA193" i="3"/>
  <c r="AB193" i="3"/>
  <c r="AC193" i="3"/>
  <c r="X194" i="3"/>
  <c r="Y194" i="3"/>
  <c r="Z194" i="3"/>
  <c r="AA194" i="3"/>
  <c r="AB194" i="3"/>
  <c r="AC194" i="3"/>
  <c r="X195" i="3"/>
  <c r="Y195" i="3"/>
  <c r="Z195" i="3"/>
  <c r="AA195" i="3"/>
  <c r="AB195" i="3"/>
  <c r="AC195" i="3"/>
  <c r="X196" i="3"/>
  <c r="Y196" i="3"/>
  <c r="Z196" i="3"/>
  <c r="AA196" i="3"/>
  <c r="AB196" i="3"/>
  <c r="AC196" i="3"/>
  <c r="X197" i="3"/>
  <c r="Y197" i="3"/>
  <c r="Z197" i="3"/>
  <c r="AA197" i="3"/>
  <c r="AB197" i="3"/>
  <c r="AC197" i="3"/>
  <c r="X198" i="3"/>
  <c r="Y198" i="3"/>
  <c r="Z198" i="3"/>
  <c r="AA198" i="3"/>
  <c r="AB198" i="3"/>
  <c r="AC198" i="3"/>
  <c r="X199" i="3"/>
  <c r="Y199" i="3"/>
  <c r="Z199" i="3"/>
  <c r="AA199" i="3"/>
  <c r="AB199" i="3"/>
  <c r="AC199" i="3"/>
  <c r="X200" i="3"/>
  <c r="Y200" i="3"/>
  <c r="Z200" i="3"/>
  <c r="AA200" i="3"/>
  <c r="AB200" i="3"/>
  <c r="AC200" i="3"/>
  <c r="X201" i="3"/>
  <c r="Y201" i="3"/>
  <c r="Z201" i="3"/>
  <c r="AA201" i="3"/>
  <c r="AB201" i="3"/>
  <c r="AC201" i="3"/>
  <c r="X202" i="3"/>
  <c r="Y202" i="3"/>
  <c r="Z202" i="3"/>
  <c r="AA202" i="3"/>
  <c r="AB202" i="3"/>
  <c r="AC202" i="3"/>
  <c r="X203" i="3"/>
  <c r="Y203" i="3"/>
  <c r="Z203" i="3"/>
  <c r="AA203" i="3"/>
  <c r="AB203" i="3"/>
  <c r="AC203" i="3"/>
  <c r="X204" i="3"/>
  <c r="Y204" i="3"/>
  <c r="Z204" i="3"/>
  <c r="AA204" i="3"/>
  <c r="AB204" i="3"/>
  <c r="AC204" i="3"/>
  <c r="X205" i="3"/>
  <c r="Y205" i="3"/>
  <c r="Z205" i="3"/>
  <c r="AA205" i="3"/>
  <c r="AB205" i="3"/>
  <c r="AC205" i="3"/>
  <c r="X206" i="3"/>
  <c r="Y206" i="3"/>
  <c r="Z206" i="3"/>
  <c r="AA206" i="3"/>
  <c r="AB206" i="3"/>
  <c r="AC206" i="3"/>
  <c r="X207" i="3"/>
  <c r="Y207" i="3"/>
  <c r="Z207" i="3"/>
  <c r="AA207" i="3"/>
  <c r="AB207" i="3"/>
  <c r="AC207" i="3"/>
  <c r="X208" i="3"/>
  <c r="Y208" i="3"/>
  <c r="Z208" i="3"/>
  <c r="AA208" i="3"/>
  <c r="AB208" i="3"/>
  <c r="AC208" i="3"/>
  <c r="X209" i="3"/>
  <c r="Y209" i="3"/>
  <c r="Z209" i="3"/>
  <c r="AA209" i="3"/>
  <c r="AB209" i="3"/>
  <c r="AC209" i="3"/>
  <c r="X210" i="3"/>
  <c r="Y210" i="3"/>
  <c r="Z210" i="3"/>
  <c r="AA210" i="3"/>
  <c r="AB210" i="3"/>
  <c r="AC210" i="3"/>
  <c r="X211" i="3"/>
  <c r="Y211" i="3"/>
  <c r="Z211" i="3"/>
  <c r="AA211" i="3"/>
  <c r="AB211" i="3"/>
  <c r="AC211" i="3"/>
  <c r="X212" i="3"/>
  <c r="Y212" i="3"/>
  <c r="Z212" i="3"/>
  <c r="AA212" i="3"/>
  <c r="AB212" i="3"/>
  <c r="AC212" i="3"/>
  <c r="X213" i="3"/>
  <c r="Y213" i="3"/>
  <c r="Z213" i="3"/>
  <c r="AA213" i="3"/>
  <c r="AB213" i="3"/>
  <c r="AC213" i="3"/>
  <c r="X214" i="3"/>
  <c r="Y214" i="3"/>
  <c r="Z214" i="3"/>
  <c r="AA214" i="3"/>
  <c r="AB214" i="3"/>
  <c r="AC214" i="3"/>
  <c r="X215" i="3"/>
  <c r="Y215" i="3"/>
  <c r="Z215" i="3"/>
  <c r="AA215" i="3"/>
  <c r="AB215" i="3"/>
  <c r="AC215" i="3"/>
  <c r="X216" i="3"/>
  <c r="Y216" i="3"/>
  <c r="Z216" i="3"/>
  <c r="AA216" i="3"/>
  <c r="AB216" i="3"/>
  <c r="AC216" i="3"/>
  <c r="X217" i="3"/>
  <c r="Y217" i="3"/>
  <c r="Z217" i="3"/>
  <c r="AA217" i="3"/>
  <c r="AB217" i="3"/>
  <c r="AC217" i="3"/>
  <c r="X218" i="3"/>
  <c r="Y218" i="3"/>
  <c r="Z218" i="3"/>
  <c r="AA218" i="3"/>
  <c r="AB218" i="3"/>
  <c r="AC218" i="3"/>
  <c r="X219" i="3"/>
  <c r="Y219" i="3"/>
  <c r="Z219" i="3"/>
  <c r="AA219" i="3"/>
  <c r="AB219" i="3"/>
  <c r="AC219" i="3"/>
  <c r="X220" i="3"/>
  <c r="Y220" i="3"/>
  <c r="Z220" i="3"/>
  <c r="AA220" i="3"/>
  <c r="AB220" i="3"/>
  <c r="AC220" i="3"/>
  <c r="X221" i="3"/>
  <c r="Y221" i="3"/>
  <c r="Z221" i="3"/>
  <c r="AA221" i="3"/>
  <c r="AB221" i="3"/>
  <c r="AC221" i="3"/>
  <c r="X222" i="3"/>
  <c r="Y222" i="3"/>
  <c r="Z222" i="3"/>
  <c r="AA222" i="3"/>
  <c r="AB222" i="3"/>
  <c r="AC222" i="3"/>
  <c r="X223" i="3"/>
  <c r="Y223" i="3"/>
  <c r="Z223" i="3"/>
  <c r="AA223" i="3"/>
  <c r="AB223" i="3"/>
  <c r="AC223" i="3"/>
  <c r="X224" i="3"/>
  <c r="Y224" i="3"/>
  <c r="Z224" i="3"/>
  <c r="AA224" i="3"/>
  <c r="AB224" i="3"/>
  <c r="AC224" i="3"/>
  <c r="X225" i="3"/>
  <c r="Y225" i="3"/>
  <c r="Z225" i="3"/>
  <c r="AA225" i="3"/>
  <c r="AB225" i="3"/>
  <c r="AC225" i="3"/>
  <c r="X226" i="3"/>
  <c r="Y226" i="3"/>
  <c r="Z226" i="3"/>
  <c r="AA226" i="3"/>
  <c r="AB226" i="3"/>
  <c r="AC226" i="3"/>
  <c r="X227" i="3"/>
  <c r="Y227" i="3"/>
  <c r="Z227" i="3"/>
  <c r="AA227" i="3"/>
  <c r="AB227" i="3"/>
  <c r="AC227" i="3"/>
  <c r="X228" i="3"/>
  <c r="Y228" i="3"/>
  <c r="Z228" i="3"/>
  <c r="AA228" i="3"/>
  <c r="AB228" i="3"/>
  <c r="AC228" i="3"/>
  <c r="X229" i="3"/>
  <c r="Y229" i="3"/>
  <c r="Z229" i="3"/>
  <c r="AA229" i="3"/>
  <c r="AB229" i="3"/>
  <c r="AC229" i="3"/>
  <c r="X230" i="3"/>
  <c r="Y230" i="3"/>
  <c r="Z230" i="3"/>
  <c r="AA230" i="3"/>
  <c r="AB230" i="3"/>
  <c r="AC230" i="3"/>
  <c r="X231" i="3"/>
  <c r="Y231" i="3"/>
  <c r="Z231" i="3"/>
  <c r="AA231" i="3"/>
  <c r="AB231" i="3"/>
  <c r="AC231" i="3"/>
  <c r="X232" i="3"/>
  <c r="Y232" i="3"/>
  <c r="Z232" i="3"/>
  <c r="AA232" i="3"/>
  <c r="AB232" i="3"/>
  <c r="AC232" i="3"/>
  <c r="X233" i="3"/>
  <c r="Y233" i="3"/>
  <c r="Z233" i="3"/>
  <c r="AA233" i="3"/>
  <c r="AB233" i="3"/>
  <c r="AC233" i="3"/>
  <c r="X234" i="3"/>
  <c r="Y234" i="3"/>
  <c r="Z234" i="3"/>
  <c r="AA234" i="3"/>
  <c r="AB234" i="3"/>
  <c r="AC234" i="3"/>
  <c r="X235" i="3"/>
  <c r="Y235" i="3"/>
  <c r="Z235" i="3"/>
  <c r="AA235" i="3"/>
  <c r="AB235" i="3"/>
  <c r="AC235" i="3"/>
  <c r="X236" i="3"/>
  <c r="Y236" i="3"/>
  <c r="Z236" i="3"/>
  <c r="AA236" i="3"/>
  <c r="AB236" i="3"/>
  <c r="AC236" i="3"/>
  <c r="X237" i="3"/>
  <c r="Y237" i="3"/>
  <c r="Z237" i="3"/>
  <c r="AA237" i="3"/>
  <c r="AB237" i="3"/>
  <c r="AC237" i="3"/>
  <c r="X238" i="3"/>
  <c r="Y238" i="3"/>
  <c r="Z238" i="3"/>
  <c r="AA238" i="3"/>
  <c r="AB238" i="3"/>
  <c r="AC238" i="3"/>
  <c r="X239" i="3"/>
  <c r="Y239" i="3"/>
  <c r="Z239" i="3"/>
  <c r="AA239" i="3"/>
  <c r="AB239" i="3"/>
  <c r="AC239" i="3"/>
  <c r="X240" i="3"/>
  <c r="Y240" i="3"/>
  <c r="Z240" i="3"/>
  <c r="AA240" i="3"/>
  <c r="AB240" i="3"/>
  <c r="AC240" i="3"/>
  <c r="X241" i="3"/>
  <c r="Y241" i="3"/>
  <c r="Z241" i="3"/>
  <c r="AA241" i="3"/>
  <c r="AB241" i="3"/>
  <c r="AC241" i="3"/>
  <c r="X242" i="3"/>
  <c r="Y242" i="3"/>
  <c r="Z242" i="3"/>
  <c r="AA242" i="3"/>
  <c r="AB242" i="3"/>
  <c r="AC242" i="3"/>
  <c r="X243" i="3"/>
  <c r="Y243" i="3"/>
  <c r="Z243" i="3"/>
  <c r="AA243" i="3"/>
  <c r="AB243" i="3"/>
  <c r="AC243" i="3"/>
  <c r="X244" i="3"/>
  <c r="Y244" i="3"/>
  <c r="Z244" i="3"/>
  <c r="AA244" i="3"/>
  <c r="AB244" i="3"/>
  <c r="AC244" i="3"/>
  <c r="X245" i="3"/>
  <c r="Y245" i="3"/>
  <c r="Z245" i="3"/>
  <c r="AA245" i="3"/>
  <c r="AB245" i="3"/>
  <c r="AC245" i="3"/>
  <c r="X246" i="3"/>
  <c r="Y246" i="3"/>
  <c r="Z246" i="3"/>
  <c r="AA246" i="3"/>
  <c r="AB246" i="3"/>
  <c r="AC246" i="3"/>
  <c r="X247" i="3"/>
  <c r="Y247" i="3"/>
  <c r="Z247" i="3"/>
  <c r="AA247" i="3"/>
  <c r="AB247" i="3"/>
  <c r="AC247" i="3"/>
  <c r="X248" i="3"/>
  <c r="Y248" i="3"/>
  <c r="Z248" i="3"/>
  <c r="AA248" i="3"/>
  <c r="AB248" i="3"/>
  <c r="AC248" i="3"/>
  <c r="X249" i="3"/>
  <c r="Y249" i="3"/>
  <c r="Z249" i="3"/>
  <c r="AA249" i="3"/>
  <c r="AB249" i="3"/>
  <c r="AC249" i="3"/>
  <c r="X250" i="3"/>
  <c r="Y250" i="3"/>
  <c r="Z250" i="3"/>
  <c r="AA250" i="3"/>
  <c r="AB250" i="3"/>
  <c r="AC250" i="3"/>
  <c r="X251" i="3"/>
  <c r="Y251" i="3"/>
  <c r="Z251" i="3"/>
  <c r="AA251" i="3"/>
  <c r="AB251" i="3"/>
  <c r="AC251" i="3"/>
  <c r="X252" i="3"/>
  <c r="Y252" i="3"/>
  <c r="Z252" i="3"/>
  <c r="AA252" i="3"/>
  <c r="AB252" i="3"/>
  <c r="AC252" i="3"/>
  <c r="X253" i="3"/>
  <c r="Y253" i="3"/>
  <c r="Z253" i="3"/>
  <c r="AA253" i="3"/>
  <c r="AB253" i="3"/>
  <c r="AC253" i="3"/>
  <c r="X254" i="3"/>
  <c r="Y254" i="3"/>
  <c r="Z254" i="3"/>
  <c r="AA254" i="3"/>
  <c r="AB254" i="3"/>
  <c r="AC254" i="3"/>
  <c r="X255" i="3"/>
  <c r="Y255" i="3"/>
  <c r="Z255" i="3"/>
  <c r="AA255" i="3"/>
  <c r="AB255" i="3"/>
  <c r="AC255" i="3"/>
  <c r="X256" i="3"/>
  <c r="Y256" i="3"/>
  <c r="Z256" i="3"/>
  <c r="AA256" i="3"/>
  <c r="AB256" i="3"/>
  <c r="AC256" i="3"/>
  <c r="X257" i="3"/>
  <c r="Y257" i="3"/>
  <c r="Z257" i="3"/>
  <c r="AA257" i="3"/>
  <c r="AB257" i="3"/>
  <c r="AC257" i="3"/>
  <c r="X258" i="3"/>
  <c r="Y258" i="3"/>
  <c r="Z258" i="3"/>
  <c r="AA258" i="3"/>
  <c r="AB258" i="3"/>
  <c r="AC258" i="3"/>
  <c r="X259" i="3"/>
  <c r="Y259" i="3"/>
  <c r="Z259" i="3"/>
  <c r="AA259" i="3"/>
  <c r="AB259" i="3"/>
  <c r="AC259" i="3"/>
  <c r="X260" i="3"/>
  <c r="Y260" i="3"/>
  <c r="Z260" i="3"/>
  <c r="AA260" i="3"/>
  <c r="AB260" i="3"/>
  <c r="AC260" i="3"/>
  <c r="X261" i="3"/>
  <c r="Y261" i="3"/>
  <c r="Z261" i="3"/>
  <c r="AA261" i="3"/>
  <c r="AB261" i="3"/>
  <c r="AC261" i="3"/>
  <c r="X262" i="3"/>
  <c r="Y262" i="3"/>
  <c r="Z262" i="3"/>
  <c r="AA262" i="3"/>
  <c r="AB262" i="3"/>
  <c r="AC262" i="3"/>
  <c r="X263" i="3"/>
  <c r="Y263" i="3"/>
  <c r="Z263" i="3"/>
  <c r="AA263" i="3"/>
  <c r="AB263" i="3"/>
  <c r="AC263" i="3"/>
  <c r="X264" i="3"/>
  <c r="Y264" i="3"/>
  <c r="Z264" i="3"/>
  <c r="AA264" i="3"/>
  <c r="AB264" i="3"/>
  <c r="AC264" i="3"/>
  <c r="X265" i="3"/>
  <c r="Y265" i="3"/>
  <c r="Z265" i="3"/>
  <c r="AA265" i="3"/>
  <c r="AB265" i="3"/>
  <c r="AC265" i="3"/>
  <c r="X266" i="3"/>
  <c r="Y266" i="3"/>
  <c r="Z266" i="3"/>
  <c r="AA266" i="3"/>
  <c r="AB266" i="3"/>
  <c r="AC266" i="3"/>
  <c r="X267" i="3"/>
  <c r="Y267" i="3"/>
  <c r="Z267" i="3"/>
  <c r="AA267" i="3"/>
  <c r="AB267" i="3"/>
  <c r="AC267" i="3"/>
  <c r="X268" i="3"/>
  <c r="Y268" i="3"/>
  <c r="Z268" i="3"/>
  <c r="AA268" i="3"/>
  <c r="AB268" i="3"/>
  <c r="AC268" i="3"/>
  <c r="X269" i="3"/>
  <c r="Y269" i="3"/>
  <c r="Z269" i="3"/>
  <c r="AA269" i="3"/>
  <c r="AB269" i="3"/>
  <c r="AC269" i="3"/>
  <c r="X270" i="3"/>
  <c r="Y270" i="3"/>
  <c r="Z270" i="3"/>
  <c r="AA270" i="3"/>
  <c r="AB270" i="3"/>
  <c r="AC270" i="3"/>
  <c r="X271" i="3"/>
  <c r="Y271" i="3"/>
  <c r="Z271" i="3"/>
  <c r="AA271" i="3"/>
  <c r="AB271" i="3"/>
  <c r="AC271" i="3"/>
  <c r="X272" i="3"/>
  <c r="Y272" i="3"/>
  <c r="Z272" i="3"/>
  <c r="AA272" i="3"/>
  <c r="AB272" i="3"/>
  <c r="AC272" i="3"/>
  <c r="X273" i="3"/>
  <c r="Y273" i="3"/>
  <c r="Z273" i="3"/>
  <c r="AA273" i="3"/>
  <c r="AB273" i="3"/>
  <c r="AC273" i="3"/>
  <c r="X274" i="3"/>
  <c r="Y274" i="3"/>
  <c r="Z274" i="3"/>
  <c r="AA274" i="3"/>
  <c r="AB274" i="3"/>
  <c r="AC274" i="3"/>
  <c r="X275" i="3"/>
  <c r="Y275" i="3"/>
  <c r="Z275" i="3"/>
  <c r="AA275" i="3"/>
  <c r="AB275" i="3"/>
  <c r="AC275" i="3"/>
  <c r="X276" i="3"/>
  <c r="Y276" i="3"/>
  <c r="Z276" i="3"/>
  <c r="AA276" i="3"/>
  <c r="AB276" i="3"/>
  <c r="AC276" i="3"/>
  <c r="X277" i="3"/>
  <c r="Y277" i="3"/>
  <c r="Z277" i="3"/>
  <c r="AA277" i="3"/>
  <c r="AB277" i="3"/>
  <c r="AC277" i="3"/>
  <c r="X278" i="3"/>
  <c r="Y278" i="3"/>
  <c r="Z278" i="3"/>
  <c r="AA278" i="3"/>
  <c r="AB278" i="3"/>
  <c r="AC278" i="3"/>
  <c r="X279" i="3"/>
  <c r="Y279" i="3"/>
  <c r="Z279" i="3"/>
  <c r="AA279" i="3"/>
  <c r="AB279" i="3"/>
  <c r="AC279" i="3"/>
  <c r="X280" i="3"/>
  <c r="Y280" i="3"/>
  <c r="Z280" i="3"/>
  <c r="AA280" i="3"/>
  <c r="AB280" i="3"/>
  <c r="AC280" i="3"/>
  <c r="X281" i="3"/>
  <c r="Y281" i="3"/>
  <c r="Z281" i="3"/>
  <c r="AA281" i="3"/>
  <c r="AB281" i="3"/>
  <c r="AC281" i="3"/>
  <c r="X282" i="3"/>
  <c r="Y282" i="3"/>
  <c r="Z282" i="3"/>
  <c r="AA282" i="3"/>
  <c r="AB282" i="3"/>
  <c r="AC282" i="3"/>
  <c r="X283" i="3"/>
  <c r="Y283" i="3"/>
  <c r="Z283" i="3"/>
  <c r="AA283" i="3"/>
  <c r="AB283" i="3"/>
  <c r="AC283" i="3"/>
  <c r="X284" i="3"/>
  <c r="Y284" i="3"/>
  <c r="Z284" i="3"/>
  <c r="AA284" i="3"/>
  <c r="AB284" i="3"/>
  <c r="AC284" i="3"/>
  <c r="X285" i="3"/>
  <c r="Y285" i="3"/>
  <c r="Z285" i="3"/>
  <c r="AA285" i="3"/>
  <c r="AB285" i="3"/>
  <c r="AC285" i="3"/>
  <c r="X286" i="3"/>
  <c r="Y286" i="3"/>
  <c r="Z286" i="3"/>
  <c r="AA286" i="3"/>
  <c r="AB286" i="3"/>
  <c r="AC286" i="3"/>
  <c r="X287" i="3"/>
  <c r="Y287" i="3"/>
  <c r="Z287" i="3"/>
  <c r="AA287" i="3"/>
  <c r="AB287" i="3"/>
  <c r="AC287" i="3"/>
  <c r="X288" i="3"/>
  <c r="Y288" i="3"/>
  <c r="Z288" i="3"/>
  <c r="AA288" i="3"/>
  <c r="AB288" i="3"/>
  <c r="AC288" i="3"/>
  <c r="X289" i="3"/>
  <c r="Y289" i="3"/>
  <c r="Z289" i="3"/>
  <c r="AA289" i="3"/>
  <c r="AB289" i="3"/>
  <c r="AC289" i="3"/>
  <c r="X290" i="3"/>
  <c r="Y290" i="3"/>
  <c r="Z290" i="3"/>
  <c r="AA290" i="3"/>
  <c r="AB290" i="3"/>
  <c r="AC290" i="3"/>
  <c r="X291" i="3"/>
  <c r="Y291" i="3"/>
  <c r="Z291" i="3"/>
  <c r="AA291" i="3"/>
  <c r="AB291" i="3"/>
  <c r="AC291" i="3"/>
  <c r="X292" i="3"/>
  <c r="Y292" i="3"/>
  <c r="Z292" i="3"/>
  <c r="AA292" i="3"/>
  <c r="AB292" i="3"/>
  <c r="AC292" i="3"/>
  <c r="X293" i="3"/>
  <c r="Y293" i="3"/>
  <c r="Z293" i="3"/>
  <c r="AA293" i="3"/>
  <c r="AB293" i="3"/>
  <c r="AC293" i="3"/>
  <c r="X294" i="3"/>
  <c r="Y294" i="3"/>
  <c r="Z294" i="3"/>
  <c r="AA294" i="3"/>
  <c r="AB294" i="3"/>
  <c r="AC294" i="3"/>
  <c r="X295" i="3"/>
  <c r="Y295" i="3"/>
  <c r="Z295" i="3"/>
  <c r="AA295" i="3"/>
  <c r="AB295" i="3"/>
  <c r="AC295" i="3"/>
  <c r="X296" i="3"/>
  <c r="Y296" i="3"/>
  <c r="Z296" i="3"/>
  <c r="AA296" i="3"/>
  <c r="AB296" i="3"/>
  <c r="AC296" i="3"/>
  <c r="X297" i="3"/>
  <c r="Y297" i="3"/>
  <c r="Z297" i="3"/>
  <c r="AA297" i="3"/>
  <c r="AB297" i="3"/>
  <c r="AC297" i="3"/>
  <c r="X298" i="3"/>
  <c r="Y298" i="3"/>
  <c r="Z298" i="3"/>
  <c r="AA298" i="3"/>
  <c r="AB298" i="3"/>
  <c r="AC298" i="3"/>
  <c r="X299" i="3"/>
  <c r="Y299" i="3"/>
  <c r="Z299" i="3"/>
  <c r="AA299" i="3"/>
  <c r="AB299" i="3"/>
  <c r="AC299" i="3"/>
  <c r="X300" i="3"/>
  <c r="Y300" i="3"/>
  <c r="Z300" i="3"/>
  <c r="AA300" i="3"/>
  <c r="AB300" i="3"/>
  <c r="AC300" i="3"/>
  <c r="X301" i="3"/>
  <c r="Y301" i="3"/>
  <c r="Z301" i="3"/>
  <c r="AA301" i="3"/>
  <c r="AB301" i="3"/>
  <c r="AC301" i="3"/>
  <c r="X302" i="3"/>
  <c r="Y302" i="3"/>
  <c r="Z302" i="3"/>
  <c r="AA302" i="3"/>
  <c r="AB302" i="3"/>
  <c r="AC302" i="3"/>
  <c r="X303" i="3"/>
  <c r="Y303" i="3"/>
  <c r="Z303" i="3"/>
  <c r="AA303" i="3"/>
  <c r="AB303" i="3"/>
  <c r="AC303" i="3"/>
  <c r="X304" i="3"/>
  <c r="Y304" i="3"/>
  <c r="Z304" i="3"/>
  <c r="AA304" i="3"/>
  <c r="AB304" i="3"/>
  <c r="AC304" i="3"/>
  <c r="X305" i="3"/>
  <c r="Y305" i="3"/>
  <c r="Z305" i="3"/>
  <c r="AA305" i="3"/>
  <c r="AB305" i="3"/>
  <c r="AC305" i="3"/>
  <c r="X306" i="3"/>
  <c r="Y306" i="3"/>
  <c r="Z306" i="3"/>
  <c r="AA306" i="3"/>
  <c r="AB306" i="3"/>
  <c r="AC306" i="3"/>
  <c r="X307" i="3"/>
  <c r="Y307" i="3"/>
  <c r="Z307" i="3"/>
  <c r="AA307" i="3"/>
  <c r="AB307" i="3"/>
  <c r="AC307" i="3"/>
  <c r="X308" i="3"/>
  <c r="Y308" i="3"/>
  <c r="Z308" i="3"/>
  <c r="AA308" i="3"/>
  <c r="AB308" i="3"/>
  <c r="AC308" i="3"/>
  <c r="X309" i="3"/>
  <c r="Y309" i="3"/>
  <c r="Z309" i="3"/>
  <c r="AA309" i="3"/>
  <c r="AB309" i="3"/>
  <c r="AC309" i="3"/>
  <c r="X310" i="3"/>
  <c r="Y310" i="3"/>
  <c r="Z310" i="3"/>
  <c r="AA310" i="3"/>
  <c r="AB310" i="3"/>
  <c r="AC310" i="3"/>
  <c r="X311" i="3"/>
  <c r="Y311" i="3"/>
  <c r="Z311" i="3"/>
  <c r="AA311" i="3"/>
  <c r="AB311" i="3"/>
  <c r="AC311" i="3"/>
  <c r="X312" i="3"/>
  <c r="Y312" i="3"/>
  <c r="Z312" i="3"/>
  <c r="AA312" i="3"/>
  <c r="AB312" i="3"/>
  <c r="AC312" i="3"/>
  <c r="X313" i="3"/>
  <c r="Y313" i="3"/>
  <c r="Z313" i="3"/>
  <c r="AA313" i="3"/>
  <c r="AB313" i="3"/>
  <c r="AC313" i="3"/>
  <c r="X314" i="3"/>
  <c r="Y314" i="3"/>
  <c r="Z314" i="3"/>
  <c r="AA314" i="3"/>
  <c r="AB314" i="3"/>
  <c r="AC314" i="3"/>
  <c r="X315" i="3"/>
  <c r="Y315" i="3"/>
  <c r="Z315" i="3"/>
  <c r="AA315" i="3"/>
  <c r="AB315" i="3"/>
  <c r="AC315" i="3"/>
  <c r="X316" i="3"/>
  <c r="Y316" i="3"/>
  <c r="Z316" i="3"/>
  <c r="AA316" i="3"/>
  <c r="AB316" i="3"/>
  <c r="AC316" i="3"/>
  <c r="X317" i="3"/>
  <c r="Y317" i="3"/>
  <c r="Z317" i="3"/>
  <c r="AA317" i="3"/>
  <c r="AB317" i="3"/>
  <c r="AC317" i="3"/>
  <c r="X318" i="3"/>
  <c r="Y318" i="3"/>
  <c r="Z318" i="3"/>
  <c r="AA318" i="3"/>
  <c r="AB318" i="3"/>
  <c r="AC318" i="3"/>
  <c r="X319" i="3"/>
  <c r="Y319" i="3"/>
  <c r="Z319" i="3"/>
  <c r="AA319" i="3"/>
  <c r="AB319" i="3"/>
  <c r="AC319" i="3"/>
  <c r="X320" i="3"/>
  <c r="Y320" i="3"/>
  <c r="Z320" i="3"/>
  <c r="AA320" i="3"/>
  <c r="AB320" i="3"/>
  <c r="AC320" i="3"/>
  <c r="X321" i="3"/>
  <c r="Y321" i="3"/>
  <c r="Z321" i="3"/>
  <c r="AA321" i="3"/>
  <c r="AB321" i="3"/>
  <c r="AC321" i="3"/>
  <c r="X322" i="3"/>
  <c r="Y322" i="3"/>
  <c r="Z322" i="3"/>
  <c r="AA322" i="3"/>
  <c r="AB322" i="3"/>
  <c r="AC322" i="3"/>
  <c r="X323" i="3"/>
  <c r="Y323" i="3"/>
  <c r="Z323" i="3"/>
  <c r="AA323" i="3"/>
  <c r="AB323" i="3"/>
  <c r="AC323" i="3"/>
  <c r="X324" i="3"/>
  <c r="Y324" i="3"/>
  <c r="Z324" i="3"/>
  <c r="AA324" i="3"/>
  <c r="AB324" i="3"/>
  <c r="AC324" i="3"/>
  <c r="X325" i="3"/>
  <c r="Y325" i="3"/>
  <c r="Z325" i="3"/>
  <c r="AA325" i="3"/>
  <c r="AB325" i="3"/>
  <c r="AC325" i="3"/>
  <c r="X326" i="3"/>
  <c r="Y326" i="3"/>
  <c r="Z326" i="3"/>
  <c r="AA326" i="3"/>
  <c r="AB326" i="3"/>
  <c r="AC326" i="3"/>
  <c r="X327" i="3"/>
  <c r="Y327" i="3"/>
  <c r="Z327" i="3"/>
  <c r="AA327" i="3"/>
  <c r="AB327" i="3"/>
  <c r="AC327" i="3"/>
  <c r="X328" i="3"/>
  <c r="Y328" i="3"/>
  <c r="Z328" i="3"/>
  <c r="AA328" i="3"/>
  <c r="AB328" i="3"/>
  <c r="AC328" i="3"/>
  <c r="X329" i="3"/>
  <c r="Y329" i="3"/>
  <c r="Z329" i="3"/>
  <c r="AA329" i="3"/>
  <c r="AB329" i="3"/>
  <c r="AC329" i="3"/>
  <c r="X330" i="3"/>
  <c r="Y330" i="3"/>
  <c r="Z330" i="3"/>
  <c r="AA330" i="3"/>
  <c r="AB330" i="3"/>
  <c r="AC330" i="3"/>
  <c r="X331" i="3"/>
  <c r="Y331" i="3"/>
  <c r="Z331" i="3"/>
  <c r="AA331" i="3"/>
  <c r="AB331" i="3"/>
  <c r="AC331" i="3"/>
  <c r="X332" i="3"/>
  <c r="Y332" i="3"/>
  <c r="Z332" i="3"/>
  <c r="AA332" i="3"/>
  <c r="AB332" i="3"/>
  <c r="AC332" i="3"/>
  <c r="X333" i="3"/>
  <c r="Y333" i="3"/>
  <c r="Z333" i="3"/>
  <c r="AA333" i="3"/>
  <c r="AB333" i="3"/>
  <c r="AC333" i="3"/>
  <c r="X334" i="3"/>
  <c r="Y334" i="3"/>
  <c r="Z334" i="3"/>
  <c r="AA334" i="3"/>
  <c r="AB334" i="3"/>
  <c r="AC334" i="3"/>
  <c r="X335" i="3"/>
  <c r="Y335" i="3"/>
  <c r="Z335" i="3"/>
  <c r="AA335" i="3"/>
  <c r="AB335" i="3"/>
  <c r="AC335" i="3"/>
  <c r="X336" i="3"/>
  <c r="Y336" i="3"/>
  <c r="Z336" i="3"/>
  <c r="AA336" i="3"/>
  <c r="AB336" i="3"/>
  <c r="AC336" i="3"/>
  <c r="X337" i="3"/>
  <c r="Y337" i="3"/>
  <c r="Z337" i="3"/>
  <c r="AA337" i="3"/>
  <c r="AB337" i="3"/>
  <c r="AC337" i="3"/>
  <c r="X338" i="3"/>
  <c r="Y338" i="3"/>
  <c r="Z338" i="3"/>
  <c r="AA338" i="3"/>
  <c r="AB338" i="3"/>
  <c r="AC338" i="3"/>
  <c r="X339" i="3"/>
  <c r="Y339" i="3"/>
  <c r="Z339" i="3"/>
  <c r="AA339" i="3"/>
  <c r="AB339" i="3"/>
  <c r="AC339" i="3"/>
  <c r="X340" i="3"/>
  <c r="Y340" i="3"/>
  <c r="Z340" i="3"/>
  <c r="AA340" i="3"/>
  <c r="AB340" i="3"/>
  <c r="AC340" i="3"/>
  <c r="X341" i="3"/>
  <c r="Y341" i="3"/>
  <c r="Z341" i="3"/>
  <c r="AA341" i="3"/>
  <c r="AB341" i="3"/>
  <c r="AC341" i="3"/>
  <c r="X342" i="3"/>
  <c r="Y342" i="3"/>
  <c r="Z342" i="3"/>
  <c r="AA342" i="3"/>
  <c r="AB342" i="3"/>
  <c r="AC342" i="3"/>
  <c r="X343" i="3"/>
  <c r="Y343" i="3"/>
  <c r="Z343" i="3"/>
  <c r="AA343" i="3"/>
  <c r="AB343" i="3"/>
  <c r="AC343" i="3"/>
  <c r="X344" i="3"/>
  <c r="Y344" i="3"/>
  <c r="Z344" i="3"/>
  <c r="AA344" i="3"/>
  <c r="AB344" i="3"/>
  <c r="AC344" i="3"/>
  <c r="X345" i="3"/>
  <c r="Y345" i="3"/>
  <c r="Z345" i="3"/>
  <c r="AA345" i="3"/>
  <c r="AB345" i="3"/>
  <c r="AC345" i="3"/>
  <c r="X346" i="3"/>
  <c r="Y346" i="3"/>
  <c r="Z346" i="3"/>
  <c r="AA346" i="3"/>
  <c r="AB346" i="3"/>
  <c r="AC346" i="3"/>
  <c r="X347" i="3"/>
  <c r="Y347" i="3"/>
  <c r="Z347" i="3"/>
  <c r="AA347" i="3"/>
  <c r="AB347" i="3"/>
  <c r="AC347" i="3"/>
  <c r="X348" i="3"/>
  <c r="Y348" i="3"/>
  <c r="Z348" i="3"/>
  <c r="AA348" i="3"/>
  <c r="AB348" i="3"/>
  <c r="AC348" i="3"/>
  <c r="X349" i="3"/>
  <c r="Y349" i="3"/>
  <c r="Z349" i="3"/>
  <c r="AA349" i="3"/>
  <c r="AB349" i="3"/>
  <c r="AC349" i="3"/>
  <c r="X350" i="3"/>
  <c r="Y350" i="3"/>
  <c r="Z350" i="3"/>
  <c r="AA350" i="3"/>
  <c r="AB350" i="3"/>
  <c r="AC350" i="3"/>
  <c r="X351" i="3"/>
  <c r="Y351" i="3"/>
  <c r="Z351" i="3"/>
  <c r="AA351" i="3"/>
  <c r="AB351" i="3"/>
  <c r="AC351" i="3"/>
  <c r="X352" i="3"/>
  <c r="Y352" i="3"/>
  <c r="Z352" i="3"/>
  <c r="AA352" i="3"/>
  <c r="AB352" i="3"/>
  <c r="AC352" i="3"/>
  <c r="X353" i="3"/>
  <c r="Y353" i="3"/>
  <c r="Z353" i="3"/>
  <c r="AA353" i="3"/>
  <c r="AB353" i="3"/>
  <c r="AC353" i="3"/>
  <c r="X354" i="3"/>
  <c r="Y354" i="3"/>
  <c r="Z354" i="3"/>
  <c r="AA354" i="3"/>
  <c r="AB354" i="3"/>
  <c r="AC354" i="3"/>
  <c r="X355" i="3"/>
  <c r="Y355" i="3"/>
  <c r="Z355" i="3"/>
  <c r="AA355" i="3"/>
  <c r="AB355" i="3"/>
  <c r="AC355" i="3"/>
  <c r="X356" i="3"/>
  <c r="Y356" i="3"/>
  <c r="Z356" i="3"/>
  <c r="AA356" i="3"/>
  <c r="AB356" i="3"/>
  <c r="AC356" i="3"/>
  <c r="X357" i="3"/>
  <c r="Y357" i="3"/>
  <c r="Z357" i="3"/>
  <c r="AA357" i="3"/>
  <c r="AB357" i="3"/>
  <c r="AC357" i="3"/>
  <c r="X358" i="3"/>
  <c r="Y358" i="3"/>
  <c r="Z358" i="3"/>
  <c r="AA358" i="3"/>
  <c r="AB358" i="3"/>
  <c r="AC358" i="3"/>
  <c r="X359" i="3"/>
  <c r="Y359" i="3"/>
  <c r="Z359" i="3"/>
  <c r="AA359" i="3"/>
  <c r="AB359" i="3"/>
  <c r="AC359" i="3"/>
  <c r="X360" i="3"/>
  <c r="Y360" i="3"/>
  <c r="Z360" i="3"/>
  <c r="AA360" i="3"/>
  <c r="AB360" i="3"/>
  <c r="AC360" i="3"/>
  <c r="X361" i="3"/>
  <c r="Y361" i="3"/>
  <c r="Z361" i="3"/>
  <c r="AA361" i="3"/>
  <c r="AB361" i="3"/>
  <c r="AC361" i="3"/>
  <c r="X362" i="3"/>
  <c r="Y362" i="3"/>
  <c r="Z362" i="3"/>
  <c r="AA362" i="3"/>
  <c r="AB362" i="3"/>
  <c r="AC362" i="3"/>
  <c r="X363" i="3"/>
  <c r="Y363" i="3"/>
  <c r="Z363" i="3"/>
  <c r="AA363" i="3"/>
  <c r="AB363" i="3"/>
  <c r="AC363" i="3"/>
  <c r="X364" i="3"/>
  <c r="Y364" i="3"/>
  <c r="Z364" i="3"/>
  <c r="AA364" i="3"/>
  <c r="AB364" i="3"/>
  <c r="AC364" i="3"/>
  <c r="X365" i="3"/>
  <c r="Y365" i="3"/>
  <c r="Z365" i="3"/>
  <c r="AA365" i="3"/>
  <c r="AB365" i="3"/>
  <c r="AC365" i="3"/>
  <c r="X366" i="3"/>
  <c r="Y366" i="3"/>
  <c r="Z366" i="3"/>
  <c r="AA366" i="3"/>
  <c r="AB366" i="3"/>
  <c r="AC366" i="3"/>
  <c r="X367" i="3"/>
  <c r="Y367" i="3"/>
  <c r="Z367" i="3"/>
  <c r="AA367" i="3"/>
  <c r="AB367" i="3"/>
  <c r="AC367" i="3"/>
  <c r="X368" i="3"/>
  <c r="Y368" i="3"/>
  <c r="Z368" i="3"/>
  <c r="AA368" i="3"/>
  <c r="AB368" i="3"/>
  <c r="AC368" i="3"/>
  <c r="X369" i="3"/>
  <c r="Y369" i="3"/>
  <c r="Z369" i="3"/>
  <c r="AA369" i="3"/>
  <c r="AB369" i="3"/>
  <c r="AC369" i="3"/>
  <c r="X370" i="3"/>
  <c r="Y370" i="3"/>
  <c r="Z370" i="3"/>
  <c r="AA370" i="3"/>
  <c r="AB370" i="3"/>
  <c r="AC370" i="3"/>
  <c r="X371" i="3"/>
  <c r="Y371" i="3"/>
  <c r="Z371" i="3"/>
  <c r="AA371" i="3"/>
  <c r="AB371" i="3"/>
  <c r="AC371" i="3"/>
  <c r="X372" i="3"/>
  <c r="Y372" i="3"/>
  <c r="Z372" i="3"/>
  <c r="AA372" i="3"/>
  <c r="AB372" i="3"/>
  <c r="AC372" i="3"/>
  <c r="X373" i="3"/>
  <c r="Y373" i="3"/>
  <c r="Z373" i="3"/>
  <c r="AA373" i="3"/>
  <c r="AB373" i="3"/>
  <c r="AC373" i="3"/>
  <c r="X374" i="3"/>
  <c r="Y374" i="3"/>
  <c r="Z374" i="3"/>
  <c r="AA374" i="3"/>
  <c r="AB374" i="3"/>
  <c r="AC374" i="3"/>
  <c r="X375" i="3"/>
  <c r="Y375" i="3"/>
  <c r="Z375" i="3"/>
  <c r="AA375" i="3"/>
  <c r="AB375" i="3"/>
  <c r="AC375" i="3"/>
  <c r="X376" i="3"/>
  <c r="Y376" i="3"/>
  <c r="Z376" i="3"/>
  <c r="AA376" i="3"/>
  <c r="AB376" i="3"/>
  <c r="AC376" i="3"/>
  <c r="X377" i="3"/>
  <c r="Y377" i="3"/>
  <c r="Z377" i="3"/>
  <c r="AA377" i="3"/>
  <c r="AB377" i="3"/>
  <c r="AC377" i="3"/>
  <c r="X378" i="3"/>
  <c r="Y378" i="3"/>
  <c r="Z378" i="3"/>
  <c r="AA378" i="3"/>
  <c r="AB378" i="3"/>
  <c r="AC378" i="3"/>
  <c r="X379" i="3"/>
  <c r="Y379" i="3"/>
  <c r="Z379" i="3"/>
  <c r="AA379" i="3"/>
  <c r="AB379" i="3"/>
  <c r="AC379" i="3"/>
  <c r="X380" i="3"/>
  <c r="Y380" i="3"/>
  <c r="Z380" i="3"/>
  <c r="AA380" i="3"/>
  <c r="AB380" i="3"/>
  <c r="AC380" i="3"/>
  <c r="X381" i="3"/>
  <c r="Y381" i="3"/>
  <c r="Z381" i="3"/>
  <c r="AA381" i="3"/>
  <c r="AB381" i="3"/>
  <c r="AC381" i="3"/>
  <c r="X382" i="3"/>
  <c r="Y382" i="3"/>
  <c r="Z382" i="3"/>
  <c r="AA382" i="3"/>
  <c r="AB382" i="3"/>
  <c r="AC382" i="3"/>
  <c r="X383" i="3"/>
  <c r="Y383" i="3"/>
  <c r="Z383" i="3"/>
  <c r="AA383" i="3"/>
  <c r="AB383" i="3"/>
  <c r="AC383" i="3"/>
  <c r="X384" i="3"/>
  <c r="Y384" i="3"/>
  <c r="Z384" i="3"/>
  <c r="AA384" i="3"/>
  <c r="AB384" i="3"/>
  <c r="AC384" i="3"/>
  <c r="X385" i="3"/>
  <c r="Y385" i="3"/>
  <c r="Z385" i="3"/>
  <c r="AA385" i="3"/>
  <c r="AB385" i="3"/>
  <c r="AC385" i="3"/>
  <c r="X386" i="3"/>
  <c r="Y386" i="3"/>
  <c r="Z386" i="3"/>
  <c r="AA386" i="3"/>
  <c r="AB386" i="3"/>
  <c r="AC386" i="3"/>
  <c r="X387" i="3"/>
  <c r="Y387" i="3"/>
  <c r="Z387" i="3"/>
  <c r="AA387" i="3"/>
  <c r="AB387" i="3"/>
  <c r="AC387" i="3"/>
  <c r="X388" i="3"/>
  <c r="Y388" i="3"/>
  <c r="Z388" i="3"/>
  <c r="AA388" i="3"/>
  <c r="AB388" i="3"/>
  <c r="AC388" i="3"/>
  <c r="X389" i="3"/>
  <c r="Y389" i="3"/>
  <c r="Z389" i="3"/>
  <c r="AA389" i="3"/>
  <c r="AB389" i="3"/>
  <c r="AC389" i="3"/>
  <c r="X390" i="3"/>
  <c r="Y390" i="3"/>
  <c r="Z390" i="3"/>
  <c r="AA390" i="3"/>
  <c r="AB390" i="3"/>
  <c r="AC390" i="3"/>
  <c r="X391" i="3"/>
  <c r="Y391" i="3"/>
  <c r="Z391" i="3"/>
  <c r="AA391" i="3"/>
  <c r="AB391" i="3"/>
  <c r="AC391" i="3"/>
  <c r="X392" i="3"/>
  <c r="Y392" i="3"/>
  <c r="Z392" i="3"/>
  <c r="AA392" i="3"/>
  <c r="AB392" i="3"/>
  <c r="AC392" i="3"/>
  <c r="X393" i="3"/>
  <c r="Y393" i="3"/>
  <c r="Z393" i="3"/>
  <c r="AA393" i="3"/>
  <c r="AB393" i="3"/>
  <c r="AC393" i="3"/>
  <c r="X394" i="3"/>
  <c r="Y394" i="3"/>
  <c r="Z394" i="3"/>
  <c r="AA394" i="3"/>
  <c r="AB394" i="3"/>
  <c r="AC394" i="3"/>
  <c r="X395" i="3"/>
  <c r="Y395" i="3"/>
  <c r="Z395" i="3"/>
  <c r="AA395" i="3"/>
  <c r="AB395" i="3"/>
  <c r="AC395" i="3"/>
  <c r="X396" i="3"/>
  <c r="Y396" i="3"/>
  <c r="Z396" i="3"/>
  <c r="AA396" i="3"/>
  <c r="AB396" i="3"/>
  <c r="AC396" i="3"/>
  <c r="X397" i="3"/>
  <c r="Y397" i="3"/>
  <c r="Z397" i="3"/>
  <c r="AA397" i="3"/>
  <c r="AB397" i="3"/>
  <c r="AC397" i="3"/>
  <c r="X398" i="3"/>
  <c r="Y398" i="3"/>
  <c r="Z398" i="3"/>
  <c r="AA398" i="3"/>
  <c r="AB398" i="3"/>
  <c r="AC398" i="3"/>
  <c r="X399" i="3"/>
  <c r="Y399" i="3"/>
  <c r="Z399" i="3"/>
  <c r="AA399" i="3"/>
  <c r="AB399" i="3"/>
  <c r="AC399" i="3"/>
  <c r="X400" i="3"/>
  <c r="Y400" i="3"/>
  <c r="Z400" i="3"/>
  <c r="AA400" i="3"/>
  <c r="AB400" i="3"/>
  <c r="AC400" i="3"/>
  <c r="X401" i="3"/>
  <c r="Y401" i="3"/>
  <c r="Z401" i="3"/>
  <c r="AA401" i="3"/>
  <c r="AB401" i="3"/>
  <c r="AC401" i="3"/>
  <c r="X402" i="3"/>
  <c r="Y402" i="3"/>
  <c r="Z402" i="3"/>
  <c r="AA402" i="3"/>
  <c r="AB402" i="3"/>
  <c r="AC402" i="3"/>
  <c r="X403" i="3"/>
  <c r="Y403" i="3"/>
  <c r="Z403" i="3"/>
  <c r="AA403" i="3"/>
  <c r="AB403" i="3"/>
  <c r="AC403" i="3"/>
  <c r="X404" i="3"/>
  <c r="Y404" i="3"/>
  <c r="Z404" i="3"/>
  <c r="AA404" i="3"/>
  <c r="AB404" i="3"/>
  <c r="AC404" i="3"/>
  <c r="X405" i="3"/>
  <c r="Y405" i="3"/>
  <c r="Z405" i="3"/>
  <c r="AA405" i="3"/>
  <c r="AB405" i="3"/>
  <c r="AC405" i="3"/>
  <c r="X406" i="3"/>
  <c r="Y406" i="3"/>
  <c r="Z406" i="3"/>
  <c r="AA406" i="3"/>
  <c r="AB406" i="3"/>
  <c r="AC406" i="3"/>
  <c r="X407" i="3"/>
  <c r="Y407" i="3"/>
  <c r="Z407" i="3"/>
  <c r="AA407" i="3"/>
  <c r="AB407" i="3"/>
  <c r="AC407" i="3"/>
  <c r="X408" i="3"/>
  <c r="Y408" i="3"/>
  <c r="Z408" i="3"/>
  <c r="AA408" i="3"/>
  <c r="AB408" i="3"/>
  <c r="AC408" i="3"/>
  <c r="X409" i="3"/>
  <c r="Y409" i="3"/>
  <c r="Z409" i="3"/>
  <c r="AA409" i="3"/>
  <c r="AB409" i="3"/>
  <c r="AC409" i="3"/>
  <c r="X410" i="3"/>
  <c r="Y410" i="3"/>
  <c r="Z410" i="3"/>
  <c r="AA410" i="3"/>
  <c r="AB410" i="3"/>
  <c r="AC410" i="3"/>
  <c r="X411" i="3"/>
  <c r="Y411" i="3"/>
  <c r="Z411" i="3"/>
  <c r="AA411" i="3"/>
  <c r="AB411" i="3"/>
  <c r="AC411" i="3"/>
  <c r="X412" i="3"/>
  <c r="Y412" i="3"/>
  <c r="Z412" i="3"/>
  <c r="AA412" i="3"/>
  <c r="AB412" i="3"/>
  <c r="AC412" i="3"/>
  <c r="X413" i="3"/>
  <c r="Y413" i="3"/>
  <c r="Z413" i="3"/>
  <c r="AA413" i="3"/>
  <c r="AB413" i="3"/>
  <c r="AC413" i="3"/>
  <c r="X414" i="3"/>
  <c r="Y414" i="3"/>
  <c r="Z414" i="3"/>
  <c r="AA414" i="3"/>
  <c r="AB414" i="3"/>
  <c r="AC414" i="3"/>
  <c r="X415" i="3"/>
  <c r="Y415" i="3"/>
  <c r="Z415" i="3"/>
  <c r="AA415" i="3"/>
  <c r="AB415" i="3"/>
  <c r="AC415" i="3"/>
  <c r="X416" i="3"/>
  <c r="Y416" i="3"/>
  <c r="Z416" i="3"/>
  <c r="AA416" i="3"/>
  <c r="AB416" i="3"/>
  <c r="AC416" i="3"/>
  <c r="X417" i="3"/>
  <c r="Y417" i="3"/>
  <c r="Z417" i="3"/>
  <c r="AA417" i="3"/>
  <c r="AB417" i="3"/>
  <c r="AC417" i="3"/>
  <c r="X418" i="3"/>
  <c r="Y418" i="3"/>
  <c r="Z418" i="3"/>
  <c r="AA418" i="3"/>
  <c r="AB418" i="3"/>
  <c r="AC418" i="3"/>
  <c r="X419" i="3"/>
  <c r="Y419" i="3"/>
  <c r="Z419" i="3"/>
  <c r="AA419" i="3"/>
  <c r="AB419" i="3"/>
  <c r="AC419" i="3"/>
  <c r="X420" i="3"/>
  <c r="Y420" i="3"/>
  <c r="Z420" i="3"/>
  <c r="AA420" i="3"/>
  <c r="AB420" i="3"/>
  <c r="AC420" i="3"/>
  <c r="X421" i="3"/>
  <c r="Y421" i="3"/>
  <c r="Z421" i="3"/>
  <c r="AA421" i="3"/>
  <c r="AB421" i="3"/>
  <c r="AC421" i="3"/>
  <c r="X422" i="3"/>
  <c r="Y422" i="3"/>
  <c r="Z422" i="3"/>
  <c r="AA422" i="3"/>
  <c r="AB422" i="3"/>
  <c r="AC422" i="3"/>
  <c r="X423" i="3"/>
  <c r="Y423" i="3"/>
  <c r="Z423" i="3"/>
  <c r="AA423" i="3"/>
  <c r="AB423" i="3"/>
  <c r="AC423" i="3"/>
  <c r="X424" i="3"/>
  <c r="Y424" i="3"/>
  <c r="Z424" i="3"/>
  <c r="AA424" i="3"/>
  <c r="AB424" i="3"/>
  <c r="AC424" i="3"/>
  <c r="X425" i="3"/>
  <c r="Y425" i="3"/>
  <c r="Z425" i="3"/>
  <c r="AA425" i="3"/>
  <c r="AB425" i="3"/>
  <c r="AC425" i="3"/>
  <c r="X426" i="3"/>
  <c r="Y426" i="3"/>
  <c r="Z426" i="3"/>
  <c r="AA426" i="3"/>
  <c r="AB426" i="3"/>
  <c r="AC426" i="3"/>
  <c r="X427" i="3"/>
  <c r="Y427" i="3"/>
  <c r="Z427" i="3"/>
  <c r="AA427" i="3"/>
  <c r="AB427" i="3"/>
  <c r="AC427" i="3"/>
  <c r="X428" i="3"/>
  <c r="Y428" i="3"/>
  <c r="Z428" i="3"/>
  <c r="AA428" i="3"/>
  <c r="AB428" i="3"/>
  <c r="AC428" i="3"/>
  <c r="X429" i="3"/>
  <c r="Y429" i="3"/>
  <c r="Z429" i="3"/>
  <c r="AA429" i="3"/>
  <c r="AB429" i="3"/>
  <c r="AC429" i="3"/>
  <c r="X430" i="3"/>
  <c r="Y430" i="3"/>
  <c r="Z430" i="3"/>
  <c r="AA430" i="3"/>
  <c r="AB430" i="3"/>
  <c r="AC430" i="3"/>
  <c r="X431" i="3"/>
  <c r="Y431" i="3"/>
  <c r="Z431" i="3"/>
  <c r="AA431" i="3"/>
  <c r="AB431" i="3"/>
  <c r="AC431" i="3"/>
  <c r="X432" i="3"/>
  <c r="Y432" i="3"/>
  <c r="Z432" i="3"/>
  <c r="AA432" i="3"/>
  <c r="AB432" i="3"/>
  <c r="AC432" i="3"/>
  <c r="X433" i="3"/>
  <c r="Y433" i="3"/>
  <c r="Z433" i="3"/>
  <c r="AA433" i="3"/>
  <c r="AB433" i="3"/>
  <c r="AC433" i="3"/>
  <c r="X434" i="3"/>
  <c r="Y434" i="3"/>
  <c r="Z434" i="3"/>
  <c r="AA434" i="3"/>
  <c r="AB434" i="3"/>
  <c r="AC434" i="3"/>
  <c r="X435" i="3"/>
  <c r="Y435" i="3"/>
  <c r="Z435" i="3"/>
  <c r="AA435" i="3"/>
  <c r="AB435" i="3"/>
  <c r="AC435" i="3"/>
  <c r="X436" i="3"/>
  <c r="Y436" i="3"/>
  <c r="Z436" i="3"/>
  <c r="AA436" i="3"/>
  <c r="AB436" i="3"/>
  <c r="AC436" i="3"/>
  <c r="X437" i="3"/>
  <c r="Y437" i="3"/>
  <c r="Z437" i="3"/>
  <c r="AA437" i="3"/>
  <c r="AB437" i="3"/>
  <c r="AC437" i="3"/>
  <c r="X438" i="3"/>
  <c r="Y438" i="3"/>
  <c r="Z438" i="3"/>
  <c r="AA438" i="3"/>
  <c r="AB438" i="3"/>
  <c r="AC438" i="3"/>
  <c r="X439" i="3"/>
  <c r="Y439" i="3"/>
  <c r="Z439" i="3"/>
  <c r="AA439" i="3"/>
  <c r="AB439" i="3"/>
  <c r="AC439" i="3"/>
  <c r="X440" i="3"/>
  <c r="Y440" i="3"/>
  <c r="Z440" i="3"/>
  <c r="AA440" i="3"/>
  <c r="AB440" i="3"/>
  <c r="AC440" i="3"/>
  <c r="X441" i="3"/>
  <c r="Y441" i="3"/>
  <c r="Z441" i="3"/>
  <c r="AA441" i="3"/>
  <c r="AB441" i="3"/>
  <c r="AC441" i="3"/>
  <c r="X442" i="3"/>
  <c r="Y442" i="3"/>
  <c r="Z442" i="3"/>
  <c r="AA442" i="3"/>
  <c r="AB442" i="3"/>
  <c r="AC442" i="3"/>
  <c r="X443" i="3"/>
  <c r="Y443" i="3"/>
  <c r="Z443" i="3"/>
  <c r="AA443" i="3"/>
  <c r="AB443" i="3"/>
  <c r="AC443" i="3"/>
  <c r="X444" i="3"/>
  <c r="Y444" i="3"/>
  <c r="Z444" i="3"/>
  <c r="AA444" i="3"/>
  <c r="AB444" i="3"/>
  <c r="AC444" i="3"/>
  <c r="X445" i="3"/>
  <c r="Y445" i="3"/>
  <c r="Z445" i="3"/>
  <c r="AA445" i="3"/>
  <c r="AB445" i="3"/>
  <c r="AC445" i="3"/>
  <c r="X446" i="3"/>
  <c r="Y446" i="3"/>
  <c r="Z446" i="3"/>
  <c r="AA446" i="3"/>
  <c r="AB446" i="3"/>
  <c r="AC446" i="3"/>
  <c r="X447" i="3"/>
  <c r="Y447" i="3"/>
  <c r="Z447" i="3"/>
  <c r="AA447" i="3"/>
  <c r="AB447" i="3"/>
  <c r="AC447" i="3"/>
  <c r="X448" i="3"/>
  <c r="Y448" i="3"/>
  <c r="Z448" i="3"/>
  <c r="AA448" i="3"/>
  <c r="AB448" i="3"/>
  <c r="AC448" i="3"/>
  <c r="X449" i="3"/>
  <c r="Y449" i="3"/>
  <c r="Z449" i="3"/>
  <c r="AA449" i="3"/>
  <c r="AB449" i="3"/>
  <c r="AC449" i="3"/>
  <c r="X450" i="3"/>
  <c r="Y450" i="3"/>
  <c r="Z450" i="3"/>
  <c r="AA450" i="3"/>
  <c r="AB450" i="3"/>
  <c r="AC450" i="3"/>
  <c r="X451" i="3"/>
  <c r="Y451" i="3"/>
  <c r="Z451" i="3"/>
  <c r="AA451" i="3"/>
  <c r="AB451" i="3"/>
  <c r="AC451" i="3"/>
  <c r="X452" i="3"/>
  <c r="Y452" i="3"/>
  <c r="Z452" i="3"/>
  <c r="AA452" i="3"/>
  <c r="AB452" i="3"/>
  <c r="AC452" i="3"/>
  <c r="X453" i="3"/>
  <c r="Y453" i="3"/>
  <c r="Z453" i="3"/>
  <c r="AA453" i="3"/>
  <c r="AB453" i="3"/>
  <c r="AC453" i="3"/>
  <c r="X454" i="3"/>
  <c r="Y454" i="3"/>
  <c r="Z454" i="3"/>
  <c r="AA454" i="3"/>
  <c r="AB454" i="3"/>
  <c r="AC454" i="3"/>
  <c r="X455" i="3"/>
  <c r="Y455" i="3"/>
  <c r="Z455" i="3"/>
  <c r="AA455" i="3"/>
  <c r="AB455" i="3"/>
  <c r="AC455" i="3"/>
  <c r="X456" i="3"/>
  <c r="Y456" i="3"/>
  <c r="Z456" i="3"/>
  <c r="AA456" i="3"/>
  <c r="AB456" i="3"/>
  <c r="AC456" i="3"/>
  <c r="X457" i="3"/>
  <c r="Y457" i="3"/>
  <c r="Z457" i="3"/>
  <c r="AA457" i="3"/>
  <c r="AB457" i="3"/>
  <c r="AC457" i="3"/>
  <c r="X458" i="3"/>
  <c r="Y458" i="3"/>
  <c r="Z458" i="3"/>
  <c r="AA458" i="3"/>
  <c r="AB458" i="3"/>
  <c r="AC458" i="3"/>
  <c r="X459" i="3"/>
  <c r="Y459" i="3"/>
  <c r="Z459" i="3"/>
  <c r="AA459" i="3"/>
  <c r="AB459" i="3"/>
  <c r="AC459" i="3"/>
  <c r="X460" i="3"/>
  <c r="Y460" i="3"/>
  <c r="Z460" i="3"/>
  <c r="AA460" i="3"/>
  <c r="AB460" i="3"/>
  <c r="AC460" i="3"/>
  <c r="X461" i="3"/>
  <c r="Y461" i="3"/>
  <c r="Z461" i="3"/>
  <c r="AA461" i="3"/>
  <c r="AB461" i="3"/>
  <c r="AC461" i="3"/>
  <c r="X462" i="3"/>
  <c r="Y462" i="3"/>
  <c r="Z462" i="3"/>
  <c r="AA462" i="3"/>
  <c r="AB462" i="3"/>
  <c r="AC462" i="3"/>
  <c r="X463" i="3"/>
  <c r="Y463" i="3"/>
  <c r="Z463" i="3"/>
  <c r="AA463" i="3"/>
  <c r="AB463" i="3"/>
  <c r="AC463" i="3"/>
  <c r="X464" i="3"/>
  <c r="Y464" i="3"/>
  <c r="Z464" i="3"/>
  <c r="AA464" i="3"/>
  <c r="AB464" i="3"/>
  <c r="AC464" i="3"/>
  <c r="X465" i="3"/>
  <c r="Y465" i="3"/>
  <c r="Z465" i="3"/>
  <c r="AA465" i="3"/>
  <c r="AB465" i="3"/>
  <c r="AC465" i="3"/>
  <c r="X466" i="3"/>
  <c r="Y466" i="3"/>
  <c r="Z466" i="3"/>
  <c r="AA466" i="3"/>
  <c r="AB466" i="3"/>
  <c r="AC466" i="3"/>
  <c r="X467" i="3"/>
  <c r="Y467" i="3"/>
  <c r="Z467" i="3"/>
  <c r="AA467" i="3"/>
  <c r="AB467" i="3"/>
  <c r="AC467" i="3"/>
  <c r="X468" i="3"/>
  <c r="Y468" i="3"/>
  <c r="Z468" i="3"/>
  <c r="AA468" i="3"/>
  <c r="AB468" i="3"/>
  <c r="AC468" i="3"/>
  <c r="X469" i="3"/>
  <c r="Y469" i="3"/>
  <c r="Z469" i="3"/>
  <c r="AA469" i="3"/>
  <c r="AB469" i="3"/>
  <c r="AC469" i="3"/>
  <c r="X470" i="3"/>
  <c r="Y470" i="3"/>
  <c r="Z470" i="3"/>
  <c r="AA470" i="3"/>
  <c r="AB470" i="3"/>
  <c r="AC470" i="3"/>
  <c r="X471" i="3"/>
  <c r="Y471" i="3"/>
  <c r="Z471" i="3"/>
  <c r="AA471" i="3"/>
  <c r="AB471" i="3"/>
  <c r="AC471" i="3"/>
  <c r="X472" i="3"/>
  <c r="Y472" i="3"/>
  <c r="Z472" i="3"/>
  <c r="AA472" i="3"/>
  <c r="AB472" i="3"/>
  <c r="AC472" i="3"/>
  <c r="X473" i="3"/>
  <c r="Y473" i="3"/>
  <c r="Z473" i="3"/>
  <c r="AA473" i="3"/>
  <c r="AB473" i="3"/>
  <c r="AC473" i="3"/>
  <c r="X474" i="3"/>
  <c r="Y474" i="3"/>
  <c r="Z474" i="3"/>
  <c r="AA474" i="3"/>
  <c r="AB474" i="3"/>
  <c r="AC474" i="3"/>
  <c r="X475" i="3"/>
  <c r="Y475" i="3"/>
  <c r="Z475" i="3"/>
  <c r="AA475" i="3"/>
  <c r="AB475" i="3"/>
  <c r="AC475" i="3"/>
  <c r="X476" i="3"/>
  <c r="Y476" i="3"/>
  <c r="Z476" i="3"/>
  <c r="AA476" i="3"/>
  <c r="AB476" i="3"/>
  <c r="AC476" i="3"/>
  <c r="X477" i="3"/>
  <c r="Y477" i="3"/>
  <c r="Z477" i="3"/>
  <c r="AA477" i="3"/>
  <c r="AB477" i="3"/>
  <c r="AC477" i="3"/>
  <c r="X478" i="3"/>
  <c r="Y478" i="3"/>
  <c r="Z478" i="3"/>
  <c r="AA478" i="3"/>
  <c r="AB478" i="3"/>
  <c r="AC478" i="3"/>
  <c r="X479" i="3"/>
  <c r="Y479" i="3"/>
  <c r="Z479" i="3"/>
  <c r="AA479" i="3"/>
  <c r="AB479" i="3"/>
  <c r="AC479" i="3"/>
  <c r="X480" i="3"/>
  <c r="Y480" i="3"/>
  <c r="Z480" i="3"/>
  <c r="AA480" i="3"/>
  <c r="AB480" i="3"/>
  <c r="AC480" i="3"/>
  <c r="X481" i="3"/>
  <c r="Y481" i="3"/>
  <c r="Z481" i="3"/>
  <c r="AA481" i="3"/>
  <c r="AB481" i="3"/>
  <c r="AC481" i="3"/>
  <c r="X482" i="3"/>
  <c r="Y482" i="3"/>
  <c r="Z482" i="3"/>
  <c r="AA482" i="3"/>
  <c r="AB482" i="3"/>
  <c r="AC482" i="3"/>
  <c r="X483" i="3"/>
  <c r="Y483" i="3"/>
  <c r="Z483" i="3"/>
  <c r="AA483" i="3"/>
  <c r="AB483" i="3"/>
  <c r="AC483" i="3"/>
  <c r="X484" i="3"/>
  <c r="Y484" i="3"/>
  <c r="Z484" i="3"/>
  <c r="AA484" i="3"/>
  <c r="AB484" i="3"/>
  <c r="AC484" i="3"/>
  <c r="X485" i="3"/>
  <c r="Y485" i="3"/>
  <c r="Z485" i="3"/>
  <c r="AA485" i="3"/>
  <c r="AB485" i="3"/>
  <c r="AC485" i="3"/>
  <c r="X486" i="3"/>
  <c r="Y486" i="3"/>
  <c r="Z486" i="3"/>
  <c r="AA486" i="3"/>
  <c r="AB486" i="3"/>
  <c r="AC486" i="3"/>
  <c r="X487" i="3"/>
  <c r="Y487" i="3"/>
  <c r="Z487" i="3"/>
  <c r="AA487" i="3"/>
  <c r="AB487" i="3"/>
  <c r="AC487" i="3"/>
  <c r="X488" i="3"/>
  <c r="Y488" i="3"/>
  <c r="Z488" i="3"/>
  <c r="AA488" i="3"/>
  <c r="AB488" i="3"/>
  <c r="AC488" i="3"/>
  <c r="X489" i="3"/>
  <c r="Y489" i="3"/>
  <c r="Z489" i="3"/>
  <c r="AA489" i="3"/>
  <c r="AB489" i="3"/>
  <c r="AC489" i="3"/>
  <c r="X490" i="3"/>
  <c r="Y490" i="3"/>
  <c r="Z490" i="3"/>
  <c r="AA490" i="3"/>
  <c r="AB490" i="3"/>
  <c r="AC490" i="3"/>
  <c r="X491" i="3"/>
  <c r="Y491" i="3"/>
  <c r="Z491" i="3"/>
  <c r="AA491" i="3"/>
  <c r="AB491" i="3"/>
  <c r="AC491" i="3"/>
  <c r="X492" i="3"/>
  <c r="Y492" i="3"/>
  <c r="Z492" i="3"/>
  <c r="AA492" i="3"/>
  <c r="AB492" i="3"/>
  <c r="AC492" i="3"/>
  <c r="X493" i="3"/>
  <c r="Y493" i="3"/>
  <c r="Z493" i="3"/>
  <c r="AA493" i="3"/>
  <c r="AB493" i="3"/>
  <c r="AC493" i="3"/>
  <c r="X494" i="3"/>
  <c r="Y494" i="3"/>
  <c r="Z494" i="3"/>
  <c r="AA494" i="3"/>
  <c r="AB494" i="3"/>
  <c r="AC494" i="3"/>
  <c r="X495" i="3"/>
  <c r="Y495" i="3"/>
  <c r="Z495" i="3"/>
  <c r="AA495" i="3"/>
  <c r="AB495" i="3"/>
  <c r="AC495" i="3"/>
  <c r="X496" i="3"/>
  <c r="Y496" i="3"/>
  <c r="Z496" i="3"/>
  <c r="AA496" i="3"/>
  <c r="AB496" i="3"/>
  <c r="AC496" i="3"/>
  <c r="X497" i="3"/>
  <c r="Y497" i="3"/>
  <c r="Z497" i="3"/>
  <c r="AA497" i="3"/>
  <c r="AB497" i="3"/>
  <c r="AC497" i="3"/>
  <c r="X498" i="3"/>
  <c r="Y498" i="3"/>
  <c r="Z498" i="3"/>
  <c r="AA498" i="3"/>
  <c r="AB498" i="3"/>
  <c r="AC498" i="3"/>
  <c r="X499" i="3"/>
  <c r="Y499" i="3"/>
  <c r="Z499" i="3"/>
  <c r="AA499" i="3"/>
  <c r="AB499" i="3"/>
  <c r="AC499" i="3"/>
  <c r="X500" i="3"/>
  <c r="Y500" i="3"/>
  <c r="Z500" i="3"/>
  <c r="AA500" i="3"/>
  <c r="AB500" i="3"/>
  <c r="AC500" i="3"/>
  <c r="X501" i="3"/>
  <c r="Y501" i="3"/>
  <c r="Z501" i="3"/>
  <c r="AA501" i="3"/>
  <c r="AB501" i="3"/>
  <c r="AC501" i="3"/>
  <c r="X502" i="3"/>
  <c r="Y502" i="3"/>
  <c r="Z502" i="3"/>
  <c r="AA502" i="3"/>
  <c r="AB502" i="3"/>
  <c r="AC502" i="3"/>
  <c r="X503" i="3"/>
  <c r="Y503" i="3"/>
  <c r="Z503" i="3"/>
  <c r="AA503" i="3"/>
  <c r="AB503" i="3"/>
  <c r="AC503" i="3"/>
  <c r="X504" i="3"/>
  <c r="Y504" i="3"/>
  <c r="Z504" i="3"/>
  <c r="AA504" i="3"/>
  <c r="AB504" i="3"/>
  <c r="AC504" i="3"/>
  <c r="X505" i="3"/>
  <c r="Y505" i="3"/>
  <c r="Z505" i="3"/>
  <c r="AA505" i="3"/>
  <c r="AB505" i="3"/>
  <c r="AC505" i="3"/>
  <c r="X506" i="3"/>
  <c r="Y506" i="3"/>
  <c r="Z506" i="3"/>
  <c r="AA506" i="3"/>
  <c r="AB506" i="3"/>
  <c r="AC506" i="3"/>
  <c r="X507" i="3"/>
  <c r="Y507" i="3"/>
  <c r="Z507" i="3"/>
  <c r="AA507" i="3"/>
  <c r="AB507" i="3"/>
  <c r="AC507" i="3"/>
  <c r="X508" i="3"/>
  <c r="Y508" i="3"/>
  <c r="Z508" i="3"/>
  <c r="AA508" i="3"/>
  <c r="AB508" i="3"/>
  <c r="AC508" i="3"/>
  <c r="X509" i="3"/>
  <c r="Y509" i="3"/>
  <c r="Z509" i="3"/>
  <c r="AA509" i="3"/>
  <c r="AB509" i="3"/>
  <c r="AC509" i="3"/>
  <c r="X510" i="3"/>
  <c r="Y510" i="3"/>
  <c r="Z510" i="3"/>
  <c r="AA510" i="3"/>
  <c r="AB510" i="3"/>
  <c r="AC510" i="3"/>
  <c r="X511" i="3"/>
  <c r="Y511" i="3"/>
  <c r="Z511" i="3"/>
  <c r="AA511" i="3"/>
  <c r="AB511" i="3"/>
  <c r="AC511" i="3"/>
  <c r="X512" i="3"/>
  <c r="Y512" i="3"/>
  <c r="Z512" i="3"/>
  <c r="AA512" i="3"/>
  <c r="AB512" i="3"/>
  <c r="AC512" i="3"/>
  <c r="X513" i="3"/>
  <c r="Y513" i="3"/>
  <c r="Z513" i="3"/>
  <c r="AA513" i="3"/>
  <c r="AB513" i="3"/>
  <c r="AC513" i="3"/>
  <c r="X514" i="3"/>
  <c r="Y514" i="3"/>
  <c r="Z514" i="3"/>
  <c r="AA514" i="3"/>
  <c r="AB514" i="3"/>
  <c r="AC514" i="3"/>
  <c r="X515" i="3"/>
  <c r="Y515" i="3"/>
  <c r="Z515" i="3"/>
  <c r="AA515" i="3"/>
  <c r="AB515" i="3"/>
  <c r="AC515" i="3"/>
  <c r="X516" i="3"/>
  <c r="Y516" i="3"/>
  <c r="Z516" i="3"/>
  <c r="AA516" i="3"/>
  <c r="AB516" i="3"/>
  <c r="AC516" i="3"/>
  <c r="X517" i="3"/>
  <c r="Y517" i="3"/>
  <c r="Z517" i="3"/>
  <c r="AA517" i="3"/>
  <c r="AB517" i="3"/>
  <c r="AC517" i="3"/>
  <c r="X518" i="3"/>
  <c r="Y518" i="3"/>
  <c r="Z518" i="3"/>
  <c r="AA518" i="3"/>
  <c r="AB518" i="3"/>
  <c r="AC518" i="3"/>
  <c r="X519" i="3"/>
  <c r="Y519" i="3"/>
  <c r="Z519" i="3"/>
  <c r="AA519" i="3"/>
  <c r="AB519" i="3"/>
  <c r="AC519" i="3"/>
  <c r="X520" i="3"/>
  <c r="Y520" i="3"/>
  <c r="Z520" i="3"/>
  <c r="AA520" i="3"/>
  <c r="AB520" i="3"/>
  <c r="AC520" i="3"/>
  <c r="X521" i="3"/>
  <c r="Y521" i="3"/>
  <c r="Z521" i="3"/>
  <c r="AA521" i="3"/>
  <c r="AB521" i="3"/>
  <c r="AC521" i="3"/>
  <c r="X522" i="3"/>
  <c r="Y522" i="3"/>
  <c r="Z522" i="3"/>
  <c r="AA522" i="3"/>
  <c r="AB522" i="3"/>
  <c r="AC522" i="3"/>
  <c r="X523" i="3"/>
  <c r="Y523" i="3"/>
  <c r="Z523" i="3"/>
  <c r="AA523" i="3"/>
  <c r="AB523" i="3"/>
  <c r="AC523" i="3"/>
  <c r="X524" i="3"/>
  <c r="Y524" i="3"/>
  <c r="Z524" i="3"/>
  <c r="AA524" i="3"/>
  <c r="AB524" i="3"/>
  <c r="AC524" i="3"/>
  <c r="X525" i="3"/>
  <c r="Y525" i="3"/>
  <c r="Z525" i="3"/>
  <c r="AA525" i="3"/>
  <c r="AB525" i="3"/>
  <c r="AC525" i="3"/>
  <c r="X526" i="3"/>
  <c r="Y526" i="3"/>
  <c r="Z526" i="3"/>
  <c r="AA526" i="3"/>
  <c r="AB526" i="3"/>
  <c r="AC526" i="3"/>
  <c r="X527" i="3"/>
  <c r="Y527" i="3"/>
  <c r="Z527" i="3"/>
  <c r="AA527" i="3"/>
  <c r="AB527" i="3"/>
  <c r="AC527" i="3"/>
  <c r="X528" i="3"/>
  <c r="Y528" i="3"/>
  <c r="Z528" i="3"/>
  <c r="AA528" i="3"/>
  <c r="AB528" i="3"/>
  <c r="AC528" i="3"/>
  <c r="X529" i="3"/>
  <c r="Y529" i="3"/>
  <c r="Z529" i="3"/>
  <c r="AA529" i="3"/>
  <c r="AB529" i="3"/>
  <c r="AC529" i="3"/>
  <c r="X530" i="3"/>
  <c r="Y530" i="3"/>
  <c r="Z530" i="3"/>
  <c r="AA530" i="3"/>
  <c r="AB530" i="3"/>
  <c r="AC530" i="3"/>
  <c r="X531" i="3"/>
  <c r="Y531" i="3"/>
  <c r="Z531" i="3"/>
  <c r="AA531" i="3"/>
  <c r="AB531" i="3"/>
  <c r="AC531" i="3"/>
  <c r="X532" i="3"/>
  <c r="Y532" i="3"/>
  <c r="Z532" i="3"/>
  <c r="AA532" i="3"/>
  <c r="AB532" i="3"/>
  <c r="AC532" i="3"/>
  <c r="X533" i="3"/>
  <c r="Y533" i="3"/>
  <c r="Z533" i="3"/>
  <c r="AA533" i="3"/>
  <c r="AB533" i="3"/>
  <c r="AC533" i="3"/>
  <c r="X534" i="3"/>
  <c r="Y534" i="3"/>
  <c r="Z534" i="3"/>
  <c r="AA534" i="3"/>
  <c r="AB534" i="3"/>
  <c r="AC534" i="3"/>
  <c r="X535" i="3"/>
  <c r="Y535" i="3"/>
  <c r="Z535" i="3"/>
  <c r="AA535" i="3"/>
  <c r="AB535" i="3"/>
  <c r="AC535" i="3"/>
  <c r="X536" i="3"/>
  <c r="Y536" i="3"/>
  <c r="Z536" i="3"/>
  <c r="AA536" i="3"/>
  <c r="AB536" i="3"/>
  <c r="AC536" i="3"/>
  <c r="X537" i="3"/>
  <c r="Y537" i="3"/>
  <c r="Z537" i="3"/>
  <c r="AA537" i="3"/>
  <c r="AB537" i="3"/>
  <c r="AC537" i="3"/>
  <c r="X538" i="3"/>
  <c r="Y538" i="3"/>
  <c r="Z538" i="3"/>
  <c r="AA538" i="3"/>
  <c r="AB538" i="3"/>
  <c r="AC538" i="3"/>
  <c r="X539" i="3"/>
  <c r="Y539" i="3"/>
  <c r="Z539" i="3"/>
  <c r="AA539" i="3"/>
  <c r="AB539" i="3"/>
  <c r="AC539" i="3"/>
  <c r="X540" i="3"/>
  <c r="Y540" i="3"/>
  <c r="Z540" i="3"/>
  <c r="AA540" i="3"/>
  <c r="AB540" i="3"/>
  <c r="AC540" i="3"/>
  <c r="X541" i="3"/>
  <c r="Y541" i="3"/>
  <c r="Z541" i="3"/>
  <c r="AA541" i="3"/>
  <c r="AB541" i="3"/>
  <c r="AC541" i="3"/>
  <c r="X542" i="3"/>
  <c r="Y542" i="3"/>
  <c r="Z542" i="3"/>
  <c r="AA542" i="3"/>
  <c r="AB542" i="3"/>
  <c r="AC542" i="3"/>
  <c r="X543" i="3"/>
  <c r="Y543" i="3"/>
  <c r="Z543" i="3"/>
  <c r="AA543" i="3"/>
  <c r="AB543" i="3"/>
  <c r="AC543" i="3"/>
  <c r="X544" i="3"/>
  <c r="Y544" i="3"/>
  <c r="Z544" i="3"/>
  <c r="AA544" i="3"/>
  <c r="AB544" i="3"/>
  <c r="AC544" i="3"/>
  <c r="X545" i="3"/>
  <c r="Y545" i="3"/>
  <c r="Z545" i="3"/>
  <c r="AA545" i="3"/>
  <c r="AB545" i="3"/>
  <c r="AC545" i="3"/>
  <c r="X546" i="3"/>
  <c r="Y546" i="3"/>
  <c r="Z546" i="3"/>
  <c r="AA546" i="3"/>
  <c r="AB546" i="3"/>
  <c r="AC546" i="3"/>
  <c r="X547" i="3"/>
  <c r="Y547" i="3"/>
  <c r="Z547" i="3"/>
  <c r="AA547" i="3"/>
  <c r="AB547" i="3"/>
  <c r="AC547" i="3"/>
  <c r="X548" i="3"/>
  <c r="Y548" i="3"/>
  <c r="Z548" i="3"/>
  <c r="AA548" i="3"/>
  <c r="AB548" i="3"/>
  <c r="AC548" i="3"/>
  <c r="X549" i="3"/>
  <c r="Y549" i="3"/>
  <c r="Z549" i="3"/>
  <c r="AA549" i="3"/>
  <c r="AB549" i="3"/>
  <c r="AC549" i="3"/>
  <c r="X550" i="3"/>
  <c r="Y550" i="3"/>
  <c r="Z550" i="3"/>
  <c r="AA550" i="3"/>
  <c r="AB550" i="3"/>
  <c r="AC550" i="3"/>
  <c r="X551" i="3"/>
  <c r="Y551" i="3"/>
  <c r="Z551" i="3"/>
  <c r="AA551" i="3"/>
  <c r="AB551" i="3"/>
  <c r="AC551" i="3"/>
  <c r="X552" i="3"/>
  <c r="Y552" i="3"/>
  <c r="Z552" i="3"/>
  <c r="AA552" i="3"/>
  <c r="AB552" i="3"/>
  <c r="AC552" i="3"/>
  <c r="X553" i="3"/>
  <c r="Y553" i="3"/>
  <c r="Z553" i="3"/>
  <c r="AA553" i="3"/>
  <c r="AB553" i="3"/>
  <c r="AC553" i="3"/>
  <c r="X554" i="3"/>
  <c r="Y554" i="3"/>
  <c r="Z554" i="3"/>
  <c r="AA554" i="3"/>
  <c r="AB554" i="3"/>
  <c r="AC554" i="3"/>
  <c r="X555" i="3"/>
  <c r="Y555" i="3"/>
  <c r="Z555" i="3"/>
  <c r="AA555" i="3"/>
  <c r="AB555" i="3"/>
  <c r="AC555" i="3"/>
  <c r="X556" i="3"/>
  <c r="Y556" i="3"/>
  <c r="Z556" i="3"/>
  <c r="AA556" i="3"/>
  <c r="AB556" i="3"/>
  <c r="AC556" i="3"/>
  <c r="X557" i="3"/>
  <c r="Y557" i="3"/>
  <c r="Z557" i="3"/>
  <c r="AA557" i="3"/>
  <c r="AB557" i="3"/>
  <c r="AC557" i="3"/>
  <c r="X558" i="3"/>
  <c r="Y558" i="3"/>
  <c r="Z558" i="3"/>
  <c r="AA558" i="3"/>
  <c r="AB558" i="3"/>
  <c r="AC558" i="3"/>
  <c r="X559" i="3"/>
  <c r="Y559" i="3"/>
  <c r="Z559" i="3"/>
  <c r="AA559" i="3"/>
  <c r="AB559" i="3"/>
  <c r="AC559" i="3"/>
  <c r="X560" i="3"/>
  <c r="Y560" i="3"/>
  <c r="Z560" i="3"/>
  <c r="AA560" i="3"/>
  <c r="AB560" i="3"/>
  <c r="AC560" i="3"/>
  <c r="X561" i="3"/>
  <c r="Y561" i="3"/>
  <c r="Z561" i="3"/>
  <c r="AA561" i="3"/>
  <c r="AB561" i="3"/>
  <c r="AC561" i="3"/>
  <c r="X562" i="3"/>
  <c r="Y562" i="3"/>
  <c r="Z562" i="3"/>
  <c r="AA562" i="3"/>
  <c r="AB562" i="3"/>
  <c r="AC562" i="3"/>
  <c r="X563" i="3"/>
  <c r="Y563" i="3"/>
  <c r="Z563" i="3"/>
  <c r="AA563" i="3"/>
  <c r="AB563" i="3"/>
  <c r="AC563" i="3"/>
  <c r="X564" i="3"/>
  <c r="Y564" i="3"/>
  <c r="Z564" i="3"/>
  <c r="AA564" i="3"/>
  <c r="AB564" i="3"/>
  <c r="AC564" i="3"/>
  <c r="X565" i="3"/>
  <c r="Y565" i="3"/>
  <c r="Z565" i="3"/>
  <c r="AA565" i="3"/>
  <c r="AB565" i="3"/>
  <c r="AC565" i="3"/>
  <c r="X566" i="3"/>
  <c r="Y566" i="3"/>
  <c r="Z566" i="3"/>
  <c r="AA566" i="3"/>
  <c r="AB566" i="3"/>
  <c r="AC566" i="3"/>
  <c r="X567" i="3"/>
  <c r="Y567" i="3"/>
  <c r="Z567" i="3"/>
  <c r="AA567" i="3"/>
  <c r="AB567" i="3"/>
  <c r="AC567" i="3"/>
  <c r="X568" i="3"/>
  <c r="Y568" i="3"/>
  <c r="Z568" i="3"/>
  <c r="AA568" i="3"/>
  <c r="AB568" i="3"/>
  <c r="AC568" i="3"/>
  <c r="X569" i="3"/>
  <c r="Y569" i="3"/>
  <c r="Z569" i="3"/>
  <c r="AA569" i="3"/>
  <c r="AB569" i="3"/>
  <c r="AC569" i="3"/>
  <c r="X570" i="3"/>
  <c r="Y570" i="3"/>
  <c r="Z570" i="3"/>
  <c r="AA570" i="3"/>
  <c r="AB570" i="3"/>
  <c r="AC570" i="3"/>
  <c r="X571" i="3"/>
  <c r="Y571" i="3"/>
  <c r="Z571" i="3"/>
  <c r="AA571" i="3"/>
  <c r="AB571" i="3"/>
  <c r="AC571" i="3"/>
  <c r="X572" i="3"/>
  <c r="Y572" i="3"/>
  <c r="Z572" i="3"/>
  <c r="AA572" i="3"/>
  <c r="AB572" i="3"/>
  <c r="AC572" i="3"/>
  <c r="X573" i="3"/>
  <c r="Y573" i="3"/>
  <c r="Z573" i="3"/>
  <c r="AA573" i="3"/>
  <c r="AB573" i="3"/>
  <c r="AC573" i="3"/>
  <c r="X574" i="3"/>
  <c r="Y574" i="3"/>
  <c r="Z574" i="3"/>
  <c r="AA574" i="3"/>
  <c r="AB574" i="3"/>
  <c r="AC574" i="3"/>
  <c r="X575" i="3"/>
  <c r="Y575" i="3"/>
  <c r="Z575" i="3"/>
  <c r="AA575" i="3"/>
  <c r="AB575" i="3"/>
  <c r="AC575" i="3"/>
  <c r="X576" i="3"/>
  <c r="Y576" i="3"/>
  <c r="Z576" i="3"/>
  <c r="AA576" i="3"/>
  <c r="AB576" i="3"/>
  <c r="AC576" i="3"/>
  <c r="X577" i="3"/>
  <c r="Y577" i="3"/>
  <c r="Z577" i="3"/>
  <c r="AA577" i="3"/>
  <c r="AB577" i="3"/>
  <c r="AC577" i="3"/>
  <c r="X578" i="3"/>
  <c r="Y578" i="3"/>
  <c r="Z578" i="3"/>
  <c r="AA578" i="3"/>
  <c r="AB578" i="3"/>
  <c r="AC578" i="3"/>
  <c r="X579" i="3"/>
  <c r="Y579" i="3"/>
  <c r="Z579" i="3"/>
  <c r="AA579" i="3"/>
  <c r="AB579" i="3"/>
  <c r="AC579" i="3"/>
  <c r="X580" i="3"/>
  <c r="Y580" i="3"/>
  <c r="Z580" i="3"/>
  <c r="AA580" i="3"/>
  <c r="AB580" i="3"/>
  <c r="AC580" i="3"/>
  <c r="X581" i="3"/>
  <c r="Y581" i="3"/>
  <c r="Z581" i="3"/>
  <c r="AA581" i="3"/>
  <c r="AB581" i="3"/>
  <c r="AC581" i="3"/>
  <c r="X582" i="3"/>
  <c r="Y582" i="3"/>
  <c r="Z582" i="3"/>
  <c r="AA582" i="3"/>
  <c r="AB582" i="3"/>
  <c r="AC582" i="3"/>
  <c r="X583" i="3"/>
  <c r="Y583" i="3"/>
  <c r="Z583" i="3"/>
  <c r="AA583" i="3"/>
  <c r="AB583" i="3"/>
  <c r="AC583" i="3"/>
  <c r="X584" i="3"/>
  <c r="Y584" i="3"/>
  <c r="Z584" i="3"/>
  <c r="AA584" i="3"/>
  <c r="AB584" i="3"/>
  <c r="AC584" i="3"/>
  <c r="X585" i="3"/>
  <c r="Y585" i="3"/>
  <c r="Z585" i="3"/>
  <c r="AA585" i="3"/>
  <c r="AB585" i="3"/>
  <c r="AC585" i="3"/>
  <c r="X586" i="3"/>
  <c r="Y586" i="3"/>
  <c r="Z586" i="3"/>
  <c r="AA586" i="3"/>
  <c r="AB586" i="3"/>
  <c r="AC586" i="3"/>
  <c r="X587" i="3"/>
  <c r="Y587" i="3"/>
  <c r="Z587" i="3"/>
  <c r="AA587" i="3"/>
  <c r="AB587" i="3"/>
  <c r="AC587" i="3"/>
  <c r="X588" i="3"/>
  <c r="Y588" i="3"/>
  <c r="Z588" i="3"/>
  <c r="AA588" i="3"/>
  <c r="AB588" i="3"/>
  <c r="AC588" i="3"/>
  <c r="X589" i="3"/>
  <c r="Y589" i="3"/>
  <c r="Z589" i="3"/>
  <c r="AA589" i="3"/>
  <c r="AB589" i="3"/>
  <c r="AC589" i="3"/>
  <c r="X590" i="3"/>
  <c r="Y590" i="3"/>
  <c r="Z590" i="3"/>
  <c r="AA590" i="3"/>
  <c r="AB590" i="3"/>
  <c r="AC590" i="3"/>
  <c r="X591" i="3"/>
  <c r="Y591" i="3"/>
  <c r="Z591" i="3"/>
  <c r="AA591" i="3"/>
  <c r="AB591" i="3"/>
  <c r="AC591" i="3"/>
  <c r="X592" i="3"/>
  <c r="Y592" i="3"/>
  <c r="Z592" i="3"/>
  <c r="AA592" i="3"/>
  <c r="AB592" i="3"/>
  <c r="AC592" i="3"/>
  <c r="X593" i="3"/>
  <c r="Y593" i="3"/>
  <c r="Z593" i="3"/>
  <c r="AA593" i="3"/>
  <c r="AB593" i="3"/>
  <c r="AC593" i="3"/>
  <c r="X594" i="3"/>
  <c r="Y594" i="3"/>
  <c r="Z594" i="3"/>
  <c r="AA594" i="3"/>
  <c r="AB594" i="3"/>
  <c r="AC594" i="3"/>
  <c r="X595" i="3"/>
  <c r="Y595" i="3"/>
  <c r="Z595" i="3"/>
  <c r="AA595" i="3"/>
  <c r="AB595" i="3"/>
  <c r="AC595" i="3"/>
  <c r="X596" i="3"/>
  <c r="Y596" i="3"/>
  <c r="Z596" i="3"/>
  <c r="AA596" i="3"/>
  <c r="AB596" i="3"/>
  <c r="AC596" i="3"/>
  <c r="X597" i="3"/>
  <c r="Y597" i="3"/>
  <c r="Z597" i="3"/>
  <c r="AA597" i="3"/>
  <c r="AB597" i="3"/>
  <c r="AC597" i="3"/>
  <c r="X598" i="3"/>
  <c r="Y598" i="3"/>
  <c r="Z598" i="3"/>
  <c r="AA598" i="3"/>
  <c r="AB598" i="3"/>
  <c r="AC598" i="3"/>
  <c r="X599" i="3"/>
  <c r="Y599" i="3"/>
  <c r="Z599" i="3"/>
  <c r="AA599" i="3"/>
  <c r="AB599" i="3"/>
  <c r="AC599" i="3"/>
  <c r="X600" i="3"/>
  <c r="Y600" i="3"/>
  <c r="Z600" i="3"/>
  <c r="AA600" i="3"/>
  <c r="AB600" i="3"/>
  <c r="AC600" i="3"/>
  <c r="X601" i="3"/>
  <c r="Y601" i="3"/>
  <c r="Z601" i="3"/>
  <c r="AA601" i="3"/>
  <c r="AB601" i="3"/>
  <c r="AC601" i="3"/>
  <c r="X602" i="3"/>
  <c r="Y602" i="3"/>
  <c r="Z602" i="3"/>
  <c r="AA602" i="3"/>
  <c r="AB602" i="3"/>
  <c r="AC602" i="3"/>
  <c r="X603" i="3"/>
  <c r="Y603" i="3"/>
  <c r="Z603" i="3"/>
  <c r="AA603" i="3"/>
  <c r="AB603" i="3"/>
  <c r="AC603" i="3"/>
  <c r="X604" i="3"/>
  <c r="Y604" i="3"/>
  <c r="Z604" i="3"/>
  <c r="AA604" i="3"/>
  <c r="AB604" i="3"/>
  <c r="AC604" i="3"/>
  <c r="X605" i="3"/>
  <c r="Y605" i="3"/>
  <c r="Z605" i="3"/>
  <c r="AA605" i="3"/>
  <c r="AB605" i="3"/>
  <c r="AC605" i="3"/>
  <c r="X606" i="3"/>
  <c r="Y606" i="3"/>
  <c r="Z606" i="3"/>
  <c r="AA606" i="3"/>
  <c r="AB606" i="3"/>
  <c r="AC606" i="3"/>
  <c r="X607" i="3"/>
  <c r="Y607" i="3"/>
  <c r="Z607" i="3"/>
  <c r="AA607" i="3"/>
  <c r="AB607" i="3"/>
  <c r="AC607" i="3"/>
  <c r="X608" i="3"/>
  <c r="Y608" i="3"/>
  <c r="Z608" i="3"/>
  <c r="AA608" i="3"/>
  <c r="AB608" i="3"/>
  <c r="AC608" i="3"/>
  <c r="X609" i="3"/>
  <c r="Y609" i="3"/>
  <c r="Z609" i="3"/>
  <c r="AA609" i="3"/>
  <c r="AB609" i="3"/>
  <c r="AC609" i="3"/>
  <c r="X610" i="3"/>
  <c r="Y610" i="3"/>
  <c r="Z610" i="3"/>
  <c r="AA610" i="3"/>
  <c r="AB610" i="3"/>
  <c r="AC610" i="3"/>
  <c r="X611" i="3"/>
  <c r="Y611" i="3"/>
  <c r="Z611" i="3"/>
  <c r="AA611" i="3"/>
  <c r="AB611" i="3"/>
  <c r="AC611" i="3"/>
  <c r="X612" i="3"/>
  <c r="Y612" i="3"/>
  <c r="Z612" i="3"/>
  <c r="AA612" i="3"/>
  <c r="AB612" i="3"/>
  <c r="AC612" i="3"/>
  <c r="X613" i="3"/>
  <c r="Y613" i="3"/>
  <c r="Z613" i="3"/>
  <c r="AA613" i="3"/>
  <c r="AB613" i="3"/>
  <c r="AC613" i="3"/>
  <c r="X614" i="3"/>
  <c r="Y614" i="3"/>
  <c r="Z614" i="3"/>
  <c r="AA614" i="3"/>
  <c r="AB614" i="3"/>
  <c r="AC614" i="3"/>
  <c r="X615" i="3"/>
  <c r="Y615" i="3"/>
  <c r="Z615" i="3"/>
  <c r="AA615" i="3"/>
  <c r="AB615" i="3"/>
  <c r="AC615" i="3"/>
  <c r="X616" i="3"/>
  <c r="Y616" i="3"/>
  <c r="Z616" i="3"/>
  <c r="AA616" i="3"/>
  <c r="AB616" i="3"/>
  <c r="AC616" i="3"/>
  <c r="X617" i="3"/>
  <c r="Y617" i="3"/>
  <c r="Z617" i="3"/>
  <c r="AA617" i="3"/>
  <c r="AB617" i="3"/>
  <c r="AC617" i="3"/>
  <c r="X618" i="3"/>
  <c r="Y618" i="3"/>
  <c r="Z618" i="3"/>
  <c r="AA618" i="3"/>
  <c r="AB618" i="3"/>
  <c r="AC618" i="3"/>
  <c r="X619" i="3"/>
  <c r="Y619" i="3"/>
  <c r="Z619" i="3"/>
  <c r="AA619" i="3"/>
  <c r="AB619" i="3"/>
  <c r="AC619" i="3"/>
  <c r="X620" i="3"/>
  <c r="Y620" i="3"/>
  <c r="Z620" i="3"/>
  <c r="AA620" i="3"/>
  <c r="AB620" i="3"/>
  <c r="AC620" i="3"/>
  <c r="X621" i="3"/>
  <c r="Y621" i="3"/>
  <c r="Z621" i="3"/>
  <c r="AA621" i="3"/>
  <c r="AB621" i="3"/>
  <c r="AC621" i="3"/>
  <c r="X622" i="3"/>
  <c r="Y622" i="3"/>
  <c r="Z622" i="3"/>
  <c r="AA622" i="3"/>
  <c r="AB622" i="3"/>
  <c r="AC622" i="3"/>
  <c r="X623" i="3"/>
  <c r="Y623" i="3"/>
  <c r="Z623" i="3"/>
  <c r="AA623" i="3"/>
  <c r="AB623" i="3"/>
  <c r="AC623" i="3"/>
  <c r="X624" i="3"/>
  <c r="Y624" i="3"/>
  <c r="Z624" i="3"/>
  <c r="AA624" i="3"/>
  <c r="AB624" i="3"/>
  <c r="AC624" i="3"/>
  <c r="X625" i="3"/>
  <c r="Y625" i="3"/>
  <c r="Z625" i="3"/>
  <c r="AA625" i="3"/>
  <c r="AB625" i="3"/>
  <c r="AC625" i="3"/>
  <c r="X626" i="3"/>
  <c r="Y626" i="3"/>
  <c r="Z626" i="3"/>
  <c r="AA626" i="3"/>
  <c r="AB626" i="3"/>
  <c r="AC626" i="3"/>
  <c r="X627" i="3"/>
  <c r="Y627" i="3"/>
  <c r="Z627" i="3"/>
  <c r="AA627" i="3"/>
  <c r="AB627" i="3"/>
  <c r="AC627" i="3"/>
  <c r="X628" i="3"/>
  <c r="Y628" i="3"/>
  <c r="Z628" i="3"/>
  <c r="AA628" i="3"/>
  <c r="AB628" i="3"/>
  <c r="AC628" i="3"/>
  <c r="X629" i="3"/>
  <c r="Y629" i="3"/>
  <c r="Z629" i="3"/>
  <c r="AA629" i="3"/>
  <c r="AB629" i="3"/>
  <c r="AC629" i="3"/>
  <c r="X630" i="3"/>
  <c r="Y630" i="3"/>
  <c r="Z630" i="3"/>
  <c r="AA630" i="3"/>
  <c r="AB630" i="3"/>
  <c r="AC630" i="3"/>
  <c r="X631" i="3"/>
  <c r="Y631" i="3"/>
  <c r="Z631" i="3"/>
  <c r="AA631" i="3"/>
  <c r="AB631" i="3"/>
  <c r="AC631" i="3"/>
  <c r="X632" i="3"/>
  <c r="Y632" i="3"/>
  <c r="Z632" i="3"/>
  <c r="AA632" i="3"/>
  <c r="AB632" i="3"/>
  <c r="AC632" i="3"/>
  <c r="X633" i="3"/>
  <c r="Y633" i="3"/>
  <c r="Z633" i="3"/>
  <c r="AA633" i="3"/>
  <c r="AB633" i="3"/>
  <c r="AC633" i="3"/>
  <c r="X634" i="3"/>
  <c r="Y634" i="3"/>
  <c r="Z634" i="3"/>
  <c r="AA634" i="3"/>
  <c r="AB634" i="3"/>
  <c r="AC634" i="3"/>
  <c r="X635" i="3"/>
  <c r="Y635" i="3"/>
  <c r="Z635" i="3"/>
  <c r="AA635" i="3"/>
  <c r="AB635" i="3"/>
  <c r="AC635" i="3"/>
  <c r="X636" i="3"/>
  <c r="Y636" i="3"/>
  <c r="Z636" i="3"/>
  <c r="AA636" i="3"/>
  <c r="AB636" i="3"/>
  <c r="AC636" i="3"/>
  <c r="X637" i="3"/>
  <c r="Y637" i="3"/>
  <c r="Z637" i="3"/>
  <c r="AA637" i="3"/>
  <c r="AB637" i="3"/>
  <c r="AC637" i="3"/>
  <c r="X638" i="3"/>
  <c r="Y638" i="3"/>
  <c r="Z638" i="3"/>
  <c r="AA638" i="3"/>
  <c r="AB638" i="3"/>
  <c r="AC638" i="3"/>
  <c r="X639" i="3"/>
  <c r="Y639" i="3"/>
  <c r="Z639" i="3"/>
  <c r="AA639" i="3"/>
  <c r="AB639" i="3"/>
  <c r="AC639" i="3"/>
  <c r="X640" i="3"/>
  <c r="Y640" i="3"/>
  <c r="Z640" i="3"/>
  <c r="AA640" i="3"/>
  <c r="AB640" i="3"/>
  <c r="AC640" i="3"/>
  <c r="X641" i="3"/>
  <c r="Y641" i="3"/>
  <c r="Z641" i="3"/>
  <c r="AA641" i="3"/>
  <c r="AB641" i="3"/>
  <c r="AC641" i="3"/>
  <c r="X642" i="3"/>
  <c r="Y642" i="3"/>
  <c r="Z642" i="3"/>
  <c r="AA642" i="3"/>
  <c r="AB642" i="3"/>
  <c r="AC642" i="3"/>
  <c r="X643" i="3"/>
  <c r="Y643" i="3"/>
  <c r="Z643" i="3"/>
  <c r="AA643" i="3"/>
  <c r="AB643" i="3"/>
  <c r="AC643" i="3"/>
  <c r="X644" i="3"/>
  <c r="Y644" i="3"/>
  <c r="Z644" i="3"/>
  <c r="AA644" i="3"/>
  <c r="AB644" i="3"/>
  <c r="AC644" i="3"/>
  <c r="X645" i="3"/>
  <c r="Y645" i="3"/>
  <c r="Z645" i="3"/>
  <c r="AA645" i="3"/>
  <c r="AB645" i="3"/>
  <c r="AC645" i="3"/>
  <c r="X646" i="3"/>
  <c r="Y646" i="3"/>
  <c r="Z646" i="3"/>
  <c r="AA646" i="3"/>
  <c r="AB646" i="3"/>
  <c r="AC646" i="3"/>
  <c r="X647" i="3"/>
  <c r="Y647" i="3"/>
  <c r="Z647" i="3"/>
  <c r="AA647" i="3"/>
  <c r="AB647" i="3"/>
  <c r="AC647" i="3"/>
  <c r="X648" i="3"/>
  <c r="Y648" i="3"/>
  <c r="Z648" i="3"/>
  <c r="AA648" i="3"/>
  <c r="AB648" i="3"/>
  <c r="AC648" i="3"/>
  <c r="X649" i="3"/>
  <c r="Y649" i="3"/>
  <c r="Z649" i="3"/>
  <c r="AA649" i="3"/>
  <c r="AB649" i="3"/>
  <c r="AC649" i="3"/>
  <c r="X650" i="3"/>
  <c r="Y650" i="3"/>
  <c r="Z650" i="3"/>
  <c r="AA650" i="3"/>
  <c r="AB650" i="3"/>
  <c r="AC650" i="3"/>
  <c r="X651" i="3"/>
  <c r="Y651" i="3"/>
  <c r="Z651" i="3"/>
  <c r="AA651" i="3"/>
  <c r="AB651" i="3"/>
  <c r="AC651" i="3"/>
  <c r="X652" i="3"/>
  <c r="Y652" i="3"/>
  <c r="Z652" i="3"/>
  <c r="AA652" i="3"/>
  <c r="AB652" i="3"/>
  <c r="AC652" i="3"/>
  <c r="X653" i="3"/>
  <c r="Y653" i="3"/>
  <c r="Z653" i="3"/>
  <c r="AA653" i="3"/>
  <c r="AB653" i="3"/>
  <c r="AC653" i="3"/>
  <c r="X654" i="3"/>
  <c r="Y654" i="3"/>
  <c r="Z654" i="3"/>
  <c r="AA654" i="3"/>
  <c r="AB654" i="3"/>
  <c r="AC654" i="3"/>
  <c r="X655" i="3"/>
  <c r="Y655" i="3"/>
  <c r="Z655" i="3"/>
  <c r="AA655" i="3"/>
  <c r="AB655" i="3"/>
  <c r="AC655" i="3"/>
  <c r="X656" i="3"/>
  <c r="Y656" i="3"/>
  <c r="Z656" i="3"/>
  <c r="AA656" i="3"/>
  <c r="AB656" i="3"/>
  <c r="AC656" i="3"/>
  <c r="X657" i="3"/>
  <c r="Y657" i="3"/>
  <c r="Z657" i="3"/>
  <c r="AA657" i="3"/>
  <c r="AB657" i="3"/>
  <c r="AC657" i="3"/>
  <c r="X658" i="3"/>
  <c r="Y658" i="3"/>
  <c r="Z658" i="3"/>
  <c r="AA658" i="3"/>
  <c r="AB658" i="3"/>
  <c r="AC658" i="3"/>
  <c r="X659" i="3"/>
  <c r="Y659" i="3"/>
  <c r="Z659" i="3"/>
  <c r="AA659" i="3"/>
  <c r="AB659" i="3"/>
  <c r="AC659" i="3"/>
  <c r="X660" i="3"/>
  <c r="Y660" i="3"/>
  <c r="Z660" i="3"/>
  <c r="AA660" i="3"/>
  <c r="AB660" i="3"/>
  <c r="AC660" i="3"/>
  <c r="X661" i="3"/>
  <c r="Y661" i="3"/>
  <c r="Z661" i="3"/>
  <c r="AA661" i="3"/>
  <c r="AB661" i="3"/>
  <c r="AC661" i="3"/>
  <c r="X662" i="3"/>
  <c r="Y662" i="3"/>
  <c r="Z662" i="3"/>
  <c r="AA662" i="3"/>
  <c r="AB662" i="3"/>
  <c r="AC662" i="3"/>
  <c r="X663" i="3"/>
  <c r="Y663" i="3"/>
  <c r="Z663" i="3"/>
  <c r="AA663" i="3"/>
  <c r="AB663" i="3"/>
  <c r="AC663" i="3"/>
  <c r="X664" i="3"/>
  <c r="Y664" i="3"/>
  <c r="Z664" i="3"/>
  <c r="AA664" i="3"/>
  <c r="AB664" i="3"/>
  <c r="AC664" i="3"/>
  <c r="X665" i="3"/>
  <c r="Y665" i="3"/>
  <c r="Z665" i="3"/>
  <c r="AA665" i="3"/>
  <c r="AB665" i="3"/>
  <c r="AC665" i="3"/>
  <c r="X666" i="3"/>
  <c r="Y666" i="3"/>
  <c r="Z666" i="3"/>
  <c r="AA666" i="3"/>
  <c r="AB666" i="3"/>
  <c r="AC666" i="3"/>
  <c r="X667" i="3"/>
  <c r="Y667" i="3"/>
  <c r="Z667" i="3"/>
  <c r="AA667" i="3"/>
  <c r="AB667" i="3"/>
  <c r="AC667" i="3"/>
  <c r="X668" i="3"/>
  <c r="Y668" i="3"/>
  <c r="Z668" i="3"/>
  <c r="AA668" i="3"/>
  <c r="AB668" i="3"/>
  <c r="AC668" i="3"/>
  <c r="X669" i="3"/>
  <c r="Y669" i="3"/>
  <c r="Z669" i="3"/>
  <c r="AA669" i="3"/>
  <c r="AB669" i="3"/>
  <c r="AC669" i="3"/>
  <c r="X670" i="3"/>
  <c r="Y670" i="3"/>
  <c r="Z670" i="3"/>
  <c r="AA670" i="3"/>
  <c r="AB670" i="3"/>
  <c r="AC670" i="3"/>
  <c r="X671" i="3"/>
  <c r="Y671" i="3"/>
  <c r="Z671" i="3"/>
  <c r="AA671" i="3"/>
  <c r="AB671" i="3"/>
  <c r="AC671" i="3"/>
  <c r="X672" i="3"/>
  <c r="Y672" i="3"/>
  <c r="Z672" i="3"/>
  <c r="AA672" i="3"/>
  <c r="AB672" i="3"/>
  <c r="AC672" i="3"/>
  <c r="X673" i="3"/>
  <c r="Y673" i="3"/>
  <c r="Z673" i="3"/>
  <c r="AA673" i="3"/>
  <c r="AB673" i="3"/>
  <c r="AC673" i="3"/>
  <c r="X674" i="3"/>
  <c r="Y674" i="3"/>
  <c r="Z674" i="3"/>
  <c r="AA674" i="3"/>
  <c r="AB674" i="3"/>
  <c r="AC674" i="3"/>
  <c r="X675" i="3"/>
  <c r="Y675" i="3"/>
  <c r="Z675" i="3"/>
  <c r="AA675" i="3"/>
  <c r="AB675" i="3"/>
  <c r="AC675" i="3"/>
  <c r="X676" i="3"/>
  <c r="Y676" i="3"/>
  <c r="Z676" i="3"/>
  <c r="AA676" i="3"/>
  <c r="AB676" i="3"/>
  <c r="AC676" i="3"/>
  <c r="X677" i="3"/>
  <c r="Y677" i="3"/>
  <c r="Z677" i="3"/>
  <c r="AA677" i="3"/>
  <c r="AB677" i="3"/>
  <c r="AC677" i="3"/>
  <c r="X678" i="3"/>
  <c r="Y678" i="3"/>
  <c r="Z678" i="3"/>
  <c r="AA678" i="3"/>
  <c r="AB678" i="3"/>
  <c r="AC678" i="3"/>
  <c r="X679" i="3"/>
  <c r="Y679" i="3"/>
  <c r="Z679" i="3"/>
  <c r="AA679" i="3"/>
  <c r="AB679" i="3"/>
  <c r="AC679" i="3"/>
  <c r="X680" i="3"/>
  <c r="Y680" i="3"/>
  <c r="Z680" i="3"/>
  <c r="AA680" i="3"/>
  <c r="AB680" i="3"/>
  <c r="AC680" i="3"/>
  <c r="X681" i="3"/>
  <c r="Y681" i="3"/>
  <c r="Z681" i="3"/>
  <c r="AA681" i="3"/>
  <c r="AB681" i="3"/>
  <c r="AC681" i="3"/>
  <c r="X682" i="3"/>
  <c r="Y682" i="3"/>
  <c r="Z682" i="3"/>
  <c r="AA682" i="3"/>
  <c r="AB682" i="3"/>
  <c r="AC682" i="3"/>
  <c r="X683" i="3"/>
  <c r="Y683" i="3"/>
  <c r="Z683" i="3"/>
  <c r="AA683" i="3"/>
  <c r="AB683" i="3"/>
  <c r="AC683" i="3"/>
  <c r="X684" i="3"/>
  <c r="Y684" i="3"/>
  <c r="Z684" i="3"/>
  <c r="AA684" i="3"/>
  <c r="AB684" i="3"/>
  <c r="AC684" i="3"/>
  <c r="X685" i="3"/>
  <c r="Y685" i="3"/>
  <c r="Z685" i="3"/>
  <c r="AA685" i="3"/>
  <c r="AB685" i="3"/>
  <c r="AC685" i="3"/>
  <c r="X686" i="3"/>
  <c r="Y686" i="3"/>
  <c r="Z686" i="3"/>
  <c r="AA686" i="3"/>
  <c r="AB686" i="3"/>
  <c r="AC686" i="3"/>
  <c r="X687" i="3"/>
  <c r="Y687" i="3"/>
  <c r="Z687" i="3"/>
  <c r="AA687" i="3"/>
  <c r="AB687" i="3"/>
  <c r="AC687" i="3"/>
  <c r="X688" i="3"/>
  <c r="Y688" i="3"/>
  <c r="Z688" i="3"/>
  <c r="AA688" i="3"/>
  <c r="AB688" i="3"/>
  <c r="AC688" i="3"/>
  <c r="X689" i="3"/>
  <c r="Y689" i="3"/>
  <c r="Z689" i="3"/>
  <c r="AA689" i="3"/>
  <c r="AB689" i="3"/>
  <c r="AC689" i="3"/>
  <c r="X690" i="3"/>
  <c r="Y690" i="3"/>
  <c r="Z690" i="3"/>
  <c r="AA690" i="3"/>
  <c r="AB690" i="3"/>
  <c r="AC690" i="3"/>
  <c r="X691" i="3"/>
  <c r="Y691" i="3"/>
  <c r="Z691" i="3"/>
  <c r="AA691" i="3"/>
  <c r="AB691" i="3"/>
  <c r="AC691" i="3"/>
  <c r="X692" i="3"/>
  <c r="Y692" i="3"/>
  <c r="Z692" i="3"/>
  <c r="AA692" i="3"/>
  <c r="AB692" i="3"/>
  <c r="AC692" i="3"/>
  <c r="X693" i="3"/>
  <c r="Y693" i="3"/>
  <c r="Z693" i="3"/>
  <c r="AA693" i="3"/>
  <c r="AB693" i="3"/>
  <c r="AC693" i="3"/>
  <c r="X694" i="3"/>
  <c r="Y694" i="3"/>
  <c r="Z694" i="3"/>
  <c r="AA694" i="3"/>
  <c r="AB694" i="3"/>
  <c r="AC694" i="3"/>
  <c r="X695" i="3"/>
  <c r="Y695" i="3"/>
  <c r="Z695" i="3"/>
  <c r="AA695" i="3"/>
  <c r="AB695" i="3"/>
  <c r="AC695" i="3"/>
  <c r="X696" i="3"/>
  <c r="Y696" i="3"/>
  <c r="Z696" i="3"/>
  <c r="AA696" i="3"/>
  <c r="AB696" i="3"/>
  <c r="AC696" i="3"/>
  <c r="X697" i="3"/>
  <c r="Y697" i="3"/>
  <c r="Z697" i="3"/>
  <c r="AA697" i="3"/>
  <c r="AB697" i="3"/>
  <c r="AC697" i="3"/>
  <c r="X698" i="3"/>
  <c r="Y698" i="3"/>
  <c r="Z698" i="3"/>
  <c r="AA698" i="3"/>
  <c r="AB698" i="3"/>
  <c r="AC698" i="3"/>
  <c r="X699" i="3"/>
  <c r="Y699" i="3"/>
  <c r="Z699" i="3"/>
  <c r="AA699" i="3"/>
  <c r="AB699" i="3"/>
  <c r="AC699" i="3"/>
  <c r="X700" i="3"/>
  <c r="Y700" i="3"/>
  <c r="Z700" i="3"/>
  <c r="AA700" i="3"/>
  <c r="AB700" i="3"/>
  <c r="AC700" i="3"/>
  <c r="X701" i="3"/>
  <c r="Y701" i="3"/>
  <c r="Z701" i="3"/>
  <c r="AA701" i="3"/>
  <c r="AB701" i="3"/>
  <c r="AC701" i="3"/>
  <c r="X702" i="3"/>
  <c r="Y702" i="3"/>
  <c r="Z702" i="3"/>
  <c r="AA702" i="3"/>
  <c r="AB702" i="3"/>
  <c r="AC702" i="3"/>
  <c r="X703" i="3"/>
  <c r="Y703" i="3"/>
  <c r="Z703" i="3"/>
  <c r="AA703" i="3"/>
  <c r="AB703" i="3"/>
  <c r="AC703" i="3"/>
  <c r="X704" i="3"/>
  <c r="Y704" i="3"/>
  <c r="Z704" i="3"/>
  <c r="AA704" i="3"/>
  <c r="AB704" i="3"/>
  <c r="AC704" i="3"/>
  <c r="X705" i="3"/>
  <c r="Y705" i="3"/>
  <c r="Z705" i="3"/>
  <c r="AA705" i="3"/>
  <c r="AB705" i="3"/>
  <c r="AC705" i="3"/>
  <c r="X706" i="3"/>
  <c r="Y706" i="3"/>
  <c r="Z706" i="3"/>
  <c r="AA706" i="3"/>
  <c r="AB706" i="3"/>
  <c r="AC706" i="3"/>
  <c r="X707" i="3"/>
  <c r="Y707" i="3"/>
  <c r="Z707" i="3"/>
  <c r="AA707" i="3"/>
  <c r="AB707" i="3"/>
  <c r="AC707" i="3"/>
  <c r="X708" i="3"/>
  <c r="Y708" i="3"/>
  <c r="Z708" i="3"/>
  <c r="AA708" i="3"/>
  <c r="AB708" i="3"/>
  <c r="AC708" i="3"/>
  <c r="X709" i="3"/>
  <c r="Y709" i="3"/>
  <c r="Z709" i="3"/>
  <c r="AA709" i="3"/>
  <c r="AB709" i="3"/>
  <c r="AC709" i="3"/>
  <c r="X710" i="3"/>
  <c r="Y710" i="3"/>
  <c r="Z710" i="3"/>
  <c r="AA710" i="3"/>
  <c r="AB710" i="3"/>
  <c r="AC710" i="3"/>
  <c r="X711" i="3"/>
  <c r="Y711" i="3"/>
  <c r="Z711" i="3"/>
  <c r="AA711" i="3"/>
  <c r="AB711" i="3"/>
  <c r="AC711" i="3"/>
  <c r="X712" i="3"/>
  <c r="Y712" i="3"/>
  <c r="Z712" i="3"/>
  <c r="AA712" i="3"/>
  <c r="AB712" i="3"/>
  <c r="AC712" i="3"/>
  <c r="X713" i="3"/>
  <c r="Y713" i="3"/>
  <c r="Z713" i="3"/>
  <c r="AA713" i="3"/>
  <c r="AB713" i="3"/>
  <c r="AC713" i="3"/>
  <c r="X714" i="3"/>
  <c r="Y714" i="3"/>
  <c r="Z714" i="3"/>
  <c r="AA714" i="3"/>
  <c r="AB714" i="3"/>
  <c r="AC714" i="3"/>
  <c r="X715" i="3"/>
  <c r="Y715" i="3"/>
  <c r="Z715" i="3"/>
  <c r="AA715" i="3"/>
  <c r="AB715" i="3"/>
  <c r="AC715" i="3"/>
  <c r="X716" i="3"/>
  <c r="Y716" i="3"/>
  <c r="Z716" i="3"/>
  <c r="AA716" i="3"/>
  <c r="AB716" i="3"/>
  <c r="AC716" i="3"/>
  <c r="X717" i="3"/>
  <c r="Y717" i="3"/>
  <c r="Z717" i="3"/>
  <c r="AA717" i="3"/>
  <c r="AB717" i="3"/>
  <c r="AC717" i="3"/>
  <c r="X718" i="3"/>
  <c r="Y718" i="3"/>
  <c r="Z718" i="3"/>
  <c r="AA718" i="3"/>
  <c r="AB718" i="3"/>
  <c r="AC718" i="3"/>
  <c r="X719" i="3"/>
  <c r="Y719" i="3"/>
  <c r="Z719" i="3"/>
  <c r="AA719" i="3"/>
  <c r="AB719" i="3"/>
  <c r="AC719" i="3"/>
  <c r="X720" i="3"/>
  <c r="Y720" i="3"/>
  <c r="Z720" i="3"/>
  <c r="AA720" i="3"/>
  <c r="AB720" i="3"/>
  <c r="AC720" i="3"/>
  <c r="W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N2" i="1"/>
  <c r="O2" i="1"/>
  <c r="P2" i="1"/>
  <c r="Q2" i="1"/>
  <c r="R2" i="1"/>
  <c r="S2" i="1"/>
  <c r="N3" i="1"/>
  <c r="O3" i="1"/>
  <c r="P3" i="1"/>
  <c r="Q3" i="1"/>
  <c r="R3" i="1"/>
  <c r="S3" i="1"/>
  <c r="N4" i="1"/>
  <c r="O4" i="1"/>
  <c r="P4" i="1"/>
  <c r="Q4" i="1"/>
  <c r="R4" i="1"/>
  <c r="S4" i="1"/>
  <c r="N5" i="1"/>
  <c r="O5" i="1"/>
  <c r="P5" i="1"/>
  <c r="Q5" i="1"/>
  <c r="R5" i="1"/>
  <c r="S5" i="1"/>
  <c r="N6" i="1"/>
  <c r="O6" i="1"/>
  <c r="P6" i="1"/>
  <c r="Q6" i="1"/>
  <c r="R6" i="1"/>
  <c r="S6" i="1"/>
  <c r="N7" i="1"/>
  <c r="O7" i="1"/>
  <c r="P7" i="1"/>
  <c r="Q7" i="1"/>
  <c r="R7" i="1"/>
  <c r="S7" i="1"/>
  <c r="N8" i="1"/>
  <c r="O8" i="1"/>
  <c r="P8" i="1"/>
  <c r="Q8" i="1"/>
  <c r="R8" i="1"/>
  <c r="S8" i="1"/>
  <c r="N9" i="1"/>
  <c r="O9" i="1"/>
  <c r="P9" i="1"/>
  <c r="Q9" i="1"/>
  <c r="R9" i="1"/>
  <c r="S9" i="1"/>
  <c r="N10" i="1"/>
  <c r="O10" i="1"/>
  <c r="P10" i="1"/>
  <c r="Q10" i="1"/>
  <c r="R10" i="1"/>
  <c r="S10" i="1"/>
  <c r="N11" i="1"/>
  <c r="O11" i="1"/>
  <c r="P11" i="1"/>
  <c r="Q11" i="1"/>
  <c r="R11" i="1"/>
  <c r="S11" i="1"/>
  <c r="N12" i="1"/>
  <c r="O12" i="1"/>
  <c r="P12" i="1"/>
  <c r="Q12" i="1"/>
  <c r="R12" i="1"/>
  <c r="S12" i="1"/>
  <c r="N13" i="1"/>
  <c r="O13" i="1"/>
  <c r="P13" i="1"/>
  <c r="Q13" i="1"/>
  <c r="R13" i="1"/>
  <c r="S13" i="1"/>
  <c r="N14" i="1"/>
  <c r="O14" i="1"/>
  <c r="P14" i="1"/>
  <c r="Q14" i="1"/>
  <c r="R14" i="1"/>
  <c r="S14" i="1"/>
  <c r="N15" i="1"/>
  <c r="O15" i="1"/>
  <c r="P15" i="1"/>
  <c r="Q15" i="1"/>
  <c r="R15" i="1"/>
  <c r="S15" i="1"/>
  <c r="N16" i="1"/>
  <c r="O16" i="1"/>
  <c r="P16" i="1"/>
  <c r="Q16" i="1"/>
  <c r="R16" i="1"/>
  <c r="S16" i="1"/>
  <c r="N17" i="1"/>
  <c r="O17" i="1"/>
  <c r="P17" i="1"/>
  <c r="Q17" i="1"/>
  <c r="R17" i="1"/>
  <c r="S17" i="1"/>
  <c r="N18" i="1"/>
  <c r="O18" i="1"/>
  <c r="P18" i="1"/>
  <c r="Q18" i="1"/>
  <c r="R18" i="1"/>
  <c r="S18" i="1"/>
  <c r="N19" i="1"/>
  <c r="O19" i="1"/>
  <c r="P19" i="1"/>
  <c r="Q19" i="1"/>
  <c r="R19" i="1"/>
  <c r="S19" i="1"/>
  <c r="N20" i="1"/>
  <c r="O20" i="1"/>
  <c r="P20" i="1"/>
  <c r="Q20" i="1"/>
  <c r="R20" i="1"/>
  <c r="S20" i="1"/>
  <c r="N21" i="1"/>
  <c r="O21" i="1"/>
  <c r="P21" i="1"/>
  <c r="Q21" i="1"/>
  <c r="R21" i="1"/>
  <c r="S21" i="1"/>
  <c r="N22" i="1"/>
  <c r="O22" i="1"/>
  <c r="P22" i="1"/>
  <c r="Q22" i="1"/>
  <c r="R22" i="1"/>
  <c r="S22" i="1"/>
  <c r="N23" i="1"/>
  <c r="O23" i="1"/>
  <c r="P23" i="1"/>
  <c r="Q23" i="1"/>
  <c r="R23" i="1"/>
  <c r="S23" i="1"/>
  <c r="N24" i="1"/>
  <c r="O24" i="1"/>
  <c r="P24" i="1"/>
  <c r="Q24" i="1"/>
  <c r="R24" i="1"/>
  <c r="S24" i="1"/>
  <c r="N25" i="1"/>
  <c r="O25" i="1"/>
  <c r="P25" i="1"/>
  <c r="Q25" i="1"/>
  <c r="R25" i="1"/>
  <c r="S25" i="1"/>
  <c r="N26" i="1"/>
  <c r="O26" i="1"/>
  <c r="P26" i="1"/>
  <c r="Q26" i="1"/>
  <c r="R26" i="1"/>
  <c r="S26" i="1"/>
  <c r="N27" i="1"/>
  <c r="O27" i="1"/>
  <c r="P27" i="1"/>
  <c r="Q27" i="1"/>
  <c r="R27" i="1"/>
  <c r="S27" i="1"/>
  <c r="N28" i="1"/>
  <c r="O28" i="1"/>
  <c r="P28" i="1"/>
  <c r="Q28" i="1"/>
  <c r="R28" i="1"/>
  <c r="S28" i="1"/>
  <c r="N29" i="1"/>
  <c r="O29" i="1"/>
  <c r="P29" i="1"/>
  <c r="Q29" i="1"/>
  <c r="R29" i="1"/>
  <c r="S29" i="1"/>
  <c r="N30" i="1"/>
  <c r="O30" i="1"/>
  <c r="P30" i="1"/>
  <c r="Q30" i="1"/>
  <c r="R30" i="1"/>
  <c r="S30" i="1"/>
  <c r="N31" i="1"/>
  <c r="O31" i="1"/>
  <c r="P31" i="1"/>
  <c r="Q31" i="1"/>
  <c r="R31" i="1"/>
  <c r="S31" i="1"/>
  <c r="N32" i="1"/>
  <c r="O32" i="1"/>
  <c r="P32" i="1"/>
  <c r="Q32" i="1"/>
  <c r="R32" i="1"/>
  <c r="S32" i="1"/>
  <c r="N33" i="1"/>
  <c r="O33" i="1"/>
  <c r="P33" i="1"/>
  <c r="Q33" i="1"/>
  <c r="R33" i="1"/>
  <c r="S33" i="1"/>
  <c r="N34" i="1"/>
  <c r="O34" i="1"/>
  <c r="P34" i="1"/>
  <c r="Q34" i="1"/>
  <c r="R34" i="1"/>
  <c r="S34" i="1"/>
  <c r="N35" i="1"/>
  <c r="O35" i="1"/>
  <c r="P35" i="1"/>
  <c r="Q35" i="1"/>
  <c r="R35" i="1"/>
  <c r="S35" i="1"/>
  <c r="N36" i="1"/>
  <c r="O36" i="1"/>
  <c r="P36" i="1"/>
  <c r="Q36" i="1"/>
  <c r="R36" i="1"/>
  <c r="S36" i="1"/>
  <c r="N37" i="1"/>
  <c r="O37" i="1"/>
  <c r="P37" i="1"/>
  <c r="Q37" i="1"/>
  <c r="R37" i="1"/>
  <c r="S37" i="1"/>
  <c r="N38" i="1"/>
  <c r="O38" i="1"/>
  <c r="P38" i="1"/>
  <c r="Q38" i="1"/>
  <c r="R38" i="1"/>
  <c r="S38" i="1"/>
  <c r="N39" i="1"/>
  <c r="O39" i="1"/>
  <c r="P39" i="1"/>
  <c r="Q39" i="1"/>
  <c r="R39" i="1"/>
  <c r="S39" i="1"/>
  <c r="N40" i="1"/>
  <c r="O40" i="1"/>
  <c r="P40" i="1"/>
  <c r="Q40" i="1"/>
  <c r="R40" i="1"/>
  <c r="S40" i="1"/>
  <c r="N41" i="1"/>
  <c r="O41" i="1"/>
  <c r="P41" i="1"/>
  <c r="Q41" i="1"/>
  <c r="R41" i="1"/>
  <c r="S41" i="1"/>
  <c r="N42" i="1"/>
  <c r="O42" i="1"/>
  <c r="P42" i="1"/>
  <c r="Q42" i="1"/>
  <c r="R42" i="1"/>
  <c r="S42" i="1"/>
  <c r="N43" i="1"/>
  <c r="O43" i="1"/>
  <c r="P43" i="1"/>
  <c r="Q43" i="1"/>
  <c r="R43" i="1"/>
  <c r="S43" i="1"/>
  <c r="N44" i="1"/>
  <c r="O44" i="1"/>
  <c r="P44" i="1"/>
  <c r="Q44" i="1"/>
  <c r="R44" i="1"/>
  <c r="S44" i="1"/>
  <c r="N45" i="1"/>
  <c r="O45" i="1"/>
  <c r="P45" i="1"/>
  <c r="Q45" i="1"/>
  <c r="R45" i="1"/>
  <c r="S45" i="1"/>
  <c r="N46" i="1"/>
  <c r="O46" i="1"/>
  <c r="P46" i="1"/>
  <c r="Q46" i="1"/>
  <c r="R46" i="1"/>
  <c r="S46" i="1"/>
  <c r="N47" i="1"/>
  <c r="O47" i="1"/>
  <c r="P47" i="1"/>
  <c r="Q47" i="1"/>
  <c r="R47" i="1"/>
  <c r="S47" i="1"/>
  <c r="N48" i="1"/>
  <c r="O48" i="1"/>
  <c r="P48" i="1"/>
  <c r="Q48" i="1"/>
  <c r="R48" i="1"/>
  <c r="S48" i="1"/>
  <c r="N49" i="1"/>
  <c r="O49" i="1"/>
  <c r="P49" i="1"/>
  <c r="Q49" i="1"/>
  <c r="R49" i="1"/>
  <c r="S49" i="1"/>
  <c r="N50" i="1"/>
  <c r="O50" i="1"/>
  <c r="P50" i="1"/>
  <c r="Q50" i="1"/>
  <c r="R50" i="1"/>
  <c r="S50" i="1"/>
  <c r="N51" i="1"/>
  <c r="O51" i="1"/>
  <c r="P51" i="1"/>
  <c r="Q51" i="1"/>
  <c r="R51" i="1"/>
  <c r="S51" i="1"/>
  <c r="N52" i="1"/>
  <c r="O52" i="1"/>
  <c r="P52" i="1"/>
  <c r="Q52" i="1"/>
  <c r="R52" i="1"/>
  <c r="S52" i="1"/>
  <c r="N53" i="1"/>
  <c r="O53" i="1"/>
  <c r="P53" i="1"/>
  <c r="Q53" i="1"/>
  <c r="R53" i="1"/>
  <c r="S53" i="1"/>
  <c r="N54" i="1"/>
  <c r="O54" i="1"/>
  <c r="P54" i="1"/>
  <c r="Q54" i="1"/>
  <c r="R54" i="1"/>
  <c r="S54" i="1"/>
  <c r="N55" i="1"/>
  <c r="O55" i="1"/>
  <c r="P55" i="1"/>
  <c r="Q55" i="1"/>
  <c r="R55" i="1"/>
  <c r="S55" i="1"/>
  <c r="N56" i="1"/>
  <c r="O56" i="1"/>
  <c r="P56" i="1"/>
  <c r="Q56" i="1"/>
  <c r="R56" i="1"/>
  <c r="S56" i="1"/>
  <c r="N57" i="1"/>
  <c r="O57" i="1"/>
  <c r="P57" i="1"/>
  <c r="Q57" i="1"/>
  <c r="R57" i="1"/>
  <c r="S57" i="1"/>
  <c r="N58" i="1"/>
  <c r="O58" i="1"/>
  <c r="P58" i="1"/>
  <c r="Q58" i="1"/>
  <c r="R58" i="1"/>
  <c r="S58" i="1"/>
  <c r="N59" i="1"/>
  <c r="O59" i="1"/>
  <c r="P59" i="1"/>
  <c r="Q59" i="1"/>
  <c r="R59" i="1"/>
  <c r="S59" i="1"/>
  <c r="N60" i="1"/>
  <c r="O60" i="1"/>
  <c r="P60" i="1"/>
  <c r="Q60" i="1"/>
  <c r="R60" i="1"/>
  <c r="S60" i="1"/>
  <c r="N61" i="1"/>
  <c r="O61" i="1"/>
  <c r="P61" i="1"/>
  <c r="Q61" i="1"/>
  <c r="R61" i="1"/>
  <c r="S61" i="1"/>
  <c r="N62" i="1"/>
  <c r="O62" i="1"/>
  <c r="P62" i="1"/>
  <c r="Q62" i="1"/>
  <c r="R62" i="1"/>
  <c r="S62" i="1"/>
  <c r="N63" i="1"/>
  <c r="O63" i="1"/>
  <c r="P63" i="1"/>
  <c r="Q63" i="1"/>
  <c r="R63" i="1"/>
  <c r="S63" i="1"/>
  <c r="N64" i="1"/>
  <c r="O64" i="1"/>
  <c r="P64" i="1"/>
  <c r="Q64" i="1"/>
  <c r="R64" i="1"/>
  <c r="S64" i="1"/>
  <c r="N65" i="1"/>
  <c r="O65" i="1"/>
  <c r="P65" i="1"/>
  <c r="Q65" i="1"/>
  <c r="R65" i="1"/>
  <c r="S65" i="1"/>
  <c r="N66" i="1"/>
  <c r="O66" i="1"/>
  <c r="P66" i="1"/>
  <c r="Q66" i="1"/>
  <c r="R66" i="1"/>
  <c r="S66" i="1"/>
  <c r="N67" i="1"/>
  <c r="O67" i="1"/>
  <c r="P67" i="1"/>
  <c r="Q67" i="1"/>
  <c r="R67" i="1"/>
  <c r="S67" i="1"/>
  <c r="N68" i="1"/>
  <c r="O68" i="1"/>
  <c r="P68" i="1"/>
  <c r="Q68" i="1"/>
  <c r="R68" i="1"/>
  <c r="S68" i="1"/>
  <c r="N69" i="1"/>
  <c r="O69" i="1"/>
  <c r="P69" i="1"/>
  <c r="Q69" i="1"/>
  <c r="R69" i="1"/>
  <c r="S69" i="1"/>
  <c r="N70" i="1"/>
  <c r="O70" i="1"/>
  <c r="P70" i="1"/>
  <c r="Q70" i="1"/>
  <c r="R70" i="1"/>
  <c r="S70" i="1"/>
  <c r="N71" i="1"/>
  <c r="O71" i="1"/>
  <c r="P71" i="1"/>
  <c r="Q71" i="1"/>
  <c r="R71" i="1"/>
  <c r="S71" i="1"/>
  <c r="N72" i="1"/>
  <c r="O72" i="1"/>
  <c r="P72" i="1"/>
  <c r="Q72" i="1"/>
  <c r="R72" i="1"/>
  <c r="S72" i="1"/>
  <c r="N73" i="1"/>
  <c r="O73" i="1"/>
  <c r="P73" i="1"/>
  <c r="Q73" i="1"/>
  <c r="R73" i="1"/>
  <c r="S73" i="1"/>
  <c r="N74" i="1"/>
  <c r="O74" i="1"/>
  <c r="P74" i="1"/>
  <c r="Q74" i="1"/>
  <c r="R74" i="1"/>
  <c r="S74" i="1"/>
  <c r="N75" i="1"/>
  <c r="O75" i="1"/>
  <c r="P75" i="1"/>
  <c r="Q75" i="1"/>
  <c r="R75" i="1"/>
  <c r="S75" i="1"/>
  <c r="N76" i="1"/>
  <c r="O76" i="1"/>
  <c r="P76" i="1"/>
  <c r="Q76" i="1"/>
  <c r="R76" i="1"/>
  <c r="S76" i="1"/>
  <c r="N77" i="1"/>
  <c r="O77" i="1"/>
  <c r="P77" i="1"/>
  <c r="Q77" i="1"/>
  <c r="R77" i="1"/>
  <c r="S77" i="1"/>
  <c r="N78" i="1"/>
  <c r="O78" i="1"/>
  <c r="P78" i="1"/>
  <c r="Q78" i="1"/>
  <c r="R78" i="1"/>
  <c r="S78" i="1"/>
  <c r="N79" i="1"/>
  <c r="O79" i="1"/>
  <c r="P79" i="1"/>
  <c r="Q79" i="1"/>
  <c r="R79" i="1"/>
  <c r="S79" i="1"/>
  <c r="N80" i="1"/>
  <c r="O80" i="1"/>
  <c r="P80" i="1"/>
  <c r="Q80" i="1"/>
  <c r="R80" i="1"/>
  <c r="S80" i="1"/>
  <c r="N81" i="1"/>
  <c r="O81" i="1"/>
  <c r="P81" i="1"/>
  <c r="Q81" i="1"/>
  <c r="R81" i="1"/>
  <c r="S81" i="1"/>
  <c r="N82" i="1"/>
  <c r="O82" i="1"/>
  <c r="P82" i="1"/>
  <c r="Q82" i="1"/>
  <c r="R82" i="1"/>
  <c r="S82" i="1"/>
  <c r="N83" i="1"/>
  <c r="O83" i="1"/>
  <c r="P83" i="1"/>
  <c r="Q83" i="1"/>
  <c r="R83" i="1"/>
  <c r="S83" i="1"/>
  <c r="N84" i="1"/>
  <c r="O84" i="1"/>
  <c r="P84" i="1"/>
  <c r="Q84" i="1"/>
  <c r="R84" i="1"/>
  <c r="S84" i="1"/>
  <c r="N85" i="1"/>
  <c r="O85" i="1"/>
  <c r="P85" i="1"/>
  <c r="Q85" i="1"/>
  <c r="R85" i="1"/>
  <c r="S85" i="1"/>
  <c r="N86" i="1"/>
  <c r="O86" i="1"/>
  <c r="P86" i="1"/>
  <c r="Q86" i="1"/>
  <c r="R86" i="1"/>
  <c r="S86" i="1"/>
  <c r="N87" i="1"/>
  <c r="O87" i="1"/>
  <c r="P87" i="1"/>
  <c r="Q87" i="1"/>
  <c r="R87" i="1"/>
  <c r="S87" i="1"/>
  <c r="N88" i="1"/>
  <c r="O88" i="1"/>
  <c r="P88" i="1"/>
  <c r="Q88" i="1"/>
  <c r="R88" i="1"/>
  <c r="S88" i="1"/>
  <c r="N89" i="1"/>
  <c r="O89" i="1"/>
  <c r="P89" i="1"/>
  <c r="Q89" i="1"/>
  <c r="R89" i="1"/>
  <c r="S89" i="1"/>
  <c r="N90" i="1"/>
  <c r="O90" i="1"/>
  <c r="P90" i="1"/>
  <c r="Q90" i="1"/>
  <c r="R90" i="1"/>
  <c r="S90" i="1"/>
  <c r="N91" i="1"/>
  <c r="O91" i="1"/>
  <c r="P91" i="1"/>
  <c r="Q91" i="1"/>
  <c r="R91" i="1"/>
  <c r="S91" i="1"/>
  <c r="N92" i="1"/>
  <c r="O92" i="1"/>
  <c r="P92" i="1"/>
  <c r="Q92" i="1"/>
  <c r="R92" i="1"/>
  <c r="S92" i="1"/>
  <c r="N93" i="1"/>
  <c r="O93" i="1"/>
  <c r="P93" i="1"/>
  <c r="Q93" i="1"/>
  <c r="R93" i="1"/>
  <c r="S93" i="1"/>
  <c r="N94" i="1"/>
  <c r="O94" i="1"/>
  <c r="P94" i="1"/>
  <c r="Q94" i="1"/>
  <c r="R94" i="1"/>
  <c r="S94" i="1"/>
  <c r="N95" i="1"/>
  <c r="O95" i="1"/>
  <c r="P95" i="1"/>
  <c r="Q95" i="1"/>
  <c r="R95" i="1"/>
  <c r="S95" i="1"/>
  <c r="N96" i="1"/>
  <c r="O96" i="1"/>
  <c r="P96" i="1"/>
  <c r="Q96" i="1"/>
  <c r="R96" i="1"/>
  <c r="S96" i="1"/>
  <c r="N97" i="1"/>
  <c r="O97" i="1"/>
  <c r="P97" i="1"/>
  <c r="Q97" i="1"/>
  <c r="R97" i="1"/>
  <c r="S97" i="1"/>
  <c r="N98" i="1"/>
  <c r="O98" i="1"/>
  <c r="P98" i="1"/>
  <c r="Q98" i="1"/>
  <c r="R98" i="1"/>
  <c r="S98" i="1"/>
  <c r="N99" i="1"/>
  <c r="O99" i="1"/>
  <c r="P99" i="1"/>
  <c r="Q99" i="1"/>
  <c r="R99" i="1"/>
  <c r="S99" i="1"/>
  <c r="N100" i="1"/>
  <c r="O100" i="1"/>
  <c r="P100" i="1"/>
  <c r="Q100" i="1"/>
  <c r="R100" i="1"/>
  <c r="S100" i="1"/>
  <c r="N101" i="1"/>
  <c r="O101" i="1"/>
  <c r="P101" i="1"/>
  <c r="Q101" i="1"/>
  <c r="R101" i="1"/>
  <c r="S101" i="1"/>
  <c r="N102" i="1"/>
  <c r="O102" i="1"/>
  <c r="P102" i="1"/>
  <c r="Q102" i="1"/>
  <c r="R102" i="1"/>
  <c r="S102" i="1"/>
  <c r="N103" i="1"/>
  <c r="O103" i="1"/>
  <c r="P103" i="1"/>
  <c r="Q103" i="1"/>
  <c r="R103" i="1"/>
  <c r="S103" i="1"/>
  <c r="N104" i="1"/>
  <c r="O104" i="1"/>
  <c r="P104" i="1"/>
  <c r="Q104" i="1"/>
  <c r="R104" i="1"/>
  <c r="S104" i="1"/>
  <c r="N105" i="1"/>
  <c r="O105" i="1"/>
  <c r="P105" i="1"/>
  <c r="Q105" i="1"/>
  <c r="R105" i="1"/>
  <c r="S105" i="1"/>
  <c r="N106" i="1"/>
  <c r="O106" i="1"/>
  <c r="P106" i="1"/>
  <c r="Q106" i="1"/>
  <c r="R106" i="1"/>
  <c r="S106" i="1"/>
  <c r="N107" i="1"/>
  <c r="O107" i="1"/>
  <c r="P107" i="1"/>
  <c r="Q107" i="1"/>
  <c r="R107" i="1"/>
  <c r="S107" i="1"/>
  <c r="N108" i="1"/>
  <c r="O108" i="1"/>
  <c r="P108" i="1"/>
  <c r="Q108" i="1"/>
  <c r="R108" i="1"/>
  <c r="S108" i="1"/>
  <c r="N109" i="1"/>
  <c r="O109" i="1"/>
  <c r="P109" i="1"/>
  <c r="Q109" i="1"/>
  <c r="R109" i="1"/>
  <c r="S109" i="1"/>
  <c r="N110" i="1"/>
  <c r="O110" i="1"/>
  <c r="P110" i="1"/>
  <c r="Q110" i="1"/>
  <c r="R110" i="1"/>
  <c r="S110" i="1"/>
  <c r="N111" i="1"/>
  <c r="O111" i="1"/>
  <c r="P111" i="1"/>
  <c r="Q111" i="1"/>
  <c r="R111" i="1"/>
  <c r="S111" i="1"/>
  <c r="N112" i="1"/>
  <c r="O112" i="1"/>
  <c r="P112" i="1"/>
  <c r="Q112" i="1"/>
  <c r="R112" i="1"/>
  <c r="S112" i="1"/>
  <c r="N113" i="1"/>
  <c r="O113" i="1"/>
  <c r="P113" i="1"/>
  <c r="Q113" i="1"/>
  <c r="R113" i="1"/>
  <c r="S113" i="1"/>
  <c r="N114" i="1"/>
  <c r="O114" i="1"/>
  <c r="P114" i="1"/>
  <c r="Q114" i="1"/>
  <c r="R114" i="1"/>
  <c r="S114" i="1"/>
  <c r="N115" i="1"/>
  <c r="O115" i="1"/>
  <c r="P115" i="1"/>
  <c r="Q115" i="1"/>
  <c r="R115" i="1"/>
  <c r="S115" i="1"/>
  <c r="N116" i="1"/>
  <c r="O116" i="1"/>
  <c r="P116" i="1"/>
  <c r="Q116" i="1"/>
  <c r="R116" i="1"/>
  <c r="S116" i="1"/>
  <c r="N117" i="1"/>
  <c r="O117" i="1"/>
  <c r="P117" i="1"/>
  <c r="Q117" i="1"/>
  <c r="R117" i="1"/>
  <c r="S117" i="1"/>
  <c r="N118" i="1"/>
  <c r="O118" i="1"/>
  <c r="P118" i="1"/>
  <c r="Q118" i="1"/>
  <c r="R118" i="1"/>
  <c r="S118" i="1"/>
  <c r="N119" i="1"/>
  <c r="O119" i="1"/>
  <c r="P119" i="1"/>
  <c r="Q119" i="1"/>
  <c r="R119" i="1"/>
  <c r="S119" i="1"/>
  <c r="N120" i="1"/>
  <c r="O120" i="1"/>
  <c r="P120" i="1"/>
  <c r="Q120" i="1"/>
  <c r="R120" i="1"/>
  <c r="S120" i="1"/>
  <c r="N121" i="1"/>
  <c r="O121" i="1"/>
  <c r="P121" i="1"/>
  <c r="Q121" i="1"/>
  <c r="R121" i="1"/>
  <c r="S121" i="1"/>
  <c r="N122" i="1"/>
  <c r="O122" i="1"/>
  <c r="P122" i="1"/>
  <c r="Q122" i="1"/>
  <c r="R122" i="1"/>
  <c r="S122" i="1"/>
  <c r="N123" i="1"/>
  <c r="O123" i="1"/>
  <c r="P123" i="1"/>
  <c r="Q123" i="1"/>
  <c r="R123" i="1"/>
  <c r="S123" i="1"/>
  <c r="N124" i="1"/>
  <c r="O124" i="1"/>
  <c r="P124" i="1"/>
  <c r="Q124" i="1"/>
  <c r="R124" i="1"/>
  <c r="S124" i="1"/>
  <c r="N125" i="1"/>
  <c r="O125" i="1"/>
  <c r="P125" i="1"/>
  <c r="Q125" i="1"/>
  <c r="R125" i="1"/>
  <c r="S125" i="1"/>
  <c r="N126" i="1"/>
  <c r="O126" i="1"/>
  <c r="P126" i="1"/>
  <c r="Q126" i="1"/>
  <c r="R126" i="1"/>
  <c r="S126" i="1"/>
  <c r="N127" i="1"/>
  <c r="O127" i="1"/>
  <c r="P127" i="1"/>
  <c r="Q127" i="1"/>
  <c r="R127" i="1"/>
  <c r="S127" i="1"/>
  <c r="N128" i="1"/>
  <c r="O128" i="1"/>
  <c r="P128" i="1"/>
  <c r="Q128" i="1"/>
  <c r="R128" i="1"/>
  <c r="S128" i="1"/>
  <c r="N129" i="1"/>
  <c r="O129" i="1"/>
  <c r="P129" i="1"/>
  <c r="Q129" i="1"/>
  <c r="R129" i="1"/>
  <c r="S129" i="1"/>
  <c r="N130" i="1"/>
  <c r="O130" i="1"/>
  <c r="P130" i="1"/>
  <c r="Q130" i="1"/>
  <c r="R130" i="1"/>
  <c r="S130" i="1"/>
  <c r="N131" i="1"/>
  <c r="O131" i="1"/>
  <c r="P131" i="1"/>
  <c r="Q131" i="1"/>
  <c r="R131" i="1"/>
  <c r="S131" i="1"/>
  <c r="N132" i="1"/>
  <c r="O132" i="1"/>
  <c r="P132" i="1"/>
  <c r="Q132" i="1"/>
  <c r="R132" i="1"/>
  <c r="S132" i="1"/>
  <c r="N133" i="1"/>
  <c r="O133" i="1"/>
  <c r="P133" i="1"/>
  <c r="Q133" i="1"/>
  <c r="R133" i="1"/>
  <c r="S133" i="1"/>
  <c r="N134" i="1"/>
  <c r="O134" i="1"/>
  <c r="P134" i="1"/>
  <c r="Q134" i="1"/>
  <c r="R134" i="1"/>
  <c r="S134" i="1"/>
  <c r="N135" i="1"/>
  <c r="O135" i="1"/>
  <c r="P135" i="1"/>
  <c r="Q135" i="1"/>
  <c r="R135" i="1"/>
  <c r="S135" i="1"/>
  <c r="N136" i="1"/>
  <c r="O136" i="1"/>
  <c r="P136" i="1"/>
  <c r="Q136" i="1"/>
  <c r="R136" i="1"/>
  <c r="S136" i="1"/>
  <c r="N137" i="1"/>
  <c r="O137" i="1"/>
  <c r="P137" i="1"/>
  <c r="Q137" i="1"/>
  <c r="R137" i="1"/>
  <c r="S137" i="1"/>
  <c r="N138" i="1"/>
  <c r="O138" i="1"/>
  <c r="P138" i="1"/>
  <c r="Q138" i="1"/>
  <c r="R138" i="1"/>
  <c r="S138" i="1"/>
  <c r="N139" i="1"/>
  <c r="O139" i="1"/>
  <c r="P139" i="1"/>
  <c r="Q139" i="1"/>
  <c r="R139" i="1"/>
  <c r="S139" i="1"/>
  <c r="N140" i="1"/>
  <c r="O140" i="1"/>
  <c r="P140" i="1"/>
  <c r="Q140" i="1"/>
  <c r="R140" i="1"/>
  <c r="S140" i="1"/>
  <c r="N141" i="1"/>
  <c r="O141" i="1"/>
  <c r="P141" i="1"/>
  <c r="Q141" i="1"/>
  <c r="R141" i="1"/>
  <c r="S141" i="1"/>
  <c r="N142" i="1"/>
  <c r="O142" i="1"/>
  <c r="P142" i="1"/>
  <c r="Q142" i="1"/>
  <c r="R142" i="1"/>
  <c r="S142" i="1"/>
  <c r="N143" i="1"/>
  <c r="O143" i="1"/>
  <c r="P143" i="1"/>
  <c r="Q143" i="1"/>
  <c r="R143" i="1"/>
  <c r="S143" i="1"/>
  <c r="N144" i="1"/>
  <c r="O144" i="1"/>
  <c r="P144" i="1"/>
  <c r="Q144" i="1"/>
  <c r="R144" i="1"/>
  <c r="S144" i="1"/>
  <c r="N145" i="1"/>
  <c r="O145" i="1"/>
  <c r="P145" i="1"/>
  <c r="Q145" i="1"/>
  <c r="R145" i="1"/>
  <c r="S145" i="1"/>
  <c r="N146" i="1"/>
  <c r="O146" i="1"/>
  <c r="P146" i="1"/>
  <c r="Q146" i="1"/>
  <c r="R146" i="1"/>
  <c r="S146" i="1"/>
  <c r="N147" i="1"/>
  <c r="O147" i="1"/>
  <c r="P147" i="1"/>
  <c r="Q147" i="1"/>
  <c r="R147" i="1"/>
  <c r="S147" i="1"/>
  <c r="N148" i="1"/>
  <c r="O148" i="1"/>
  <c r="P148" i="1"/>
  <c r="Q148" i="1"/>
  <c r="R148" i="1"/>
  <c r="S148" i="1"/>
  <c r="N149" i="1"/>
  <c r="O149" i="1"/>
  <c r="P149" i="1"/>
  <c r="Q149" i="1"/>
  <c r="R149" i="1"/>
  <c r="S149" i="1"/>
  <c r="N150" i="1"/>
  <c r="O150" i="1"/>
  <c r="P150" i="1"/>
  <c r="Q150" i="1"/>
  <c r="R150" i="1"/>
  <c r="S150" i="1"/>
  <c r="N151" i="1"/>
  <c r="O151" i="1"/>
  <c r="P151" i="1"/>
  <c r="Q151" i="1"/>
  <c r="R151" i="1"/>
  <c r="S151" i="1"/>
  <c r="N152" i="1"/>
  <c r="O152" i="1"/>
  <c r="P152" i="1"/>
  <c r="Q152" i="1"/>
  <c r="R152" i="1"/>
  <c r="S152" i="1"/>
  <c r="N153" i="1"/>
  <c r="O153" i="1"/>
  <c r="P153" i="1"/>
  <c r="Q153" i="1"/>
  <c r="R153" i="1"/>
  <c r="S153" i="1"/>
  <c r="N154" i="1"/>
  <c r="O154" i="1"/>
  <c r="P154" i="1"/>
  <c r="Q154" i="1"/>
  <c r="R154" i="1"/>
  <c r="S154" i="1"/>
  <c r="N155" i="1"/>
  <c r="O155" i="1"/>
  <c r="P155" i="1"/>
  <c r="Q155" i="1"/>
  <c r="R155" i="1"/>
  <c r="S155" i="1"/>
  <c r="N156" i="1"/>
  <c r="O156" i="1"/>
  <c r="P156" i="1"/>
  <c r="Q156" i="1"/>
  <c r="R156" i="1"/>
  <c r="S156" i="1"/>
  <c r="N157" i="1"/>
  <c r="O157" i="1"/>
  <c r="P157" i="1"/>
  <c r="Q157" i="1"/>
  <c r="R157" i="1"/>
  <c r="S157" i="1"/>
  <c r="N158" i="1"/>
  <c r="O158" i="1"/>
  <c r="P158" i="1"/>
  <c r="Q158" i="1"/>
  <c r="R158" i="1"/>
  <c r="S158" i="1"/>
  <c r="N159" i="1"/>
  <c r="O159" i="1"/>
  <c r="P159" i="1"/>
  <c r="Q159" i="1"/>
  <c r="R159" i="1"/>
  <c r="S159" i="1"/>
  <c r="N160" i="1"/>
  <c r="O160" i="1"/>
  <c r="P160" i="1"/>
  <c r="Q160" i="1"/>
  <c r="R160" i="1"/>
  <c r="S160" i="1"/>
  <c r="N161" i="1"/>
  <c r="O161" i="1"/>
  <c r="P161" i="1"/>
  <c r="Q161" i="1"/>
  <c r="R161" i="1"/>
  <c r="S161" i="1"/>
  <c r="N162" i="1"/>
  <c r="O162" i="1"/>
  <c r="P162" i="1"/>
  <c r="Q162" i="1"/>
  <c r="R162" i="1"/>
  <c r="S162" i="1"/>
  <c r="N163" i="1"/>
  <c r="O163" i="1"/>
  <c r="P163" i="1"/>
  <c r="Q163" i="1"/>
  <c r="R163" i="1"/>
  <c r="S163" i="1"/>
  <c r="N164" i="1"/>
  <c r="O164" i="1"/>
  <c r="P164" i="1"/>
  <c r="Q164" i="1"/>
  <c r="R164" i="1"/>
  <c r="S164" i="1"/>
  <c r="N165" i="1"/>
  <c r="O165" i="1"/>
  <c r="P165" i="1"/>
  <c r="Q165" i="1"/>
  <c r="R165" i="1"/>
  <c r="S165" i="1"/>
  <c r="N166" i="1"/>
  <c r="O166" i="1"/>
  <c r="P166" i="1"/>
  <c r="Q166" i="1"/>
  <c r="R166" i="1"/>
  <c r="S166" i="1"/>
  <c r="N167" i="1"/>
  <c r="O167" i="1"/>
  <c r="P167" i="1"/>
  <c r="Q167" i="1"/>
  <c r="R167" i="1"/>
  <c r="S167" i="1"/>
  <c r="N168" i="1"/>
  <c r="O168" i="1"/>
  <c r="P168" i="1"/>
  <c r="Q168" i="1"/>
  <c r="R168" i="1"/>
  <c r="S168" i="1"/>
  <c r="N169" i="1"/>
  <c r="O169" i="1"/>
  <c r="P169" i="1"/>
  <c r="Q169" i="1"/>
  <c r="R169" i="1"/>
  <c r="S169" i="1"/>
  <c r="N170" i="1"/>
  <c r="O170" i="1"/>
  <c r="P170" i="1"/>
  <c r="Q170" i="1"/>
  <c r="R170" i="1"/>
  <c r="S170" i="1"/>
  <c r="N171" i="1"/>
  <c r="O171" i="1"/>
  <c r="P171" i="1"/>
  <c r="Q171" i="1"/>
  <c r="R171" i="1"/>
  <c r="S171" i="1"/>
  <c r="N172" i="1"/>
  <c r="O172" i="1"/>
  <c r="P172" i="1"/>
  <c r="Q172" i="1"/>
  <c r="R172" i="1"/>
  <c r="S172" i="1"/>
  <c r="N173" i="1"/>
  <c r="O173" i="1"/>
  <c r="P173" i="1"/>
  <c r="Q173" i="1"/>
  <c r="R173" i="1"/>
  <c r="S173" i="1"/>
  <c r="N174" i="1"/>
  <c r="O174" i="1"/>
  <c r="P174" i="1"/>
  <c r="Q174" i="1"/>
  <c r="R174" i="1"/>
  <c r="S174" i="1"/>
  <c r="N175" i="1"/>
  <c r="O175" i="1"/>
  <c r="P175" i="1"/>
  <c r="Q175" i="1"/>
  <c r="R175" i="1"/>
  <c r="S175" i="1"/>
  <c r="N176" i="1"/>
  <c r="O176" i="1"/>
  <c r="P176" i="1"/>
  <c r="Q176" i="1"/>
  <c r="R176" i="1"/>
  <c r="S176" i="1"/>
  <c r="N177" i="1"/>
  <c r="O177" i="1"/>
  <c r="P177" i="1"/>
  <c r="Q177" i="1"/>
  <c r="R177" i="1"/>
  <c r="S177" i="1"/>
  <c r="N178" i="1"/>
  <c r="O178" i="1"/>
  <c r="P178" i="1"/>
  <c r="Q178" i="1"/>
  <c r="R178" i="1"/>
  <c r="S178" i="1"/>
  <c r="N179" i="1"/>
  <c r="O179" i="1"/>
  <c r="P179" i="1"/>
  <c r="Q179" i="1"/>
  <c r="R179" i="1"/>
  <c r="S179" i="1"/>
  <c r="N180" i="1"/>
  <c r="O180" i="1"/>
  <c r="P180" i="1"/>
  <c r="Q180" i="1"/>
  <c r="R180" i="1"/>
  <c r="S180" i="1"/>
  <c r="N181" i="1"/>
  <c r="O181" i="1"/>
  <c r="P181" i="1"/>
  <c r="Q181" i="1"/>
  <c r="R181" i="1"/>
  <c r="S181" i="1"/>
  <c r="N182" i="1"/>
  <c r="O182" i="1"/>
  <c r="P182" i="1"/>
  <c r="Q182" i="1"/>
  <c r="R182" i="1"/>
  <c r="S182" i="1"/>
  <c r="N183" i="1"/>
  <c r="O183" i="1"/>
  <c r="P183" i="1"/>
  <c r="Q183" i="1"/>
  <c r="R183" i="1"/>
  <c r="S183" i="1"/>
  <c r="N184" i="1"/>
  <c r="O184" i="1"/>
  <c r="P184" i="1"/>
  <c r="Q184" i="1"/>
  <c r="R184" i="1"/>
  <c r="S184" i="1"/>
  <c r="N185" i="1"/>
  <c r="O185" i="1"/>
  <c r="P185" i="1"/>
  <c r="Q185" i="1"/>
  <c r="R185" i="1"/>
  <c r="S185" i="1"/>
  <c r="N186" i="1"/>
  <c r="O186" i="1"/>
  <c r="P186" i="1"/>
  <c r="Q186" i="1"/>
  <c r="R186" i="1"/>
  <c r="S186" i="1"/>
  <c r="N187" i="1"/>
  <c r="O187" i="1"/>
  <c r="P187" i="1"/>
  <c r="Q187" i="1"/>
  <c r="R187" i="1"/>
  <c r="S187" i="1"/>
  <c r="N188" i="1"/>
  <c r="O188" i="1"/>
  <c r="P188" i="1"/>
  <c r="Q188" i="1"/>
  <c r="R188" i="1"/>
  <c r="S188" i="1"/>
  <c r="N189" i="1"/>
  <c r="O189" i="1"/>
  <c r="P189" i="1"/>
  <c r="Q189" i="1"/>
  <c r="R189" i="1"/>
  <c r="S189" i="1"/>
  <c r="N190" i="1"/>
  <c r="O190" i="1"/>
  <c r="P190" i="1"/>
  <c r="Q190" i="1"/>
  <c r="R190" i="1"/>
  <c r="S190" i="1"/>
  <c r="N191" i="1"/>
  <c r="O191" i="1"/>
  <c r="P191" i="1"/>
  <c r="Q191" i="1"/>
  <c r="R191" i="1"/>
  <c r="S191" i="1"/>
  <c r="N192" i="1"/>
  <c r="O192" i="1"/>
  <c r="P192" i="1"/>
  <c r="Q192" i="1"/>
  <c r="R192" i="1"/>
  <c r="S192" i="1"/>
  <c r="N193" i="1"/>
  <c r="O193" i="1"/>
  <c r="P193" i="1"/>
  <c r="Q193" i="1"/>
  <c r="R193" i="1"/>
  <c r="S193" i="1"/>
  <c r="N194" i="1"/>
  <c r="O194" i="1"/>
  <c r="P194" i="1"/>
  <c r="Q194" i="1"/>
  <c r="R194" i="1"/>
  <c r="S194" i="1"/>
  <c r="N195" i="1"/>
  <c r="O195" i="1"/>
  <c r="P195" i="1"/>
  <c r="Q195" i="1"/>
  <c r="R195" i="1"/>
  <c r="S195" i="1"/>
  <c r="N196" i="1"/>
  <c r="O196" i="1"/>
  <c r="P196" i="1"/>
  <c r="Q196" i="1"/>
  <c r="R196" i="1"/>
  <c r="S196" i="1"/>
  <c r="N197" i="1"/>
  <c r="O197" i="1"/>
  <c r="P197" i="1"/>
  <c r="Q197" i="1"/>
  <c r="R197" i="1"/>
  <c r="S197" i="1"/>
  <c r="N198" i="1"/>
  <c r="O198" i="1"/>
  <c r="P198" i="1"/>
  <c r="Q198" i="1"/>
  <c r="R198" i="1"/>
  <c r="S198" i="1"/>
  <c r="N199" i="1"/>
  <c r="O199" i="1"/>
  <c r="P199" i="1"/>
  <c r="Q199" i="1"/>
  <c r="R199" i="1"/>
  <c r="S199" i="1"/>
  <c r="N200" i="1"/>
  <c r="O200" i="1"/>
  <c r="P200" i="1"/>
  <c r="Q200" i="1"/>
  <c r="R200" i="1"/>
  <c r="S200" i="1"/>
  <c r="N201" i="1"/>
  <c r="O201" i="1"/>
  <c r="P201" i="1"/>
  <c r="Q201" i="1"/>
  <c r="R201" i="1"/>
  <c r="S201" i="1"/>
  <c r="N202" i="1"/>
  <c r="O202" i="1"/>
  <c r="P202" i="1"/>
  <c r="Q202" i="1"/>
  <c r="R202" i="1"/>
  <c r="S202" i="1"/>
  <c r="N203" i="1"/>
  <c r="O203" i="1"/>
  <c r="P203" i="1"/>
  <c r="Q203" i="1"/>
  <c r="R203" i="1"/>
  <c r="S203" i="1"/>
  <c r="N204" i="1"/>
  <c r="O204" i="1"/>
  <c r="P204" i="1"/>
  <c r="Q204" i="1"/>
  <c r="R204" i="1"/>
  <c r="S204" i="1"/>
  <c r="N205" i="1"/>
  <c r="O205" i="1"/>
  <c r="P205" i="1"/>
  <c r="Q205" i="1"/>
  <c r="R205" i="1"/>
  <c r="S205" i="1"/>
  <c r="N206" i="1"/>
  <c r="O206" i="1"/>
  <c r="P206" i="1"/>
  <c r="Q206" i="1"/>
  <c r="R206" i="1"/>
  <c r="S206" i="1"/>
  <c r="N207" i="1"/>
  <c r="O207" i="1"/>
  <c r="P207" i="1"/>
  <c r="Q207" i="1"/>
  <c r="R207" i="1"/>
  <c r="S207" i="1"/>
  <c r="N208" i="1"/>
  <c r="O208" i="1"/>
  <c r="P208" i="1"/>
  <c r="Q208" i="1"/>
  <c r="R208" i="1"/>
  <c r="S208" i="1"/>
  <c r="N209" i="1"/>
  <c r="O209" i="1"/>
  <c r="P209" i="1"/>
  <c r="Q209" i="1"/>
  <c r="R209" i="1"/>
  <c r="S209" i="1"/>
  <c r="N210" i="1"/>
  <c r="O210" i="1"/>
  <c r="P210" i="1"/>
  <c r="Q210" i="1"/>
  <c r="R210" i="1"/>
  <c r="S210" i="1"/>
  <c r="N211" i="1"/>
  <c r="O211" i="1"/>
  <c r="P211" i="1"/>
  <c r="Q211" i="1"/>
  <c r="R211" i="1"/>
  <c r="S211" i="1"/>
  <c r="N212" i="1"/>
  <c r="O212" i="1"/>
  <c r="P212" i="1"/>
  <c r="Q212" i="1"/>
  <c r="R212" i="1"/>
  <c r="S212" i="1"/>
  <c r="N213" i="1"/>
  <c r="O213" i="1"/>
  <c r="P213" i="1"/>
  <c r="Q213" i="1"/>
  <c r="R213" i="1"/>
  <c r="S213" i="1"/>
  <c r="N214" i="1"/>
  <c r="O214" i="1"/>
  <c r="P214" i="1"/>
  <c r="Q214" i="1"/>
  <c r="R214" i="1"/>
  <c r="S214" i="1"/>
  <c r="N215" i="1"/>
  <c r="O215" i="1"/>
  <c r="P215" i="1"/>
  <c r="Q215" i="1"/>
  <c r="R215" i="1"/>
  <c r="S215" i="1"/>
  <c r="N216" i="1"/>
  <c r="O216" i="1"/>
  <c r="P216" i="1"/>
  <c r="Q216" i="1"/>
  <c r="R216" i="1"/>
  <c r="S216" i="1"/>
  <c r="N217" i="1"/>
  <c r="O217" i="1"/>
  <c r="P217" i="1"/>
  <c r="Q217" i="1"/>
  <c r="R217" i="1"/>
  <c r="S217" i="1"/>
  <c r="N218" i="1"/>
  <c r="O218" i="1"/>
  <c r="P218" i="1"/>
  <c r="Q218" i="1"/>
  <c r="R218" i="1"/>
  <c r="S218" i="1"/>
  <c r="N219" i="1"/>
  <c r="O219" i="1"/>
  <c r="P219" i="1"/>
  <c r="Q219" i="1"/>
  <c r="R219" i="1"/>
  <c r="S219" i="1"/>
  <c r="N220" i="1"/>
  <c r="O220" i="1"/>
  <c r="P220" i="1"/>
  <c r="Q220" i="1"/>
  <c r="R220" i="1"/>
  <c r="S220" i="1"/>
  <c r="N221" i="1"/>
  <c r="O221" i="1"/>
  <c r="P221" i="1"/>
  <c r="Q221" i="1"/>
  <c r="R221" i="1"/>
  <c r="S221" i="1"/>
  <c r="N222" i="1"/>
  <c r="O222" i="1"/>
  <c r="P222" i="1"/>
  <c r="Q222" i="1"/>
  <c r="R222" i="1"/>
  <c r="S222" i="1"/>
  <c r="N223" i="1"/>
  <c r="O223" i="1"/>
  <c r="P223" i="1"/>
  <c r="Q223" i="1"/>
  <c r="R223" i="1"/>
  <c r="S223" i="1"/>
  <c r="N224" i="1"/>
  <c r="O224" i="1"/>
  <c r="P224" i="1"/>
  <c r="Q224" i="1"/>
  <c r="R224" i="1"/>
  <c r="S224" i="1"/>
  <c r="N225" i="1"/>
  <c r="O225" i="1"/>
  <c r="P225" i="1"/>
  <c r="Q225" i="1"/>
  <c r="R225" i="1"/>
  <c r="S225" i="1"/>
  <c r="N226" i="1"/>
  <c r="O226" i="1"/>
  <c r="P226" i="1"/>
  <c r="Q226" i="1"/>
  <c r="R226" i="1"/>
  <c r="S226" i="1"/>
  <c r="N227" i="1"/>
  <c r="O227" i="1"/>
  <c r="P227" i="1"/>
  <c r="Q227" i="1"/>
  <c r="R227" i="1"/>
  <c r="S227" i="1"/>
  <c r="N228" i="1"/>
  <c r="O228" i="1"/>
  <c r="P228" i="1"/>
  <c r="Q228" i="1"/>
  <c r="R228" i="1"/>
  <c r="S228" i="1"/>
  <c r="N229" i="1"/>
  <c r="O229" i="1"/>
  <c r="P229" i="1"/>
  <c r="Q229" i="1"/>
  <c r="R229" i="1"/>
  <c r="S229" i="1"/>
  <c r="N230" i="1"/>
  <c r="O230" i="1"/>
  <c r="P230" i="1"/>
  <c r="Q230" i="1"/>
  <c r="R230" i="1"/>
  <c r="S230" i="1"/>
  <c r="N231" i="1"/>
  <c r="O231" i="1"/>
  <c r="P231" i="1"/>
  <c r="Q231" i="1"/>
  <c r="R231" i="1"/>
  <c r="S231" i="1"/>
  <c r="N232" i="1"/>
  <c r="O232" i="1"/>
  <c r="P232" i="1"/>
  <c r="Q232" i="1"/>
  <c r="R232" i="1"/>
  <c r="S232" i="1"/>
  <c r="N233" i="1"/>
  <c r="O233" i="1"/>
  <c r="P233" i="1"/>
  <c r="Q233" i="1"/>
  <c r="R233" i="1"/>
  <c r="S233" i="1"/>
  <c r="N234" i="1"/>
  <c r="O234" i="1"/>
  <c r="P234" i="1"/>
  <c r="Q234" i="1"/>
  <c r="R234" i="1"/>
  <c r="S234" i="1"/>
  <c r="N235" i="1"/>
  <c r="O235" i="1"/>
  <c r="P235" i="1"/>
  <c r="Q235" i="1"/>
  <c r="R235" i="1"/>
  <c r="S235" i="1"/>
  <c r="N236" i="1"/>
  <c r="O236" i="1"/>
  <c r="P236" i="1"/>
  <c r="Q236" i="1"/>
  <c r="R236" i="1"/>
  <c r="S236" i="1"/>
  <c r="N237" i="1"/>
  <c r="O237" i="1"/>
  <c r="P237" i="1"/>
  <c r="Q237" i="1"/>
  <c r="R237" i="1"/>
  <c r="S237" i="1"/>
  <c r="N238" i="1"/>
  <c r="O238" i="1"/>
  <c r="P238" i="1"/>
  <c r="Q238" i="1"/>
  <c r="R238" i="1"/>
  <c r="S238" i="1"/>
  <c r="N239" i="1"/>
  <c r="O239" i="1"/>
  <c r="P239" i="1"/>
  <c r="Q239" i="1"/>
  <c r="R239" i="1"/>
  <c r="S239" i="1"/>
  <c r="N240" i="1"/>
  <c r="O240" i="1"/>
  <c r="P240" i="1"/>
  <c r="Q240" i="1"/>
  <c r="R240" i="1"/>
  <c r="S240" i="1"/>
  <c r="N241" i="1"/>
  <c r="O241" i="1"/>
  <c r="P241" i="1"/>
  <c r="Q241" i="1"/>
  <c r="R241" i="1"/>
  <c r="S241" i="1"/>
  <c r="N242" i="1"/>
  <c r="O242" i="1"/>
  <c r="P242" i="1"/>
  <c r="Q242" i="1"/>
  <c r="R242" i="1"/>
  <c r="S242" i="1"/>
  <c r="N243" i="1"/>
  <c r="O243" i="1"/>
  <c r="P243" i="1"/>
  <c r="Q243" i="1"/>
  <c r="R243" i="1"/>
  <c r="S243" i="1"/>
  <c r="N244" i="1"/>
  <c r="O244" i="1"/>
  <c r="P244" i="1"/>
  <c r="Q244" i="1"/>
  <c r="R244" i="1"/>
  <c r="S244" i="1"/>
  <c r="N245" i="1"/>
  <c r="O245" i="1"/>
  <c r="P245" i="1"/>
  <c r="Q245" i="1"/>
  <c r="R245" i="1"/>
  <c r="S245" i="1"/>
  <c r="N246" i="1"/>
  <c r="O246" i="1"/>
  <c r="P246" i="1"/>
  <c r="Q246" i="1"/>
  <c r="R246" i="1"/>
  <c r="S246" i="1"/>
  <c r="N247" i="1"/>
  <c r="O247" i="1"/>
  <c r="P247" i="1"/>
  <c r="Q247" i="1"/>
  <c r="R247" i="1"/>
  <c r="S247" i="1"/>
  <c r="N248" i="1"/>
  <c r="O248" i="1"/>
  <c r="P248" i="1"/>
  <c r="Q248" i="1"/>
  <c r="R248" i="1"/>
  <c r="S248" i="1"/>
  <c r="N249" i="1"/>
  <c r="O249" i="1"/>
  <c r="P249" i="1"/>
  <c r="Q249" i="1"/>
  <c r="R249" i="1"/>
  <c r="S249" i="1"/>
  <c r="N250" i="1"/>
  <c r="O250" i="1"/>
  <c r="P250" i="1"/>
  <c r="Q250" i="1"/>
  <c r="R250" i="1"/>
  <c r="S250" i="1"/>
  <c r="N251" i="1"/>
  <c r="O251" i="1"/>
  <c r="P251" i="1"/>
  <c r="Q251" i="1"/>
  <c r="R251" i="1"/>
  <c r="S251" i="1"/>
  <c r="N252" i="1"/>
  <c r="O252" i="1"/>
  <c r="P252" i="1"/>
  <c r="Q252" i="1"/>
  <c r="R252" i="1"/>
  <c r="S252" i="1"/>
  <c r="N253" i="1"/>
  <c r="O253" i="1"/>
  <c r="P253" i="1"/>
  <c r="Q253" i="1"/>
  <c r="R253" i="1"/>
  <c r="S253" i="1"/>
  <c r="N254" i="1"/>
  <c r="O254" i="1"/>
  <c r="P254" i="1"/>
  <c r="Q254" i="1"/>
  <c r="R254" i="1"/>
  <c r="S254" i="1"/>
  <c r="N255" i="1"/>
  <c r="O255" i="1"/>
  <c r="P255" i="1"/>
  <c r="Q255" i="1"/>
  <c r="R255" i="1"/>
  <c r="S255" i="1"/>
  <c r="N256" i="1"/>
  <c r="O256" i="1"/>
  <c r="P256" i="1"/>
  <c r="Q256" i="1"/>
  <c r="R256" i="1"/>
  <c r="S256" i="1"/>
  <c r="N257" i="1"/>
  <c r="O257" i="1"/>
  <c r="P257" i="1"/>
  <c r="Q257" i="1"/>
  <c r="R257" i="1"/>
  <c r="S257" i="1"/>
  <c r="N258" i="1"/>
  <c r="O258" i="1"/>
  <c r="P258" i="1"/>
  <c r="Q258" i="1"/>
  <c r="R258" i="1"/>
  <c r="S258" i="1"/>
  <c r="N259" i="1"/>
  <c r="O259" i="1"/>
  <c r="P259" i="1"/>
  <c r="Q259" i="1"/>
  <c r="R259" i="1"/>
  <c r="S259" i="1"/>
  <c r="N260" i="1"/>
  <c r="O260" i="1"/>
  <c r="P260" i="1"/>
  <c r="Q260" i="1"/>
  <c r="R260" i="1"/>
  <c r="S260" i="1"/>
  <c r="N261" i="1"/>
  <c r="O261" i="1"/>
  <c r="P261" i="1"/>
  <c r="Q261" i="1"/>
  <c r="R261" i="1"/>
  <c r="S261" i="1"/>
  <c r="N262" i="1"/>
  <c r="O262" i="1"/>
  <c r="P262" i="1"/>
  <c r="Q262" i="1"/>
  <c r="R262" i="1"/>
  <c r="S262" i="1"/>
  <c r="N263" i="1"/>
  <c r="O263" i="1"/>
  <c r="P263" i="1"/>
  <c r="Q263" i="1"/>
  <c r="R263" i="1"/>
  <c r="S263" i="1"/>
  <c r="N264" i="1"/>
  <c r="O264" i="1"/>
  <c r="P264" i="1"/>
  <c r="Q264" i="1"/>
  <c r="R264" i="1"/>
  <c r="S264" i="1"/>
  <c r="N265" i="1"/>
  <c r="O265" i="1"/>
  <c r="P265" i="1"/>
  <c r="Q265" i="1"/>
  <c r="R265" i="1"/>
  <c r="S265" i="1"/>
  <c r="N266" i="1"/>
  <c r="O266" i="1"/>
  <c r="P266" i="1"/>
  <c r="Q266" i="1"/>
  <c r="R266" i="1"/>
  <c r="S266" i="1"/>
  <c r="N267" i="1"/>
  <c r="O267" i="1"/>
  <c r="P267" i="1"/>
  <c r="Q267" i="1"/>
  <c r="R267" i="1"/>
  <c r="S267" i="1"/>
  <c r="N268" i="1"/>
  <c r="O268" i="1"/>
  <c r="P268" i="1"/>
  <c r="Q268" i="1"/>
  <c r="R268" i="1"/>
  <c r="S268" i="1"/>
  <c r="N269" i="1"/>
  <c r="O269" i="1"/>
  <c r="P269" i="1"/>
  <c r="Q269" i="1"/>
  <c r="R269" i="1"/>
  <c r="S269" i="1"/>
  <c r="N270" i="1"/>
  <c r="O270" i="1"/>
  <c r="P270" i="1"/>
  <c r="Q270" i="1"/>
  <c r="R270" i="1"/>
  <c r="S270" i="1"/>
  <c r="N271" i="1"/>
  <c r="O271" i="1"/>
  <c r="P271" i="1"/>
  <c r="Q271" i="1"/>
  <c r="R271" i="1"/>
  <c r="S271" i="1"/>
  <c r="N272" i="1"/>
  <c r="O272" i="1"/>
  <c r="P272" i="1"/>
  <c r="Q272" i="1"/>
  <c r="R272" i="1"/>
  <c r="S272" i="1"/>
  <c r="N273" i="1"/>
  <c r="O273" i="1"/>
  <c r="P273" i="1"/>
  <c r="Q273" i="1"/>
  <c r="R273" i="1"/>
  <c r="S273" i="1"/>
  <c r="N274" i="1"/>
  <c r="O274" i="1"/>
  <c r="P274" i="1"/>
  <c r="Q274" i="1"/>
  <c r="R274" i="1"/>
  <c r="S274" i="1"/>
  <c r="N275" i="1"/>
  <c r="O275" i="1"/>
  <c r="P275" i="1"/>
  <c r="Q275" i="1"/>
  <c r="R275" i="1"/>
  <c r="S275" i="1"/>
  <c r="N276" i="1"/>
  <c r="O276" i="1"/>
  <c r="P276" i="1"/>
  <c r="Q276" i="1"/>
  <c r="R276" i="1"/>
  <c r="S276" i="1"/>
  <c r="N277" i="1"/>
  <c r="O277" i="1"/>
  <c r="P277" i="1"/>
  <c r="Q277" i="1"/>
  <c r="R277" i="1"/>
  <c r="S277" i="1"/>
  <c r="N278" i="1"/>
  <c r="O278" i="1"/>
  <c r="P278" i="1"/>
  <c r="Q278" i="1"/>
  <c r="R278" i="1"/>
  <c r="S278" i="1"/>
  <c r="N279" i="1"/>
  <c r="O279" i="1"/>
  <c r="P279" i="1"/>
  <c r="Q279" i="1"/>
  <c r="R279" i="1"/>
  <c r="S279" i="1"/>
  <c r="N280" i="1"/>
  <c r="O280" i="1"/>
  <c r="P280" i="1"/>
  <c r="Q280" i="1"/>
  <c r="R280" i="1"/>
  <c r="S280" i="1"/>
  <c r="N281" i="1"/>
  <c r="O281" i="1"/>
  <c r="P281" i="1"/>
  <c r="Q281" i="1"/>
  <c r="R281" i="1"/>
  <c r="S281" i="1"/>
  <c r="N282" i="1"/>
  <c r="O282" i="1"/>
  <c r="P282" i="1"/>
  <c r="Q282" i="1"/>
  <c r="R282" i="1"/>
  <c r="S282" i="1"/>
  <c r="N283" i="1"/>
  <c r="O283" i="1"/>
  <c r="P283" i="1"/>
  <c r="Q283" i="1"/>
  <c r="R283" i="1"/>
  <c r="S283" i="1"/>
  <c r="N284" i="1"/>
  <c r="O284" i="1"/>
  <c r="P284" i="1"/>
  <c r="Q284" i="1"/>
  <c r="R284" i="1"/>
  <c r="S284" i="1"/>
  <c r="N285" i="1"/>
  <c r="O285" i="1"/>
  <c r="P285" i="1"/>
  <c r="Q285" i="1"/>
  <c r="R285" i="1"/>
  <c r="S285" i="1"/>
  <c r="N286" i="1"/>
  <c r="O286" i="1"/>
  <c r="P286" i="1"/>
  <c r="Q286" i="1"/>
  <c r="R286" i="1"/>
  <c r="S286" i="1"/>
  <c r="N287" i="1"/>
  <c r="O287" i="1"/>
  <c r="P287" i="1"/>
  <c r="Q287" i="1"/>
  <c r="R287" i="1"/>
  <c r="S287" i="1"/>
  <c r="N288" i="1"/>
  <c r="O288" i="1"/>
  <c r="P288" i="1"/>
  <c r="Q288" i="1"/>
  <c r="R288" i="1"/>
  <c r="S288" i="1"/>
  <c r="N289" i="1"/>
  <c r="O289" i="1"/>
  <c r="P289" i="1"/>
  <c r="Q289" i="1"/>
  <c r="R289" i="1"/>
  <c r="S289" i="1"/>
  <c r="N290" i="1"/>
  <c r="O290" i="1"/>
  <c r="P290" i="1"/>
  <c r="Q290" i="1"/>
  <c r="R290" i="1"/>
  <c r="S290" i="1"/>
  <c r="N291" i="1"/>
  <c r="O291" i="1"/>
  <c r="P291" i="1"/>
  <c r="Q291" i="1"/>
  <c r="R291" i="1"/>
  <c r="S291" i="1"/>
  <c r="N292" i="1"/>
  <c r="O292" i="1"/>
  <c r="P292" i="1"/>
  <c r="Q292" i="1"/>
  <c r="R292" i="1"/>
  <c r="S292" i="1"/>
  <c r="N293" i="1"/>
  <c r="O293" i="1"/>
  <c r="P293" i="1"/>
  <c r="Q293" i="1"/>
  <c r="R293" i="1"/>
  <c r="S293" i="1"/>
  <c r="N294" i="1"/>
  <c r="O294" i="1"/>
  <c r="P294" i="1"/>
  <c r="Q294" i="1"/>
  <c r="R294" i="1"/>
  <c r="S294" i="1"/>
  <c r="N295" i="1"/>
  <c r="O295" i="1"/>
  <c r="P295" i="1"/>
  <c r="Q295" i="1"/>
  <c r="R295" i="1"/>
  <c r="S295" i="1"/>
  <c r="N296" i="1"/>
  <c r="O296" i="1"/>
  <c r="P296" i="1"/>
  <c r="Q296" i="1"/>
  <c r="R296" i="1"/>
  <c r="S296" i="1"/>
  <c r="N297" i="1"/>
  <c r="O297" i="1"/>
  <c r="P297" i="1"/>
  <c r="Q297" i="1"/>
  <c r="R297" i="1"/>
  <c r="S297" i="1"/>
  <c r="N298" i="1"/>
  <c r="O298" i="1"/>
  <c r="P298" i="1"/>
  <c r="Q298" i="1"/>
  <c r="R298" i="1"/>
  <c r="S298" i="1"/>
  <c r="N299" i="1"/>
  <c r="O299" i="1"/>
  <c r="P299" i="1"/>
  <c r="Q299" i="1"/>
  <c r="R299" i="1"/>
  <c r="S299" i="1"/>
  <c r="N300" i="1"/>
  <c r="O300" i="1"/>
  <c r="P300" i="1"/>
  <c r="Q300" i="1"/>
  <c r="R300" i="1"/>
  <c r="S300" i="1"/>
  <c r="N301" i="1"/>
  <c r="O301" i="1"/>
  <c r="P301" i="1"/>
  <c r="Q301" i="1"/>
  <c r="R301" i="1"/>
  <c r="S301" i="1"/>
  <c r="N302" i="1"/>
  <c r="O302" i="1"/>
  <c r="P302" i="1"/>
  <c r="Q302" i="1"/>
  <c r="R302" i="1"/>
  <c r="S302" i="1"/>
  <c r="N303" i="1"/>
  <c r="O303" i="1"/>
  <c r="P303" i="1"/>
  <c r="Q303" i="1"/>
  <c r="R303" i="1"/>
  <c r="S303" i="1"/>
  <c r="N304" i="1"/>
  <c r="O304" i="1"/>
  <c r="P304" i="1"/>
  <c r="Q304" i="1"/>
  <c r="R304" i="1"/>
  <c r="S304" i="1"/>
  <c r="N305" i="1"/>
  <c r="O305" i="1"/>
  <c r="P305" i="1"/>
  <c r="Q305" i="1"/>
  <c r="R305" i="1"/>
  <c r="S305" i="1"/>
  <c r="N306" i="1"/>
  <c r="O306" i="1"/>
  <c r="P306" i="1"/>
  <c r="Q306" i="1"/>
  <c r="R306" i="1"/>
  <c r="S306" i="1"/>
  <c r="N307" i="1"/>
  <c r="O307" i="1"/>
  <c r="P307" i="1"/>
  <c r="Q307" i="1"/>
  <c r="R307" i="1"/>
  <c r="S307" i="1"/>
  <c r="N308" i="1"/>
  <c r="O308" i="1"/>
  <c r="P308" i="1"/>
  <c r="Q308" i="1"/>
  <c r="R308" i="1"/>
  <c r="S308" i="1"/>
  <c r="N309" i="1"/>
  <c r="O309" i="1"/>
  <c r="P309" i="1"/>
  <c r="Q309" i="1"/>
  <c r="R309" i="1"/>
  <c r="S309" i="1"/>
  <c r="N310" i="1"/>
  <c r="O310" i="1"/>
  <c r="P310" i="1"/>
  <c r="Q310" i="1"/>
  <c r="R310" i="1"/>
  <c r="S310" i="1"/>
  <c r="N311" i="1"/>
  <c r="O311" i="1"/>
  <c r="P311" i="1"/>
  <c r="Q311" i="1"/>
  <c r="R311" i="1"/>
  <c r="S311" i="1"/>
  <c r="N312" i="1"/>
  <c r="O312" i="1"/>
  <c r="P312" i="1"/>
  <c r="Q312" i="1"/>
  <c r="R312" i="1"/>
  <c r="S312" i="1"/>
  <c r="N313" i="1"/>
  <c r="O313" i="1"/>
  <c r="P313" i="1"/>
  <c r="Q313" i="1"/>
  <c r="R313" i="1"/>
  <c r="S313" i="1"/>
  <c r="N314" i="1"/>
  <c r="O314" i="1"/>
  <c r="P314" i="1"/>
  <c r="Q314" i="1"/>
  <c r="R314" i="1"/>
  <c r="S314" i="1"/>
  <c r="N315" i="1"/>
  <c r="O315" i="1"/>
  <c r="P315" i="1"/>
  <c r="Q315" i="1"/>
  <c r="R315" i="1"/>
  <c r="S315" i="1"/>
  <c r="N316" i="1"/>
  <c r="O316" i="1"/>
  <c r="P316" i="1"/>
  <c r="Q316" i="1"/>
  <c r="R316" i="1"/>
  <c r="S316" i="1"/>
  <c r="N317" i="1"/>
  <c r="O317" i="1"/>
  <c r="P317" i="1"/>
  <c r="Q317" i="1"/>
  <c r="R317" i="1"/>
  <c r="S317" i="1"/>
  <c r="N318" i="1"/>
  <c r="O318" i="1"/>
  <c r="P318" i="1"/>
  <c r="Q318" i="1"/>
  <c r="R318" i="1"/>
  <c r="S318" i="1"/>
  <c r="N319" i="1"/>
  <c r="O319" i="1"/>
  <c r="P319" i="1"/>
  <c r="Q319" i="1"/>
  <c r="R319" i="1"/>
  <c r="S319" i="1"/>
  <c r="N320" i="1"/>
  <c r="O320" i="1"/>
  <c r="P320" i="1"/>
  <c r="Q320" i="1"/>
  <c r="R320" i="1"/>
  <c r="S320" i="1"/>
  <c r="N321" i="1"/>
  <c r="O321" i="1"/>
  <c r="P321" i="1"/>
  <c r="Q321" i="1"/>
  <c r="R321" i="1"/>
  <c r="S321" i="1"/>
  <c r="N322" i="1"/>
  <c r="O322" i="1"/>
  <c r="P322" i="1"/>
  <c r="Q322" i="1"/>
  <c r="R322" i="1"/>
  <c r="S322" i="1"/>
  <c r="N323" i="1"/>
  <c r="O323" i="1"/>
  <c r="P323" i="1"/>
  <c r="Q323" i="1"/>
  <c r="R323" i="1"/>
  <c r="S323" i="1"/>
  <c r="N324" i="1"/>
  <c r="O324" i="1"/>
  <c r="P324" i="1"/>
  <c r="Q324" i="1"/>
  <c r="R324" i="1"/>
  <c r="S324" i="1"/>
  <c r="N325" i="1"/>
  <c r="O325" i="1"/>
  <c r="P325" i="1"/>
  <c r="Q325" i="1"/>
  <c r="R325" i="1"/>
  <c r="S325" i="1"/>
  <c r="N326" i="1"/>
  <c r="O326" i="1"/>
  <c r="P326" i="1"/>
  <c r="Q326" i="1"/>
  <c r="R326" i="1"/>
  <c r="S326" i="1"/>
  <c r="N327" i="1"/>
  <c r="O327" i="1"/>
  <c r="P327" i="1"/>
  <c r="Q327" i="1"/>
  <c r="R327" i="1"/>
  <c r="S327" i="1"/>
  <c r="N328" i="1"/>
  <c r="O328" i="1"/>
  <c r="P328" i="1"/>
  <c r="Q328" i="1"/>
  <c r="R328" i="1"/>
  <c r="S328" i="1"/>
  <c r="N329" i="1"/>
  <c r="O329" i="1"/>
  <c r="P329" i="1"/>
  <c r="Q329" i="1"/>
  <c r="R329" i="1"/>
  <c r="S329" i="1"/>
  <c r="N330" i="1"/>
  <c r="O330" i="1"/>
  <c r="P330" i="1"/>
  <c r="Q330" i="1"/>
  <c r="R330" i="1"/>
  <c r="S330" i="1"/>
  <c r="N331" i="1"/>
  <c r="O331" i="1"/>
  <c r="P331" i="1"/>
  <c r="Q331" i="1"/>
  <c r="R331" i="1"/>
  <c r="S331" i="1"/>
  <c r="N332" i="1"/>
  <c r="O332" i="1"/>
  <c r="P332" i="1"/>
  <c r="Q332" i="1"/>
  <c r="R332" i="1"/>
  <c r="S332" i="1"/>
  <c r="N333" i="1"/>
  <c r="O333" i="1"/>
  <c r="P333" i="1"/>
  <c r="Q333" i="1"/>
  <c r="R333" i="1"/>
  <c r="S333" i="1"/>
  <c r="N334" i="1"/>
  <c r="O334" i="1"/>
  <c r="P334" i="1"/>
  <c r="Q334" i="1"/>
  <c r="R334" i="1"/>
  <c r="S334" i="1"/>
  <c r="N335" i="1"/>
  <c r="O335" i="1"/>
  <c r="P335" i="1"/>
  <c r="Q335" i="1"/>
  <c r="R335" i="1"/>
  <c r="S335" i="1"/>
  <c r="N336" i="1"/>
  <c r="O336" i="1"/>
  <c r="P336" i="1"/>
  <c r="Q336" i="1"/>
  <c r="R336" i="1"/>
  <c r="S336" i="1"/>
  <c r="N337" i="1"/>
  <c r="O337" i="1"/>
  <c r="P337" i="1"/>
  <c r="Q337" i="1"/>
  <c r="R337" i="1"/>
  <c r="S337" i="1"/>
  <c r="N338" i="1"/>
  <c r="O338" i="1"/>
  <c r="P338" i="1"/>
  <c r="Q338" i="1"/>
  <c r="R338" i="1"/>
  <c r="S338" i="1"/>
  <c r="N339" i="1"/>
  <c r="O339" i="1"/>
  <c r="P339" i="1"/>
  <c r="Q339" i="1"/>
  <c r="R339" i="1"/>
  <c r="S339" i="1"/>
  <c r="N340" i="1"/>
  <c r="O340" i="1"/>
  <c r="P340" i="1"/>
  <c r="Q340" i="1"/>
  <c r="R340" i="1"/>
  <c r="S340" i="1"/>
  <c r="N341" i="1"/>
  <c r="O341" i="1"/>
  <c r="P341" i="1"/>
  <c r="Q341" i="1"/>
  <c r="R341" i="1"/>
  <c r="S341" i="1"/>
  <c r="N342" i="1"/>
  <c r="O342" i="1"/>
  <c r="P342" i="1"/>
  <c r="Q342" i="1"/>
  <c r="R342" i="1"/>
  <c r="S342" i="1"/>
  <c r="N343" i="1"/>
  <c r="O343" i="1"/>
  <c r="P343" i="1"/>
  <c r="Q343" i="1"/>
  <c r="R343" i="1"/>
  <c r="S343" i="1"/>
  <c r="N344" i="1"/>
  <c r="O344" i="1"/>
  <c r="P344" i="1"/>
  <c r="Q344" i="1"/>
  <c r="R344" i="1"/>
  <c r="S344" i="1"/>
  <c r="N345" i="1"/>
  <c r="O345" i="1"/>
  <c r="P345" i="1"/>
  <c r="Q345" i="1"/>
  <c r="R345" i="1"/>
  <c r="S345" i="1"/>
  <c r="N346" i="1"/>
  <c r="O346" i="1"/>
  <c r="P346" i="1"/>
  <c r="Q346" i="1"/>
  <c r="R346" i="1"/>
  <c r="S346" i="1"/>
  <c r="N347" i="1"/>
  <c r="O347" i="1"/>
  <c r="P347" i="1"/>
  <c r="Q347" i="1"/>
  <c r="R347" i="1"/>
  <c r="S347" i="1"/>
  <c r="N348" i="1"/>
  <c r="O348" i="1"/>
  <c r="P348" i="1"/>
  <c r="Q348" i="1"/>
  <c r="R348" i="1"/>
  <c r="S348" i="1"/>
  <c r="N349" i="1"/>
  <c r="O349" i="1"/>
  <c r="P349" i="1"/>
  <c r="Q349" i="1"/>
  <c r="R349" i="1"/>
  <c r="S349" i="1"/>
  <c r="N350" i="1"/>
  <c r="O350" i="1"/>
  <c r="P350" i="1"/>
  <c r="Q350" i="1"/>
  <c r="R350" i="1"/>
  <c r="S350" i="1"/>
  <c r="N351" i="1"/>
  <c r="O351" i="1"/>
  <c r="P351" i="1"/>
  <c r="Q351" i="1"/>
  <c r="R351" i="1"/>
  <c r="S351" i="1"/>
  <c r="N352" i="1"/>
  <c r="O352" i="1"/>
  <c r="P352" i="1"/>
  <c r="Q352" i="1"/>
  <c r="R352" i="1"/>
  <c r="S352" i="1"/>
  <c r="N353" i="1"/>
  <c r="O353" i="1"/>
  <c r="P353" i="1"/>
  <c r="Q353" i="1"/>
  <c r="R353" i="1"/>
  <c r="S353" i="1"/>
  <c r="N354" i="1"/>
  <c r="O354" i="1"/>
  <c r="P354" i="1"/>
  <c r="Q354" i="1"/>
  <c r="R354" i="1"/>
  <c r="S354" i="1"/>
  <c r="N355" i="1"/>
  <c r="O355" i="1"/>
  <c r="P355" i="1"/>
  <c r="Q355" i="1"/>
  <c r="R355" i="1"/>
  <c r="S355" i="1"/>
  <c r="N356" i="1"/>
  <c r="O356" i="1"/>
  <c r="P356" i="1"/>
  <c r="Q356" i="1"/>
  <c r="R356" i="1"/>
  <c r="S356" i="1"/>
  <c r="N357" i="1"/>
  <c r="O357" i="1"/>
  <c r="P357" i="1"/>
  <c r="Q357" i="1"/>
  <c r="R357" i="1"/>
  <c r="S357" i="1"/>
  <c r="N358" i="1"/>
  <c r="O358" i="1"/>
  <c r="P358" i="1"/>
  <c r="Q358" i="1"/>
  <c r="R358" i="1"/>
  <c r="S358" i="1"/>
  <c r="N359" i="1"/>
  <c r="O359" i="1"/>
  <c r="P359" i="1"/>
  <c r="Q359" i="1"/>
  <c r="R359" i="1"/>
  <c r="S359" i="1"/>
  <c r="N360" i="1"/>
  <c r="O360" i="1"/>
  <c r="P360" i="1"/>
  <c r="Q360" i="1"/>
  <c r="R360" i="1"/>
  <c r="S360" i="1"/>
  <c r="N361" i="1"/>
  <c r="O361" i="1"/>
  <c r="P361" i="1"/>
  <c r="Q361" i="1"/>
  <c r="R361" i="1"/>
  <c r="S361" i="1"/>
  <c r="N362" i="1"/>
  <c r="O362" i="1"/>
  <c r="P362" i="1"/>
  <c r="Q362" i="1"/>
  <c r="R362" i="1"/>
  <c r="S362" i="1"/>
  <c r="N363" i="1"/>
  <c r="O363" i="1"/>
  <c r="P363" i="1"/>
  <c r="Q363" i="1"/>
  <c r="R363" i="1"/>
  <c r="S363" i="1"/>
  <c r="N364" i="1"/>
  <c r="O364" i="1"/>
  <c r="P364" i="1"/>
  <c r="Q364" i="1"/>
  <c r="R364" i="1"/>
  <c r="S364" i="1"/>
  <c r="N365" i="1"/>
  <c r="O365" i="1"/>
  <c r="P365" i="1"/>
  <c r="Q365" i="1"/>
  <c r="R365" i="1"/>
  <c r="S365" i="1"/>
  <c r="N366" i="1"/>
  <c r="O366" i="1"/>
  <c r="P366" i="1"/>
  <c r="Q366" i="1"/>
  <c r="R366" i="1"/>
  <c r="S366" i="1"/>
  <c r="N367" i="1"/>
  <c r="O367" i="1"/>
  <c r="P367" i="1"/>
  <c r="Q367" i="1"/>
  <c r="R367" i="1"/>
  <c r="S367" i="1"/>
  <c r="N368" i="1"/>
  <c r="O368" i="1"/>
  <c r="P368" i="1"/>
  <c r="Q368" i="1"/>
  <c r="R368" i="1"/>
  <c r="S368" i="1"/>
  <c r="N369" i="1"/>
  <c r="O369" i="1"/>
  <c r="P369" i="1"/>
  <c r="Q369" i="1"/>
  <c r="R369" i="1"/>
  <c r="S369" i="1"/>
  <c r="N370" i="1"/>
  <c r="O370" i="1"/>
  <c r="P370" i="1"/>
  <c r="Q370" i="1"/>
  <c r="R370" i="1"/>
  <c r="S370" i="1"/>
  <c r="N371" i="1"/>
  <c r="O371" i="1"/>
  <c r="P371" i="1"/>
  <c r="Q371" i="1"/>
  <c r="R371" i="1"/>
  <c r="S371" i="1"/>
  <c r="N372" i="1"/>
  <c r="O372" i="1"/>
  <c r="P372" i="1"/>
  <c r="Q372" i="1"/>
  <c r="R372" i="1"/>
  <c r="S372" i="1"/>
  <c r="N373" i="1"/>
  <c r="O373" i="1"/>
  <c r="P373" i="1"/>
  <c r="Q373" i="1"/>
  <c r="R373" i="1"/>
  <c r="S373" i="1"/>
  <c r="N374" i="1"/>
  <c r="O374" i="1"/>
  <c r="P374" i="1"/>
  <c r="Q374" i="1"/>
  <c r="R374" i="1"/>
  <c r="S374" i="1"/>
  <c r="N375" i="1"/>
  <c r="O375" i="1"/>
  <c r="P375" i="1"/>
  <c r="Q375" i="1"/>
  <c r="R375" i="1"/>
  <c r="S375" i="1"/>
  <c r="N376" i="1"/>
  <c r="O376" i="1"/>
  <c r="P376" i="1"/>
  <c r="Q376" i="1"/>
  <c r="R376" i="1"/>
  <c r="S376" i="1"/>
  <c r="N377" i="1"/>
  <c r="O377" i="1"/>
  <c r="P377" i="1"/>
  <c r="Q377" i="1"/>
  <c r="R377" i="1"/>
  <c r="S377" i="1"/>
  <c r="N378" i="1"/>
  <c r="O378" i="1"/>
  <c r="P378" i="1"/>
  <c r="Q378" i="1"/>
  <c r="R378" i="1"/>
  <c r="S378" i="1"/>
  <c r="N379" i="1"/>
  <c r="O379" i="1"/>
  <c r="P379" i="1"/>
  <c r="Q379" i="1"/>
  <c r="R379" i="1"/>
  <c r="S379" i="1"/>
  <c r="N380" i="1"/>
  <c r="O380" i="1"/>
  <c r="P380" i="1"/>
  <c r="Q380" i="1"/>
  <c r="R380" i="1"/>
  <c r="S380" i="1"/>
  <c r="N381" i="1"/>
  <c r="O381" i="1"/>
  <c r="P381" i="1"/>
  <c r="Q381" i="1"/>
  <c r="R381" i="1"/>
  <c r="S381" i="1"/>
  <c r="N382" i="1"/>
  <c r="O382" i="1"/>
  <c r="P382" i="1"/>
  <c r="Q382" i="1"/>
  <c r="R382" i="1"/>
  <c r="S382" i="1"/>
  <c r="N383" i="1"/>
  <c r="O383" i="1"/>
  <c r="P383" i="1"/>
  <c r="Q383" i="1"/>
  <c r="R383" i="1"/>
  <c r="S383" i="1"/>
  <c r="N384" i="1"/>
  <c r="O384" i="1"/>
  <c r="P384" i="1"/>
  <c r="Q384" i="1"/>
  <c r="R384" i="1"/>
  <c r="S384" i="1"/>
  <c r="N385" i="1"/>
  <c r="O385" i="1"/>
  <c r="P385" i="1"/>
  <c r="Q385" i="1"/>
  <c r="R385" i="1"/>
  <c r="S385" i="1"/>
  <c r="N386" i="1"/>
  <c r="O386" i="1"/>
  <c r="P386" i="1"/>
  <c r="Q386" i="1"/>
  <c r="R386" i="1"/>
  <c r="S386" i="1"/>
  <c r="N387" i="1"/>
  <c r="O387" i="1"/>
  <c r="P387" i="1"/>
  <c r="Q387" i="1"/>
  <c r="R387" i="1"/>
  <c r="S387" i="1"/>
  <c r="N388" i="1"/>
  <c r="O388" i="1"/>
  <c r="P388" i="1"/>
  <c r="Q388" i="1"/>
  <c r="R388" i="1"/>
  <c r="S388" i="1"/>
  <c r="N389" i="1"/>
  <c r="O389" i="1"/>
  <c r="P389" i="1"/>
  <c r="Q389" i="1"/>
  <c r="R389" i="1"/>
  <c r="S389" i="1"/>
  <c r="N390" i="1"/>
  <c r="O390" i="1"/>
  <c r="P390" i="1"/>
  <c r="Q390" i="1"/>
  <c r="R390" i="1"/>
  <c r="S390" i="1"/>
  <c r="N391" i="1"/>
  <c r="O391" i="1"/>
  <c r="P391" i="1"/>
  <c r="Q391" i="1"/>
  <c r="R391" i="1"/>
  <c r="S391" i="1"/>
  <c r="N392" i="1"/>
  <c r="O392" i="1"/>
  <c r="P392" i="1"/>
  <c r="Q392" i="1"/>
  <c r="R392" i="1"/>
  <c r="S392" i="1"/>
  <c r="N393" i="1"/>
  <c r="O393" i="1"/>
  <c r="P393" i="1"/>
  <c r="Q393" i="1"/>
  <c r="R393" i="1"/>
  <c r="S393" i="1"/>
  <c r="N394" i="1"/>
  <c r="O394" i="1"/>
  <c r="P394" i="1"/>
  <c r="Q394" i="1"/>
  <c r="R394" i="1"/>
  <c r="S394" i="1"/>
  <c r="N395" i="1"/>
  <c r="O395" i="1"/>
  <c r="P395" i="1"/>
  <c r="Q395" i="1"/>
  <c r="R395" i="1"/>
  <c r="S395" i="1"/>
  <c r="N396" i="1"/>
  <c r="O396" i="1"/>
  <c r="P396" i="1"/>
  <c r="Q396" i="1"/>
  <c r="R396" i="1"/>
  <c r="S396" i="1"/>
  <c r="N397" i="1"/>
  <c r="O397" i="1"/>
  <c r="P397" i="1"/>
  <c r="Q397" i="1"/>
  <c r="R397" i="1"/>
  <c r="S397" i="1"/>
  <c r="N398" i="1"/>
  <c r="O398" i="1"/>
  <c r="P398" i="1"/>
  <c r="Q398" i="1"/>
  <c r="R398" i="1"/>
  <c r="S398" i="1"/>
  <c r="N399" i="1"/>
  <c r="O399" i="1"/>
  <c r="P399" i="1"/>
  <c r="Q399" i="1"/>
  <c r="R399" i="1"/>
  <c r="S399" i="1"/>
  <c r="N400" i="1"/>
  <c r="O400" i="1"/>
  <c r="P400" i="1"/>
  <c r="Q400" i="1"/>
  <c r="R400" i="1"/>
  <c r="S400" i="1"/>
  <c r="N401" i="1"/>
  <c r="O401" i="1"/>
  <c r="P401" i="1"/>
  <c r="Q401" i="1"/>
  <c r="R401" i="1"/>
  <c r="S401" i="1"/>
  <c r="N402" i="1"/>
  <c r="O402" i="1"/>
  <c r="P402" i="1"/>
  <c r="Q402" i="1"/>
  <c r="R402" i="1"/>
  <c r="S402" i="1"/>
  <c r="N403" i="1"/>
  <c r="O403" i="1"/>
  <c r="P403" i="1"/>
  <c r="Q403" i="1"/>
  <c r="R403" i="1"/>
  <c r="S403" i="1"/>
  <c r="N404" i="1"/>
  <c r="O404" i="1"/>
  <c r="P404" i="1"/>
  <c r="Q404" i="1"/>
  <c r="R404" i="1"/>
  <c r="S404" i="1"/>
  <c r="N405" i="1"/>
  <c r="O405" i="1"/>
  <c r="P405" i="1"/>
  <c r="Q405" i="1"/>
  <c r="R405" i="1"/>
  <c r="S405" i="1"/>
  <c r="N406" i="1"/>
  <c r="O406" i="1"/>
  <c r="P406" i="1"/>
  <c r="Q406" i="1"/>
  <c r="R406" i="1"/>
  <c r="S406" i="1"/>
  <c r="N407" i="1"/>
  <c r="O407" i="1"/>
  <c r="P407" i="1"/>
  <c r="Q407" i="1"/>
  <c r="R407" i="1"/>
  <c r="S407" i="1"/>
  <c r="N408" i="1"/>
  <c r="O408" i="1"/>
  <c r="P408" i="1"/>
  <c r="Q408" i="1"/>
  <c r="R408" i="1"/>
  <c r="S408" i="1"/>
  <c r="N409" i="1"/>
  <c r="O409" i="1"/>
  <c r="P409" i="1"/>
  <c r="Q409" i="1"/>
  <c r="R409" i="1"/>
  <c r="S409" i="1"/>
  <c r="N410" i="1"/>
  <c r="O410" i="1"/>
  <c r="P410" i="1"/>
  <c r="Q410" i="1"/>
  <c r="R410" i="1"/>
  <c r="S410" i="1"/>
  <c r="N411" i="1"/>
  <c r="O411" i="1"/>
  <c r="P411" i="1"/>
  <c r="Q411" i="1"/>
  <c r="R411" i="1"/>
  <c r="S411" i="1"/>
  <c r="N412" i="1"/>
  <c r="O412" i="1"/>
  <c r="P412" i="1"/>
  <c r="Q412" i="1"/>
  <c r="R412" i="1"/>
  <c r="S412" i="1"/>
  <c r="N413" i="1"/>
  <c r="O413" i="1"/>
  <c r="P413" i="1"/>
  <c r="Q413" i="1"/>
  <c r="R413" i="1"/>
  <c r="S413" i="1"/>
  <c r="N414" i="1"/>
  <c r="O414" i="1"/>
  <c r="P414" i="1"/>
  <c r="Q414" i="1"/>
  <c r="R414" i="1"/>
  <c r="S414" i="1"/>
  <c r="N415" i="1"/>
  <c r="O415" i="1"/>
  <c r="P415" i="1"/>
  <c r="Q415" i="1"/>
  <c r="R415" i="1"/>
  <c r="S415" i="1"/>
  <c r="N416" i="1"/>
  <c r="O416" i="1"/>
  <c r="P416" i="1"/>
  <c r="Q416" i="1"/>
  <c r="R416" i="1"/>
  <c r="S416" i="1"/>
  <c r="N417" i="1"/>
  <c r="O417" i="1"/>
  <c r="P417" i="1"/>
  <c r="Q417" i="1"/>
  <c r="R417" i="1"/>
  <c r="S417" i="1"/>
  <c r="N418" i="1"/>
  <c r="O418" i="1"/>
  <c r="P418" i="1"/>
  <c r="Q418" i="1"/>
  <c r="R418" i="1"/>
  <c r="S418" i="1"/>
  <c r="N419" i="1"/>
  <c r="O419" i="1"/>
  <c r="P419" i="1"/>
  <c r="Q419" i="1"/>
  <c r="R419" i="1"/>
  <c r="S419" i="1"/>
  <c r="N420" i="1"/>
  <c r="O420" i="1"/>
  <c r="P420" i="1"/>
  <c r="Q420" i="1"/>
  <c r="R420" i="1"/>
  <c r="S420" i="1"/>
  <c r="N421" i="1"/>
  <c r="O421" i="1"/>
  <c r="P421" i="1"/>
  <c r="Q421" i="1"/>
  <c r="R421" i="1"/>
  <c r="S421" i="1"/>
  <c r="N422" i="1"/>
  <c r="O422" i="1"/>
  <c r="P422" i="1"/>
  <c r="Q422" i="1"/>
  <c r="R422" i="1"/>
  <c r="S422" i="1"/>
  <c r="N423" i="1"/>
  <c r="O423" i="1"/>
  <c r="P423" i="1"/>
  <c r="Q423" i="1"/>
  <c r="R423" i="1"/>
  <c r="S423" i="1"/>
  <c r="N424" i="1"/>
  <c r="O424" i="1"/>
  <c r="P424" i="1"/>
  <c r="Q424" i="1"/>
  <c r="R424" i="1"/>
  <c r="S424" i="1"/>
  <c r="N425" i="1"/>
  <c r="O425" i="1"/>
  <c r="P425" i="1"/>
  <c r="Q425" i="1"/>
  <c r="R425" i="1"/>
  <c r="S425" i="1"/>
  <c r="N426" i="1"/>
  <c r="O426" i="1"/>
  <c r="P426" i="1"/>
  <c r="Q426" i="1"/>
  <c r="R426" i="1"/>
  <c r="S426" i="1"/>
  <c r="N427" i="1"/>
  <c r="O427" i="1"/>
  <c r="P427" i="1"/>
  <c r="Q427" i="1"/>
  <c r="R427" i="1"/>
  <c r="S427" i="1"/>
  <c r="N428" i="1"/>
  <c r="O428" i="1"/>
  <c r="P428" i="1"/>
  <c r="Q428" i="1"/>
  <c r="R428" i="1"/>
  <c r="S428" i="1"/>
  <c r="N429" i="1"/>
  <c r="O429" i="1"/>
  <c r="P429" i="1"/>
  <c r="Q429" i="1"/>
  <c r="R429" i="1"/>
  <c r="S429" i="1"/>
  <c r="N430" i="1"/>
  <c r="O430" i="1"/>
  <c r="P430" i="1"/>
  <c r="Q430" i="1"/>
  <c r="R430" i="1"/>
  <c r="S430" i="1"/>
  <c r="N431" i="1"/>
  <c r="O431" i="1"/>
  <c r="P431" i="1"/>
  <c r="Q431" i="1"/>
  <c r="R431" i="1"/>
  <c r="S431" i="1"/>
  <c r="N432" i="1"/>
  <c r="O432" i="1"/>
  <c r="P432" i="1"/>
  <c r="Q432" i="1"/>
  <c r="R432" i="1"/>
  <c r="S432" i="1"/>
  <c r="N433" i="1"/>
  <c r="O433" i="1"/>
  <c r="P433" i="1"/>
  <c r="Q433" i="1"/>
  <c r="R433" i="1"/>
  <c r="S433" i="1"/>
  <c r="N434" i="1"/>
  <c r="O434" i="1"/>
  <c r="P434" i="1"/>
  <c r="Q434" i="1"/>
  <c r="R434" i="1"/>
  <c r="S434" i="1"/>
  <c r="N435" i="1"/>
  <c r="O435" i="1"/>
  <c r="P435" i="1"/>
  <c r="Q435" i="1"/>
  <c r="R435" i="1"/>
  <c r="S435" i="1"/>
  <c r="N436" i="1"/>
  <c r="O436" i="1"/>
  <c r="P436" i="1"/>
  <c r="Q436" i="1"/>
  <c r="R436" i="1"/>
  <c r="S436" i="1"/>
  <c r="N437" i="1"/>
  <c r="O437" i="1"/>
  <c r="P437" i="1"/>
  <c r="Q437" i="1"/>
  <c r="R437" i="1"/>
  <c r="S437" i="1"/>
  <c r="N438" i="1"/>
  <c r="O438" i="1"/>
  <c r="P438" i="1"/>
  <c r="Q438" i="1"/>
  <c r="R438" i="1"/>
  <c r="S438" i="1"/>
  <c r="N439" i="1"/>
  <c r="O439" i="1"/>
  <c r="P439" i="1"/>
  <c r="Q439" i="1"/>
  <c r="R439" i="1"/>
  <c r="S439" i="1"/>
  <c r="N440" i="1"/>
  <c r="O440" i="1"/>
  <c r="P440" i="1"/>
  <c r="Q440" i="1"/>
  <c r="R440" i="1"/>
  <c r="S440" i="1"/>
  <c r="N441" i="1"/>
  <c r="O441" i="1"/>
  <c r="P441" i="1"/>
  <c r="Q441" i="1"/>
  <c r="R441" i="1"/>
  <c r="S441" i="1"/>
  <c r="N442" i="1"/>
  <c r="O442" i="1"/>
  <c r="P442" i="1"/>
  <c r="Q442" i="1"/>
  <c r="R442" i="1"/>
  <c r="S442" i="1"/>
  <c r="N443" i="1"/>
  <c r="O443" i="1"/>
  <c r="P443" i="1"/>
  <c r="Q443" i="1"/>
  <c r="R443" i="1"/>
  <c r="S443" i="1"/>
  <c r="N444" i="1"/>
  <c r="O444" i="1"/>
  <c r="P444" i="1"/>
  <c r="Q444" i="1"/>
  <c r="R444" i="1"/>
  <c r="S444" i="1"/>
  <c r="N445" i="1"/>
  <c r="O445" i="1"/>
  <c r="P445" i="1"/>
  <c r="Q445" i="1"/>
  <c r="R445" i="1"/>
  <c r="S445" i="1"/>
  <c r="N446" i="1"/>
  <c r="O446" i="1"/>
  <c r="P446" i="1"/>
  <c r="Q446" i="1"/>
  <c r="R446" i="1"/>
  <c r="S446" i="1"/>
  <c r="N447" i="1"/>
  <c r="O447" i="1"/>
  <c r="P447" i="1"/>
  <c r="Q447" i="1"/>
  <c r="R447" i="1"/>
  <c r="S447" i="1"/>
  <c r="N448" i="1"/>
  <c r="O448" i="1"/>
  <c r="P448" i="1"/>
  <c r="Q448" i="1"/>
  <c r="R448" i="1"/>
  <c r="S448" i="1"/>
  <c r="N449" i="1"/>
  <c r="O449" i="1"/>
  <c r="P449" i="1"/>
  <c r="Q449" i="1"/>
  <c r="R449" i="1"/>
  <c r="S449" i="1"/>
  <c r="N450" i="1"/>
  <c r="O450" i="1"/>
  <c r="P450" i="1"/>
  <c r="Q450" i="1"/>
  <c r="R450" i="1"/>
  <c r="S450" i="1"/>
  <c r="N451" i="1"/>
  <c r="O451" i="1"/>
  <c r="P451" i="1"/>
  <c r="Q451" i="1"/>
  <c r="R451" i="1"/>
  <c r="S451" i="1"/>
  <c r="N452" i="1"/>
  <c r="O452" i="1"/>
  <c r="P452" i="1"/>
  <c r="Q452" i="1"/>
  <c r="R452" i="1"/>
  <c r="S452" i="1"/>
  <c r="N453" i="1"/>
  <c r="O453" i="1"/>
  <c r="P453" i="1"/>
  <c r="Q453" i="1"/>
  <c r="R453" i="1"/>
  <c r="S453" i="1"/>
  <c r="N454" i="1"/>
  <c r="O454" i="1"/>
  <c r="P454" i="1"/>
  <c r="Q454" i="1"/>
  <c r="R454" i="1"/>
  <c r="S454" i="1"/>
  <c r="N455" i="1"/>
  <c r="O455" i="1"/>
  <c r="P455" i="1"/>
  <c r="Q455" i="1"/>
  <c r="R455" i="1"/>
  <c r="S455" i="1"/>
  <c r="N456" i="1"/>
  <c r="O456" i="1"/>
  <c r="P456" i="1"/>
  <c r="Q456" i="1"/>
  <c r="R456" i="1"/>
  <c r="S456" i="1"/>
  <c r="N457" i="1"/>
  <c r="O457" i="1"/>
  <c r="P457" i="1"/>
  <c r="Q457" i="1"/>
  <c r="R457" i="1"/>
  <c r="S457" i="1"/>
  <c r="N458" i="1"/>
  <c r="O458" i="1"/>
  <c r="P458" i="1"/>
  <c r="Q458" i="1"/>
  <c r="R458" i="1"/>
  <c r="S458" i="1"/>
  <c r="N459" i="1"/>
  <c r="O459" i="1"/>
  <c r="P459" i="1"/>
  <c r="Q459" i="1"/>
  <c r="R459" i="1"/>
  <c r="S459" i="1"/>
  <c r="N460" i="1"/>
  <c r="O460" i="1"/>
  <c r="P460" i="1"/>
  <c r="Q460" i="1"/>
  <c r="R460" i="1"/>
  <c r="S460" i="1"/>
  <c r="N461" i="1"/>
  <c r="O461" i="1"/>
  <c r="P461" i="1"/>
  <c r="Q461" i="1"/>
  <c r="R461" i="1"/>
  <c r="S461" i="1"/>
  <c r="N462" i="1"/>
  <c r="O462" i="1"/>
  <c r="P462" i="1"/>
  <c r="Q462" i="1"/>
  <c r="R462" i="1"/>
  <c r="S462" i="1"/>
  <c r="N463" i="1"/>
  <c r="O463" i="1"/>
  <c r="P463" i="1"/>
  <c r="Q463" i="1"/>
  <c r="R463" i="1"/>
  <c r="S463" i="1"/>
  <c r="N464" i="1"/>
  <c r="O464" i="1"/>
  <c r="P464" i="1"/>
  <c r="Q464" i="1"/>
  <c r="R464" i="1"/>
  <c r="S464" i="1"/>
  <c r="N465" i="1"/>
  <c r="O465" i="1"/>
  <c r="P465" i="1"/>
  <c r="Q465" i="1"/>
  <c r="R465" i="1"/>
  <c r="S465" i="1"/>
  <c r="N466" i="1"/>
  <c r="O466" i="1"/>
  <c r="P466" i="1"/>
  <c r="Q466" i="1"/>
  <c r="R466" i="1"/>
  <c r="S466" i="1"/>
  <c r="N467" i="1"/>
  <c r="O467" i="1"/>
  <c r="P467" i="1"/>
  <c r="Q467" i="1"/>
  <c r="R467" i="1"/>
  <c r="S467" i="1"/>
  <c r="N468" i="1"/>
  <c r="O468" i="1"/>
  <c r="P468" i="1"/>
  <c r="Q468" i="1"/>
  <c r="R468" i="1"/>
  <c r="S468" i="1"/>
  <c r="N469" i="1"/>
  <c r="O469" i="1"/>
  <c r="P469" i="1"/>
  <c r="Q469" i="1"/>
  <c r="R469" i="1"/>
  <c r="S469" i="1"/>
  <c r="N470" i="1"/>
  <c r="O470" i="1"/>
  <c r="P470" i="1"/>
  <c r="Q470" i="1"/>
  <c r="R470" i="1"/>
  <c r="S470" i="1"/>
  <c r="N471" i="1"/>
  <c r="O471" i="1"/>
  <c r="P471" i="1"/>
  <c r="Q471" i="1"/>
  <c r="R471" i="1"/>
  <c r="S471" i="1"/>
  <c r="N472" i="1"/>
  <c r="O472" i="1"/>
  <c r="P472" i="1"/>
  <c r="Q472" i="1"/>
  <c r="R472" i="1"/>
  <c r="S472" i="1"/>
  <c r="N473" i="1"/>
  <c r="O473" i="1"/>
  <c r="P473" i="1"/>
  <c r="Q473" i="1"/>
  <c r="R473" i="1"/>
  <c r="S473" i="1"/>
  <c r="N474" i="1"/>
  <c r="O474" i="1"/>
  <c r="P474" i="1"/>
  <c r="Q474" i="1"/>
  <c r="R474" i="1"/>
  <c r="S474" i="1"/>
  <c r="N475" i="1"/>
  <c r="O475" i="1"/>
  <c r="P475" i="1"/>
  <c r="Q475" i="1"/>
  <c r="R475" i="1"/>
  <c r="S475" i="1"/>
  <c r="N476" i="1"/>
  <c r="O476" i="1"/>
  <c r="P476" i="1"/>
  <c r="Q476" i="1"/>
  <c r="R476" i="1"/>
  <c r="S476" i="1"/>
  <c r="N477" i="1"/>
  <c r="O477" i="1"/>
  <c r="P477" i="1"/>
  <c r="Q477" i="1"/>
  <c r="R477" i="1"/>
  <c r="S477" i="1"/>
  <c r="N478" i="1"/>
  <c r="O478" i="1"/>
  <c r="P478" i="1"/>
  <c r="Q478" i="1"/>
  <c r="R478" i="1"/>
  <c r="S478" i="1"/>
  <c r="N479" i="1"/>
  <c r="O479" i="1"/>
  <c r="P479" i="1"/>
  <c r="Q479" i="1"/>
  <c r="R479" i="1"/>
  <c r="S479" i="1"/>
  <c r="N480" i="1"/>
  <c r="O480" i="1"/>
  <c r="P480" i="1"/>
  <c r="Q480" i="1"/>
  <c r="R480" i="1"/>
  <c r="S480" i="1"/>
  <c r="N481" i="1"/>
  <c r="O481" i="1"/>
  <c r="P481" i="1"/>
  <c r="Q481" i="1"/>
  <c r="R481" i="1"/>
  <c r="S481" i="1"/>
  <c r="N482" i="1"/>
  <c r="O482" i="1"/>
  <c r="P482" i="1"/>
  <c r="Q482" i="1"/>
  <c r="R482" i="1"/>
  <c r="S482" i="1"/>
  <c r="N483" i="1"/>
  <c r="O483" i="1"/>
  <c r="P483" i="1"/>
  <c r="Q483" i="1"/>
  <c r="R483" i="1"/>
  <c r="S483" i="1"/>
  <c r="N484" i="1"/>
  <c r="O484" i="1"/>
  <c r="P484" i="1"/>
  <c r="Q484" i="1"/>
  <c r="R484" i="1"/>
  <c r="S484" i="1"/>
  <c r="N485" i="1"/>
  <c r="O485" i="1"/>
  <c r="P485" i="1"/>
  <c r="Q485" i="1"/>
  <c r="R485" i="1"/>
  <c r="S485" i="1"/>
  <c r="N486" i="1"/>
  <c r="O486" i="1"/>
  <c r="P486" i="1"/>
  <c r="Q486" i="1"/>
  <c r="R486" i="1"/>
  <c r="S486" i="1"/>
  <c r="N487" i="1"/>
  <c r="O487" i="1"/>
  <c r="P487" i="1"/>
  <c r="Q487" i="1"/>
  <c r="R487" i="1"/>
  <c r="S487" i="1"/>
  <c r="N488" i="1"/>
  <c r="O488" i="1"/>
  <c r="P488" i="1"/>
  <c r="Q488" i="1"/>
  <c r="R488" i="1"/>
  <c r="S488" i="1"/>
  <c r="N489" i="1"/>
  <c r="O489" i="1"/>
  <c r="P489" i="1"/>
  <c r="Q489" i="1"/>
  <c r="R489" i="1"/>
  <c r="S489" i="1"/>
  <c r="N490" i="1"/>
  <c r="O490" i="1"/>
  <c r="P490" i="1"/>
  <c r="Q490" i="1"/>
  <c r="R490" i="1"/>
  <c r="S490" i="1"/>
  <c r="N491" i="1"/>
  <c r="O491" i="1"/>
  <c r="P491" i="1"/>
  <c r="Q491" i="1"/>
  <c r="R491" i="1"/>
  <c r="S491" i="1"/>
  <c r="N492" i="1"/>
  <c r="O492" i="1"/>
  <c r="P492" i="1"/>
  <c r="Q492" i="1"/>
  <c r="R492" i="1"/>
  <c r="S492" i="1"/>
  <c r="N493" i="1"/>
  <c r="O493" i="1"/>
  <c r="P493" i="1"/>
  <c r="Q493" i="1"/>
  <c r="R493" i="1"/>
  <c r="S493" i="1"/>
  <c r="N494" i="1"/>
  <c r="O494" i="1"/>
  <c r="P494" i="1"/>
  <c r="Q494" i="1"/>
  <c r="R494" i="1"/>
  <c r="S494" i="1"/>
  <c r="N495" i="1"/>
  <c r="O495" i="1"/>
  <c r="P495" i="1"/>
  <c r="Q495" i="1"/>
  <c r="R495" i="1"/>
  <c r="S495" i="1"/>
  <c r="N496" i="1"/>
  <c r="O496" i="1"/>
  <c r="P496" i="1"/>
  <c r="Q496" i="1"/>
  <c r="R496" i="1"/>
  <c r="S496" i="1"/>
  <c r="N497" i="1"/>
  <c r="O497" i="1"/>
  <c r="P497" i="1"/>
  <c r="Q497" i="1"/>
  <c r="R497" i="1"/>
  <c r="S497" i="1"/>
  <c r="N498" i="1"/>
  <c r="O498" i="1"/>
  <c r="P498" i="1"/>
  <c r="Q498" i="1"/>
  <c r="R498" i="1"/>
  <c r="S498" i="1"/>
  <c r="N499" i="1"/>
  <c r="O499" i="1"/>
  <c r="P499" i="1"/>
  <c r="Q499" i="1"/>
  <c r="R499" i="1"/>
  <c r="S499" i="1"/>
  <c r="N500" i="1"/>
  <c r="O500" i="1"/>
  <c r="P500" i="1"/>
  <c r="Q500" i="1"/>
  <c r="R500" i="1"/>
  <c r="S500" i="1"/>
  <c r="N501" i="1"/>
  <c r="O501" i="1"/>
  <c r="P501" i="1"/>
  <c r="Q501" i="1"/>
  <c r="R501" i="1"/>
  <c r="S501" i="1"/>
  <c r="N502" i="1"/>
  <c r="O502" i="1"/>
  <c r="P502" i="1"/>
  <c r="Q502" i="1"/>
  <c r="R502" i="1"/>
  <c r="S502" i="1"/>
  <c r="N503" i="1"/>
  <c r="O503" i="1"/>
  <c r="P503" i="1"/>
  <c r="Q503" i="1"/>
  <c r="R503" i="1"/>
  <c r="S503" i="1"/>
  <c r="N504" i="1"/>
  <c r="O504" i="1"/>
  <c r="P504" i="1"/>
  <c r="Q504" i="1"/>
  <c r="R504" i="1"/>
  <c r="S504" i="1"/>
  <c r="N505" i="1"/>
  <c r="O505" i="1"/>
  <c r="P505" i="1"/>
  <c r="Q505" i="1"/>
  <c r="R505" i="1"/>
  <c r="S505" i="1"/>
  <c r="N506" i="1"/>
  <c r="O506" i="1"/>
  <c r="P506" i="1"/>
  <c r="Q506" i="1"/>
  <c r="R506" i="1"/>
  <c r="S506" i="1"/>
  <c r="N507" i="1"/>
  <c r="O507" i="1"/>
  <c r="P507" i="1"/>
  <c r="Q507" i="1"/>
  <c r="R507" i="1"/>
  <c r="S507" i="1"/>
  <c r="N508" i="1"/>
  <c r="O508" i="1"/>
  <c r="P508" i="1"/>
  <c r="Q508" i="1"/>
  <c r="R508" i="1"/>
  <c r="S508" i="1"/>
  <c r="N509" i="1"/>
  <c r="O509" i="1"/>
  <c r="P509" i="1"/>
  <c r="Q509" i="1"/>
  <c r="R509" i="1"/>
  <c r="S509" i="1"/>
  <c r="N510" i="1"/>
  <c r="O510" i="1"/>
  <c r="P510" i="1"/>
  <c r="Q510" i="1"/>
  <c r="R510" i="1"/>
  <c r="S510" i="1"/>
  <c r="N511" i="1"/>
  <c r="O511" i="1"/>
  <c r="P511" i="1"/>
  <c r="Q511" i="1"/>
  <c r="R511" i="1"/>
  <c r="S511" i="1"/>
  <c r="N512" i="1"/>
  <c r="O512" i="1"/>
  <c r="P512" i="1"/>
  <c r="Q512" i="1"/>
  <c r="R512" i="1"/>
  <c r="S512" i="1"/>
  <c r="N513" i="1"/>
  <c r="O513" i="1"/>
  <c r="P513" i="1"/>
  <c r="Q513" i="1"/>
  <c r="R513" i="1"/>
  <c r="S513" i="1"/>
  <c r="N514" i="1"/>
  <c r="O514" i="1"/>
  <c r="P514" i="1"/>
  <c r="Q514" i="1"/>
  <c r="R514" i="1"/>
  <c r="S514" i="1"/>
  <c r="N515" i="1"/>
  <c r="O515" i="1"/>
  <c r="P515" i="1"/>
  <c r="Q515" i="1"/>
  <c r="R515" i="1"/>
  <c r="S515" i="1"/>
  <c r="N516" i="1"/>
  <c r="O516" i="1"/>
  <c r="P516" i="1"/>
  <c r="Q516" i="1"/>
  <c r="R516" i="1"/>
  <c r="S516" i="1"/>
  <c r="N517" i="1"/>
  <c r="O517" i="1"/>
  <c r="P517" i="1"/>
  <c r="Q517" i="1"/>
  <c r="R517" i="1"/>
  <c r="S517" i="1"/>
  <c r="N518" i="1"/>
  <c r="O518" i="1"/>
  <c r="P518" i="1"/>
  <c r="Q518" i="1"/>
  <c r="R518" i="1"/>
  <c r="S518" i="1"/>
  <c r="N519" i="1"/>
  <c r="O519" i="1"/>
  <c r="P519" i="1"/>
  <c r="Q519" i="1"/>
  <c r="R519" i="1"/>
  <c r="S519" i="1"/>
  <c r="N520" i="1"/>
  <c r="O520" i="1"/>
  <c r="P520" i="1"/>
  <c r="Q520" i="1"/>
  <c r="R520" i="1"/>
  <c r="S520" i="1"/>
  <c r="N521" i="1"/>
  <c r="O521" i="1"/>
  <c r="P521" i="1"/>
  <c r="Q521" i="1"/>
  <c r="R521" i="1"/>
  <c r="S521" i="1"/>
  <c r="N522" i="1"/>
  <c r="O522" i="1"/>
  <c r="P522" i="1"/>
  <c r="Q522" i="1"/>
  <c r="R522" i="1"/>
  <c r="S522" i="1"/>
  <c r="N523" i="1"/>
  <c r="O523" i="1"/>
  <c r="P523" i="1"/>
  <c r="Q523" i="1"/>
  <c r="R523" i="1"/>
  <c r="S523" i="1"/>
  <c r="N524" i="1"/>
  <c r="O524" i="1"/>
  <c r="P524" i="1"/>
  <c r="Q524" i="1"/>
  <c r="R524" i="1"/>
  <c r="S524" i="1"/>
  <c r="N525" i="1"/>
  <c r="O525" i="1"/>
  <c r="P525" i="1"/>
  <c r="Q525" i="1"/>
  <c r="R525" i="1"/>
  <c r="S525" i="1"/>
  <c r="N526" i="1"/>
  <c r="O526" i="1"/>
  <c r="P526" i="1"/>
  <c r="Q526" i="1"/>
  <c r="R526" i="1"/>
  <c r="S526" i="1"/>
  <c r="N527" i="1"/>
  <c r="O527" i="1"/>
  <c r="P527" i="1"/>
  <c r="Q527" i="1"/>
  <c r="R527" i="1"/>
  <c r="S527" i="1"/>
  <c r="N528" i="1"/>
  <c r="O528" i="1"/>
  <c r="P528" i="1"/>
  <c r="Q528" i="1"/>
  <c r="R528" i="1"/>
  <c r="S528" i="1"/>
  <c r="N529" i="1"/>
  <c r="O529" i="1"/>
  <c r="P529" i="1"/>
  <c r="Q529" i="1"/>
  <c r="R529" i="1"/>
  <c r="S529" i="1"/>
  <c r="N530" i="1"/>
  <c r="O530" i="1"/>
  <c r="P530" i="1"/>
  <c r="Q530" i="1"/>
  <c r="R530" i="1"/>
  <c r="S530" i="1"/>
  <c r="N531" i="1"/>
  <c r="O531" i="1"/>
  <c r="P531" i="1"/>
  <c r="Q531" i="1"/>
  <c r="R531" i="1"/>
  <c r="S531" i="1"/>
  <c r="N532" i="1"/>
  <c r="O532" i="1"/>
  <c r="P532" i="1"/>
  <c r="Q532" i="1"/>
  <c r="R532" i="1"/>
  <c r="S532" i="1"/>
  <c r="N533" i="1"/>
  <c r="O533" i="1"/>
  <c r="P533" i="1"/>
  <c r="Q533" i="1"/>
  <c r="R533" i="1"/>
  <c r="S533" i="1"/>
  <c r="N534" i="1"/>
  <c r="O534" i="1"/>
  <c r="P534" i="1"/>
  <c r="Q534" i="1"/>
  <c r="R534" i="1"/>
  <c r="S534" i="1"/>
  <c r="N535" i="1"/>
  <c r="O535" i="1"/>
  <c r="P535" i="1"/>
  <c r="Q535" i="1"/>
  <c r="R535" i="1"/>
  <c r="S535" i="1"/>
  <c r="N536" i="1"/>
  <c r="O536" i="1"/>
  <c r="P536" i="1"/>
  <c r="Q536" i="1"/>
  <c r="R536" i="1"/>
  <c r="S536" i="1"/>
  <c r="N537" i="1"/>
  <c r="O537" i="1"/>
  <c r="P537" i="1"/>
  <c r="Q537" i="1"/>
  <c r="R537" i="1"/>
  <c r="S537" i="1"/>
  <c r="N538" i="1"/>
  <c r="O538" i="1"/>
  <c r="P538" i="1"/>
  <c r="Q538" i="1"/>
  <c r="R538" i="1"/>
  <c r="S538" i="1"/>
  <c r="N539" i="1"/>
  <c r="O539" i="1"/>
  <c r="P539" i="1"/>
  <c r="Q539" i="1"/>
  <c r="R539" i="1"/>
  <c r="S539" i="1"/>
  <c r="N540" i="1"/>
  <c r="O540" i="1"/>
  <c r="P540" i="1"/>
  <c r="Q540" i="1"/>
  <c r="R540" i="1"/>
  <c r="S540" i="1"/>
  <c r="N541" i="1"/>
  <c r="O541" i="1"/>
  <c r="P541" i="1"/>
  <c r="Q541" i="1"/>
  <c r="R541" i="1"/>
  <c r="S541" i="1"/>
  <c r="N542" i="1"/>
  <c r="O542" i="1"/>
  <c r="P542" i="1"/>
  <c r="Q542" i="1"/>
  <c r="R542" i="1"/>
  <c r="S542" i="1"/>
  <c r="N543" i="1"/>
  <c r="O543" i="1"/>
  <c r="P543" i="1"/>
  <c r="Q543" i="1"/>
  <c r="R543" i="1"/>
  <c r="S543" i="1"/>
  <c r="N544" i="1"/>
  <c r="O544" i="1"/>
  <c r="P544" i="1"/>
  <c r="Q544" i="1"/>
  <c r="R544" i="1"/>
  <c r="S544" i="1"/>
  <c r="N545" i="1"/>
  <c r="O545" i="1"/>
  <c r="P545" i="1"/>
  <c r="Q545" i="1"/>
  <c r="R545" i="1"/>
  <c r="S545" i="1"/>
  <c r="N546" i="1"/>
  <c r="O546" i="1"/>
  <c r="P546" i="1"/>
  <c r="Q546" i="1"/>
  <c r="R546" i="1"/>
  <c r="S546" i="1"/>
  <c r="N547" i="1"/>
  <c r="O547" i="1"/>
  <c r="P547" i="1"/>
  <c r="Q547" i="1"/>
  <c r="R547" i="1"/>
  <c r="S547" i="1"/>
  <c r="N548" i="1"/>
  <c r="O548" i="1"/>
  <c r="P548" i="1"/>
  <c r="Q548" i="1"/>
  <c r="R548" i="1"/>
  <c r="S548" i="1"/>
  <c r="N549" i="1"/>
  <c r="O549" i="1"/>
  <c r="P549" i="1"/>
  <c r="Q549" i="1"/>
  <c r="R549" i="1"/>
  <c r="S549" i="1"/>
  <c r="N550" i="1"/>
  <c r="O550" i="1"/>
  <c r="P550" i="1"/>
  <c r="Q550" i="1"/>
  <c r="R550" i="1"/>
  <c r="S550" i="1"/>
  <c r="N551" i="1"/>
  <c r="O551" i="1"/>
  <c r="P551" i="1"/>
  <c r="Q551" i="1"/>
  <c r="R551" i="1"/>
  <c r="S551" i="1"/>
  <c r="N552" i="1"/>
  <c r="O552" i="1"/>
  <c r="P552" i="1"/>
  <c r="Q552" i="1"/>
  <c r="R552" i="1"/>
  <c r="S552" i="1"/>
  <c r="N553" i="1"/>
  <c r="O553" i="1"/>
  <c r="P553" i="1"/>
  <c r="Q553" i="1"/>
  <c r="R553" i="1"/>
  <c r="S553" i="1"/>
  <c r="N554" i="1"/>
  <c r="O554" i="1"/>
  <c r="P554" i="1"/>
  <c r="Q554" i="1"/>
  <c r="R554" i="1"/>
  <c r="S554" i="1"/>
  <c r="N555" i="1"/>
  <c r="O555" i="1"/>
  <c r="P555" i="1"/>
  <c r="Q555" i="1"/>
  <c r="R555" i="1"/>
  <c r="S555" i="1"/>
  <c r="N556" i="1"/>
  <c r="O556" i="1"/>
  <c r="P556" i="1"/>
  <c r="Q556" i="1"/>
  <c r="R556" i="1"/>
  <c r="S556" i="1"/>
  <c r="N557" i="1"/>
  <c r="O557" i="1"/>
  <c r="P557" i="1"/>
  <c r="Q557" i="1"/>
  <c r="R557" i="1"/>
  <c r="S557" i="1"/>
  <c r="N558" i="1"/>
  <c r="O558" i="1"/>
  <c r="P558" i="1"/>
  <c r="Q558" i="1"/>
  <c r="R558" i="1"/>
  <c r="S558" i="1"/>
  <c r="N559" i="1"/>
  <c r="O559" i="1"/>
  <c r="P559" i="1"/>
  <c r="Q559" i="1"/>
  <c r="R559" i="1"/>
  <c r="S559" i="1"/>
  <c r="N560" i="1"/>
  <c r="O560" i="1"/>
  <c r="P560" i="1"/>
  <c r="Q560" i="1"/>
  <c r="R560" i="1"/>
  <c r="S560" i="1"/>
  <c r="N561" i="1"/>
  <c r="O561" i="1"/>
  <c r="P561" i="1"/>
  <c r="Q561" i="1"/>
  <c r="R561" i="1"/>
  <c r="S561" i="1"/>
  <c r="N562" i="1"/>
  <c r="O562" i="1"/>
  <c r="P562" i="1"/>
  <c r="Q562" i="1"/>
  <c r="R562" i="1"/>
  <c r="S562" i="1"/>
  <c r="N563" i="1"/>
  <c r="O563" i="1"/>
  <c r="P563" i="1"/>
  <c r="Q563" i="1"/>
  <c r="R563" i="1"/>
  <c r="S563" i="1"/>
  <c r="N564" i="1"/>
  <c r="O564" i="1"/>
  <c r="P564" i="1"/>
  <c r="Q564" i="1"/>
  <c r="R564" i="1"/>
  <c r="S564" i="1"/>
  <c r="N565" i="1"/>
  <c r="O565" i="1"/>
  <c r="P565" i="1"/>
  <c r="Q565" i="1"/>
  <c r="R565" i="1"/>
  <c r="S565" i="1"/>
  <c r="N566" i="1"/>
  <c r="O566" i="1"/>
  <c r="P566" i="1"/>
  <c r="Q566" i="1"/>
  <c r="R566" i="1"/>
  <c r="S566" i="1"/>
  <c r="N567" i="1"/>
  <c r="O567" i="1"/>
  <c r="P567" i="1"/>
  <c r="Q567" i="1"/>
  <c r="R567" i="1"/>
  <c r="S567" i="1"/>
  <c r="N568" i="1"/>
  <c r="O568" i="1"/>
  <c r="P568" i="1"/>
  <c r="Q568" i="1"/>
  <c r="R568" i="1"/>
  <c r="S568" i="1"/>
  <c r="N569" i="1"/>
  <c r="O569" i="1"/>
  <c r="P569" i="1"/>
  <c r="Q569" i="1"/>
  <c r="R569" i="1"/>
  <c r="S569" i="1"/>
  <c r="N570" i="1"/>
  <c r="O570" i="1"/>
  <c r="P570" i="1"/>
  <c r="Q570" i="1"/>
  <c r="R570" i="1"/>
  <c r="S570" i="1"/>
  <c r="N571" i="1"/>
  <c r="O571" i="1"/>
  <c r="P571" i="1"/>
  <c r="Q571" i="1"/>
  <c r="R571" i="1"/>
  <c r="S571" i="1"/>
  <c r="N572" i="1"/>
  <c r="O572" i="1"/>
  <c r="P572" i="1"/>
  <c r="Q572" i="1"/>
  <c r="R572" i="1"/>
  <c r="S572" i="1"/>
  <c r="N573" i="1"/>
  <c r="O573" i="1"/>
  <c r="P573" i="1"/>
  <c r="Q573" i="1"/>
  <c r="R573" i="1"/>
  <c r="S573" i="1"/>
  <c r="N574" i="1"/>
  <c r="O574" i="1"/>
  <c r="P574" i="1"/>
  <c r="Q574" i="1"/>
  <c r="R574" i="1"/>
  <c r="S574" i="1"/>
  <c r="N575" i="1"/>
  <c r="O575" i="1"/>
  <c r="P575" i="1"/>
  <c r="Q575" i="1"/>
  <c r="R575" i="1"/>
  <c r="S575" i="1"/>
  <c r="N576" i="1"/>
  <c r="O576" i="1"/>
  <c r="P576" i="1"/>
  <c r="Q576" i="1"/>
  <c r="R576" i="1"/>
  <c r="S576" i="1"/>
  <c r="N577" i="1"/>
  <c r="O577" i="1"/>
  <c r="P577" i="1"/>
  <c r="Q577" i="1"/>
  <c r="R577" i="1"/>
  <c r="S577" i="1"/>
  <c r="N578" i="1"/>
  <c r="O578" i="1"/>
  <c r="P578" i="1"/>
  <c r="Q578" i="1"/>
  <c r="R578" i="1"/>
  <c r="S578" i="1"/>
  <c r="N579" i="1"/>
  <c r="O579" i="1"/>
  <c r="P579" i="1"/>
  <c r="Q579" i="1"/>
  <c r="R579" i="1"/>
  <c r="S579" i="1"/>
  <c r="N580" i="1"/>
  <c r="O580" i="1"/>
  <c r="P580" i="1"/>
  <c r="Q580" i="1"/>
  <c r="R580" i="1"/>
  <c r="S580" i="1"/>
  <c r="N581" i="1"/>
  <c r="O581" i="1"/>
  <c r="P581" i="1"/>
  <c r="Q581" i="1"/>
  <c r="R581" i="1"/>
  <c r="S581" i="1"/>
  <c r="N582" i="1"/>
  <c r="O582" i="1"/>
  <c r="P582" i="1"/>
  <c r="Q582" i="1"/>
  <c r="R582" i="1"/>
  <c r="S582" i="1"/>
  <c r="N583" i="1"/>
  <c r="O583" i="1"/>
  <c r="P583" i="1"/>
  <c r="Q583" i="1"/>
  <c r="R583" i="1"/>
  <c r="S583" i="1"/>
  <c r="N584" i="1"/>
  <c r="O584" i="1"/>
  <c r="P584" i="1"/>
  <c r="Q584" i="1"/>
  <c r="R584" i="1"/>
  <c r="S584" i="1"/>
  <c r="N585" i="1"/>
  <c r="O585" i="1"/>
  <c r="P585" i="1"/>
  <c r="Q585" i="1"/>
  <c r="R585" i="1"/>
  <c r="S585" i="1"/>
  <c r="N586" i="1"/>
  <c r="O586" i="1"/>
  <c r="P586" i="1"/>
  <c r="Q586" i="1"/>
  <c r="R586" i="1"/>
  <c r="S586" i="1"/>
  <c r="N587" i="1"/>
  <c r="O587" i="1"/>
  <c r="P587" i="1"/>
  <c r="Q587" i="1"/>
  <c r="R587" i="1"/>
  <c r="S587" i="1"/>
  <c r="N588" i="1"/>
  <c r="O588" i="1"/>
  <c r="P588" i="1"/>
  <c r="Q588" i="1"/>
  <c r="R588" i="1"/>
  <c r="S588" i="1"/>
  <c r="N589" i="1"/>
  <c r="O589" i="1"/>
  <c r="P589" i="1"/>
  <c r="Q589" i="1"/>
  <c r="R589" i="1"/>
  <c r="S589" i="1"/>
  <c r="N590" i="1"/>
  <c r="O590" i="1"/>
  <c r="P590" i="1"/>
  <c r="Q590" i="1"/>
  <c r="R590" i="1"/>
  <c r="S590" i="1"/>
  <c r="N591" i="1"/>
  <c r="O591" i="1"/>
  <c r="P591" i="1"/>
  <c r="Q591" i="1"/>
  <c r="R591" i="1"/>
  <c r="S591" i="1"/>
  <c r="N592" i="1"/>
  <c r="O592" i="1"/>
  <c r="P592" i="1"/>
  <c r="Q592" i="1"/>
  <c r="R592" i="1"/>
  <c r="S592" i="1"/>
  <c r="N593" i="1"/>
  <c r="O593" i="1"/>
  <c r="P593" i="1"/>
  <c r="Q593" i="1"/>
  <c r="R593" i="1"/>
  <c r="S593" i="1"/>
  <c r="N594" i="1"/>
  <c r="O594" i="1"/>
  <c r="P594" i="1"/>
  <c r="Q594" i="1"/>
  <c r="R594" i="1"/>
  <c r="S594" i="1"/>
  <c r="N595" i="1"/>
  <c r="O595" i="1"/>
  <c r="P595" i="1"/>
  <c r="Q595" i="1"/>
  <c r="R595" i="1"/>
  <c r="S595" i="1"/>
  <c r="N596" i="1"/>
  <c r="O596" i="1"/>
  <c r="P596" i="1"/>
  <c r="Q596" i="1"/>
  <c r="R596" i="1"/>
  <c r="S596" i="1"/>
  <c r="N597" i="1"/>
  <c r="O597" i="1"/>
  <c r="P597" i="1"/>
  <c r="Q597" i="1"/>
  <c r="R597" i="1"/>
  <c r="S597" i="1"/>
  <c r="N598" i="1"/>
  <c r="O598" i="1"/>
  <c r="P598" i="1"/>
  <c r="Q598" i="1"/>
  <c r="R598" i="1"/>
  <c r="S598" i="1"/>
  <c r="N599" i="1"/>
  <c r="O599" i="1"/>
  <c r="P599" i="1"/>
  <c r="Q599" i="1"/>
  <c r="R599" i="1"/>
  <c r="S599" i="1"/>
  <c r="N600" i="1"/>
  <c r="O600" i="1"/>
  <c r="P600" i="1"/>
  <c r="Q600" i="1"/>
  <c r="R600" i="1"/>
  <c r="S600" i="1"/>
  <c r="N601" i="1"/>
  <c r="O601" i="1"/>
  <c r="P601" i="1"/>
  <c r="Q601" i="1"/>
  <c r="R601" i="1"/>
  <c r="S601" i="1"/>
  <c r="N602" i="1"/>
  <c r="O602" i="1"/>
  <c r="P602" i="1"/>
  <c r="Q602" i="1"/>
  <c r="R602" i="1"/>
  <c r="S602" i="1"/>
  <c r="N603" i="1"/>
  <c r="O603" i="1"/>
  <c r="P603" i="1"/>
  <c r="Q603" i="1"/>
  <c r="R603" i="1"/>
  <c r="S603" i="1"/>
  <c r="N604" i="1"/>
  <c r="O604" i="1"/>
  <c r="P604" i="1"/>
  <c r="Q604" i="1"/>
  <c r="R604" i="1"/>
  <c r="S604" i="1"/>
  <c r="N605" i="1"/>
  <c r="O605" i="1"/>
  <c r="P605" i="1"/>
  <c r="Q605" i="1"/>
  <c r="R605" i="1"/>
  <c r="S605" i="1"/>
  <c r="N606" i="1"/>
  <c r="O606" i="1"/>
  <c r="P606" i="1"/>
  <c r="Q606" i="1"/>
  <c r="R606" i="1"/>
  <c r="S606" i="1"/>
  <c r="N607" i="1"/>
  <c r="O607" i="1"/>
  <c r="P607" i="1"/>
  <c r="Q607" i="1"/>
  <c r="R607" i="1"/>
  <c r="S607" i="1"/>
  <c r="N608" i="1"/>
  <c r="O608" i="1"/>
  <c r="P608" i="1"/>
  <c r="Q608" i="1"/>
  <c r="R608" i="1"/>
  <c r="S608" i="1"/>
  <c r="N609" i="1"/>
  <c r="O609" i="1"/>
  <c r="P609" i="1"/>
  <c r="Q609" i="1"/>
  <c r="R609" i="1"/>
  <c r="S609" i="1"/>
  <c r="N610" i="1"/>
  <c r="O610" i="1"/>
  <c r="P610" i="1"/>
  <c r="Q610" i="1"/>
  <c r="R610" i="1"/>
  <c r="S610" i="1"/>
  <c r="N611" i="1"/>
  <c r="O611" i="1"/>
  <c r="P611" i="1"/>
  <c r="Q611" i="1"/>
  <c r="R611" i="1"/>
  <c r="S611" i="1"/>
  <c r="N612" i="1"/>
  <c r="O612" i="1"/>
  <c r="P612" i="1"/>
  <c r="Q612" i="1"/>
  <c r="R612" i="1"/>
  <c r="S612" i="1"/>
  <c r="N613" i="1"/>
  <c r="O613" i="1"/>
  <c r="P613" i="1"/>
  <c r="Q613" i="1"/>
  <c r="R613" i="1"/>
  <c r="S613" i="1"/>
  <c r="N614" i="1"/>
  <c r="O614" i="1"/>
  <c r="P614" i="1"/>
  <c r="Q614" i="1"/>
  <c r="R614" i="1"/>
  <c r="S614" i="1"/>
  <c r="N615" i="1"/>
  <c r="O615" i="1"/>
  <c r="P615" i="1"/>
  <c r="Q615" i="1"/>
  <c r="R615" i="1"/>
  <c r="S615" i="1"/>
  <c r="N616" i="1"/>
  <c r="O616" i="1"/>
  <c r="P616" i="1"/>
  <c r="Q616" i="1"/>
  <c r="R616" i="1"/>
  <c r="S616" i="1"/>
  <c r="N617" i="1"/>
  <c r="O617" i="1"/>
  <c r="P617" i="1"/>
  <c r="Q617" i="1"/>
  <c r="R617" i="1"/>
  <c r="S617" i="1"/>
  <c r="N618" i="1"/>
  <c r="O618" i="1"/>
  <c r="P618" i="1"/>
  <c r="Q618" i="1"/>
  <c r="R618" i="1"/>
  <c r="S618" i="1"/>
  <c r="N619" i="1"/>
  <c r="O619" i="1"/>
  <c r="P619" i="1"/>
  <c r="Q619" i="1"/>
  <c r="R619" i="1"/>
  <c r="S619" i="1"/>
  <c r="N620" i="1"/>
  <c r="O620" i="1"/>
  <c r="P620" i="1"/>
  <c r="Q620" i="1"/>
  <c r="R620" i="1"/>
  <c r="S620" i="1"/>
  <c r="N621" i="1"/>
  <c r="O621" i="1"/>
  <c r="P621" i="1"/>
  <c r="Q621" i="1"/>
  <c r="R621" i="1"/>
  <c r="S621" i="1"/>
  <c r="N622" i="1"/>
  <c r="O622" i="1"/>
  <c r="P622" i="1"/>
  <c r="Q622" i="1"/>
  <c r="R622" i="1"/>
  <c r="S622" i="1"/>
  <c r="N623" i="1"/>
  <c r="O623" i="1"/>
  <c r="P623" i="1"/>
  <c r="Q623" i="1"/>
  <c r="R623" i="1"/>
  <c r="S623" i="1"/>
  <c r="N624" i="1"/>
  <c r="O624" i="1"/>
  <c r="P624" i="1"/>
  <c r="Q624" i="1"/>
  <c r="R624" i="1"/>
  <c r="S624" i="1"/>
  <c r="N625" i="1"/>
  <c r="O625" i="1"/>
  <c r="P625" i="1"/>
  <c r="Q625" i="1"/>
  <c r="R625" i="1"/>
  <c r="S625" i="1"/>
  <c r="N626" i="1"/>
  <c r="O626" i="1"/>
  <c r="P626" i="1"/>
  <c r="Q626" i="1"/>
  <c r="R626" i="1"/>
  <c r="S626" i="1"/>
  <c r="N627" i="1"/>
  <c r="O627" i="1"/>
  <c r="P627" i="1"/>
  <c r="Q627" i="1"/>
  <c r="R627" i="1"/>
  <c r="S627" i="1"/>
  <c r="N628" i="1"/>
  <c r="O628" i="1"/>
  <c r="P628" i="1"/>
  <c r="Q628" i="1"/>
  <c r="R628" i="1"/>
  <c r="S628" i="1"/>
  <c r="N629" i="1"/>
  <c r="O629" i="1"/>
  <c r="P629" i="1"/>
  <c r="Q629" i="1"/>
  <c r="R629" i="1"/>
  <c r="S629" i="1"/>
  <c r="N630" i="1"/>
  <c r="O630" i="1"/>
  <c r="P630" i="1"/>
  <c r="Q630" i="1"/>
  <c r="R630" i="1"/>
  <c r="S630" i="1"/>
  <c r="N631" i="1"/>
  <c r="O631" i="1"/>
  <c r="P631" i="1"/>
  <c r="Q631" i="1"/>
  <c r="R631" i="1"/>
  <c r="S631" i="1"/>
  <c r="N632" i="1"/>
  <c r="O632" i="1"/>
  <c r="P632" i="1"/>
  <c r="Q632" i="1"/>
  <c r="R632" i="1"/>
  <c r="S632" i="1"/>
  <c r="N633" i="1"/>
  <c r="O633" i="1"/>
  <c r="P633" i="1"/>
  <c r="Q633" i="1"/>
  <c r="R633" i="1"/>
  <c r="S633" i="1"/>
  <c r="N634" i="1"/>
  <c r="O634" i="1"/>
  <c r="P634" i="1"/>
  <c r="Q634" i="1"/>
  <c r="R634" i="1"/>
  <c r="S634" i="1"/>
  <c r="N635" i="1"/>
  <c r="O635" i="1"/>
  <c r="P635" i="1"/>
  <c r="Q635" i="1"/>
  <c r="R635" i="1"/>
  <c r="S635" i="1"/>
  <c r="N636" i="1"/>
  <c r="O636" i="1"/>
  <c r="P636" i="1"/>
  <c r="Q636" i="1"/>
  <c r="R636" i="1"/>
  <c r="S636" i="1"/>
  <c r="N637" i="1"/>
  <c r="O637" i="1"/>
  <c r="P637" i="1"/>
  <c r="Q637" i="1"/>
  <c r="R637" i="1"/>
  <c r="S637" i="1"/>
  <c r="N638" i="1"/>
  <c r="O638" i="1"/>
  <c r="P638" i="1"/>
  <c r="Q638" i="1"/>
  <c r="R638" i="1"/>
  <c r="S638" i="1"/>
  <c r="N639" i="1"/>
  <c r="O639" i="1"/>
  <c r="P639" i="1"/>
  <c r="Q639" i="1"/>
  <c r="R639" i="1"/>
  <c r="S639" i="1"/>
  <c r="N640" i="1"/>
  <c r="O640" i="1"/>
  <c r="P640" i="1"/>
  <c r="Q640" i="1"/>
  <c r="R640" i="1"/>
  <c r="S640" i="1"/>
  <c r="N641" i="1"/>
  <c r="O641" i="1"/>
  <c r="P641" i="1"/>
  <c r="Q641" i="1"/>
  <c r="R641" i="1"/>
  <c r="S641" i="1"/>
  <c r="N642" i="1"/>
  <c r="O642" i="1"/>
  <c r="P642" i="1"/>
  <c r="Q642" i="1"/>
  <c r="R642" i="1"/>
  <c r="S642" i="1"/>
  <c r="N643" i="1"/>
  <c r="O643" i="1"/>
  <c r="P643" i="1"/>
  <c r="Q643" i="1"/>
  <c r="R643" i="1"/>
  <c r="S643" i="1"/>
  <c r="N644" i="1"/>
  <c r="O644" i="1"/>
  <c r="P644" i="1"/>
  <c r="Q644" i="1"/>
  <c r="R644" i="1"/>
  <c r="S644" i="1"/>
  <c r="N645" i="1"/>
  <c r="O645" i="1"/>
  <c r="P645" i="1"/>
  <c r="Q645" i="1"/>
  <c r="R645" i="1"/>
  <c r="S645" i="1"/>
  <c r="N646" i="1"/>
  <c r="O646" i="1"/>
  <c r="P646" i="1"/>
  <c r="Q646" i="1"/>
  <c r="R646" i="1"/>
  <c r="S646" i="1"/>
  <c r="N647" i="1"/>
  <c r="O647" i="1"/>
  <c r="P647" i="1"/>
  <c r="Q647" i="1"/>
  <c r="R647" i="1"/>
  <c r="S647" i="1"/>
  <c r="N648" i="1"/>
  <c r="O648" i="1"/>
  <c r="P648" i="1"/>
  <c r="Q648" i="1"/>
  <c r="R648" i="1"/>
  <c r="S648" i="1"/>
  <c r="N649" i="1"/>
  <c r="O649" i="1"/>
  <c r="P649" i="1"/>
  <c r="Q649" i="1"/>
  <c r="R649" i="1"/>
  <c r="S649" i="1"/>
  <c r="N650" i="1"/>
  <c r="O650" i="1"/>
  <c r="P650" i="1"/>
  <c r="Q650" i="1"/>
  <c r="R650" i="1"/>
  <c r="S650" i="1"/>
  <c r="N651" i="1"/>
  <c r="O651" i="1"/>
  <c r="P651" i="1"/>
  <c r="Q651" i="1"/>
  <c r="R651" i="1"/>
  <c r="S651" i="1"/>
  <c r="N652" i="1"/>
  <c r="O652" i="1"/>
  <c r="P652" i="1"/>
  <c r="Q652" i="1"/>
  <c r="R652" i="1"/>
  <c r="S652" i="1"/>
  <c r="N653" i="1"/>
  <c r="O653" i="1"/>
  <c r="P653" i="1"/>
  <c r="Q653" i="1"/>
  <c r="R653" i="1"/>
  <c r="S653" i="1"/>
  <c r="N654" i="1"/>
  <c r="O654" i="1"/>
  <c r="P654" i="1"/>
  <c r="Q654" i="1"/>
  <c r="R654" i="1"/>
  <c r="S654" i="1"/>
  <c r="N655" i="1"/>
  <c r="O655" i="1"/>
  <c r="P655" i="1"/>
  <c r="Q655" i="1"/>
  <c r="R655" i="1"/>
  <c r="S655" i="1"/>
  <c r="N656" i="1"/>
  <c r="O656" i="1"/>
  <c r="P656" i="1"/>
  <c r="Q656" i="1"/>
  <c r="R656" i="1"/>
  <c r="S656" i="1"/>
  <c r="N657" i="1"/>
  <c r="O657" i="1"/>
  <c r="P657" i="1"/>
  <c r="Q657" i="1"/>
  <c r="R657" i="1"/>
  <c r="S657" i="1"/>
  <c r="N658" i="1"/>
  <c r="O658" i="1"/>
  <c r="P658" i="1"/>
  <c r="Q658" i="1"/>
  <c r="R658" i="1"/>
  <c r="S658" i="1"/>
  <c r="N659" i="1"/>
  <c r="O659" i="1"/>
  <c r="P659" i="1"/>
  <c r="Q659" i="1"/>
  <c r="R659" i="1"/>
  <c r="S659" i="1"/>
  <c r="N660" i="1"/>
  <c r="O660" i="1"/>
  <c r="P660" i="1"/>
  <c r="Q660" i="1"/>
  <c r="R660" i="1"/>
  <c r="S660" i="1"/>
  <c r="N661" i="1"/>
  <c r="O661" i="1"/>
  <c r="P661" i="1"/>
  <c r="Q661" i="1"/>
  <c r="R661" i="1"/>
  <c r="S661" i="1"/>
  <c r="N662" i="1"/>
  <c r="O662" i="1"/>
  <c r="P662" i="1"/>
  <c r="Q662" i="1"/>
  <c r="R662" i="1"/>
  <c r="S662" i="1"/>
  <c r="N663" i="1"/>
  <c r="O663" i="1"/>
  <c r="P663" i="1"/>
  <c r="Q663" i="1"/>
  <c r="R663" i="1"/>
  <c r="S663" i="1"/>
  <c r="N664" i="1"/>
  <c r="O664" i="1"/>
  <c r="P664" i="1"/>
  <c r="Q664" i="1"/>
  <c r="R664" i="1"/>
  <c r="S664" i="1"/>
  <c r="N665" i="1"/>
  <c r="O665" i="1"/>
  <c r="P665" i="1"/>
  <c r="Q665" i="1"/>
  <c r="R665" i="1"/>
  <c r="S665" i="1"/>
  <c r="N666" i="1"/>
  <c r="O666" i="1"/>
  <c r="P666" i="1"/>
  <c r="Q666" i="1"/>
  <c r="R666" i="1"/>
  <c r="S666" i="1"/>
  <c r="N667" i="1"/>
  <c r="O667" i="1"/>
  <c r="P667" i="1"/>
  <c r="Q667" i="1"/>
  <c r="R667" i="1"/>
  <c r="S667" i="1"/>
  <c r="N668" i="1"/>
  <c r="O668" i="1"/>
  <c r="P668" i="1"/>
  <c r="Q668" i="1"/>
  <c r="R668" i="1"/>
  <c r="S668" i="1"/>
  <c r="N669" i="1"/>
  <c r="O669" i="1"/>
  <c r="P669" i="1"/>
  <c r="Q669" i="1"/>
  <c r="R669" i="1"/>
  <c r="S669" i="1"/>
  <c r="N670" i="1"/>
  <c r="O670" i="1"/>
  <c r="P670" i="1"/>
  <c r="Q670" i="1"/>
  <c r="R670" i="1"/>
  <c r="S670" i="1"/>
  <c r="N671" i="1"/>
  <c r="O671" i="1"/>
  <c r="P671" i="1"/>
  <c r="Q671" i="1"/>
  <c r="R671" i="1"/>
  <c r="S671" i="1"/>
  <c r="N672" i="1"/>
  <c r="O672" i="1"/>
  <c r="P672" i="1"/>
  <c r="Q672" i="1"/>
  <c r="R672" i="1"/>
  <c r="S672" i="1"/>
  <c r="N673" i="1"/>
  <c r="O673" i="1"/>
  <c r="P673" i="1"/>
  <c r="Q673" i="1"/>
  <c r="R673" i="1"/>
  <c r="S673" i="1"/>
  <c r="N674" i="1"/>
  <c r="O674" i="1"/>
  <c r="P674" i="1"/>
  <c r="Q674" i="1"/>
  <c r="R674" i="1"/>
  <c r="S674" i="1"/>
  <c r="N675" i="1"/>
  <c r="O675" i="1"/>
  <c r="P675" i="1"/>
  <c r="Q675" i="1"/>
  <c r="R675" i="1"/>
  <c r="S675" i="1"/>
  <c r="N676" i="1"/>
  <c r="O676" i="1"/>
  <c r="P676" i="1"/>
  <c r="Q676" i="1"/>
  <c r="R676" i="1"/>
  <c r="S676" i="1"/>
  <c r="N677" i="1"/>
  <c r="O677" i="1"/>
  <c r="P677" i="1"/>
  <c r="Q677" i="1"/>
  <c r="R677" i="1"/>
  <c r="S677" i="1"/>
  <c r="N678" i="1"/>
  <c r="O678" i="1"/>
  <c r="P678" i="1"/>
  <c r="Q678" i="1"/>
  <c r="R678" i="1"/>
  <c r="S678" i="1"/>
  <c r="N679" i="1"/>
  <c r="O679" i="1"/>
  <c r="P679" i="1"/>
  <c r="Q679" i="1"/>
  <c r="R679" i="1"/>
  <c r="S679" i="1"/>
  <c r="N680" i="1"/>
  <c r="O680" i="1"/>
  <c r="P680" i="1"/>
  <c r="Q680" i="1"/>
  <c r="R680" i="1"/>
  <c r="S680" i="1"/>
  <c r="N681" i="1"/>
  <c r="O681" i="1"/>
  <c r="P681" i="1"/>
  <c r="Q681" i="1"/>
  <c r="R681" i="1"/>
  <c r="S681" i="1"/>
  <c r="N682" i="1"/>
  <c r="O682" i="1"/>
  <c r="P682" i="1"/>
  <c r="Q682" i="1"/>
  <c r="R682" i="1"/>
  <c r="S682" i="1"/>
  <c r="N683" i="1"/>
  <c r="O683" i="1"/>
  <c r="P683" i="1"/>
  <c r="Q683" i="1"/>
  <c r="R683" i="1"/>
  <c r="S683" i="1"/>
  <c r="N684" i="1"/>
  <c r="O684" i="1"/>
  <c r="P684" i="1"/>
  <c r="Q684" i="1"/>
  <c r="R684" i="1"/>
  <c r="S684" i="1"/>
  <c r="N685" i="1"/>
  <c r="O685" i="1"/>
  <c r="P685" i="1"/>
  <c r="Q685" i="1"/>
  <c r="R685" i="1"/>
  <c r="S685" i="1"/>
  <c r="N686" i="1"/>
  <c r="O686" i="1"/>
  <c r="P686" i="1"/>
  <c r="Q686" i="1"/>
  <c r="R686" i="1"/>
  <c r="S686" i="1"/>
  <c r="N687" i="1"/>
  <c r="O687" i="1"/>
  <c r="P687" i="1"/>
  <c r="Q687" i="1"/>
  <c r="R687" i="1"/>
  <c r="S687" i="1"/>
  <c r="N688" i="1"/>
  <c r="O688" i="1"/>
  <c r="P688" i="1"/>
  <c r="Q688" i="1"/>
  <c r="R688" i="1"/>
  <c r="S688" i="1"/>
  <c r="N689" i="1"/>
  <c r="O689" i="1"/>
  <c r="P689" i="1"/>
  <c r="Q689" i="1"/>
  <c r="R689" i="1"/>
  <c r="S689" i="1"/>
  <c r="N690" i="1"/>
  <c r="O690" i="1"/>
  <c r="P690" i="1"/>
  <c r="Q690" i="1"/>
  <c r="R690" i="1"/>
  <c r="S690" i="1"/>
  <c r="N691" i="1"/>
  <c r="O691" i="1"/>
  <c r="P691" i="1"/>
  <c r="Q691" i="1"/>
  <c r="R691" i="1"/>
  <c r="S691" i="1"/>
  <c r="N692" i="1"/>
  <c r="O692" i="1"/>
  <c r="P692" i="1"/>
  <c r="Q692" i="1"/>
  <c r="R692" i="1"/>
  <c r="S692" i="1"/>
  <c r="N693" i="1"/>
  <c r="O693" i="1"/>
  <c r="P693" i="1"/>
  <c r="Q693" i="1"/>
  <c r="R693" i="1"/>
  <c r="S693" i="1"/>
  <c r="N694" i="1"/>
  <c r="O694" i="1"/>
  <c r="P694" i="1"/>
  <c r="Q694" i="1"/>
  <c r="R694" i="1"/>
  <c r="S694" i="1"/>
  <c r="N695" i="1"/>
  <c r="O695" i="1"/>
  <c r="P695" i="1"/>
  <c r="Q695" i="1"/>
  <c r="R695" i="1"/>
  <c r="S695" i="1"/>
  <c r="N696" i="1"/>
  <c r="O696" i="1"/>
  <c r="P696" i="1"/>
  <c r="Q696" i="1"/>
  <c r="R696" i="1"/>
  <c r="S696" i="1"/>
  <c r="N697" i="1"/>
  <c r="O697" i="1"/>
  <c r="P697" i="1"/>
  <c r="Q697" i="1"/>
  <c r="R697" i="1"/>
  <c r="S697" i="1"/>
  <c r="N698" i="1"/>
  <c r="O698" i="1"/>
  <c r="P698" i="1"/>
  <c r="Q698" i="1"/>
  <c r="R698" i="1"/>
  <c r="S698" i="1"/>
  <c r="N699" i="1"/>
  <c r="O699" i="1"/>
  <c r="P699" i="1"/>
  <c r="Q699" i="1"/>
  <c r="R699" i="1"/>
  <c r="S699" i="1"/>
  <c r="N700" i="1"/>
  <c r="O700" i="1"/>
  <c r="P700" i="1"/>
  <c r="Q700" i="1"/>
  <c r="R700" i="1"/>
  <c r="S700" i="1"/>
  <c r="N701" i="1"/>
  <c r="O701" i="1"/>
  <c r="P701" i="1"/>
  <c r="Q701" i="1"/>
  <c r="R701" i="1"/>
  <c r="S701" i="1"/>
  <c r="N702" i="1"/>
  <c r="O702" i="1"/>
  <c r="P702" i="1"/>
  <c r="Q702" i="1"/>
  <c r="R702" i="1"/>
  <c r="S702" i="1"/>
  <c r="N703" i="1"/>
  <c r="O703" i="1"/>
  <c r="P703" i="1"/>
  <c r="Q703" i="1"/>
  <c r="R703" i="1"/>
  <c r="S703" i="1"/>
  <c r="N704" i="1"/>
  <c r="O704" i="1"/>
  <c r="P704" i="1"/>
  <c r="Q704" i="1"/>
  <c r="R704" i="1"/>
  <c r="S704" i="1"/>
  <c r="N705" i="1"/>
  <c r="O705" i="1"/>
  <c r="P705" i="1"/>
  <c r="Q705" i="1"/>
  <c r="R705" i="1"/>
  <c r="S705" i="1"/>
  <c r="N706" i="1"/>
  <c r="O706" i="1"/>
  <c r="P706" i="1"/>
  <c r="Q706" i="1"/>
  <c r="R706" i="1"/>
  <c r="S706" i="1"/>
  <c r="N707" i="1"/>
  <c r="O707" i="1"/>
  <c r="P707" i="1"/>
  <c r="Q707" i="1"/>
  <c r="R707" i="1"/>
  <c r="S707" i="1"/>
  <c r="N708" i="1"/>
  <c r="O708" i="1"/>
  <c r="P708" i="1"/>
  <c r="Q708" i="1"/>
  <c r="R708" i="1"/>
  <c r="S708" i="1"/>
  <c r="N709" i="1"/>
  <c r="O709" i="1"/>
  <c r="P709" i="1"/>
  <c r="Q709" i="1"/>
  <c r="R709" i="1"/>
  <c r="S709" i="1"/>
  <c r="N710" i="1"/>
  <c r="O710" i="1"/>
  <c r="P710" i="1"/>
  <c r="Q710" i="1"/>
  <c r="R710" i="1"/>
  <c r="S710" i="1"/>
  <c r="N711" i="1"/>
  <c r="O711" i="1"/>
  <c r="P711" i="1"/>
  <c r="Q711" i="1"/>
  <c r="R711" i="1"/>
  <c r="S711" i="1"/>
  <c r="N712" i="1"/>
  <c r="O712" i="1"/>
  <c r="P712" i="1"/>
  <c r="Q712" i="1"/>
  <c r="R712" i="1"/>
  <c r="S712" i="1"/>
  <c r="N713" i="1"/>
  <c r="O713" i="1"/>
  <c r="P713" i="1"/>
  <c r="Q713" i="1"/>
  <c r="R713" i="1"/>
  <c r="S713" i="1"/>
  <c r="N714" i="1"/>
  <c r="O714" i="1"/>
  <c r="P714" i="1"/>
  <c r="Q714" i="1"/>
  <c r="R714" i="1"/>
  <c r="S714" i="1"/>
  <c r="N715" i="1"/>
  <c r="O715" i="1"/>
  <c r="P715" i="1"/>
  <c r="Q715" i="1"/>
  <c r="R715" i="1"/>
  <c r="S715" i="1"/>
  <c r="N716" i="1"/>
  <c r="O716" i="1"/>
  <c r="P716" i="1"/>
  <c r="Q716" i="1"/>
  <c r="R716" i="1"/>
  <c r="S716" i="1"/>
  <c r="N717" i="1"/>
  <c r="O717" i="1"/>
  <c r="P717" i="1"/>
  <c r="Q717" i="1"/>
  <c r="R717" i="1"/>
  <c r="S717" i="1"/>
  <c r="N718" i="1"/>
  <c r="O718" i="1"/>
  <c r="P718" i="1"/>
  <c r="Q718" i="1"/>
  <c r="R718" i="1"/>
  <c r="S718" i="1"/>
  <c r="N719" i="1"/>
  <c r="O719" i="1"/>
  <c r="P719" i="1"/>
  <c r="Q719" i="1"/>
  <c r="R719" i="1"/>
  <c r="S719" i="1"/>
  <c r="N720" i="1"/>
  <c r="O720" i="1"/>
  <c r="P720" i="1"/>
  <c r="Q720" i="1"/>
  <c r="R720" i="1"/>
  <c r="S720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AA721" i="3" l="1"/>
  <c r="AA723" i="3" s="1"/>
  <c r="W721" i="3"/>
  <c r="W723" i="3" s="1"/>
  <c r="AB721" i="3"/>
  <c r="AB723" i="3" s="1"/>
  <c r="Z721" i="3"/>
  <c r="Z723" i="3" s="1"/>
  <c r="AC721" i="3"/>
  <c r="Y721" i="3"/>
  <c r="Y723" i="3" s="1"/>
  <c r="X721" i="3"/>
  <c r="X723" i="3" s="1"/>
  <c r="AC723" i="3" l="1"/>
  <c r="AC724" i="3" s="1"/>
  <c r="J706" i="9" l="1"/>
  <c r="J671" i="9"/>
  <c r="J665" i="9"/>
  <c r="J532" i="9"/>
  <c r="V4" i="9"/>
  <c r="V7" i="9"/>
  <c r="V9" i="9"/>
  <c r="V10" i="9"/>
  <c r="V11" i="9"/>
  <c r="V12" i="9"/>
  <c r="V14" i="9"/>
  <c r="V16" i="9"/>
  <c r="V20" i="9"/>
  <c r="V21" i="9"/>
  <c r="V22" i="9"/>
  <c r="V23" i="9"/>
  <c r="V24" i="9"/>
  <c r="V25" i="9"/>
  <c r="V26" i="9"/>
  <c r="V27" i="9"/>
  <c r="V28" i="9"/>
  <c r="V29" i="9"/>
  <c r="V31" i="9"/>
  <c r="V32" i="9"/>
  <c r="V33" i="9"/>
  <c r="V34" i="9"/>
  <c r="V35" i="9"/>
  <c r="V36" i="9"/>
  <c r="V37" i="9"/>
  <c r="V38" i="9"/>
  <c r="V39" i="9"/>
  <c r="V42" i="9"/>
  <c r="V44" i="9"/>
  <c r="V46" i="9"/>
  <c r="V47" i="9"/>
  <c r="V48" i="9"/>
  <c r="V49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80" i="9"/>
  <c r="V82" i="9"/>
  <c r="V83" i="9"/>
  <c r="V84" i="9"/>
  <c r="V85" i="9"/>
  <c r="V86" i="9"/>
  <c r="V87" i="9"/>
  <c r="V88" i="9"/>
  <c r="V89" i="9"/>
  <c r="V90" i="9"/>
  <c r="V91" i="9"/>
  <c r="V92" i="9"/>
  <c r="V94" i="9"/>
  <c r="V95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20" i="9"/>
  <c r="V121" i="9"/>
  <c r="V122" i="9"/>
  <c r="V123" i="9"/>
  <c r="V126" i="9"/>
  <c r="V127" i="9"/>
  <c r="V128" i="9"/>
  <c r="V129" i="9"/>
  <c r="V130" i="9"/>
  <c r="V131" i="9"/>
  <c r="V132" i="9"/>
  <c r="V133" i="9"/>
  <c r="V134" i="9"/>
  <c r="V135" i="9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2" i="9"/>
  <c r="V153" i="9"/>
  <c r="V154" i="9"/>
  <c r="V155" i="9"/>
  <c r="V156" i="9"/>
  <c r="V157" i="9"/>
  <c r="V158" i="9"/>
  <c r="V160" i="9"/>
  <c r="V161" i="9"/>
  <c r="V162" i="9"/>
  <c r="V163" i="9"/>
  <c r="V164" i="9"/>
  <c r="V165" i="9"/>
  <c r="V166" i="9"/>
  <c r="V167" i="9"/>
  <c r="V168" i="9"/>
  <c r="V170" i="9"/>
  <c r="V171" i="9"/>
  <c r="V173" i="9"/>
  <c r="V174" i="9"/>
  <c r="V175" i="9"/>
  <c r="V176" i="9"/>
  <c r="V177" i="9"/>
  <c r="V178" i="9"/>
  <c r="V179" i="9"/>
  <c r="V180" i="9"/>
  <c r="V181" i="9"/>
  <c r="V182" i="9"/>
  <c r="V183" i="9"/>
  <c r="V185" i="9"/>
  <c r="V186" i="9"/>
  <c r="V188" i="9"/>
  <c r="V189" i="9"/>
  <c r="V190" i="9"/>
  <c r="V191" i="9"/>
  <c r="V192" i="9"/>
  <c r="V193" i="9"/>
  <c r="V194" i="9"/>
  <c r="V195" i="9"/>
  <c r="V196" i="9"/>
  <c r="V197" i="9"/>
  <c r="V198" i="9"/>
  <c r="V199" i="9"/>
  <c r="V202" i="9"/>
  <c r="V203" i="9"/>
  <c r="V205" i="9"/>
  <c r="V206" i="9"/>
  <c r="V207" i="9"/>
  <c r="V210" i="9"/>
  <c r="V211" i="9"/>
  <c r="V212" i="9"/>
  <c r="V213" i="9"/>
  <c r="V214" i="9"/>
  <c r="V215" i="9"/>
  <c r="V216" i="9"/>
  <c r="V217" i="9"/>
  <c r="V218" i="9"/>
  <c r="V219" i="9"/>
  <c r="V222" i="9"/>
  <c r="V223" i="9"/>
  <c r="V225" i="9"/>
  <c r="V226" i="9"/>
  <c r="V228" i="9"/>
  <c r="V229" i="9"/>
  <c r="V231" i="9"/>
  <c r="V232" i="9"/>
  <c r="V234" i="9"/>
  <c r="V235" i="9"/>
  <c r="V236" i="9"/>
  <c r="V237" i="9"/>
  <c r="V238" i="9"/>
  <c r="V239" i="9"/>
  <c r="V240" i="9"/>
  <c r="V241" i="9"/>
  <c r="V242" i="9"/>
  <c r="V243" i="9"/>
  <c r="V244" i="9"/>
  <c r="V246" i="9"/>
  <c r="V248" i="9"/>
  <c r="V250" i="9"/>
  <c r="V251" i="9"/>
  <c r="V252" i="9"/>
  <c r="V253" i="9"/>
  <c r="V254" i="9"/>
  <c r="V255" i="9"/>
  <c r="V256" i="9"/>
  <c r="V257" i="9"/>
  <c r="V258" i="9"/>
  <c r="V259" i="9"/>
  <c r="V260" i="9"/>
  <c r="V261" i="9"/>
  <c r="V263" i="9"/>
  <c r="V264" i="9"/>
  <c r="V266" i="9"/>
  <c r="V267" i="9"/>
  <c r="V268" i="9"/>
  <c r="V269" i="9"/>
  <c r="V271" i="9"/>
  <c r="V272" i="9"/>
  <c r="V273" i="9"/>
  <c r="V275" i="9"/>
  <c r="V276" i="9"/>
  <c r="V277" i="9"/>
  <c r="V278" i="9"/>
  <c r="V279" i="9"/>
  <c r="V280" i="9"/>
  <c r="V281" i="9"/>
  <c r="V282" i="9"/>
  <c r="V283" i="9"/>
  <c r="V284" i="9"/>
  <c r="V285" i="9"/>
  <c r="V287" i="9"/>
  <c r="V288" i="9"/>
  <c r="V289" i="9"/>
  <c r="V290" i="9"/>
  <c r="V291" i="9"/>
  <c r="V292" i="9"/>
  <c r="V293" i="9"/>
  <c r="V294" i="9"/>
  <c r="V296" i="9"/>
  <c r="V297" i="9"/>
  <c r="V298" i="9"/>
  <c r="V299" i="9"/>
  <c r="V300" i="9"/>
  <c r="V301" i="9"/>
  <c r="V302" i="9"/>
  <c r="V303" i="9"/>
  <c r="V304" i="9"/>
  <c r="V306" i="9"/>
  <c r="V307" i="9"/>
  <c r="V308" i="9"/>
  <c r="V309" i="9"/>
  <c r="V311" i="9"/>
  <c r="V312" i="9"/>
  <c r="V313" i="9"/>
  <c r="V314" i="9"/>
  <c r="V315" i="9"/>
  <c r="V316" i="9"/>
  <c r="V317" i="9"/>
  <c r="V318" i="9"/>
  <c r="V319" i="9"/>
  <c r="V320" i="9"/>
  <c r="V321" i="9"/>
  <c r="V322" i="9"/>
  <c r="V323" i="9"/>
  <c r="V324" i="9"/>
  <c r="V325" i="9"/>
  <c r="V326" i="9"/>
  <c r="V327" i="9"/>
  <c r="V328" i="9"/>
  <c r="V329" i="9"/>
  <c r="V330" i="9"/>
  <c r="V342" i="9"/>
  <c r="V343" i="9"/>
  <c r="V345" i="9"/>
  <c r="V346" i="9"/>
  <c r="V350" i="9"/>
  <c r="V351" i="9"/>
  <c r="V352" i="9"/>
  <c r="V353" i="9"/>
  <c r="V354" i="9"/>
  <c r="V355" i="9"/>
  <c r="V356" i="9"/>
  <c r="V357" i="9"/>
  <c r="V358" i="9"/>
  <c r="V359" i="9"/>
  <c r="V360" i="9"/>
  <c r="V361" i="9"/>
  <c r="V362" i="9"/>
  <c r="V363" i="9"/>
  <c r="V364" i="9"/>
  <c r="V365" i="9"/>
  <c r="V366" i="9"/>
  <c r="V368" i="9"/>
  <c r="V369" i="9"/>
  <c r="V370" i="9"/>
  <c r="V371" i="9"/>
  <c r="V372" i="9"/>
  <c r="V375" i="9"/>
  <c r="V376" i="9"/>
  <c r="V377" i="9"/>
  <c r="V378" i="9"/>
  <c r="V379" i="9"/>
  <c r="V381" i="9"/>
  <c r="V383" i="9"/>
  <c r="V385" i="9"/>
  <c r="V386" i="9"/>
  <c r="V388" i="9"/>
  <c r="V389" i="9"/>
  <c r="V390" i="9"/>
  <c r="V391" i="9"/>
  <c r="V392" i="9"/>
  <c r="V393" i="9"/>
  <c r="V394" i="9"/>
  <c r="V395" i="9"/>
  <c r="V396" i="9"/>
  <c r="V397" i="9"/>
  <c r="V398" i="9"/>
  <c r="V399" i="9"/>
  <c r="V400" i="9"/>
  <c r="V401" i="9"/>
  <c r="V402" i="9"/>
  <c r="V403" i="9"/>
  <c r="V404" i="9"/>
  <c r="V405" i="9"/>
  <c r="V407" i="9"/>
  <c r="V408" i="9"/>
  <c r="V409" i="9"/>
  <c r="V410" i="9"/>
  <c r="V411" i="9"/>
  <c r="V412" i="9"/>
  <c r="V413" i="9"/>
  <c r="V414" i="9"/>
  <c r="V415" i="9"/>
  <c r="V416" i="9"/>
  <c r="V418" i="9"/>
  <c r="V420" i="9"/>
  <c r="V421" i="9"/>
  <c r="V422" i="9"/>
  <c r="V423" i="9"/>
  <c r="V424" i="9"/>
  <c r="V426" i="9"/>
  <c r="V427" i="9"/>
  <c r="V428" i="9"/>
  <c r="V429" i="9"/>
  <c r="V430" i="9"/>
  <c r="V431" i="9"/>
  <c r="V432" i="9"/>
  <c r="V434" i="9"/>
  <c r="V435" i="9"/>
  <c r="V437" i="9"/>
  <c r="V438" i="9"/>
  <c r="V441" i="9"/>
  <c r="V443" i="9"/>
  <c r="V445" i="9"/>
  <c r="V446" i="9"/>
  <c r="V447" i="9"/>
  <c r="V448" i="9"/>
  <c r="V449" i="9"/>
  <c r="V450" i="9"/>
  <c r="V451" i="9"/>
  <c r="V452" i="9"/>
  <c r="V453" i="9"/>
  <c r="V454" i="9"/>
  <c r="V456" i="9"/>
  <c r="V457" i="9"/>
  <c r="V459" i="9"/>
  <c r="V460" i="9"/>
  <c r="V461" i="9"/>
  <c r="V462" i="9"/>
  <c r="V463" i="9"/>
  <c r="V466" i="9"/>
  <c r="V467" i="9"/>
  <c r="V468" i="9"/>
  <c r="V469" i="9"/>
  <c r="V470" i="9"/>
  <c r="V471" i="9"/>
  <c r="V472" i="9"/>
  <c r="V473" i="9"/>
  <c r="V474" i="9"/>
  <c r="V475" i="9"/>
  <c r="V477" i="9"/>
  <c r="V478" i="9"/>
  <c r="V479" i="9"/>
  <c r="V480" i="9"/>
  <c r="V481" i="9"/>
  <c r="V483" i="9"/>
  <c r="V484" i="9"/>
  <c r="V485" i="9"/>
  <c r="V486" i="9"/>
  <c r="V487" i="9"/>
  <c r="V488" i="9"/>
  <c r="V490" i="9"/>
  <c r="V491" i="9"/>
  <c r="V492" i="9"/>
  <c r="V494" i="9"/>
  <c r="V496" i="9"/>
  <c r="V498" i="9"/>
  <c r="V500" i="9"/>
  <c r="V503" i="9"/>
  <c r="V504" i="9"/>
  <c r="V505" i="9"/>
  <c r="V506" i="9"/>
  <c r="V507" i="9"/>
  <c r="V508" i="9"/>
  <c r="V509" i="9"/>
  <c r="V510" i="9"/>
  <c r="V511" i="9"/>
  <c r="V512" i="9"/>
  <c r="V514" i="9"/>
  <c r="V515" i="9"/>
  <c r="V516" i="9"/>
  <c r="V517" i="9"/>
  <c r="V518" i="9"/>
  <c r="V519" i="9"/>
  <c r="V520" i="9"/>
  <c r="V521" i="9"/>
  <c r="V522" i="9"/>
  <c r="V523" i="9"/>
  <c r="V524" i="9"/>
  <c r="V525" i="9"/>
  <c r="V526" i="9"/>
  <c r="V527" i="9"/>
  <c r="V528" i="9"/>
  <c r="V529" i="9"/>
  <c r="V530" i="9"/>
  <c r="V531" i="9"/>
  <c r="V533" i="9"/>
  <c r="V534" i="9"/>
  <c r="V535" i="9"/>
  <c r="V537" i="9"/>
  <c r="V539" i="9"/>
  <c r="V540" i="9"/>
  <c r="V541" i="9"/>
  <c r="V542" i="9"/>
  <c r="V543" i="9"/>
  <c r="V544" i="9"/>
  <c r="V545" i="9"/>
  <c r="V546" i="9"/>
  <c r="V547" i="9"/>
  <c r="V548" i="9"/>
  <c r="V549" i="9"/>
  <c r="V550" i="9"/>
  <c r="V551" i="9"/>
  <c r="V552" i="9"/>
  <c r="V554" i="9"/>
  <c r="V555" i="9"/>
  <c r="V556" i="9"/>
  <c r="V557" i="9"/>
  <c r="V558" i="9"/>
  <c r="V559" i="9"/>
  <c r="V560" i="9"/>
  <c r="V561" i="9"/>
  <c r="V562" i="9"/>
  <c r="V563" i="9"/>
  <c r="V565" i="9"/>
  <c r="V567" i="9"/>
  <c r="V568" i="9"/>
  <c r="V569" i="9"/>
  <c r="V570" i="9"/>
  <c r="V571" i="9"/>
  <c r="V572" i="9"/>
  <c r="V573" i="9"/>
  <c r="V574" i="9"/>
  <c r="V575" i="9"/>
  <c r="V576" i="9"/>
  <c r="V577" i="9"/>
  <c r="V578" i="9"/>
  <c r="V579" i="9"/>
  <c r="V580" i="9"/>
  <c r="V581" i="9"/>
  <c r="V582" i="9"/>
  <c r="V583" i="9"/>
  <c r="V584" i="9"/>
  <c r="V585" i="9"/>
  <c r="V586" i="9"/>
  <c r="V587" i="9"/>
  <c r="V588" i="9"/>
  <c r="V589" i="9"/>
  <c r="V590" i="9"/>
  <c r="V591" i="9"/>
  <c r="V592" i="9"/>
  <c r="V593" i="9"/>
  <c r="V595" i="9"/>
  <c r="V596" i="9"/>
  <c r="V597" i="9"/>
  <c r="V598" i="9"/>
  <c r="V599" i="9"/>
  <c r="V600" i="9"/>
  <c r="V601" i="9"/>
  <c r="V602" i="9"/>
  <c r="V603" i="9"/>
  <c r="V605" i="9"/>
  <c r="V606" i="9"/>
  <c r="V607" i="9"/>
  <c r="V608" i="9"/>
  <c r="V609" i="9"/>
  <c r="V610" i="9"/>
  <c r="V611" i="9"/>
  <c r="V612" i="9"/>
  <c r="V613" i="9"/>
  <c r="V614" i="9"/>
  <c r="V615" i="9"/>
  <c r="V616" i="9"/>
  <c r="V618" i="9"/>
  <c r="V619" i="9"/>
  <c r="V620" i="9"/>
  <c r="V621" i="9"/>
  <c r="V624" i="9"/>
  <c r="V625" i="9"/>
  <c r="V626" i="9"/>
  <c r="V627" i="9"/>
  <c r="V628" i="9"/>
  <c r="V629" i="9"/>
  <c r="V630" i="9"/>
  <c r="V631" i="9"/>
  <c r="V632" i="9"/>
  <c r="V633" i="9"/>
  <c r="V635" i="9"/>
  <c r="V636" i="9"/>
  <c r="V638" i="9"/>
  <c r="V639" i="9"/>
  <c r="V641" i="9"/>
  <c r="V642" i="9"/>
  <c r="V643" i="9"/>
  <c r="V645" i="9"/>
  <c r="V646" i="9"/>
  <c r="V647" i="9"/>
  <c r="V648" i="9"/>
  <c r="V649" i="9"/>
  <c r="V650" i="9"/>
  <c r="V651" i="9"/>
  <c r="V652" i="9"/>
  <c r="V653" i="9"/>
  <c r="V654" i="9"/>
  <c r="V655" i="9"/>
  <c r="V657" i="9"/>
  <c r="V658" i="9"/>
  <c r="V659" i="9"/>
  <c r="V660" i="9"/>
  <c r="V661" i="9"/>
  <c r="V662" i="9"/>
  <c r="V663" i="9"/>
  <c r="V664" i="9"/>
  <c r="V666" i="9"/>
  <c r="V667" i="9"/>
  <c r="V668" i="9"/>
  <c r="V669" i="9"/>
  <c r="V670" i="9"/>
  <c r="V671" i="9"/>
  <c r="V672" i="9"/>
  <c r="V673" i="9"/>
  <c r="V674" i="9"/>
  <c r="V675" i="9"/>
  <c r="V677" i="9"/>
  <c r="V678" i="9"/>
  <c r="V679" i="9"/>
  <c r="V680" i="9"/>
  <c r="V681" i="9"/>
  <c r="V682" i="9"/>
  <c r="V683" i="9"/>
  <c r="V684" i="9"/>
  <c r="V685" i="9"/>
  <c r="V687" i="9"/>
  <c r="V688" i="9"/>
  <c r="V689" i="9"/>
  <c r="V690" i="9"/>
  <c r="V692" i="9"/>
  <c r="V693" i="9"/>
  <c r="V694" i="9"/>
  <c r="V696" i="9"/>
  <c r="V697" i="9"/>
  <c r="V698" i="9"/>
  <c r="V699" i="9"/>
  <c r="V700" i="9"/>
  <c r="V701" i="9"/>
  <c r="V702" i="9"/>
  <c r="V703" i="9"/>
  <c r="V2" i="9"/>
  <c r="V705" i="10" l="1"/>
  <c r="V706" i="10"/>
  <c r="V604" i="10"/>
  <c r="V594" i="10"/>
  <c r="V387" i="10"/>
  <c r="V382" i="10"/>
  <c r="V380" i="10"/>
  <c r="V374" i="10"/>
  <c r="V331" i="10"/>
  <c r="V332" i="10"/>
  <c r="V333" i="10"/>
  <c r="V334" i="10"/>
  <c r="V335" i="10"/>
  <c r="V336" i="10"/>
  <c r="V337" i="10"/>
  <c r="V338" i="10"/>
  <c r="V339" i="10"/>
  <c r="V340" i="10"/>
  <c r="V221" i="10"/>
  <c r="V220" i="10"/>
  <c r="V17" i="10"/>
  <c r="V18" i="10"/>
  <c r="V19" i="10"/>
  <c r="V15" i="10"/>
  <c r="V704" i="10"/>
  <c r="V703" i="10"/>
  <c r="V702" i="10"/>
  <c r="V701" i="10"/>
  <c r="V700" i="10"/>
  <c r="V699" i="10"/>
  <c r="V698" i="10"/>
  <c r="V697" i="10"/>
  <c r="V696" i="10"/>
  <c r="V695" i="10"/>
  <c r="V694" i="10"/>
  <c r="V693" i="10"/>
  <c r="V692" i="10"/>
  <c r="V691" i="10"/>
  <c r="V690" i="10"/>
  <c r="V689" i="10"/>
  <c r="V688" i="10"/>
  <c r="V687" i="10"/>
  <c r="V686" i="10"/>
  <c r="V685" i="10"/>
  <c r="V684" i="10"/>
  <c r="V683" i="10"/>
  <c r="V682" i="10"/>
  <c r="V681" i="10"/>
  <c r="V680" i="10"/>
  <c r="V679" i="10"/>
  <c r="V678" i="10"/>
  <c r="V677" i="10"/>
  <c r="V676" i="10"/>
  <c r="V675" i="10"/>
  <c r="V674" i="10"/>
  <c r="V673" i="10"/>
  <c r="V672" i="10"/>
  <c r="V671" i="10"/>
  <c r="V670" i="10"/>
  <c r="V669" i="10"/>
  <c r="V668" i="10"/>
  <c r="V667" i="10"/>
  <c r="V666" i="10"/>
  <c r="V665" i="10"/>
  <c r="V664" i="10"/>
  <c r="V663" i="10"/>
  <c r="V662" i="10"/>
  <c r="V661" i="10"/>
  <c r="V660" i="10"/>
  <c r="V659" i="10"/>
  <c r="V658" i="10"/>
  <c r="V657" i="10"/>
  <c r="V656" i="10"/>
  <c r="V655" i="10"/>
  <c r="V654" i="10"/>
  <c r="V653" i="10"/>
  <c r="V652" i="10"/>
  <c r="V651" i="10"/>
  <c r="V650" i="10"/>
  <c r="V649" i="10"/>
  <c r="V648" i="10"/>
  <c r="V647" i="10"/>
  <c r="V646" i="10"/>
  <c r="V645" i="10"/>
  <c r="V644" i="10"/>
  <c r="V643" i="10"/>
  <c r="V642" i="10"/>
  <c r="V641" i="10"/>
  <c r="V640" i="10"/>
  <c r="V639" i="10"/>
  <c r="V638" i="10"/>
  <c r="V637" i="10"/>
  <c r="V636" i="10"/>
  <c r="V635" i="10"/>
  <c r="V634" i="10"/>
  <c r="V633" i="10"/>
  <c r="V632" i="10"/>
  <c r="V631" i="10"/>
  <c r="V630" i="10"/>
  <c r="V629" i="10"/>
  <c r="V628" i="10"/>
  <c r="V627" i="10"/>
  <c r="V626" i="10"/>
  <c r="V625" i="10"/>
  <c r="V624" i="10"/>
  <c r="V623" i="10"/>
  <c r="V622" i="10"/>
  <c r="V621" i="10"/>
  <c r="V620" i="10"/>
  <c r="V619" i="10"/>
  <c r="V618" i="10"/>
  <c r="V617" i="10"/>
  <c r="V616" i="10"/>
  <c r="V615" i="10"/>
  <c r="V614" i="10"/>
  <c r="V613" i="10"/>
  <c r="V612" i="10"/>
  <c r="V611" i="10"/>
  <c r="V610" i="10"/>
  <c r="V609" i="10"/>
  <c r="V608" i="10"/>
  <c r="V607" i="10"/>
  <c r="V606" i="10"/>
  <c r="V605" i="10"/>
  <c r="V603" i="10"/>
  <c r="V602" i="10"/>
  <c r="V601" i="10"/>
  <c r="V600" i="10"/>
  <c r="V599" i="10"/>
  <c r="V598" i="10"/>
  <c r="V597" i="10"/>
  <c r="V596" i="10"/>
  <c r="V595" i="10"/>
  <c r="V593" i="10"/>
  <c r="V592" i="10"/>
  <c r="V591" i="10"/>
  <c r="V590" i="10"/>
  <c r="V589" i="10"/>
  <c r="V588" i="10"/>
  <c r="V587" i="10"/>
  <c r="V586" i="10"/>
  <c r="V585" i="10"/>
  <c r="V584" i="10"/>
  <c r="V583" i="10"/>
  <c r="V582" i="10"/>
  <c r="V581" i="10"/>
  <c r="V580" i="10"/>
  <c r="V579" i="10"/>
  <c r="V578" i="10"/>
  <c r="V577" i="10"/>
  <c r="V576" i="10"/>
  <c r="V575" i="10"/>
  <c r="V574" i="10"/>
  <c r="V573" i="10"/>
  <c r="V572" i="10"/>
  <c r="V571" i="10"/>
  <c r="V570" i="10"/>
  <c r="V569" i="10"/>
  <c r="V568" i="10"/>
  <c r="V567" i="10"/>
  <c r="V566" i="10"/>
  <c r="V565" i="10"/>
  <c r="V564" i="10"/>
  <c r="V563" i="10"/>
  <c r="V562" i="10"/>
  <c r="V561" i="10"/>
  <c r="V560" i="10"/>
  <c r="V559" i="10"/>
  <c r="V558" i="10"/>
  <c r="V557" i="10"/>
  <c r="V556" i="10"/>
  <c r="V555" i="10"/>
  <c r="V554" i="10"/>
  <c r="V553" i="10"/>
  <c r="V552" i="10"/>
  <c r="V551" i="10"/>
  <c r="V550" i="10"/>
  <c r="V549" i="10"/>
  <c r="V548" i="10"/>
  <c r="V547" i="10"/>
  <c r="V546" i="10"/>
  <c r="V545" i="10"/>
  <c r="V544" i="10"/>
  <c r="V543" i="10"/>
  <c r="V542" i="10"/>
  <c r="V541" i="10"/>
  <c r="V540" i="10"/>
  <c r="V539" i="10"/>
  <c r="V538" i="10"/>
  <c r="V537" i="10"/>
  <c r="V536" i="10"/>
  <c r="V535" i="10"/>
  <c r="V534" i="10"/>
  <c r="V533" i="10"/>
  <c r="V532" i="10"/>
  <c r="V531" i="10"/>
  <c r="V530" i="10"/>
  <c r="V529" i="10"/>
  <c r="V528" i="10"/>
  <c r="V527" i="10"/>
  <c r="V526" i="10"/>
  <c r="V525" i="10"/>
  <c r="V524" i="10"/>
  <c r="V523" i="10"/>
  <c r="V522" i="10"/>
  <c r="V521" i="10"/>
  <c r="V520" i="10"/>
  <c r="V519" i="10"/>
  <c r="V518" i="10"/>
  <c r="V517" i="10"/>
  <c r="V516" i="10"/>
  <c r="V515" i="10"/>
  <c r="V514" i="10"/>
  <c r="V513" i="10"/>
  <c r="V512" i="10"/>
  <c r="V511" i="10"/>
  <c r="V510" i="10"/>
  <c r="V509" i="10"/>
  <c r="V508" i="10"/>
  <c r="V507" i="10"/>
  <c r="V506" i="10"/>
  <c r="V505" i="10"/>
  <c r="V504" i="10"/>
  <c r="V503" i="10"/>
  <c r="V502" i="10"/>
  <c r="V501" i="10"/>
  <c r="V500" i="10"/>
  <c r="V499" i="10"/>
  <c r="V498" i="10"/>
  <c r="V497" i="10"/>
  <c r="V496" i="10"/>
  <c r="V495" i="10"/>
  <c r="V494" i="10"/>
  <c r="V493" i="10"/>
  <c r="V492" i="10"/>
  <c r="V491" i="10"/>
  <c r="V490" i="10"/>
  <c r="V489" i="10"/>
  <c r="V488" i="10"/>
  <c r="V487" i="10"/>
  <c r="V486" i="10"/>
  <c r="V485" i="10"/>
  <c r="V484" i="10"/>
  <c r="V483" i="10"/>
  <c r="V482" i="10"/>
  <c r="V481" i="10"/>
  <c r="V480" i="10"/>
  <c r="V479" i="10"/>
  <c r="V478" i="10"/>
  <c r="V477" i="10"/>
  <c r="V476" i="10"/>
  <c r="V475" i="10"/>
  <c r="V474" i="10"/>
  <c r="V473" i="10"/>
  <c r="V472" i="10"/>
  <c r="V471" i="10"/>
  <c r="V470" i="10"/>
  <c r="V469" i="10"/>
  <c r="V468" i="10"/>
  <c r="V467" i="10"/>
  <c r="V466" i="10"/>
  <c r="V465" i="10"/>
  <c r="V464" i="10"/>
  <c r="V463" i="10"/>
  <c r="V462" i="10"/>
  <c r="V461" i="10"/>
  <c r="V460" i="10"/>
  <c r="V459" i="10"/>
  <c r="V458" i="10"/>
  <c r="V457" i="10"/>
  <c r="V456" i="10"/>
  <c r="V455" i="10"/>
  <c r="V454" i="10"/>
  <c r="V453" i="10"/>
  <c r="V452" i="10"/>
  <c r="V451" i="10"/>
  <c r="V450" i="10"/>
  <c r="V449" i="10"/>
  <c r="V448" i="10"/>
  <c r="V447" i="10"/>
  <c r="V446" i="10"/>
  <c r="V445" i="10"/>
  <c r="V444" i="10"/>
  <c r="V443" i="10"/>
  <c r="V442" i="10"/>
  <c r="V441" i="10"/>
  <c r="V440" i="10"/>
  <c r="V439" i="10"/>
  <c r="V438" i="10"/>
  <c r="V437" i="10"/>
  <c r="V436" i="10"/>
  <c r="V435" i="10"/>
  <c r="V434" i="10"/>
  <c r="V433" i="10"/>
  <c r="V432" i="10"/>
  <c r="V431" i="10"/>
  <c r="V430" i="10"/>
  <c r="V429" i="10"/>
  <c r="V428" i="10"/>
  <c r="V427" i="10"/>
  <c r="V426" i="10"/>
  <c r="V425" i="10"/>
  <c r="V424" i="10"/>
  <c r="V423" i="10"/>
  <c r="V422" i="10"/>
  <c r="V421" i="10"/>
  <c r="V420" i="10"/>
  <c r="V419" i="10"/>
  <c r="V418" i="10"/>
  <c r="V417" i="10"/>
  <c r="V416" i="10"/>
  <c r="V415" i="10"/>
  <c r="V414" i="10"/>
  <c r="V413" i="10"/>
  <c r="V412" i="10"/>
  <c r="V411" i="10"/>
  <c r="V410" i="10"/>
  <c r="V409" i="10"/>
  <c r="V408" i="10"/>
  <c r="V407" i="10"/>
  <c r="V406" i="10"/>
  <c r="V405" i="10"/>
  <c r="V404" i="10"/>
  <c r="V403" i="10"/>
  <c r="V402" i="10"/>
  <c r="V401" i="10"/>
  <c r="V400" i="10"/>
  <c r="V399" i="10"/>
  <c r="V398" i="10"/>
  <c r="V397" i="10"/>
  <c r="V396" i="10"/>
  <c r="V395" i="10"/>
  <c r="V394" i="10"/>
  <c r="V393" i="10"/>
  <c r="V392" i="10"/>
  <c r="V391" i="10"/>
  <c r="V390" i="10"/>
  <c r="V389" i="10"/>
  <c r="V388" i="10"/>
  <c r="V386" i="10"/>
  <c r="V385" i="10"/>
  <c r="V384" i="10"/>
  <c r="V383" i="10"/>
  <c r="V381" i="10"/>
  <c r="V379" i="10"/>
  <c r="V378" i="10"/>
  <c r="V377" i="10"/>
  <c r="V376" i="10"/>
  <c r="V375" i="10"/>
  <c r="V373" i="10"/>
  <c r="V372" i="10"/>
  <c r="V371" i="10"/>
  <c r="V370" i="10"/>
  <c r="V369" i="10"/>
  <c r="V368" i="10"/>
  <c r="V367" i="10"/>
  <c r="V366" i="10"/>
  <c r="V365" i="10"/>
  <c r="V364" i="10"/>
  <c r="V363" i="10"/>
  <c r="V362" i="10"/>
  <c r="V361" i="10"/>
  <c r="V360" i="10"/>
  <c r="V359" i="10"/>
  <c r="V358" i="10"/>
  <c r="V357" i="10"/>
  <c r="V356" i="10"/>
  <c r="V355" i="10"/>
  <c r="V354" i="10"/>
  <c r="V353" i="10"/>
  <c r="V352" i="10"/>
  <c r="V351" i="10"/>
  <c r="V350" i="10"/>
  <c r="V349" i="10"/>
  <c r="V348" i="10"/>
  <c r="V347" i="10"/>
  <c r="V346" i="10"/>
  <c r="V345" i="10"/>
  <c r="V344" i="10"/>
  <c r="V343" i="10"/>
  <c r="V342" i="10"/>
  <c r="V341" i="10"/>
  <c r="V330" i="10"/>
  <c r="V329" i="10"/>
  <c r="V328" i="10"/>
  <c r="V327" i="10"/>
  <c r="V326" i="10"/>
  <c r="V325" i="10"/>
  <c r="V324" i="10"/>
  <c r="V323" i="10"/>
  <c r="V322" i="10"/>
  <c r="V321" i="10"/>
  <c r="V320" i="10"/>
  <c r="V319" i="10"/>
  <c r="V318" i="10"/>
  <c r="V317" i="10"/>
  <c r="V316" i="10"/>
  <c r="V315" i="10"/>
  <c r="V314" i="10"/>
  <c r="V313" i="10"/>
  <c r="V312" i="10"/>
  <c r="V311" i="10"/>
  <c r="V310" i="10"/>
  <c r="V309" i="10"/>
  <c r="V308" i="10"/>
  <c r="V307" i="10"/>
  <c r="V306" i="10"/>
  <c r="V305" i="10"/>
  <c r="V304" i="10"/>
  <c r="V303" i="10"/>
  <c r="V302" i="10"/>
  <c r="V301" i="10"/>
  <c r="V300" i="10"/>
  <c r="V299" i="10"/>
  <c r="V298" i="10"/>
  <c r="V297" i="10"/>
  <c r="V296" i="10"/>
  <c r="V295" i="10"/>
  <c r="V294" i="10"/>
  <c r="V293" i="10"/>
  <c r="V292" i="10"/>
  <c r="V291" i="10"/>
  <c r="V290" i="10"/>
  <c r="V289" i="10"/>
  <c r="V288" i="10"/>
  <c r="V287" i="10"/>
  <c r="V286" i="10"/>
  <c r="V285" i="10"/>
  <c r="V284" i="10"/>
  <c r="V283" i="10"/>
  <c r="V282" i="10"/>
  <c r="V281" i="10"/>
  <c r="V280" i="10"/>
  <c r="V279" i="10"/>
  <c r="V278" i="10"/>
  <c r="V277" i="10"/>
  <c r="V276" i="10"/>
  <c r="V275" i="10"/>
  <c r="V274" i="10"/>
  <c r="V273" i="10"/>
  <c r="V272" i="10"/>
  <c r="V271" i="10"/>
  <c r="V270" i="10"/>
  <c r="V269" i="10"/>
  <c r="V268" i="10"/>
  <c r="V267" i="10"/>
  <c r="V266" i="10"/>
  <c r="V265" i="10"/>
  <c r="V264" i="10"/>
  <c r="V263" i="10"/>
  <c r="V262" i="10"/>
  <c r="V261" i="10"/>
  <c r="V260" i="10"/>
  <c r="V259" i="10"/>
  <c r="V258" i="10"/>
  <c r="V257" i="10"/>
  <c r="V256" i="10"/>
  <c r="V255" i="10"/>
  <c r="V254" i="10"/>
  <c r="V253" i="10"/>
  <c r="V252" i="10"/>
  <c r="V251" i="10"/>
  <c r="V250" i="10"/>
  <c r="V249" i="10"/>
  <c r="V248" i="10"/>
  <c r="V247" i="10"/>
  <c r="V246" i="10"/>
  <c r="V245" i="10"/>
  <c r="V244" i="10"/>
  <c r="V243" i="10"/>
  <c r="V242" i="10"/>
  <c r="V241" i="10"/>
  <c r="V240" i="10"/>
  <c r="V239" i="10"/>
  <c r="V238" i="10"/>
  <c r="V237" i="10"/>
  <c r="V236" i="10"/>
  <c r="V235" i="10"/>
  <c r="V234" i="10"/>
  <c r="V233" i="10"/>
  <c r="V232" i="10"/>
  <c r="V231" i="10"/>
  <c r="V230" i="10"/>
  <c r="V229" i="10"/>
  <c r="V228" i="10"/>
  <c r="V227" i="10"/>
  <c r="V226" i="10"/>
  <c r="V225" i="10"/>
  <c r="V224" i="10"/>
  <c r="V223" i="10"/>
  <c r="V222" i="10"/>
  <c r="V219" i="10"/>
  <c r="V218" i="10"/>
  <c r="V217" i="10"/>
  <c r="V216" i="10"/>
  <c r="V215" i="10"/>
  <c r="V214" i="10"/>
  <c r="V213" i="10"/>
  <c r="V212" i="10"/>
  <c r="V211" i="10"/>
  <c r="V210" i="10"/>
  <c r="V209" i="10"/>
  <c r="V208" i="10"/>
  <c r="V207" i="10"/>
  <c r="V206" i="10"/>
  <c r="V205" i="10"/>
  <c r="V204" i="10"/>
  <c r="V203" i="10"/>
  <c r="V202" i="10"/>
  <c r="V201" i="10"/>
  <c r="V200" i="10"/>
  <c r="V199" i="10"/>
  <c r="V198" i="10"/>
  <c r="V197" i="10"/>
  <c r="V196" i="10"/>
  <c r="V195" i="10"/>
  <c r="V194" i="10"/>
  <c r="V193" i="10"/>
  <c r="V192" i="10"/>
  <c r="V191" i="10"/>
  <c r="V190" i="10"/>
  <c r="V189" i="10"/>
  <c r="V188" i="10"/>
  <c r="V187" i="10"/>
  <c r="V186" i="10"/>
  <c r="V185" i="10"/>
  <c r="V184" i="10"/>
  <c r="V183" i="10"/>
  <c r="V182" i="10"/>
  <c r="V181" i="10"/>
  <c r="V180" i="10"/>
  <c r="V179" i="10"/>
  <c r="V178" i="10"/>
  <c r="V177" i="10"/>
  <c r="V176" i="10"/>
  <c r="V175" i="10"/>
  <c r="V174" i="10"/>
  <c r="V173" i="10"/>
  <c r="V172" i="10"/>
  <c r="V171" i="10"/>
  <c r="V170" i="10"/>
  <c r="V169" i="10"/>
  <c r="V168" i="10"/>
  <c r="V167" i="10"/>
  <c r="V166" i="10"/>
  <c r="V165" i="10"/>
  <c r="V164" i="10"/>
  <c r="V163" i="10"/>
  <c r="V162" i="10"/>
  <c r="V161" i="10"/>
  <c r="V160" i="10"/>
  <c r="V159" i="10"/>
  <c r="V158" i="10"/>
  <c r="V157" i="10"/>
  <c r="V156" i="10"/>
  <c r="V155" i="10"/>
  <c r="V154" i="10"/>
  <c r="V153" i="10"/>
  <c r="V152" i="10"/>
  <c r="V151" i="10"/>
  <c r="V150" i="10"/>
  <c r="V149" i="10"/>
  <c r="V148" i="10"/>
  <c r="V147" i="10"/>
  <c r="V146" i="10"/>
  <c r="V145" i="10"/>
  <c r="V144" i="10"/>
  <c r="V143" i="10"/>
  <c r="V142" i="10"/>
  <c r="V141" i="10"/>
  <c r="V140" i="10"/>
  <c r="V139" i="10"/>
  <c r="V138" i="10"/>
  <c r="V137" i="10"/>
  <c r="V136" i="10"/>
  <c r="V135" i="10"/>
  <c r="V134" i="10"/>
  <c r="V133" i="10"/>
  <c r="V132" i="10"/>
  <c r="V131" i="10"/>
  <c r="V130" i="10"/>
  <c r="V129" i="10"/>
  <c r="V128" i="10"/>
  <c r="V127" i="10"/>
  <c r="V126" i="10"/>
  <c r="V125" i="10"/>
  <c r="V124" i="10"/>
  <c r="V123" i="10"/>
  <c r="V122" i="10"/>
  <c r="V121" i="10"/>
  <c r="V120" i="10"/>
  <c r="V119" i="10"/>
  <c r="V118" i="10"/>
  <c r="V117" i="10"/>
  <c r="V116" i="10"/>
  <c r="V115" i="10"/>
  <c r="V114" i="10"/>
  <c r="V113" i="10"/>
  <c r="V112" i="10"/>
  <c r="V111" i="10"/>
  <c r="V110" i="10"/>
  <c r="V109" i="10"/>
  <c r="V108" i="10"/>
  <c r="V107" i="10"/>
  <c r="V106" i="10"/>
  <c r="V105" i="10"/>
  <c r="V104" i="10"/>
  <c r="V103" i="10"/>
  <c r="V102" i="10"/>
  <c r="V101" i="10"/>
  <c r="V100" i="10"/>
  <c r="V99" i="10"/>
  <c r="V98" i="10"/>
  <c r="V97" i="10"/>
  <c r="V96" i="10"/>
  <c r="V95" i="10"/>
  <c r="V94" i="10"/>
  <c r="V93" i="10"/>
  <c r="V92" i="10"/>
  <c r="V91" i="10"/>
  <c r="V90" i="10"/>
  <c r="V89" i="10"/>
  <c r="V88" i="10"/>
  <c r="V87" i="10"/>
  <c r="V86" i="10"/>
  <c r="V85" i="10"/>
  <c r="V84" i="10"/>
  <c r="V83" i="10"/>
  <c r="V82" i="10"/>
  <c r="V81" i="10"/>
  <c r="V80" i="10"/>
  <c r="V79" i="10"/>
  <c r="V78" i="10"/>
  <c r="V77" i="10"/>
  <c r="V76" i="10"/>
  <c r="V75" i="10"/>
  <c r="V74" i="10"/>
  <c r="V73" i="10"/>
  <c r="V72" i="10"/>
  <c r="V71" i="10"/>
  <c r="V70" i="10"/>
  <c r="V69" i="10"/>
  <c r="V68" i="10"/>
  <c r="V67" i="10"/>
  <c r="V66" i="10"/>
  <c r="V65" i="10"/>
  <c r="V64" i="10"/>
  <c r="V63" i="10"/>
  <c r="V62" i="10"/>
  <c r="V61" i="10"/>
  <c r="V60" i="10"/>
  <c r="V59" i="10"/>
  <c r="V58" i="10"/>
  <c r="V57" i="10"/>
  <c r="V56" i="10"/>
  <c r="V55" i="10"/>
  <c r="V54" i="10"/>
  <c r="V53" i="10"/>
  <c r="V52" i="10"/>
  <c r="V51" i="10"/>
  <c r="V50" i="10"/>
  <c r="V49" i="10"/>
  <c r="V48" i="10"/>
  <c r="V47" i="10"/>
  <c r="V46" i="10"/>
  <c r="V45" i="10"/>
  <c r="V44" i="10"/>
  <c r="V43" i="10"/>
  <c r="V42" i="10"/>
  <c r="V41" i="10"/>
  <c r="V40" i="10"/>
  <c r="V39" i="10"/>
  <c r="V38" i="10"/>
  <c r="V37" i="10"/>
  <c r="V36" i="10"/>
  <c r="V35" i="10"/>
  <c r="V34" i="10"/>
  <c r="V33" i="10"/>
  <c r="V32" i="10"/>
  <c r="V31" i="10"/>
  <c r="V30" i="10"/>
  <c r="V29" i="10"/>
  <c r="V28" i="10"/>
  <c r="V27" i="10"/>
  <c r="V26" i="10"/>
  <c r="V25" i="10"/>
  <c r="V24" i="10"/>
  <c r="V23" i="10"/>
  <c r="V22" i="10"/>
  <c r="V21" i="10"/>
  <c r="V20" i="10"/>
  <c r="V16" i="10"/>
  <c r="V13" i="10"/>
  <c r="V14" i="10"/>
  <c r="V12" i="10"/>
  <c r="V11" i="10"/>
  <c r="V10" i="10"/>
  <c r="V9" i="10"/>
  <c r="V8" i="10"/>
  <c r="V7" i="10"/>
  <c r="V6" i="10"/>
  <c r="V5" i="10"/>
  <c r="V4" i="10"/>
  <c r="V3" i="10"/>
  <c r="V2" i="10"/>
  <c r="D425" i="16"/>
  <c r="G269" i="12"/>
  <c r="F269" i="12"/>
  <c r="C269" i="12"/>
  <c r="F266" i="12"/>
  <c r="D133" i="12"/>
  <c r="C133" i="12"/>
  <c r="C701" i="12"/>
  <c r="D193" i="12"/>
  <c r="C193" i="12"/>
  <c r="D366" i="12"/>
  <c r="C366" i="12"/>
  <c r="D391" i="12"/>
  <c r="C391" i="12"/>
  <c r="C384" i="12"/>
  <c r="C42" i="12"/>
  <c r="D29" i="12"/>
  <c r="C29" i="12"/>
  <c r="G263" i="12"/>
  <c r="F263" i="12"/>
  <c r="C263" i="12"/>
  <c r="D41" i="12"/>
  <c r="C41" i="12"/>
  <c r="D25" i="12"/>
  <c r="C25" i="12"/>
  <c r="G299" i="12"/>
  <c r="C26" i="12"/>
  <c r="F305" i="12"/>
  <c r="C28" i="12"/>
  <c r="C35" i="12"/>
  <c r="C22" i="12"/>
  <c r="F298" i="12"/>
  <c r="C298" i="12"/>
  <c r="F296" i="12"/>
  <c r="C30" i="12"/>
  <c r="C330" i="12"/>
  <c r="C79" i="12"/>
  <c r="D75" i="12"/>
  <c r="C75" i="12"/>
  <c r="G328" i="12"/>
  <c r="F328" i="12"/>
  <c r="C328" i="12"/>
  <c r="F284" i="12"/>
  <c r="C284" i="12"/>
  <c r="C84" i="12"/>
  <c r="F327" i="12"/>
  <c r="C327" i="12"/>
  <c r="D76" i="12"/>
  <c r="C76" i="12"/>
  <c r="C70" i="12"/>
  <c r="D27" i="12"/>
  <c r="C27" i="12"/>
  <c r="C85" i="12"/>
  <c r="D77" i="12"/>
  <c r="C77" i="12"/>
  <c r="D80" i="12"/>
  <c r="C80" i="12"/>
  <c r="D74" i="12"/>
  <c r="C74" i="12"/>
  <c r="C111" i="12"/>
  <c r="C195" i="12"/>
  <c r="F243" i="12"/>
  <c r="C105" i="12"/>
  <c r="C145" i="12"/>
  <c r="D215" i="12"/>
  <c r="C215" i="12"/>
  <c r="C172" i="12"/>
  <c r="D367" i="12"/>
  <c r="C367" i="12"/>
  <c r="D191" i="12"/>
  <c r="C191" i="12"/>
  <c r="C168" i="12"/>
  <c r="D110" i="12"/>
  <c r="C110" i="12"/>
  <c r="D205" i="12"/>
  <c r="C205" i="12"/>
  <c r="C96" i="12"/>
  <c r="D118" i="12"/>
  <c r="C118" i="12"/>
  <c r="D364" i="12"/>
  <c r="C364" i="12"/>
  <c r="C361" i="12"/>
  <c r="C443" i="12"/>
  <c r="D383" i="12"/>
  <c r="C383" i="12"/>
  <c r="D365" i="12"/>
  <c r="C365" i="12"/>
  <c r="F289" i="12"/>
  <c r="C289" i="12"/>
  <c r="F268" i="12"/>
  <c r="D715" i="12"/>
  <c r="C715" i="12"/>
  <c r="D397" i="12"/>
  <c r="C397" i="12"/>
  <c r="C142" i="12"/>
  <c r="C429" i="12"/>
  <c r="C57" i="12"/>
  <c r="D119" i="12"/>
  <c r="C119" i="12"/>
  <c r="C136" i="12"/>
  <c r="F322" i="12"/>
  <c r="C322" i="12"/>
  <c r="D407" i="12"/>
  <c r="C407" i="12"/>
  <c r="D132" i="12"/>
  <c r="C132" i="12"/>
  <c r="C357" i="12"/>
  <c r="D388" i="12"/>
  <c r="C388" i="12"/>
  <c r="C109" i="12"/>
  <c r="C180" i="12"/>
  <c r="D409" i="12"/>
  <c r="C409" i="12"/>
  <c r="D408" i="12"/>
  <c r="C408" i="12"/>
  <c r="C412" i="12"/>
  <c r="D403" i="12"/>
  <c r="C403" i="12"/>
  <c r="D352" i="12"/>
  <c r="C352" i="12"/>
  <c r="F241" i="12"/>
  <c r="C201" i="12"/>
  <c r="C197" i="12"/>
  <c r="C218" i="12"/>
  <c r="D199" i="12"/>
  <c r="C199" i="12"/>
  <c r="C182" i="12"/>
  <c r="C87" i="12"/>
  <c r="C131" i="12"/>
  <c r="F297" i="12"/>
  <c r="C297" i="12"/>
  <c r="C431" i="12"/>
  <c r="C706" i="12"/>
  <c r="D373" i="12"/>
  <c r="C373" i="12"/>
  <c r="C169" i="12"/>
  <c r="C90" i="12"/>
  <c r="C216" i="12"/>
  <c r="C130" i="12"/>
  <c r="D390" i="12"/>
  <c r="C390" i="12"/>
  <c r="C708" i="12"/>
  <c r="C173" i="12"/>
  <c r="F259" i="12"/>
  <c r="D392" i="12"/>
  <c r="C392" i="12"/>
  <c r="N429" i="4"/>
  <c r="O360" i="4"/>
  <c r="N360" i="4"/>
  <c r="C372" i="4"/>
  <c r="D372" i="4"/>
  <c r="Q311" i="4"/>
  <c r="N311" i="4"/>
  <c r="Q320" i="4"/>
  <c r="N320" i="4"/>
  <c r="C177" i="11" l="1"/>
  <c r="D103" i="11"/>
  <c r="C103" i="11"/>
  <c r="D46" i="11"/>
  <c r="C46" i="11"/>
  <c r="C206" i="11"/>
  <c r="D161" i="4"/>
  <c r="C161" i="4"/>
  <c r="D436" i="4"/>
  <c r="C436" i="4"/>
  <c r="D356" i="4"/>
  <c r="C356" i="4"/>
  <c r="G311" i="4"/>
  <c r="F311" i="4"/>
  <c r="F259" i="4"/>
  <c r="C213" i="4"/>
  <c r="C49" i="4"/>
  <c r="C701" i="4"/>
  <c r="C391" i="4"/>
  <c r="D366" i="4"/>
  <c r="C366" i="4"/>
  <c r="G269" i="4"/>
  <c r="F269" i="4"/>
  <c r="D193" i="4"/>
  <c r="C193" i="4"/>
  <c r="C133" i="4"/>
  <c r="C48" i="8"/>
  <c r="C384" i="4"/>
  <c r="C180" i="4"/>
  <c r="C699" i="4"/>
  <c r="D355" i="4"/>
  <c r="C355" i="4"/>
  <c r="D440" i="4"/>
  <c r="C440" i="4"/>
  <c r="C433" i="4"/>
  <c r="D397" i="4"/>
  <c r="C397" i="4"/>
  <c r="D385" i="4"/>
  <c r="C385" i="4"/>
  <c r="F267" i="4"/>
  <c r="C267" i="4"/>
  <c r="C229" i="4"/>
  <c r="D186" i="4"/>
  <c r="C186" i="4"/>
  <c r="D210" i="4"/>
  <c r="C210" i="4"/>
  <c r="C189" i="4"/>
  <c r="D171" i="4"/>
  <c r="C171" i="4"/>
  <c r="D127" i="4"/>
  <c r="C127" i="4"/>
  <c r="C121" i="4"/>
  <c r="C52" i="4"/>
  <c r="D103" i="4"/>
  <c r="C103" i="4"/>
  <c r="D46" i="4"/>
  <c r="C46" i="4"/>
  <c r="C83" i="4" l="1"/>
  <c r="C379" i="4" l="1"/>
  <c r="C42" i="4" l="1"/>
  <c r="D29" i="4"/>
  <c r="C29" i="4"/>
  <c r="F255" i="4"/>
  <c r="C34" i="4"/>
  <c r="C26" i="4"/>
  <c r="C28" i="4"/>
  <c r="C35" i="4"/>
  <c r="F298" i="4"/>
  <c r="C298" i="4"/>
  <c r="F302" i="4"/>
  <c r="C39" i="4"/>
  <c r="C89" i="4"/>
  <c r="C330" i="4"/>
  <c r="C79" i="4"/>
  <c r="D71" i="4"/>
  <c r="C71" i="4"/>
  <c r="G328" i="4"/>
  <c r="F328" i="4"/>
  <c r="C328" i="4"/>
  <c r="D75" i="4"/>
  <c r="C75" i="4"/>
  <c r="F284" i="4"/>
  <c r="C284" i="4"/>
  <c r="C84" i="4"/>
  <c r="C88" i="4"/>
  <c r="D94" i="4"/>
  <c r="C94" i="4"/>
  <c r="F318" i="4"/>
  <c r="C318" i="4"/>
  <c r="C22" i="4"/>
  <c r="C425" i="13" l="1"/>
  <c r="D406" i="13"/>
  <c r="C406" i="13"/>
  <c r="D382" i="13"/>
  <c r="C382" i="13"/>
  <c r="G315" i="13"/>
  <c r="F309" i="13"/>
  <c r="G301" i="13"/>
  <c r="G282" i="13"/>
  <c r="G269" i="13"/>
  <c r="F269" i="13"/>
  <c r="F241" i="13"/>
  <c r="C227" i="13"/>
  <c r="H226" i="13"/>
  <c r="C205" i="13"/>
  <c r="D161" i="13"/>
  <c r="D93" i="13"/>
  <c r="D29" i="13"/>
  <c r="C701" i="11" l="1"/>
  <c r="D701" i="11"/>
  <c r="C269" i="11"/>
  <c r="D269" i="11"/>
  <c r="F269" i="11"/>
  <c r="G269" i="11"/>
  <c r="C133" i="11"/>
  <c r="D133" i="11"/>
  <c r="C269" i="8"/>
  <c r="D269" i="8"/>
  <c r="F269" i="8"/>
  <c r="G269" i="8"/>
  <c r="C109" i="8"/>
  <c r="D109" i="8"/>
  <c r="F321" i="7" l="1"/>
  <c r="C321" i="7"/>
  <c r="D707" i="7"/>
  <c r="C707" i="7"/>
  <c r="D423" i="7"/>
  <c r="C423" i="7"/>
  <c r="D418" i="7"/>
  <c r="C418" i="7"/>
  <c r="D206" i="7"/>
  <c r="C206" i="7"/>
  <c r="D163" i="7"/>
  <c r="C163" i="7"/>
  <c r="D150" i="7"/>
  <c r="C150" i="7"/>
  <c r="D149" i="7"/>
  <c r="C149" i="7"/>
  <c r="D137" i="7"/>
  <c r="C137" i="7"/>
  <c r="D104" i="7"/>
  <c r="C104" i="7"/>
  <c r="D166" i="7"/>
  <c r="C166" i="7"/>
  <c r="D425" i="7"/>
  <c r="C425" i="7"/>
  <c r="D406" i="7"/>
  <c r="C406" i="7"/>
  <c r="D370" i="7"/>
  <c r="C370" i="7"/>
  <c r="D369" i="7"/>
  <c r="C369" i="7"/>
  <c r="D220" i="7"/>
  <c r="C220" i="7"/>
  <c r="D194" i="7"/>
  <c r="C194" i="7"/>
  <c r="D167" i="7"/>
  <c r="C167" i="7"/>
  <c r="D106" i="7"/>
  <c r="C106" i="7"/>
  <c r="D102" i="7"/>
  <c r="C102" i="7"/>
  <c r="D50" i="7"/>
  <c r="C50" i="7"/>
  <c r="F250" i="7"/>
  <c r="C710" i="7"/>
  <c r="D422" i="7"/>
  <c r="C422" i="7"/>
  <c r="D398" i="7"/>
  <c r="C398" i="7"/>
  <c r="C377" i="7"/>
  <c r="D374" i="7"/>
  <c r="C374" i="7"/>
  <c r="D221" i="7"/>
  <c r="C221" i="7"/>
  <c r="D190" i="7"/>
  <c r="C190" i="7"/>
  <c r="C187" i="7"/>
  <c r="D155" i="7"/>
  <c r="C155" i="7"/>
  <c r="D148" i="7"/>
  <c r="C148" i="7"/>
  <c r="D43" i="7"/>
  <c r="C43" i="7"/>
  <c r="D36" i="7"/>
  <c r="C36" i="7"/>
  <c r="F241" i="7"/>
  <c r="D38" i="7"/>
  <c r="C38" i="7"/>
  <c r="C412" i="7"/>
  <c r="D409" i="7"/>
  <c r="C409" i="7"/>
  <c r="D408" i="7"/>
  <c r="C408" i="7"/>
  <c r="D403" i="7"/>
  <c r="C403" i="7"/>
  <c r="D352" i="7"/>
  <c r="C352" i="7"/>
  <c r="D218" i="7"/>
  <c r="C218" i="7"/>
  <c r="D201" i="7"/>
  <c r="C201" i="7"/>
  <c r="D199" i="7"/>
  <c r="C199" i="7"/>
  <c r="D197" i="7"/>
  <c r="C197" i="7"/>
  <c r="C182" i="7"/>
  <c r="C131" i="7"/>
  <c r="D87" i="7"/>
  <c r="C87" i="7"/>
  <c r="D359" i="7"/>
  <c r="C359" i="7"/>
  <c r="C165" i="7"/>
  <c r="C113" i="7"/>
  <c r="D93" i="7"/>
  <c r="C93" i="7"/>
  <c r="F293" i="7"/>
  <c r="C413" i="7"/>
  <c r="D401" i="7"/>
  <c r="C401" i="7"/>
  <c r="C233" i="7"/>
  <c r="C144" i="7"/>
  <c r="D78" i="7"/>
  <c r="C78" i="7"/>
  <c r="C72" i="7"/>
  <c r="F297" i="7"/>
  <c r="C297" i="7"/>
  <c r="C706" i="7"/>
  <c r="D431" i="7"/>
  <c r="C431" i="7"/>
  <c r="D373" i="7"/>
  <c r="C373" i="7"/>
  <c r="F257" i="7"/>
  <c r="C257" i="7"/>
  <c r="D381" i="7"/>
  <c r="C381" i="7"/>
  <c r="D208" i="7"/>
  <c r="C208" i="7"/>
  <c r="D158" i="7"/>
  <c r="C158" i="7"/>
  <c r="D128" i="7"/>
  <c r="C128" i="7"/>
  <c r="D91" i="7"/>
  <c r="C91" i="7"/>
  <c r="F308" i="7"/>
  <c r="C308" i="7"/>
  <c r="F243" i="7"/>
  <c r="D367" i="7"/>
  <c r="C367" i="7"/>
  <c r="D215" i="7"/>
  <c r="C215" i="7"/>
  <c r="C195" i="7"/>
  <c r="C172" i="7"/>
  <c r="C145" i="7"/>
  <c r="C111" i="7"/>
  <c r="C105" i="7"/>
  <c r="C24" i="7"/>
  <c r="F313" i="7"/>
  <c r="C313" i="7"/>
  <c r="C181" i="7"/>
  <c r="D141" i="7"/>
  <c r="C141" i="7"/>
  <c r="F270" i="7"/>
  <c r="C270" i="7"/>
  <c r="C500" i="7"/>
  <c r="D176" i="7"/>
  <c r="C176" i="7"/>
  <c r="F242" i="7"/>
  <c r="D414" i="7"/>
  <c r="C414" i="7"/>
  <c r="D198" i="7"/>
  <c r="C198" i="7"/>
  <c r="C139" i="7"/>
  <c r="F238" i="7"/>
  <c r="C238" i="7"/>
  <c r="G236" i="7"/>
  <c r="F236" i="7"/>
  <c r="D236" i="7"/>
  <c r="C236" i="7"/>
  <c r="G319" i="7"/>
  <c r="F319" i="7"/>
  <c r="C319" i="7"/>
  <c r="G306" i="7"/>
  <c r="F306" i="7"/>
  <c r="C306" i="7"/>
  <c r="D411" i="7"/>
  <c r="C411" i="7"/>
  <c r="C209" i="7"/>
  <c r="D122" i="7"/>
  <c r="C122" i="7"/>
  <c r="D69" i="7"/>
  <c r="C69" i="7"/>
  <c r="D65" i="7"/>
  <c r="C65" i="7"/>
  <c r="C55" i="7"/>
  <c r="F276" i="7"/>
  <c r="C32" i="7"/>
  <c r="F320" i="7"/>
  <c r="F253" i="7"/>
  <c r="C253" i="7"/>
  <c r="D430" i="7"/>
  <c r="C430" i="7"/>
  <c r="D424" i="7"/>
  <c r="C424" i="7"/>
  <c r="D415" i="7"/>
  <c r="C415" i="7"/>
  <c r="C192" i="7"/>
  <c r="C140" i="7"/>
  <c r="C125" i="7"/>
  <c r="C92" i="7"/>
  <c r="C73" i="7"/>
  <c r="F246" i="7"/>
  <c r="C246" i="7"/>
  <c r="D432" i="7"/>
  <c r="C432" i="7"/>
  <c r="C204" i="7"/>
  <c r="C164" i="7"/>
  <c r="D162" i="7"/>
  <c r="C162" i="7"/>
  <c r="C156" i="7"/>
  <c r="C48" i="7"/>
  <c r="G312" i="7"/>
  <c r="F312" i="7"/>
  <c r="C312" i="7"/>
  <c r="F251" i="7"/>
  <c r="F235" i="7"/>
  <c r="C709" i="7"/>
  <c r="D360" i="7"/>
  <c r="C360" i="7"/>
  <c r="D358" i="7"/>
  <c r="C358" i="7"/>
  <c r="C232" i="7"/>
  <c r="C211" i="7"/>
  <c r="D174" i="7"/>
  <c r="C174" i="7"/>
  <c r="D153" i="7"/>
  <c r="C153" i="7"/>
  <c r="D95" i="7"/>
  <c r="C95" i="7"/>
  <c r="H226" i="7"/>
  <c r="D203" i="7"/>
  <c r="C203" i="7"/>
  <c r="D138" i="7"/>
  <c r="C138" i="7"/>
  <c r="D98" i="7"/>
  <c r="C98" i="7"/>
  <c r="C45" i="7"/>
  <c r="F316" i="7"/>
  <c r="C316" i="7"/>
  <c r="F239" i="7"/>
  <c r="C239" i="7"/>
  <c r="C702" i="7"/>
  <c r="D437" i="7"/>
  <c r="C437" i="7"/>
  <c r="D410" i="7"/>
  <c r="C410" i="7"/>
  <c r="D380" i="7"/>
  <c r="C380" i="7"/>
  <c r="C375" i="7"/>
  <c r="D363" i="7"/>
  <c r="C363" i="7"/>
  <c r="C234" i="7"/>
  <c r="D179" i="7"/>
  <c r="C179" i="7"/>
  <c r="C178" i="7"/>
  <c r="C129" i="7"/>
  <c r="C115" i="7"/>
  <c r="C54" i="7"/>
  <c r="F252" i="7"/>
  <c r="D384" i="7"/>
  <c r="C384" i="7"/>
  <c r="D180" i="7"/>
  <c r="C180" i="7"/>
  <c r="F265" i="7"/>
  <c r="C265" i="7"/>
  <c r="D436" i="7"/>
  <c r="C436" i="7"/>
  <c r="G282" i="7"/>
  <c r="F282" i="7"/>
  <c r="C282" i="7"/>
  <c r="D417" i="7"/>
  <c r="C417" i="7"/>
  <c r="C212" i="7"/>
  <c r="C97" i="7"/>
  <c r="F325" i="7"/>
  <c r="G315" i="7"/>
  <c r="F315" i="7"/>
  <c r="C724" i="7"/>
  <c r="D394" i="7"/>
  <c r="C394" i="7"/>
  <c r="D354" i="7"/>
  <c r="C354" i="7"/>
  <c r="C175" i="7"/>
  <c r="C126" i="7"/>
  <c r="D123" i="7"/>
  <c r="C123" i="7"/>
  <c r="D100" i="7"/>
  <c r="C100" i="7"/>
  <c r="D68" i="7"/>
  <c r="C68" i="7"/>
  <c r="D63" i="7"/>
  <c r="C63" i="7"/>
  <c r="G323" i="7"/>
  <c r="F323" i="7"/>
  <c r="D421" i="7"/>
  <c r="C421" i="7"/>
  <c r="D399" i="7"/>
  <c r="C399" i="7"/>
  <c r="D372" i="7"/>
  <c r="C372" i="7"/>
  <c r="C230" i="7"/>
  <c r="D207" i="7"/>
  <c r="C207" i="7"/>
  <c r="D200" i="7"/>
  <c r="C200" i="7"/>
  <c r="D185" i="7"/>
  <c r="C185" i="7"/>
  <c r="D184" i="7"/>
  <c r="C184" i="7"/>
  <c r="D134" i="7"/>
  <c r="C134" i="7"/>
  <c r="D114" i="7"/>
  <c r="C114" i="7"/>
  <c r="D94" i="7"/>
  <c r="C94" i="7"/>
  <c r="C202" i="7"/>
  <c r="C717" i="7"/>
  <c r="D701" i="7"/>
  <c r="C701" i="7"/>
  <c r="C428" i="7"/>
  <c r="D219" i="7"/>
  <c r="C219" i="7"/>
  <c r="D133" i="7"/>
  <c r="C133" i="7"/>
  <c r="C99" i="7"/>
  <c r="C86" i="7"/>
  <c r="C81" i="7"/>
  <c r="F295" i="7"/>
  <c r="C295" i="7"/>
  <c r="G245" i="7"/>
  <c r="F245" i="7"/>
  <c r="C245" i="7"/>
  <c r="D703" i="7"/>
  <c r="C703" i="7"/>
  <c r="D356" i="7"/>
  <c r="C356" i="7"/>
  <c r="D231" i="7"/>
  <c r="D146" i="7"/>
  <c r="C146" i="7"/>
  <c r="D124" i="7"/>
  <c r="C124" i="7"/>
  <c r="D117" i="7"/>
  <c r="C117" i="7"/>
  <c r="D64" i="7"/>
  <c r="C64" i="7"/>
  <c r="D60" i="7"/>
  <c r="C60" i="7"/>
  <c r="D59" i="7"/>
  <c r="C59" i="7"/>
  <c r="F317" i="7"/>
  <c r="C317" i="7"/>
  <c r="G311" i="7"/>
  <c r="F311" i="7"/>
  <c r="C311" i="7"/>
  <c r="C350" i="7"/>
  <c r="D704" i="7"/>
  <c r="C704" i="7"/>
  <c r="D435" i="7"/>
  <c r="C435" i="7"/>
  <c r="G318" i="7"/>
  <c r="F318" i="7"/>
  <c r="C318" i="7"/>
  <c r="F310" i="7"/>
  <c r="D310" i="7"/>
  <c r="C310" i="7"/>
  <c r="G303" i="7"/>
  <c r="F303" i="7"/>
  <c r="C303" i="7"/>
  <c r="F254" i="7"/>
  <c r="C254" i="7"/>
  <c r="F237" i="7"/>
  <c r="D237" i="7"/>
  <c r="C237" i="7"/>
  <c r="D445" i="7"/>
  <c r="C445" i="7"/>
  <c r="D442" i="7"/>
  <c r="C442" i="7"/>
  <c r="D419" i="7"/>
  <c r="C419" i="7"/>
  <c r="C376" i="7"/>
  <c r="D196" i="7"/>
  <c r="C196" i="7"/>
  <c r="C188" i="7"/>
  <c r="D135" i="7"/>
  <c r="C135" i="7"/>
  <c r="D116" i="7"/>
  <c r="C116" i="7"/>
  <c r="D67" i="7"/>
  <c r="C67" i="7"/>
  <c r="D61" i="7"/>
  <c r="C61" i="7"/>
  <c r="D715" i="9"/>
  <c r="C715" i="9"/>
  <c r="C443" i="9"/>
  <c r="D383" i="9"/>
  <c r="C383" i="9"/>
  <c r="D365" i="9"/>
  <c r="C365" i="9"/>
  <c r="D364" i="9"/>
  <c r="C364" i="9"/>
  <c r="D361" i="9"/>
  <c r="C361" i="9"/>
  <c r="F289" i="9"/>
  <c r="C289" i="9"/>
  <c r="F268" i="9"/>
  <c r="D205" i="9"/>
  <c r="C205" i="9"/>
  <c r="D191" i="9"/>
  <c r="C191" i="9"/>
  <c r="C168" i="9"/>
  <c r="D118" i="9"/>
  <c r="C118" i="9"/>
  <c r="D110" i="9"/>
  <c r="C110" i="9"/>
  <c r="D96" i="9"/>
  <c r="C96" i="9"/>
  <c r="D708" i="9"/>
  <c r="C708" i="9"/>
  <c r="D392" i="9"/>
  <c r="C392" i="9"/>
  <c r="D390" i="9"/>
  <c r="C390" i="9"/>
  <c r="F259" i="9"/>
  <c r="D216" i="9"/>
  <c r="C216" i="9"/>
  <c r="D173" i="9"/>
  <c r="C173" i="9"/>
  <c r="C169" i="9"/>
  <c r="C130" i="9"/>
  <c r="D90" i="9"/>
  <c r="C90" i="9"/>
  <c r="C700" i="9"/>
  <c r="D389" i="9"/>
  <c r="C389" i="9"/>
  <c r="D382" i="9"/>
  <c r="C382" i="9"/>
  <c r="G314" i="9"/>
  <c r="F314" i="9"/>
  <c r="C314" i="9"/>
  <c r="G275" i="9"/>
  <c r="F275" i="9"/>
  <c r="D275" i="9"/>
  <c r="C275" i="9"/>
  <c r="F266" i="9"/>
  <c r="C217" i="9"/>
  <c r="C62" i="9"/>
  <c r="C58" i="9"/>
  <c r="D49" i="9"/>
  <c r="C49" i="9"/>
  <c r="D438" i="9"/>
  <c r="C438" i="9"/>
  <c r="D402" i="9"/>
  <c r="C402" i="9"/>
  <c r="D213" i="9"/>
  <c r="C213" i="9"/>
  <c r="C170" i="9"/>
  <c r="C160" i="9"/>
  <c r="G248" i="9"/>
  <c r="F248" i="9"/>
  <c r="D441" i="9"/>
  <c r="C441" i="9"/>
  <c r="C434" i="9"/>
  <c r="C120" i="9"/>
  <c r="C112" i="9"/>
  <c r="G244" i="9"/>
  <c r="F244" i="9"/>
  <c r="J725" i="9"/>
  <c r="J653" i="9"/>
  <c r="J513" i="9"/>
  <c r="J509" i="9"/>
  <c r="J391" i="9"/>
  <c r="J366" i="9"/>
  <c r="J362" i="9"/>
  <c r="J269" i="9"/>
  <c r="J193" i="9"/>
  <c r="J15" i="9"/>
  <c r="J7" i="9"/>
  <c r="G269" i="9"/>
  <c r="F269" i="9"/>
  <c r="D427" i="9"/>
  <c r="C427" i="9"/>
  <c r="D426" i="9"/>
  <c r="C426" i="9"/>
  <c r="D405" i="9"/>
  <c r="C405" i="9"/>
  <c r="D404" i="9"/>
  <c r="C404" i="9"/>
  <c r="D396" i="9"/>
  <c r="C396" i="9"/>
  <c r="D371" i="9"/>
  <c r="C371" i="9"/>
  <c r="D159" i="9"/>
  <c r="C159" i="9"/>
  <c r="D157" i="9"/>
  <c r="C157" i="9"/>
  <c r="D152" i="9"/>
  <c r="C152" i="9"/>
  <c r="D147" i="9"/>
  <c r="C147" i="9"/>
  <c r="D143" i="9"/>
  <c r="C143" i="9"/>
  <c r="D108" i="9"/>
  <c r="C108" i="9"/>
  <c r="D56" i="9"/>
  <c r="C56" i="9"/>
  <c r="D51" i="9"/>
  <c r="C51" i="9"/>
  <c r="D44" i="9"/>
  <c r="C44" i="9"/>
  <c r="G274" i="9"/>
  <c r="F274" i="9"/>
  <c r="D274" i="9"/>
  <c r="C274" i="9"/>
  <c r="D224" i="9"/>
  <c r="C224" i="9"/>
  <c r="D720" i="9"/>
  <c r="C720" i="9"/>
  <c r="D368" i="9"/>
  <c r="C368" i="9"/>
  <c r="D183" i="9"/>
  <c r="C183" i="9"/>
  <c r="C151" i="9"/>
  <c r="G291" i="9"/>
  <c r="F291" i="9"/>
  <c r="C291" i="9"/>
  <c r="C429" i="9"/>
  <c r="D407" i="9"/>
  <c r="C407" i="9"/>
  <c r="C388" i="9"/>
  <c r="D388" i="9"/>
  <c r="D357" i="9"/>
  <c r="C357" i="9"/>
  <c r="D142" i="9"/>
  <c r="C142" i="9"/>
  <c r="C136" i="9"/>
  <c r="D132" i="9"/>
  <c r="C132" i="9"/>
  <c r="D119" i="9"/>
  <c r="C119" i="9"/>
  <c r="C109" i="9"/>
  <c r="C57" i="9"/>
  <c r="F322" i="9"/>
  <c r="C322" i="9"/>
  <c r="D423" i="9"/>
  <c r="C423" i="9"/>
  <c r="D418" i="9"/>
  <c r="C418" i="9"/>
  <c r="D163" i="9"/>
  <c r="C163" i="9"/>
  <c r="D150" i="9"/>
  <c r="C150" i="9"/>
  <c r="D149" i="9"/>
  <c r="C149" i="9"/>
  <c r="D137" i="9"/>
  <c r="C137" i="9"/>
  <c r="D104" i="9"/>
  <c r="C104" i="9"/>
  <c r="F321" i="9"/>
  <c r="D707" i="9"/>
  <c r="C707" i="9"/>
  <c r="C444" i="9"/>
  <c r="D444" i="9"/>
  <c r="D166" i="9"/>
  <c r="C166" i="9"/>
  <c r="D154" i="9"/>
  <c r="C154" i="9"/>
  <c r="C107" i="9"/>
  <c r="C37" i="9"/>
  <c r="G240" i="9"/>
  <c r="F240" i="9"/>
  <c r="D240" i="9"/>
  <c r="C240" i="9"/>
  <c r="D227" i="9"/>
  <c r="C227" i="9"/>
  <c r="D425" i="9"/>
  <c r="C425" i="9"/>
  <c r="D406" i="9"/>
  <c r="C406" i="9"/>
  <c r="D370" i="9"/>
  <c r="C370" i="9"/>
  <c r="D369" i="9"/>
  <c r="C369" i="9"/>
  <c r="D220" i="9"/>
  <c r="C220" i="9"/>
  <c r="D194" i="9"/>
  <c r="C194" i="9"/>
  <c r="C167" i="9"/>
  <c r="D106" i="9"/>
  <c r="C106" i="9"/>
  <c r="D102" i="9"/>
  <c r="C102" i="9"/>
  <c r="D50" i="9"/>
  <c r="C50" i="9"/>
  <c r="D422" i="9"/>
  <c r="C422" i="9"/>
  <c r="D398" i="9"/>
  <c r="C398" i="9"/>
  <c r="C377" i="9"/>
  <c r="D374" i="9"/>
  <c r="C374" i="9"/>
  <c r="D221" i="9"/>
  <c r="C221" i="9"/>
  <c r="D190" i="9"/>
  <c r="C190" i="9"/>
  <c r="C187" i="9"/>
  <c r="D155" i="9"/>
  <c r="C155" i="9"/>
  <c r="D148" i="9"/>
  <c r="C148" i="9"/>
  <c r="D36" i="9"/>
  <c r="C36" i="9"/>
  <c r="F250" i="9"/>
  <c r="C710" i="9"/>
  <c r="C412" i="9"/>
  <c r="D409" i="9"/>
  <c r="C409" i="9"/>
  <c r="D408" i="9"/>
  <c r="C408" i="9"/>
  <c r="D403" i="9"/>
  <c r="C403" i="9"/>
  <c r="D352" i="9"/>
  <c r="C352" i="9"/>
  <c r="C38" i="9"/>
  <c r="D218" i="9"/>
  <c r="C218" i="9"/>
  <c r="D201" i="9"/>
  <c r="C201" i="9"/>
  <c r="D199" i="9"/>
  <c r="C199" i="9"/>
  <c r="D197" i="9"/>
  <c r="C197" i="9"/>
  <c r="D182" i="9"/>
  <c r="C182" i="9"/>
  <c r="C131" i="9"/>
  <c r="D87" i="9"/>
  <c r="C87" i="9"/>
  <c r="F241" i="9"/>
  <c r="C165" i="9"/>
  <c r="C113" i="9"/>
  <c r="D93" i="9"/>
  <c r="C93" i="9"/>
  <c r="C413" i="9"/>
  <c r="D401" i="9"/>
  <c r="C401" i="9"/>
  <c r="C144" i="9"/>
  <c r="D78" i="9"/>
  <c r="C78" i="9"/>
  <c r="C72" i="9"/>
  <c r="F293" i="9"/>
  <c r="C233" i="9"/>
  <c r="F270" i="9"/>
  <c r="C270" i="9"/>
  <c r="C176" i="9"/>
  <c r="D430" i="9"/>
  <c r="C430" i="9"/>
  <c r="D424" i="9"/>
  <c r="C424" i="9"/>
  <c r="D415" i="9"/>
  <c r="C415" i="9"/>
  <c r="C192" i="9"/>
  <c r="C140" i="9"/>
  <c r="C125" i="9"/>
  <c r="C92" i="9"/>
  <c r="C73" i="9"/>
  <c r="F320" i="9"/>
  <c r="D432" i="9"/>
  <c r="C432" i="9"/>
  <c r="C204" i="9"/>
  <c r="C164" i="9"/>
  <c r="D162" i="9"/>
  <c r="C162" i="9"/>
  <c r="C156" i="9"/>
  <c r="C48" i="9"/>
  <c r="F246" i="9"/>
  <c r="C246" i="9"/>
  <c r="D437" i="9"/>
  <c r="C437" i="9"/>
  <c r="D380" i="9"/>
  <c r="C380" i="9"/>
  <c r="D179" i="9"/>
  <c r="C179" i="9"/>
  <c r="C178" i="9"/>
  <c r="C363" i="9"/>
  <c r="F239" i="9"/>
  <c r="C239" i="9"/>
  <c r="C702" i="9"/>
  <c r="D381" i="9"/>
  <c r="C381" i="9"/>
  <c r="F257" i="9"/>
  <c r="C257" i="9"/>
  <c r="D208" i="9"/>
  <c r="C208" i="9"/>
  <c r="D158" i="9"/>
  <c r="C158" i="9"/>
  <c r="D128" i="9"/>
  <c r="C128" i="9"/>
  <c r="D91" i="9"/>
  <c r="C91" i="9"/>
  <c r="D414" i="9"/>
  <c r="C414" i="9"/>
  <c r="F242" i="9"/>
  <c r="C198" i="9"/>
  <c r="C139" i="9"/>
  <c r="D417" i="9"/>
  <c r="C417" i="9"/>
  <c r="F290" i="9"/>
  <c r="G282" i="9"/>
  <c r="F282" i="9"/>
  <c r="C282" i="9"/>
  <c r="C212" i="9"/>
  <c r="C97" i="9"/>
  <c r="D384" i="9"/>
  <c r="C384" i="9"/>
  <c r="F252" i="9"/>
  <c r="D180" i="9"/>
  <c r="C180" i="9"/>
  <c r="D436" i="9"/>
  <c r="C436" i="9"/>
  <c r="F265" i="9"/>
  <c r="C265" i="9"/>
  <c r="C724" i="9"/>
  <c r="D394" i="9"/>
  <c r="C394" i="9"/>
  <c r="D354" i="9"/>
  <c r="C354" i="9"/>
  <c r="F325" i="9"/>
  <c r="G315" i="9"/>
  <c r="F315" i="9"/>
  <c r="C175" i="9"/>
  <c r="D123" i="9"/>
  <c r="C123" i="9"/>
  <c r="D100" i="9"/>
  <c r="C100" i="9"/>
  <c r="D68" i="9"/>
  <c r="C68" i="9"/>
  <c r="D63" i="9"/>
  <c r="C63" i="9"/>
  <c r="C258" i="9"/>
  <c r="D31" i="9"/>
  <c r="C31" i="9"/>
  <c r="D29" i="9"/>
  <c r="C29" i="9"/>
  <c r="F255" i="9"/>
  <c r="C34" i="9"/>
  <c r="F260" i="9"/>
  <c r="D23" i="9"/>
  <c r="C23" i="9"/>
  <c r="G263" i="9"/>
  <c r="F263" i="9"/>
  <c r="C263" i="9"/>
  <c r="D41" i="9"/>
  <c r="C41" i="9"/>
  <c r="G299" i="9"/>
  <c r="D25" i="9"/>
  <c r="C25" i="9"/>
  <c r="C26" i="9"/>
  <c r="F305" i="9"/>
  <c r="D28" i="9"/>
  <c r="C28" i="9"/>
  <c r="C40" i="9"/>
  <c r="F304" i="9"/>
  <c r="D35" i="9"/>
  <c r="C35" i="9"/>
  <c r="F298" i="9"/>
  <c r="C298" i="9"/>
  <c r="C22" i="9"/>
  <c r="F296" i="9"/>
  <c r="C30" i="9"/>
  <c r="F302" i="9"/>
  <c r="C39" i="9"/>
  <c r="C33" i="9"/>
  <c r="F324" i="9"/>
  <c r="D82" i="9"/>
  <c r="C82" i="9"/>
  <c r="D89" i="9"/>
  <c r="C89" i="9"/>
  <c r="C330" i="9"/>
  <c r="D79" i="9"/>
  <c r="C79" i="9"/>
  <c r="D71" i="9"/>
  <c r="C71" i="9"/>
  <c r="G328" i="9"/>
  <c r="F328" i="9"/>
  <c r="C328" i="9"/>
  <c r="D75" i="9"/>
  <c r="C75" i="9"/>
  <c r="C66" i="9"/>
  <c r="F331" i="9"/>
  <c r="C53" i="9"/>
  <c r="F284" i="9"/>
  <c r="C284" i="9"/>
  <c r="C84" i="9"/>
  <c r="C88" i="9"/>
  <c r="G327" i="9"/>
  <c r="F327" i="9"/>
  <c r="C327" i="9"/>
  <c r="D76" i="9"/>
  <c r="C76" i="9"/>
  <c r="F287" i="9"/>
  <c r="C70" i="9"/>
  <c r="D27" i="9"/>
  <c r="C27" i="9"/>
  <c r="F285" i="9"/>
  <c r="C85" i="9"/>
  <c r="F281" i="9"/>
  <c r="C281" i="9"/>
  <c r="D77" i="9"/>
  <c r="C77" i="9"/>
  <c r="J77" i="9"/>
  <c r="J281" i="9"/>
  <c r="J658" i="9"/>
  <c r="D74" i="9"/>
  <c r="C74" i="9"/>
  <c r="D411" i="9"/>
  <c r="C411" i="9"/>
  <c r="G319" i="9"/>
  <c r="F319" i="9"/>
  <c r="C319" i="9"/>
  <c r="G306" i="9"/>
  <c r="F306" i="9"/>
  <c r="C306" i="9"/>
  <c r="C209" i="9"/>
  <c r="D122" i="9"/>
  <c r="C122" i="9"/>
  <c r="C69" i="9"/>
  <c r="D65" i="9"/>
  <c r="C65" i="9"/>
  <c r="C55" i="9"/>
  <c r="F238" i="9"/>
  <c r="C238" i="9"/>
  <c r="G236" i="9"/>
  <c r="F236" i="9"/>
  <c r="D236" i="9"/>
  <c r="C236" i="9"/>
  <c r="F313" i="9"/>
  <c r="C313" i="9"/>
  <c r="C181" i="9"/>
  <c r="D141" i="9"/>
  <c r="C141" i="9"/>
  <c r="D421" i="9"/>
  <c r="C421" i="9"/>
  <c r="D399" i="9"/>
  <c r="C399" i="9"/>
  <c r="D372" i="9"/>
  <c r="C372" i="9"/>
  <c r="G323" i="9"/>
  <c r="F323" i="9"/>
  <c r="C230" i="9"/>
  <c r="D207" i="9"/>
  <c r="C207" i="9"/>
  <c r="D200" i="9"/>
  <c r="C200" i="9"/>
  <c r="D185" i="9"/>
  <c r="C185" i="9"/>
  <c r="D184" i="9"/>
  <c r="C184" i="9"/>
  <c r="D134" i="9"/>
  <c r="C134" i="9"/>
  <c r="D114" i="9"/>
  <c r="C114" i="9"/>
  <c r="D94" i="9"/>
  <c r="C94" i="9"/>
  <c r="D367" i="9"/>
  <c r="C367" i="9"/>
  <c r="F308" i="9"/>
  <c r="F243" i="9"/>
  <c r="D215" i="9"/>
  <c r="C215" i="9"/>
  <c r="C195" i="9"/>
  <c r="C172" i="9"/>
  <c r="C145" i="9"/>
  <c r="C111" i="9"/>
  <c r="C105" i="9"/>
  <c r="C24" i="9"/>
  <c r="C717" i="9"/>
  <c r="D701" i="9"/>
  <c r="C701" i="9"/>
  <c r="C428" i="9"/>
  <c r="C219" i="9"/>
  <c r="D133" i="9"/>
  <c r="C133" i="9"/>
  <c r="C99" i="9"/>
  <c r="C86" i="9"/>
  <c r="C81" i="9"/>
  <c r="D703" i="9"/>
  <c r="C703" i="9"/>
  <c r="D356" i="9"/>
  <c r="C356" i="9"/>
  <c r="F295" i="9"/>
  <c r="C295" i="9"/>
  <c r="G245" i="9"/>
  <c r="F245" i="9"/>
  <c r="C245" i="9"/>
  <c r="D64" i="9"/>
  <c r="C64" i="9"/>
  <c r="D60" i="9"/>
  <c r="C60" i="9"/>
  <c r="D59" i="9"/>
  <c r="C59" i="9"/>
  <c r="D435" i="9"/>
  <c r="C435" i="9"/>
  <c r="F317" i="9"/>
  <c r="C317" i="9"/>
  <c r="G311" i="9"/>
  <c r="F311" i="9"/>
  <c r="C311" i="9"/>
  <c r="D445" i="9"/>
  <c r="C445" i="9"/>
  <c r="D442" i="9"/>
  <c r="C442" i="9"/>
  <c r="D419" i="9"/>
  <c r="C419" i="9"/>
  <c r="C376" i="9"/>
  <c r="F318" i="9"/>
  <c r="C318" i="9"/>
  <c r="F310" i="9"/>
  <c r="D310" i="9"/>
  <c r="C310" i="9"/>
  <c r="G303" i="9"/>
  <c r="F303" i="9"/>
  <c r="C303" i="9"/>
  <c r="F254" i="9"/>
  <c r="C254" i="9"/>
  <c r="G237" i="9"/>
  <c r="F237" i="9"/>
  <c r="C237" i="9"/>
  <c r="D196" i="9"/>
  <c r="C196" i="9"/>
  <c r="C188" i="9"/>
  <c r="D135" i="9"/>
  <c r="C135" i="9"/>
  <c r="D116" i="9"/>
  <c r="C116" i="9"/>
  <c r="D67" i="9"/>
  <c r="C67" i="9"/>
  <c r="D61" i="9"/>
  <c r="C61" i="9"/>
  <c r="C708" i="11"/>
  <c r="D392" i="11"/>
  <c r="C392" i="11"/>
  <c r="D390" i="11"/>
  <c r="C390" i="11"/>
  <c r="F259" i="11"/>
  <c r="C216" i="11"/>
  <c r="C173" i="11"/>
  <c r="C169" i="11"/>
  <c r="C130" i="11"/>
  <c r="D90" i="11"/>
  <c r="C90" i="11"/>
  <c r="D438" i="11"/>
  <c r="C438" i="11"/>
  <c r="C402" i="11"/>
  <c r="D213" i="11"/>
  <c r="C213" i="11"/>
  <c r="C170" i="11"/>
  <c r="C160" i="11"/>
  <c r="C441" i="11"/>
  <c r="C434" i="11"/>
  <c r="G244" i="11"/>
  <c r="F244" i="11"/>
  <c r="C120" i="11"/>
  <c r="C112" i="11"/>
  <c r="D720" i="11"/>
  <c r="C720" i="11"/>
  <c r="D427" i="11"/>
  <c r="C427" i="11"/>
  <c r="D426" i="11"/>
  <c r="C426" i="11"/>
  <c r="D405" i="11"/>
  <c r="C405" i="11"/>
  <c r="D404" i="11"/>
  <c r="C404" i="11"/>
  <c r="D396" i="11"/>
  <c r="C396" i="11"/>
  <c r="D371" i="11"/>
  <c r="C371" i="11"/>
  <c r="G274" i="11"/>
  <c r="F274" i="11"/>
  <c r="D274" i="11"/>
  <c r="C224" i="11"/>
  <c r="D159" i="11"/>
  <c r="C159" i="11"/>
  <c r="D157" i="11"/>
  <c r="C157" i="11"/>
  <c r="D152" i="11"/>
  <c r="C152" i="11"/>
  <c r="D147" i="11"/>
  <c r="C147" i="11"/>
  <c r="D143" i="11"/>
  <c r="C143" i="11"/>
  <c r="D108" i="11"/>
  <c r="C108" i="11"/>
  <c r="D56" i="11"/>
  <c r="C56" i="11"/>
  <c r="C51" i="11"/>
  <c r="C44" i="11"/>
  <c r="C699" i="11"/>
  <c r="D440" i="11"/>
  <c r="C440" i="11"/>
  <c r="C433" i="11"/>
  <c r="D397" i="11"/>
  <c r="C397" i="11"/>
  <c r="D385" i="11"/>
  <c r="C385" i="11"/>
  <c r="F267" i="11"/>
  <c r="C267" i="11"/>
  <c r="C229" i="11"/>
  <c r="C189" i="11"/>
  <c r="D186" i="11"/>
  <c r="C186" i="11"/>
  <c r="D171" i="11"/>
  <c r="C171" i="11"/>
  <c r="D161" i="11"/>
  <c r="C161" i="11"/>
  <c r="D127" i="11"/>
  <c r="C127" i="11"/>
  <c r="C121" i="11"/>
  <c r="C52" i="11"/>
  <c r="D368" i="11"/>
  <c r="C368" i="11"/>
  <c r="F291" i="11"/>
  <c r="C291" i="11"/>
  <c r="D183" i="11"/>
  <c r="C183" i="11"/>
  <c r="C151" i="11"/>
  <c r="D707" i="11"/>
  <c r="C707" i="11"/>
  <c r="D423" i="11"/>
  <c r="C423" i="11"/>
  <c r="D418" i="11"/>
  <c r="C418" i="11"/>
  <c r="F321" i="11"/>
  <c r="D206" i="11"/>
  <c r="D163" i="11"/>
  <c r="C163" i="11"/>
  <c r="D150" i="11"/>
  <c r="C150" i="11"/>
  <c r="D149" i="11"/>
  <c r="C149" i="11"/>
  <c r="C137" i="11"/>
  <c r="D104" i="11"/>
  <c r="C104" i="11"/>
  <c r="D444" i="11"/>
  <c r="C444" i="11"/>
  <c r="D227" i="11"/>
  <c r="C227" i="11"/>
  <c r="D166" i="11"/>
  <c r="C166" i="11"/>
  <c r="C154" i="11"/>
  <c r="C107" i="11"/>
  <c r="C37" i="11"/>
  <c r="D425" i="11"/>
  <c r="C425" i="11"/>
  <c r="D406" i="11"/>
  <c r="C406" i="11"/>
  <c r="D370" i="11"/>
  <c r="C370" i="11"/>
  <c r="D369" i="11"/>
  <c r="C369" i="11"/>
  <c r="D220" i="11"/>
  <c r="C220" i="11"/>
  <c r="C194" i="11"/>
  <c r="C167" i="11"/>
  <c r="C106" i="11"/>
  <c r="D102" i="11"/>
  <c r="C102" i="11"/>
  <c r="C50" i="11"/>
  <c r="C710" i="11"/>
  <c r="D422" i="11"/>
  <c r="C422" i="11"/>
  <c r="C377" i="11"/>
  <c r="D374" i="11"/>
  <c r="C374" i="11"/>
  <c r="C221" i="11"/>
  <c r="D190" i="11"/>
  <c r="C190" i="11"/>
  <c r="D155" i="11"/>
  <c r="C155" i="11"/>
  <c r="D148" i="11"/>
  <c r="C148" i="11"/>
  <c r="D36" i="11"/>
  <c r="C36" i="11"/>
  <c r="C38" i="11"/>
  <c r="D409" i="11"/>
  <c r="C409" i="11"/>
  <c r="D408" i="11"/>
  <c r="C408" i="11"/>
  <c r="F241" i="11"/>
  <c r="D218" i="11"/>
  <c r="C218" i="11"/>
  <c r="C201" i="11"/>
  <c r="C197" i="11"/>
  <c r="C131" i="11"/>
  <c r="C87" i="11"/>
  <c r="D359" i="11"/>
  <c r="C359" i="11"/>
  <c r="C165" i="11"/>
  <c r="C113" i="11"/>
  <c r="D93" i="11"/>
  <c r="C93" i="11"/>
  <c r="C413" i="11"/>
  <c r="D401" i="11"/>
  <c r="C401" i="11"/>
  <c r="F293" i="11"/>
  <c r="C233" i="11"/>
  <c r="C144" i="11"/>
  <c r="C78" i="11"/>
  <c r="C72" i="11"/>
  <c r="D432" i="11"/>
  <c r="C432" i="11"/>
  <c r="F246" i="11"/>
  <c r="C246" i="11"/>
  <c r="C204" i="11"/>
  <c r="C164" i="11"/>
  <c r="D162" i="11"/>
  <c r="C162" i="11"/>
  <c r="C156" i="11"/>
  <c r="C48" i="11"/>
  <c r="C702" i="11"/>
  <c r="D380" i="11"/>
  <c r="C380" i="11"/>
  <c r="F316" i="11"/>
  <c r="C316" i="11"/>
  <c r="C437" i="11"/>
  <c r="C363" i="11"/>
  <c r="C410" i="11"/>
  <c r="C375" i="11"/>
  <c r="D179" i="11"/>
  <c r="C179" i="11"/>
  <c r="C178" i="11"/>
  <c r="C129" i="11"/>
  <c r="C115" i="11"/>
  <c r="C54" i="11"/>
  <c r="C381" i="11"/>
  <c r="F257" i="11"/>
  <c r="C257" i="11"/>
  <c r="D208" i="11"/>
  <c r="C208" i="11"/>
  <c r="C158" i="11"/>
  <c r="C128" i="11"/>
  <c r="D91" i="11"/>
  <c r="C91" i="11"/>
  <c r="D414" i="11"/>
  <c r="C414" i="11"/>
  <c r="F242" i="11"/>
  <c r="C198" i="11"/>
  <c r="C139" i="11"/>
  <c r="D417" i="11"/>
  <c r="C417" i="11"/>
  <c r="F290" i="11"/>
  <c r="G282" i="11"/>
  <c r="F282" i="11"/>
  <c r="C282" i="11"/>
  <c r="C212" i="11"/>
  <c r="C97" i="11"/>
  <c r="C384" i="11"/>
  <c r="F252" i="11"/>
  <c r="D180" i="11"/>
  <c r="C180" i="11"/>
  <c r="C717" i="11"/>
  <c r="C428" i="11"/>
  <c r="C219" i="11"/>
  <c r="C99" i="11"/>
  <c r="C86" i="11"/>
  <c r="C81" i="11"/>
  <c r="C708" i="10"/>
  <c r="D392" i="10"/>
  <c r="C392" i="10"/>
  <c r="D390" i="10"/>
  <c r="C390" i="10"/>
  <c r="F259" i="10"/>
  <c r="D216" i="10"/>
  <c r="C216" i="10"/>
  <c r="D173" i="10"/>
  <c r="C173" i="10"/>
  <c r="C169" i="10"/>
  <c r="C130" i="10"/>
  <c r="D90" i="10"/>
  <c r="C90" i="10"/>
  <c r="C700" i="10"/>
  <c r="D389" i="10"/>
  <c r="C389" i="10"/>
  <c r="D382" i="10"/>
  <c r="C382" i="10"/>
  <c r="G314" i="10"/>
  <c r="F314" i="10"/>
  <c r="C314" i="10"/>
  <c r="G275" i="10"/>
  <c r="F275" i="10"/>
  <c r="D275" i="10"/>
  <c r="C275" i="10"/>
  <c r="F266" i="10"/>
  <c r="C217" i="10"/>
  <c r="C62" i="10"/>
  <c r="C58" i="10"/>
  <c r="D49" i="10"/>
  <c r="C49" i="10"/>
  <c r="D438" i="10"/>
  <c r="C438" i="10"/>
  <c r="D402" i="10"/>
  <c r="C402" i="10"/>
  <c r="D213" i="10"/>
  <c r="C213" i="10"/>
  <c r="C170" i="10"/>
  <c r="C160" i="10"/>
  <c r="D391" i="10"/>
  <c r="C391" i="10"/>
  <c r="D366" i="10"/>
  <c r="C366" i="10"/>
  <c r="D362" i="10"/>
  <c r="C362" i="10"/>
  <c r="D193" i="10"/>
  <c r="C193" i="10"/>
  <c r="F269" i="10"/>
  <c r="G269" i="10"/>
  <c r="C269" i="10"/>
  <c r="J725" i="10"/>
  <c r="J714" i="10"/>
  <c r="J653" i="10"/>
  <c r="J513" i="10"/>
  <c r="J509" i="10"/>
  <c r="J391" i="10"/>
  <c r="J366" i="10"/>
  <c r="J362" i="10"/>
  <c r="J269" i="10"/>
  <c r="J193" i="10"/>
  <c r="J15" i="10"/>
  <c r="J7" i="10"/>
  <c r="J3" i="10"/>
  <c r="D427" i="10"/>
  <c r="C427" i="10"/>
  <c r="D426" i="10"/>
  <c r="C426" i="10"/>
  <c r="D405" i="10"/>
  <c r="C405" i="10"/>
  <c r="D404" i="10"/>
  <c r="C404" i="10"/>
  <c r="D396" i="10"/>
  <c r="C396" i="10"/>
  <c r="D371" i="10"/>
  <c r="C371" i="10"/>
  <c r="D159" i="10"/>
  <c r="C159" i="10"/>
  <c r="D157" i="10"/>
  <c r="C157" i="10"/>
  <c r="D152" i="10"/>
  <c r="C152" i="10"/>
  <c r="D147" i="10"/>
  <c r="C147" i="10"/>
  <c r="D143" i="10"/>
  <c r="C143" i="10"/>
  <c r="D108" i="10"/>
  <c r="C108" i="10"/>
  <c r="D56" i="10"/>
  <c r="C56" i="10"/>
  <c r="C51" i="10"/>
  <c r="D44" i="10"/>
  <c r="C44" i="10"/>
  <c r="G274" i="10"/>
  <c r="F274" i="10"/>
  <c r="D274" i="10"/>
  <c r="C274" i="10"/>
  <c r="C224" i="10"/>
  <c r="D720" i="10"/>
  <c r="C720" i="10"/>
  <c r="D440" i="10"/>
  <c r="C440" i="10"/>
  <c r="D397" i="10"/>
  <c r="C397" i="10"/>
  <c r="D385" i="10"/>
  <c r="C385" i="10"/>
  <c r="D355" i="10"/>
  <c r="C355" i="10"/>
  <c r="C189" i="10"/>
  <c r="D171" i="10"/>
  <c r="C171" i="10"/>
  <c r="D161" i="10"/>
  <c r="C161" i="10"/>
  <c r="D127" i="10"/>
  <c r="C127" i="10"/>
  <c r="C121" i="10"/>
  <c r="C433" i="10"/>
  <c r="D210" i="10"/>
  <c r="C210" i="10"/>
  <c r="F288" i="10"/>
  <c r="F267" i="10"/>
  <c r="C267" i="10"/>
  <c r="C699" i="10"/>
  <c r="D368" i="10"/>
  <c r="C368" i="10"/>
  <c r="D183" i="10"/>
  <c r="C183" i="10"/>
  <c r="C151" i="10"/>
  <c r="F291" i="10"/>
  <c r="C291" i="10"/>
  <c r="J565" i="10"/>
  <c r="J562" i="10"/>
  <c r="J664" i="10"/>
  <c r="J576" i="10"/>
  <c r="D423" i="10"/>
  <c r="C423" i="10"/>
  <c r="D418" i="10"/>
  <c r="C418" i="10"/>
  <c r="D206" i="10"/>
  <c r="C206" i="10"/>
  <c r="D163" i="10"/>
  <c r="C163" i="10"/>
  <c r="D150" i="10"/>
  <c r="C150" i="10"/>
  <c r="D149" i="10"/>
  <c r="C149" i="10"/>
  <c r="D137" i="10"/>
  <c r="C137" i="10"/>
  <c r="D104" i="10"/>
  <c r="C104" i="10"/>
  <c r="D707" i="10"/>
  <c r="C707" i="10"/>
  <c r="D444" i="10"/>
  <c r="C444" i="10"/>
  <c r="D166" i="10"/>
  <c r="C166" i="10"/>
  <c r="C154" i="10"/>
  <c r="C107" i="10"/>
  <c r="C37" i="10"/>
  <c r="F240" i="10"/>
  <c r="D240" i="10"/>
  <c r="C240" i="10"/>
  <c r="D227" i="10"/>
  <c r="C227" i="10"/>
  <c r="D425" i="10"/>
  <c r="C425" i="10"/>
  <c r="D406" i="10"/>
  <c r="C406" i="10"/>
  <c r="D370" i="10"/>
  <c r="C370" i="10"/>
  <c r="D369" i="10"/>
  <c r="C369" i="10"/>
  <c r="D220" i="10"/>
  <c r="C220" i="10"/>
  <c r="D194" i="10"/>
  <c r="C194" i="10"/>
  <c r="C167" i="10"/>
  <c r="C106" i="10"/>
  <c r="D102" i="10"/>
  <c r="C102" i="10"/>
  <c r="D50" i="10"/>
  <c r="C50" i="10"/>
  <c r="D422" i="10"/>
  <c r="C422" i="10"/>
  <c r="D420" i="10"/>
  <c r="C420" i="10"/>
  <c r="D398" i="10"/>
  <c r="C398" i="10"/>
  <c r="C377" i="10"/>
  <c r="D374" i="10"/>
  <c r="C374" i="10"/>
  <c r="D221" i="10"/>
  <c r="C221" i="10"/>
  <c r="D190" i="10"/>
  <c r="C190" i="10"/>
  <c r="C187" i="10"/>
  <c r="D155" i="10"/>
  <c r="C155" i="10"/>
  <c r="D148" i="10"/>
  <c r="C148" i="10"/>
  <c r="C43" i="10"/>
  <c r="D36" i="10"/>
  <c r="C36" i="10"/>
  <c r="F250" i="10"/>
  <c r="C710" i="10"/>
  <c r="C101" i="10"/>
  <c r="D359" i="10"/>
  <c r="C359" i="10"/>
  <c r="C165" i="10"/>
  <c r="C113" i="10"/>
  <c r="D93" i="10"/>
  <c r="C93" i="10"/>
  <c r="C413" i="10"/>
  <c r="D401" i="10"/>
  <c r="C401" i="10"/>
  <c r="C144" i="10"/>
  <c r="D78" i="10"/>
  <c r="C78" i="10"/>
  <c r="C72" i="10"/>
  <c r="F293" i="10"/>
  <c r="C233" i="10"/>
  <c r="D431" i="10"/>
  <c r="C431" i="10"/>
  <c r="D373" i="10"/>
  <c r="C373" i="10"/>
  <c r="F297" i="10"/>
  <c r="C297" i="10"/>
  <c r="C706" i="10"/>
  <c r="F270" i="10"/>
  <c r="C270" i="10"/>
  <c r="C176" i="10"/>
  <c r="J500" i="10"/>
  <c r="J270" i="10"/>
  <c r="J176" i="10"/>
  <c r="D430" i="10"/>
  <c r="C430" i="10"/>
  <c r="D424" i="10"/>
  <c r="C424" i="10"/>
  <c r="D415" i="10"/>
  <c r="C415" i="10"/>
  <c r="C192" i="10"/>
  <c r="C140" i="10"/>
  <c r="C125" i="10"/>
  <c r="C92" i="10"/>
  <c r="C73" i="10"/>
  <c r="F320" i="10"/>
  <c r="D432" i="10"/>
  <c r="C432" i="10"/>
  <c r="C204" i="10"/>
  <c r="C164" i="10"/>
  <c r="D162" i="10"/>
  <c r="C162" i="10"/>
  <c r="C156" i="10"/>
  <c r="C48" i="10"/>
  <c r="F246" i="10"/>
  <c r="C246" i="10"/>
  <c r="D360" i="10"/>
  <c r="C360" i="10"/>
  <c r="D358" i="10"/>
  <c r="C358" i="10"/>
  <c r="C211" i="10"/>
  <c r="D174" i="10"/>
  <c r="C174" i="10"/>
  <c r="D153" i="10"/>
  <c r="C153" i="10"/>
  <c r="D95" i="10"/>
  <c r="C95" i="10"/>
  <c r="G312" i="10"/>
  <c r="F312" i="10"/>
  <c r="C312" i="10"/>
  <c r="F251" i="10"/>
  <c r="F235" i="10"/>
  <c r="C232" i="10"/>
  <c r="C709" i="10"/>
  <c r="D179" i="10"/>
  <c r="C179" i="10"/>
  <c r="C178" i="10"/>
  <c r="C363" i="10"/>
  <c r="F239" i="10"/>
  <c r="C702" i="10"/>
  <c r="F257" i="10"/>
  <c r="C257" i="10"/>
  <c r="D208" i="10"/>
  <c r="C208" i="10"/>
  <c r="C158" i="10"/>
  <c r="D128" i="10"/>
  <c r="C128" i="10"/>
  <c r="D91" i="10"/>
  <c r="C91" i="10"/>
  <c r="D414" i="10"/>
  <c r="C414" i="10"/>
  <c r="F242" i="10"/>
  <c r="C198" i="10"/>
  <c r="C139" i="10"/>
  <c r="D417" i="10"/>
  <c r="C417" i="10"/>
  <c r="F290" i="10"/>
  <c r="G282" i="10"/>
  <c r="F282" i="10"/>
  <c r="C282" i="10"/>
  <c r="C212" i="10"/>
  <c r="C97" i="10"/>
  <c r="J417" i="10"/>
  <c r="J290" i="10"/>
  <c r="J282" i="10"/>
  <c r="J212" i="10"/>
  <c r="J97" i="10"/>
  <c r="J686" i="10"/>
  <c r="D384" i="10"/>
  <c r="C384" i="10"/>
  <c r="F252" i="10"/>
  <c r="D180" i="10"/>
  <c r="C180" i="10"/>
  <c r="D436" i="10"/>
  <c r="C436" i="10"/>
  <c r="C265" i="10"/>
  <c r="D421" i="10"/>
  <c r="C421" i="10"/>
  <c r="D399" i="10"/>
  <c r="C399" i="10"/>
  <c r="D372" i="10"/>
  <c r="C372" i="10"/>
  <c r="G323" i="10"/>
  <c r="F323" i="10"/>
  <c r="C230" i="10"/>
  <c r="D207" i="10"/>
  <c r="C207" i="10"/>
  <c r="D200" i="10"/>
  <c r="C200" i="10"/>
  <c r="D185" i="10"/>
  <c r="C185" i="10"/>
  <c r="D184" i="10"/>
  <c r="C184" i="10"/>
  <c r="D134" i="10"/>
  <c r="C134" i="10"/>
  <c r="D114" i="10"/>
  <c r="C114" i="10"/>
  <c r="D94" i="10"/>
  <c r="C94" i="10"/>
  <c r="D367" i="10"/>
  <c r="C367" i="10"/>
  <c r="F308" i="10"/>
  <c r="F243" i="10"/>
  <c r="D215" i="10"/>
  <c r="C215" i="10"/>
  <c r="C195" i="10"/>
  <c r="C172" i="10"/>
  <c r="C145" i="10"/>
  <c r="C111" i="10"/>
  <c r="C105" i="10"/>
  <c r="C24" i="10"/>
  <c r="C717" i="10"/>
  <c r="D701" i="10"/>
  <c r="C701" i="10"/>
  <c r="C428" i="10"/>
  <c r="C219" i="10"/>
  <c r="D133" i="10"/>
  <c r="C133" i="10"/>
  <c r="C99" i="10"/>
  <c r="C86" i="10"/>
  <c r="C81" i="10"/>
  <c r="D191" i="8"/>
  <c r="C191" i="8"/>
  <c r="C168" i="8"/>
  <c r="D110" i="8"/>
  <c r="C110" i="8"/>
  <c r="D205" i="8"/>
  <c r="C205" i="8"/>
  <c r="D96" i="8"/>
  <c r="C96" i="8"/>
  <c r="D118" i="8"/>
  <c r="C118" i="8"/>
  <c r="D364" i="8"/>
  <c r="C364" i="8"/>
  <c r="D361" i="8"/>
  <c r="C361" i="8"/>
  <c r="C443" i="8"/>
  <c r="D383" i="8"/>
  <c r="C383" i="8"/>
  <c r="D365" i="8"/>
  <c r="C365" i="8"/>
  <c r="F289" i="8"/>
  <c r="C289" i="8"/>
  <c r="C169" i="8"/>
  <c r="D90" i="8"/>
  <c r="C90" i="8"/>
  <c r="D392" i="8"/>
  <c r="C392" i="8"/>
  <c r="C130" i="8"/>
  <c r="D216" i="8"/>
  <c r="C216" i="8"/>
  <c r="D173" i="8"/>
  <c r="C173" i="8"/>
  <c r="F259" i="8"/>
  <c r="D708" i="8"/>
  <c r="C708" i="8"/>
  <c r="D390" i="8"/>
  <c r="C390" i="8"/>
  <c r="D700" i="8"/>
  <c r="C700" i="8"/>
  <c r="D49" i="8"/>
  <c r="C49" i="8"/>
  <c r="C58" i="8"/>
  <c r="F266" i="8"/>
  <c r="G275" i="8"/>
  <c r="F275" i="8"/>
  <c r="D275" i="8"/>
  <c r="C275" i="8"/>
  <c r="D382" i="8"/>
  <c r="C382" i="8"/>
  <c r="C217" i="8"/>
  <c r="G314" i="8"/>
  <c r="F314" i="8"/>
  <c r="C314" i="8"/>
  <c r="D389" i="8"/>
  <c r="C389" i="8"/>
  <c r="C62" i="8"/>
  <c r="C170" i="8"/>
  <c r="D402" i="8"/>
  <c r="C402" i="8"/>
  <c r="D213" i="8"/>
  <c r="C213" i="8"/>
  <c r="D438" i="8"/>
  <c r="C438" i="8"/>
  <c r="C160" i="8"/>
  <c r="G248" i="8"/>
  <c r="F248" i="8"/>
  <c r="G244" i="8"/>
  <c r="F244" i="8"/>
  <c r="C120" i="8"/>
  <c r="C112" i="8"/>
  <c r="D441" i="8"/>
  <c r="C441" i="8"/>
  <c r="C434" i="8"/>
  <c r="C366" i="8"/>
  <c r="D391" i="8"/>
  <c r="C391" i="8"/>
  <c r="C193" i="8"/>
  <c r="D44" i="8"/>
  <c r="C44" i="8"/>
  <c r="D46" i="8"/>
  <c r="C46" i="8"/>
  <c r="D56" i="8"/>
  <c r="C56" i="8"/>
  <c r="D143" i="8"/>
  <c r="C143" i="8"/>
  <c r="D396" i="8"/>
  <c r="C396" i="8"/>
  <c r="D371" i="8"/>
  <c r="C371" i="8"/>
  <c r="D427" i="8"/>
  <c r="C427" i="8"/>
  <c r="D108" i="8"/>
  <c r="C108" i="8"/>
  <c r="D147" i="8"/>
  <c r="C147" i="8"/>
  <c r="G274" i="8"/>
  <c r="F274" i="8"/>
  <c r="D274" i="8"/>
  <c r="C274" i="8"/>
  <c r="D159" i="8"/>
  <c r="C159" i="8"/>
  <c r="D157" i="8"/>
  <c r="C157" i="8"/>
  <c r="D405" i="8"/>
  <c r="C405" i="8"/>
  <c r="D152" i="8"/>
  <c r="C152" i="8"/>
  <c r="D426" i="8"/>
  <c r="C426" i="8"/>
  <c r="D51" i="8"/>
  <c r="C51" i="8"/>
  <c r="D720" i="8"/>
  <c r="C720" i="8"/>
  <c r="D404" i="8"/>
  <c r="C404" i="8"/>
  <c r="D224" i="8"/>
  <c r="C224" i="8"/>
  <c r="C121" i="8"/>
  <c r="D189" i="8"/>
  <c r="C189" i="8"/>
  <c r="C52" i="8"/>
  <c r="D355" i="8"/>
  <c r="C355" i="8"/>
  <c r="D186" i="8"/>
  <c r="C186" i="8"/>
  <c r="F267" i="8"/>
  <c r="C267" i="8"/>
  <c r="D440" i="8"/>
  <c r="C440" i="8"/>
  <c r="D171" i="8"/>
  <c r="C171" i="8"/>
  <c r="D433" i="8"/>
  <c r="C433" i="8"/>
  <c r="C699" i="8"/>
  <c r="C229" i="8"/>
  <c r="D385" i="8"/>
  <c r="C385" i="8"/>
  <c r="D397" i="8"/>
  <c r="C397" i="8"/>
  <c r="D127" i="8"/>
  <c r="C127" i="8"/>
  <c r="D210" i="8"/>
  <c r="C210" i="8"/>
  <c r="F288" i="8"/>
  <c r="D161" i="8"/>
  <c r="C161" i="8"/>
  <c r="D379" i="8"/>
  <c r="C379" i="8"/>
  <c r="D183" i="8"/>
  <c r="C183" i="8"/>
  <c r="D151" i="8"/>
  <c r="C151" i="8"/>
  <c r="D368" i="8"/>
  <c r="C368" i="8"/>
  <c r="G291" i="8"/>
  <c r="F291" i="8"/>
  <c r="C291" i="8"/>
  <c r="D104" i="8"/>
  <c r="C104" i="8"/>
  <c r="D137" i="8"/>
  <c r="C137" i="8"/>
  <c r="D418" i="8"/>
  <c r="C418" i="8"/>
  <c r="D206" i="8"/>
  <c r="C206" i="8"/>
  <c r="D149" i="8"/>
  <c r="C149" i="8"/>
  <c r="D707" i="8"/>
  <c r="C707" i="8"/>
  <c r="F321" i="8"/>
  <c r="D423" i="8"/>
  <c r="C423" i="8"/>
  <c r="D163" i="8"/>
  <c r="C163" i="8"/>
  <c r="D150" i="8"/>
  <c r="C150" i="8"/>
  <c r="D444" i="8"/>
  <c r="C444" i="8"/>
  <c r="G240" i="8"/>
  <c r="F240" i="8"/>
  <c r="D240" i="8"/>
  <c r="C240" i="8"/>
  <c r="D227" i="8"/>
  <c r="C227" i="8"/>
  <c r="C107" i="8"/>
  <c r="C37" i="8"/>
  <c r="D166" i="8"/>
  <c r="C166" i="8"/>
  <c r="D154" i="8"/>
  <c r="C154" i="8"/>
  <c r="D369" i="8"/>
  <c r="C369" i="8"/>
  <c r="D406" i="8"/>
  <c r="C406" i="8"/>
  <c r="C167" i="8"/>
  <c r="D194" i="8"/>
  <c r="C194" i="8"/>
  <c r="D220" i="8"/>
  <c r="C220" i="8"/>
  <c r="D102" i="8"/>
  <c r="C102" i="8"/>
  <c r="D106" i="8"/>
  <c r="C106" i="8"/>
  <c r="D425" i="8"/>
  <c r="C425" i="8"/>
  <c r="D370" i="8"/>
  <c r="C370" i="8"/>
  <c r="D50" i="8"/>
  <c r="C50" i="8"/>
  <c r="D420" i="8"/>
  <c r="C420" i="8"/>
  <c r="C377" i="8"/>
  <c r="F250" i="8"/>
  <c r="C187" i="8"/>
  <c r="D398" i="8"/>
  <c r="C398" i="8"/>
  <c r="D148" i="8"/>
  <c r="C148" i="8"/>
  <c r="D36" i="8"/>
  <c r="C36" i="8"/>
  <c r="D43" i="8"/>
  <c r="C43" i="8"/>
  <c r="C710" i="8"/>
  <c r="D190" i="8"/>
  <c r="C190" i="8"/>
  <c r="D374" i="8"/>
  <c r="C374" i="8"/>
  <c r="D221" i="8"/>
  <c r="C221" i="8"/>
  <c r="D422" i="8"/>
  <c r="C422" i="8"/>
  <c r="D155" i="8"/>
  <c r="C155" i="8"/>
  <c r="D101" i="8"/>
  <c r="C101" i="8"/>
  <c r="D93" i="8"/>
  <c r="C93" i="8"/>
  <c r="D359" i="8"/>
  <c r="C359" i="8"/>
  <c r="C165" i="8"/>
  <c r="C113" i="8"/>
  <c r="C144" i="8"/>
  <c r="C413" i="8"/>
  <c r="F293" i="8"/>
  <c r="D78" i="8"/>
  <c r="C78" i="8"/>
  <c r="D401" i="8"/>
  <c r="C401" i="8"/>
  <c r="C233" i="8"/>
  <c r="C72" i="8"/>
  <c r="F257" i="8"/>
  <c r="C257" i="8"/>
  <c r="D208" i="8"/>
  <c r="C208" i="8"/>
  <c r="D91" i="8"/>
  <c r="C91" i="8"/>
  <c r="D158" i="8"/>
  <c r="C158" i="8"/>
  <c r="D128" i="8"/>
  <c r="C128" i="8"/>
  <c r="D381" i="8"/>
  <c r="C381" i="8"/>
  <c r="C24" i="8"/>
  <c r="C105" i="8"/>
  <c r="C145" i="8"/>
  <c r="D367" i="8"/>
  <c r="C367" i="8"/>
  <c r="C111" i="8"/>
  <c r="C195" i="8"/>
  <c r="F243" i="8"/>
  <c r="C172" i="8"/>
  <c r="D215" i="8"/>
  <c r="C215" i="8"/>
  <c r="F270" i="8"/>
  <c r="C270" i="8"/>
  <c r="C400" i="8"/>
  <c r="C176" i="8"/>
  <c r="C198" i="8"/>
  <c r="D414" i="8"/>
  <c r="C414" i="8"/>
  <c r="C139" i="8"/>
  <c r="F242" i="8"/>
  <c r="C92" i="8"/>
  <c r="C73" i="8"/>
  <c r="C125" i="8"/>
  <c r="C192" i="8"/>
  <c r="F253" i="8"/>
  <c r="C140" i="8"/>
  <c r="F320" i="8"/>
  <c r="D430" i="8"/>
  <c r="C430" i="8"/>
  <c r="D424" i="8"/>
  <c r="C424" i="8"/>
  <c r="D415" i="8"/>
  <c r="C415" i="8"/>
  <c r="D162" i="8"/>
  <c r="C162" i="8"/>
  <c r="C164" i="8"/>
  <c r="F246" i="8"/>
  <c r="C246" i="8"/>
  <c r="C156" i="8"/>
  <c r="C204" i="8"/>
  <c r="D432" i="8"/>
  <c r="C432" i="8"/>
  <c r="C226" i="8"/>
  <c r="D358" i="8"/>
  <c r="C358" i="8"/>
  <c r="C211" i="8"/>
  <c r="D174" i="8"/>
  <c r="C174" i="8"/>
  <c r="F235" i="8"/>
  <c r="D360" i="8"/>
  <c r="C360" i="8"/>
  <c r="C709" i="8"/>
  <c r="D95" i="8"/>
  <c r="C95" i="8"/>
  <c r="C232" i="8"/>
  <c r="F251" i="8"/>
  <c r="G312" i="8"/>
  <c r="F312" i="8"/>
  <c r="C312" i="8"/>
  <c r="D153" i="8"/>
  <c r="C153" i="8"/>
  <c r="C203" i="8"/>
  <c r="D138" i="8"/>
  <c r="C138" i="8"/>
  <c r="G307" i="8"/>
  <c r="F307" i="8"/>
  <c r="D98" i="8"/>
  <c r="C98" i="8"/>
  <c r="C45" i="8"/>
  <c r="C178" i="8"/>
  <c r="D380" i="8"/>
  <c r="C380" i="8"/>
  <c r="D437" i="8"/>
  <c r="C437" i="8"/>
  <c r="C702" i="8"/>
  <c r="D179" i="8"/>
  <c r="C179" i="8"/>
  <c r="F239" i="8"/>
  <c r="C239" i="8"/>
  <c r="C363" i="8"/>
  <c r="C115" i="8"/>
  <c r="C129" i="8"/>
  <c r="F316" i="8"/>
  <c r="C316" i="8"/>
  <c r="C54" i="8"/>
  <c r="D410" i="8"/>
  <c r="C410" i="8"/>
  <c r="C375" i="8"/>
  <c r="D417" i="8"/>
  <c r="C417" i="8"/>
  <c r="F282" i="8"/>
  <c r="G282" i="8"/>
  <c r="C282" i="8"/>
  <c r="C212" i="8"/>
  <c r="F290" i="8"/>
  <c r="C97" i="8"/>
  <c r="D384" i="8"/>
  <c r="C384" i="8"/>
  <c r="D180" i="8"/>
  <c r="C180" i="8"/>
  <c r="F252" i="8"/>
  <c r="D436" i="8"/>
  <c r="C436" i="8"/>
  <c r="F265" i="8"/>
  <c r="C265" i="8"/>
  <c r="C230" i="8"/>
  <c r="G323" i="8"/>
  <c r="F323" i="8"/>
  <c r="D372" i="8"/>
  <c r="C372" i="8"/>
  <c r="D399" i="8"/>
  <c r="C399" i="8"/>
  <c r="D421" i="8"/>
  <c r="C421" i="8"/>
  <c r="D185" i="8"/>
  <c r="C185" i="8"/>
  <c r="D184" i="8"/>
  <c r="C184" i="8"/>
  <c r="D200" i="8"/>
  <c r="C200" i="8"/>
  <c r="D114" i="8"/>
  <c r="C114" i="8"/>
  <c r="D94" i="8"/>
  <c r="C94" i="8"/>
  <c r="D134" i="8"/>
  <c r="C134" i="8"/>
  <c r="D207" i="8"/>
  <c r="C207" i="8"/>
  <c r="C99" i="8"/>
  <c r="C81" i="8"/>
  <c r="C219" i="8"/>
  <c r="D133" i="8"/>
  <c r="C133" i="8"/>
  <c r="C717" i="8"/>
  <c r="D701" i="8"/>
  <c r="C701" i="8"/>
  <c r="C86" i="8"/>
  <c r="C428" i="8"/>
  <c r="C202" i="8"/>
  <c r="D382" i="12"/>
  <c r="C382" i="12"/>
  <c r="C217" i="12"/>
  <c r="D49" i="12"/>
  <c r="C49" i="12"/>
  <c r="F314" i="12"/>
  <c r="C314" i="12"/>
  <c r="C58" i="12"/>
  <c r="D389" i="12"/>
  <c r="C389" i="12"/>
  <c r="D213" i="12"/>
  <c r="C213" i="12"/>
  <c r="D438" i="12"/>
  <c r="C438" i="12"/>
  <c r="C402" i="12"/>
  <c r="C160" i="12"/>
  <c r="C170" i="12"/>
  <c r="C434" i="12"/>
  <c r="C441" i="12"/>
  <c r="C143" i="12"/>
  <c r="D404" i="12"/>
  <c r="C404" i="12"/>
  <c r="D157" i="12"/>
  <c r="C157" i="12"/>
  <c r="D371" i="12"/>
  <c r="C371" i="12"/>
  <c r="D396" i="12"/>
  <c r="C396" i="12"/>
  <c r="G274" i="12"/>
  <c r="F274" i="12"/>
  <c r="D147" i="12"/>
  <c r="C147" i="12"/>
  <c r="D152" i="12"/>
  <c r="C152" i="12"/>
  <c r="D426" i="12"/>
  <c r="C426" i="12"/>
  <c r="D159" i="12"/>
  <c r="C159" i="12"/>
  <c r="C224" i="12"/>
  <c r="C405" i="12"/>
  <c r="C51" i="12"/>
  <c r="C108" i="12"/>
  <c r="C44" i="12"/>
  <c r="D56" i="12"/>
  <c r="C56" i="12"/>
  <c r="D720" i="12"/>
  <c r="C720" i="12"/>
  <c r="C427" i="12"/>
  <c r="D440" i="12"/>
  <c r="C440" i="12"/>
  <c r="D127" i="12"/>
  <c r="C127" i="12"/>
  <c r="C699" i="12"/>
  <c r="C189" i="12"/>
  <c r="C229" i="12"/>
  <c r="C121" i="12"/>
  <c r="C52" i="12"/>
  <c r="D210" i="12"/>
  <c r="C210" i="12"/>
  <c r="D186" i="12"/>
  <c r="C186" i="12"/>
  <c r="D385" i="12"/>
  <c r="C385" i="12"/>
  <c r="C433" i="12"/>
  <c r="D171" i="12"/>
  <c r="C171" i="12"/>
  <c r="D161" i="12"/>
  <c r="C161" i="12"/>
  <c r="F267" i="12"/>
  <c r="C267" i="12"/>
  <c r="D355" i="12"/>
  <c r="C355" i="12"/>
  <c r="C151" i="12"/>
  <c r="F291" i="12"/>
  <c r="C291" i="12"/>
  <c r="D183" i="12"/>
  <c r="C183" i="12"/>
  <c r="D368" i="12"/>
  <c r="C368" i="12"/>
  <c r="C206" i="12"/>
  <c r="F321" i="12"/>
  <c r="C137" i="12"/>
  <c r="D104" i="12"/>
  <c r="C104" i="12"/>
  <c r="D707" i="12"/>
  <c r="C707" i="12"/>
  <c r="D150" i="12"/>
  <c r="C150" i="12"/>
  <c r="C418" i="12"/>
  <c r="D149" i="12"/>
  <c r="C149" i="12"/>
  <c r="D163" i="12"/>
  <c r="C163" i="12"/>
  <c r="D423" i="12"/>
  <c r="C423" i="12"/>
  <c r="D166" i="12"/>
  <c r="C166" i="12"/>
  <c r="D444" i="12"/>
  <c r="C444" i="12"/>
  <c r="C154" i="12"/>
  <c r="C107" i="12"/>
  <c r="D406" i="12"/>
  <c r="C406" i="12"/>
  <c r="D425" i="12"/>
  <c r="C425" i="12"/>
  <c r="C106" i="12"/>
  <c r="D102" i="12"/>
  <c r="C102" i="12"/>
  <c r="C194" i="12"/>
  <c r="C50" i="12"/>
  <c r="D220" i="12"/>
  <c r="C220" i="12"/>
  <c r="D369" i="12"/>
  <c r="C369" i="12"/>
  <c r="C370" i="12"/>
  <c r="C167" i="12"/>
  <c r="C221" i="12"/>
  <c r="D43" i="12"/>
  <c r="C43" i="12"/>
  <c r="C155" i="12"/>
  <c r="C420" i="12"/>
  <c r="C377" i="12"/>
  <c r="D398" i="12"/>
  <c r="C398" i="12"/>
  <c r="D374" i="12"/>
  <c r="C374" i="12"/>
  <c r="D422" i="12"/>
  <c r="C422" i="12"/>
  <c r="C710" i="12"/>
  <c r="C190" i="12"/>
  <c r="D148" i="12"/>
  <c r="C148" i="12"/>
  <c r="D36" i="12"/>
  <c r="C36" i="12"/>
  <c r="C165" i="12"/>
  <c r="C113" i="12"/>
  <c r="D359" i="12"/>
  <c r="C359" i="12"/>
  <c r="D93" i="12"/>
  <c r="C93" i="12"/>
  <c r="D401" i="12"/>
  <c r="C401" i="12"/>
  <c r="C144" i="12"/>
  <c r="C78" i="12"/>
  <c r="C72" i="12"/>
  <c r="F293" i="12"/>
  <c r="C233" i="12"/>
  <c r="C413" i="12"/>
  <c r="F270" i="12"/>
  <c r="C176" i="12"/>
  <c r="F320" i="12"/>
  <c r="C73" i="12"/>
  <c r="C125" i="12"/>
  <c r="C192" i="12"/>
  <c r="D430" i="12"/>
  <c r="C430" i="12"/>
  <c r="C424" i="12"/>
  <c r="C415" i="12"/>
  <c r="C140" i="12"/>
  <c r="C92" i="12"/>
  <c r="C164" i="12"/>
  <c r="C48" i="12"/>
  <c r="C156" i="12"/>
  <c r="C204" i="12"/>
  <c r="D162" i="12"/>
  <c r="C162" i="12"/>
  <c r="F246" i="12"/>
  <c r="D432" i="12"/>
  <c r="C432" i="12"/>
  <c r="C95" i="12"/>
  <c r="C232" i="12"/>
  <c r="G312" i="12"/>
  <c r="D358" i="12"/>
  <c r="C358" i="12"/>
  <c r="C174" i="12"/>
  <c r="C211" i="12"/>
  <c r="D153" i="12"/>
  <c r="C153" i="12"/>
  <c r="D360" i="12"/>
  <c r="C360" i="12"/>
  <c r="C381" i="12"/>
  <c r="F257" i="12"/>
  <c r="C257" i="12"/>
  <c r="D91" i="12"/>
  <c r="C91" i="12"/>
  <c r="C158" i="12"/>
  <c r="D208" i="12"/>
  <c r="C208" i="12"/>
  <c r="C128" i="12"/>
  <c r="C139" i="12"/>
  <c r="F242" i="12"/>
  <c r="D414" i="12"/>
  <c r="C414" i="12"/>
  <c r="C198" i="12"/>
  <c r="C212" i="12"/>
  <c r="F290" i="12"/>
  <c r="C97" i="12"/>
  <c r="F282" i="12"/>
  <c r="C282" i="12"/>
  <c r="D417" i="12"/>
  <c r="C417" i="12"/>
  <c r="D383" i="4"/>
  <c r="C383" i="4"/>
  <c r="C361" i="4"/>
  <c r="D364" i="4"/>
  <c r="C364" i="4"/>
  <c r="D365" i="4"/>
  <c r="C365" i="4"/>
  <c r="C118" i="4"/>
  <c r="C168" i="4"/>
  <c r="C96" i="4"/>
  <c r="D110" i="4"/>
  <c r="C110" i="4"/>
  <c r="D191" i="4"/>
  <c r="C191" i="4"/>
  <c r="C205" i="4"/>
  <c r="F268" i="4"/>
  <c r="D715" i="4"/>
  <c r="C715" i="4"/>
  <c r="D390" i="4"/>
  <c r="C390" i="4"/>
  <c r="D392" i="4"/>
  <c r="C392" i="4"/>
  <c r="C173" i="4"/>
  <c r="C169" i="4"/>
  <c r="C90" i="4"/>
  <c r="C708" i="4"/>
  <c r="D389" i="4"/>
  <c r="C389" i="4"/>
  <c r="C382" i="4"/>
  <c r="C58" i="4"/>
  <c r="C217" i="4"/>
  <c r="F314" i="4"/>
  <c r="C314" i="4"/>
  <c r="D438" i="4"/>
  <c r="C438" i="4"/>
  <c r="C170" i="4"/>
  <c r="C160" i="4"/>
  <c r="D213" i="4"/>
  <c r="C402" i="4"/>
  <c r="C441" i="4"/>
  <c r="C434" i="4"/>
  <c r="C112" i="4"/>
  <c r="C120" i="4"/>
  <c r="C44" i="4"/>
  <c r="D56" i="4"/>
  <c r="C56" i="4"/>
  <c r="C143" i="4"/>
  <c r="D396" i="4"/>
  <c r="C396" i="4"/>
  <c r="D371" i="4"/>
  <c r="C371" i="4"/>
  <c r="C427" i="4"/>
  <c r="C108" i="4"/>
  <c r="D147" i="4"/>
  <c r="C147" i="4"/>
  <c r="F274" i="4"/>
  <c r="C159" i="4"/>
  <c r="C157" i="4"/>
  <c r="C405" i="4"/>
  <c r="D152" i="4"/>
  <c r="C152" i="4"/>
  <c r="D426" i="4"/>
  <c r="C426" i="4"/>
  <c r="C51" i="4"/>
  <c r="C720" i="4"/>
  <c r="C404" i="4"/>
  <c r="C224" i="4"/>
  <c r="D368" i="4"/>
  <c r="C368" i="4"/>
  <c r="C151" i="4"/>
  <c r="D183" i="4"/>
  <c r="C183" i="4"/>
  <c r="F291" i="4"/>
  <c r="C291" i="4"/>
  <c r="C429" i="4"/>
  <c r="D407" i="4"/>
  <c r="C407" i="4"/>
  <c r="D388" i="4"/>
  <c r="C388" i="4"/>
  <c r="C357" i="4"/>
  <c r="C142" i="4"/>
  <c r="C57" i="4"/>
  <c r="D119" i="4"/>
  <c r="C119" i="4"/>
  <c r="C136" i="4"/>
  <c r="C132" i="4"/>
  <c r="C109" i="4"/>
  <c r="F322" i="4"/>
  <c r="C322" i="4"/>
  <c r="C444" i="4"/>
  <c r="D444" i="4"/>
  <c r="C166" i="4"/>
  <c r="D369" i="4"/>
  <c r="C369" i="4"/>
  <c r="C50" i="4"/>
  <c r="D406" i="4"/>
  <c r="C406" i="4"/>
  <c r="D425" i="4"/>
  <c r="C425" i="4"/>
  <c r="C370" i="4"/>
  <c r="C106" i="4"/>
  <c r="C102" i="4"/>
  <c r="C167" i="4"/>
  <c r="C194" i="4"/>
  <c r="D220" i="4"/>
  <c r="C220" i="4"/>
  <c r="C377" i="4"/>
  <c r="C420" i="4"/>
  <c r="D398" i="4"/>
  <c r="C398" i="4"/>
  <c r="C374" i="4"/>
  <c r="D422" i="4"/>
  <c r="C422" i="4"/>
  <c r="C187" i="4"/>
  <c r="D148" i="4"/>
  <c r="C148" i="4"/>
  <c r="D36" i="4"/>
  <c r="C36" i="4"/>
  <c r="C43" i="4"/>
  <c r="C190" i="4"/>
  <c r="C221" i="4"/>
  <c r="C155" i="4"/>
  <c r="C710" i="4"/>
  <c r="D409" i="4"/>
  <c r="C409" i="4"/>
  <c r="C408" i="4"/>
  <c r="C412" i="4"/>
  <c r="C403" i="4"/>
  <c r="D352" i="4"/>
  <c r="C352" i="4"/>
  <c r="C201" i="4"/>
  <c r="C197" i="4"/>
  <c r="C218" i="4"/>
  <c r="D199" i="4"/>
  <c r="C199" i="4"/>
  <c r="C182" i="4"/>
  <c r="C87" i="4"/>
  <c r="C131" i="4"/>
  <c r="F241" i="4"/>
  <c r="C113" i="4"/>
  <c r="C165" i="4"/>
  <c r="D93" i="4"/>
  <c r="C93" i="4"/>
  <c r="C359" i="4"/>
  <c r="C413" i="4"/>
  <c r="D401" i="4"/>
  <c r="C401" i="4"/>
  <c r="C144" i="4"/>
  <c r="C78" i="4"/>
  <c r="C72" i="4"/>
  <c r="F297" i="4"/>
  <c r="C431" i="4"/>
  <c r="F270" i="4"/>
  <c r="C176" i="4"/>
  <c r="D432" i="4"/>
  <c r="C432" i="4"/>
  <c r="D162" i="4"/>
  <c r="C162" i="4"/>
  <c r="C164" i="4"/>
  <c r="C204" i="4"/>
  <c r="C48" i="4"/>
  <c r="C156" i="4"/>
  <c r="F246" i="4"/>
  <c r="D358" i="4"/>
  <c r="C358" i="4"/>
  <c r="D360" i="4"/>
  <c r="C360" i="4"/>
  <c r="C232" i="4"/>
  <c r="G312" i="4"/>
  <c r="C95" i="4"/>
  <c r="C211" i="4"/>
  <c r="C174" i="4"/>
  <c r="D153" i="4"/>
  <c r="C153" i="4"/>
  <c r="C363" i="4"/>
  <c r="C437" i="4"/>
  <c r="C380" i="4"/>
  <c r="C178" i="4"/>
  <c r="C179" i="4"/>
  <c r="C702" i="4"/>
  <c r="C381" i="4"/>
  <c r="F257" i="4"/>
  <c r="C257" i="4"/>
  <c r="C91" i="4"/>
  <c r="C158" i="4"/>
  <c r="C208" i="4"/>
  <c r="C128" i="4"/>
  <c r="F242" i="4"/>
  <c r="D414" i="4"/>
  <c r="C414" i="4"/>
  <c r="C139" i="4"/>
  <c r="C198" i="4"/>
  <c r="C97" i="4"/>
  <c r="F290" i="4"/>
  <c r="D417" i="4"/>
  <c r="C417" i="4"/>
  <c r="F282" i="4"/>
  <c r="C282" i="4"/>
  <c r="C212" i="4"/>
  <c r="D354" i="4"/>
  <c r="C354" i="4"/>
  <c r="D394" i="4"/>
  <c r="C394" i="4"/>
  <c r="G315" i="4"/>
  <c r="F315" i="4"/>
  <c r="F325" i="4"/>
  <c r="D68" i="4"/>
  <c r="C68" i="4"/>
  <c r="D123" i="4"/>
  <c r="C123" i="4"/>
  <c r="C63" i="4"/>
  <c r="C126" i="4"/>
  <c r="D100" i="4"/>
  <c r="C100" i="4"/>
  <c r="C175" i="4"/>
  <c r="D31" i="4"/>
  <c r="C31" i="4"/>
  <c r="D41" i="4"/>
  <c r="C41" i="4"/>
  <c r="F263" i="4"/>
  <c r="C263" i="4"/>
  <c r="C25" i="4"/>
  <c r="G299" i="4"/>
  <c r="C40" i="4"/>
  <c r="C30" i="4"/>
  <c r="F296" i="4"/>
  <c r="C82" i="4"/>
  <c r="F324" i="4"/>
  <c r="D76" i="4"/>
  <c r="C76" i="4"/>
  <c r="F327" i="4"/>
  <c r="C327" i="4"/>
  <c r="C70" i="4"/>
  <c r="D27" i="4"/>
  <c r="C27" i="4"/>
  <c r="C85" i="4"/>
  <c r="D77" i="4"/>
  <c r="C77" i="4"/>
  <c r="D80" i="4"/>
  <c r="C80" i="4"/>
  <c r="D74" i="4"/>
  <c r="C74" i="4"/>
  <c r="F313" i="4"/>
  <c r="C313" i="4"/>
  <c r="C141" i="4"/>
  <c r="C181" i="4"/>
  <c r="D421" i="4"/>
  <c r="C421" i="4"/>
  <c r="D399" i="4"/>
  <c r="C399" i="4"/>
  <c r="C200" i="4"/>
  <c r="C134" i="4"/>
  <c r="C185" i="4"/>
  <c r="D185" i="4"/>
  <c r="D184" i="4"/>
  <c r="C184" i="4"/>
  <c r="D114" i="4"/>
  <c r="C114" i="4"/>
  <c r="D207" i="4"/>
  <c r="C207" i="4"/>
  <c r="C230" i="4"/>
  <c r="D367" i="4"/>
  <c r="C367" i="4"/>
  <c r="C195" i="4"/>
  <c r="D215" i="4"/>
  <c r="C215" i="4"/>
  <c r="C105" i="4"/>
  <c r="C172" i="4"/>
  <c r="C111" i="4"/>
  <c r="C145" i="4"/>
  <c r="C24" i="4"/>
  <c r="D60" i="4"/>
  <c r="C60" i="4"/>
  <c r="D117" i="4"/>
  <c r="C117" i="4"/>
  <c r="D124" i="4"/>
  <c r="C124" i="4"/>
  <c r="D64" i="4"/>
  <c r="C64" i="4"/>
  <c r="D146" i="4"/>
  <c r="C146" i="4"/>
  <c r="D59" i="4"/>
  <c r="C59" i="4"/>
  <c r="F295" i="4"/>
  <c r="C295" i="4"/>
  <c r="F245" i="4"/>
  <c r="C245" i="4"/>
  <c r="D231" i="4"/>
  <c r="C435" i="4"/>
  <c r="C311" i="4"/>
  <c r="F317" i="4"/>
  <c r="C317" i="4"/>
  <c r="F310" i="4"/>
  <c r="C310" i="4"/>
  <c r="F237" i="4"/>
  <c r="C196" i="4"/>
  <c r="F254" i="4"/>
  <c r="C254" i="4"/>
  <c r="G303" i="4"/>
  <c r="F303" i="4"/>
  <c r="C303" i="4"/>
  <c r="C67" i="4"/>
  <c r="C116" i="4"/>
  <c r="C188" i="4"/>
  <c r="C61" i="4"/>
  <c r="C135" i="4"/>
  <c r="C376" i="4"/>
  <c r="D442" i="4"/>
  <c r="C442" i="4"/>
  <c r="D419" i="4"/>
  <c r="C419" i="4"/>
  <c r="C445" i="4"/>
  <c r="C706" i="13"/>
  <c r="D431" i="13"/>
  <c r="D425" i="13"/>
  <c r="D384" i="13"/>
  <c r="C384" i="13"/>
  <c r="D373" i="13"/>
  <c r="C373" i="13"/>
  <c r="D370" i="13"/>
  <c r="C370" i="13"/>
  <c r="D369" i="13"/>
  <c r="C369" i="13"/>
  <c r="C336" i="13"/>
  <c r="F297" i="13"/>
  <c r="C297" i="13"/>
  <c r="F252" i="13"/>
  <c r="C252" i="13"/>
  <c r="F249" i="13"/>
  <c r="D249" i="13"/>
  <c r="C249" i="13"/>
  <c r="D220" i="13"/>
  <c r="C220" i="13"/>
  <c r="D194" i="13"/>
  <c r="C194" i="13"/>
  <c r="D180" i="13"/>
  <c r="C180" i="13"/>
  <c r="D177" i="13"/>
  <c r="C177" i="13"/>
  <c r="D167" i="13"/>
  <c r="C167" i="13"/>
  <c r="D106" i="13"/>
  <c r="C106" i="13"/>
  <c r="D102" i="13"/>
  <c r="C102" i="13"/>
  <c r="C65" i="13"/>
  <c r="D50" i="13"/>
  <c r="C50" i="13"/>
  <c r="C49" i="13"/>
  <c r="D389" i="6" l="1"/>
  <c r="C389" i="6"/>
  <c r="G314" i="6"/>
  <c r="F314" i="6"/>
  <c r="C314" i="6"/>
  <c r="F266" i="6"/>
  <c r="D83" i="6"/>
  <c r="C83" i="6"/>
  <c r="D707" i="6"/>
  <c r="C707" i="6"/>
  <c r="D423" i="6"/>
  <c r="C423" i="6"/>
  <c r="D418" i="6"/>
  <c r="C418" i="6"/>
  <c r="F321" i="6"/>
  <c r="C321" i="6"/>
  <c r="D206" i="6"/>
  <c r="C206" i="6"/>
  <c r="D163" i="6"/>
  <c r="C163" i="6"/>
  <c r="D150" i="6"/>
  <c r="C150" i="6"/>
  <c r="D149" i="6"/>
  <c r="C149" i="6"/>
  <c r="D137" i="6"/>
  <c r="C137" i="6"/>
  <c r="D104" i="6"/>
  <c r="C104" i="6"/>
  <c r="D444" i="6"/>
  <c r="C444" i="6"/>
  <c r="G240" i="6"/>
  <c r="F240" i="6"/>
  <c r="D240" i="6"/>
  <c r="C240" i="6"/>
  <c r="D227" i="6"/>
  <c r="C227" i="6"/>
  <c r="D166" i="6"/>
  <c r="C166" i="6"/>
  <c r="D154" i="6"/>
  <c r="C154" i="6"/>
  <c r="C107" i="6"/>
  <c r="C37" i="6"/>
  <c r="D425" i="6"/>
  <c r="C425" i="6"/>
  <c r="D406" i="6"/>
  <c r="C406" i="6"/>
  <c r="D370" i="6"/>
  <c r="C370" i="6"/>
  <c r="D369" i="6"/>
  <c r="C369" i="6"/>
  <c r="D220" i="6"/>
  <c r="C220" i="6"/>
  <c r="D194" i="6"/>
  <c r="C194" i="6"/>
  <c r="D167" i="6"/>
  <c r="C167" i="6"/>
  <c r="D106" i="6"/>
  <c r="C106" i="6"/>
  <c r="D102" i="6"/>
  <c r="C102" i="6"/>
  <c r="D50" i="6"/>
  <c r="C50" i="6"/>
  <c r="D177" i="6"/>
  <c r="C177" i="6"/>
  <c r="C710" i="6"/>
  <c r="D422" i="6"/>
  <c r="C422" i="6"/>
  <c r="D420" i="6"/>
  <c r="C420" i="6"/>
  <c r="D398" i="6"/>
  <c r="C398" i="6"/>
  <c r="C377" i="6"/>
  <c r="D374" i="6"/>
  <c r="C374" i="6"/>
  <c r="F250" i="6"/>
  <c r="D221" i="6"/>
  <c r="C221" i="6"/>
  <c r="D190" i="6"/>
  <c r="C190" i="6"/>
  <c r="C187" i="6"/>
  <c r="D155" i="6"/>
  <c r="C155" i="6"/>
  <c r="D148" i="6"/>
  <c r="C148" i="6"/>
  <c r="D43" i="6"/>
  <c r="C43" i="6"/>
  <c r="D36" i="6"/>
  <c r="C36" i="6"/>
  <c r="C713" i="6"/>
  <c r="C412" i="6"/>
  <c r="D409" i="6"/>
  <c r="C409" i="6"/>
  <c r="D408" i="6"/>
  <c r="C408" i="6"/>
  <c r="D403" i="6"/>
  <c r="C403" i="6"/>
  <c r="D352" i="6"/>
  <c r="C352" i="6"/>
  <c r="D241" i="6"/>
  <c r="D218" i="6"/>
  <c r="C218" i="6"/>
  <c r="D201" i="6"/>
  <c r="C201" i="6"/>
  <c r="D199" i="6"/>
  <c r="C199" i="6"/>
  <c r="D197" i="6"/>
  <c r="C197" i="6"/>
  <c r="C182" i="6"/>
  <c r="D131" i="6"/>
  <c r="C131" i="6"/>
  <c r="D87" i="6"/>
  <c r="C87" i="6"/>
  <c r="D38" i="6"/>
  <c r="C38" i="6"/>
  <c r="D101" i="6"/>
  <c r="C101" i="6"/>
  <c r="D359" i="6"/>
  <c r="C359" i="6"/>
  <c r="C165" i="6"/>
  <c r="C113" i="6"/>
  <c r="D93" i="6"/>
  <c r="C93" i="6"/>
  <c r="C413" i="6"/>
  <c r="D401" i="6"/>
  <c r="C401" i="6"/>
  <c r="F293" i="6"/>
  <c r="C233" i="6"/>
  <c r="D144" i="6"/>
  <c r="C144" i="6"/>
  <c r="D78" i="6"/>
  <c r="C78" i="6"/>
  <c r="C72" i="6"/>
  <c r="C706" i="6"/>
  <c r="D431" i="6"/>
  <c r="C431" i="6"/>
  <c r="D373" i="6"/>
  <c r="C373" i="6"/>
  <c r="F297" i="6"/>
  <c r="C297" i="6"/>
  <c r="F249" i="6"/>
  <c r="C249" i="6"/>
  <c r="D719" i="6"/>
  <c r="C719" i="6"/>
  <c r="D381" i="6"/>
  <c r="C381" i="6"/>
  <c r="F257" i="6"/>
  <c r="C257" i="6"/>
  <c r="D208" i="6"/>
  <c r="C208" i="6"/>
  <c r="D158" i="6"/>
  <c r="C158" i="6"/>
  <c r="D128" i="6"/>
  <c r="C128" i="6"/>
  <c r="D91" i="6"/>
  <c r="C91" i="6"/>
  <c r="G313" i="6"/>
  <c r="F313" i="6"/>
  <c r="C313" i="6"/>
  <c r="C181" i="6"/>
  <c r="D141" i="6"/>
  <c r="C141" i="6"/>
  <c r="G270" i="6"/>
  <c r="F270" i="6"/>
  <c r="C270" i="6"/>
  <c r="D400" i="6"/>
  <c r="C400" i="6"/>
  <c r="D176" i="6"/>
  <c r="C176" i="6"/>
  <c r="D414" i="6"/>
  <c r="C414" i="6"/>
  <c r="F242" i="6"/>
  <c r="D198" i="6"/>
  <c r="C198" i="6"/>
  <c r="C139" i="6"/>
  <c r="C724" i="6"/>
  <c r="D394" i="6"/>
  <c r="C394" i="6"/>
  <c r="D354" i="6"/>
  <c r="C354" i="6"/>
  <c r="D325" i="6"/>
  <c r="G315" i="6"/>
  <c r="F315" i="6"/>
  <c r="C175" i="6"/>
  <c r="C126" i="6"/>
  <c r="D123" i="6"/>
  <c r="C123" i="6"/>
  <c r="D100" i="6"/>
  <c r="C100" i="6"/>
  <c r="D68" i="6"/>
  <c r="C68" i="6"/>
  <c r="D63" i="6"/>
  <c r="C63" i="6"/>
  <c r="F306" i="6"/>
  <c r="F238" i="6"/>
  <c r="C238" i="6"/>
  <c r="G236" i="6"/>
  <c r="F236" i="6"/>
  <c r="D236" i="6"/>
  <c r="C69" i="6"/>
  <c r="C65" i="6"/>
  <c r="C424" i="6"/>
  <c r="G253" i="6"/>
  <c r="F253" i="6"/>
  <c r="F251" i="6"/>
  <c r="C153" i="6"/>
  <c r="D203" i="6"/>
  <c r="D45" i="6"/>
  <c r="C436" i="6"/>
  <c r="C103" i="6"/>
  <c r="C417" i="6"/>
  <c r="C399" i="6"/>
  <c r="C372" i="6"/>
  <c r="G323" i="6"/>
  <c r="C185" i="6"/>
  <c r="D219" i="6"/>
  <c r="C703" i="6"/>
  <c r="C356" i="6"/>
  <c r="G311" i="6"/>
  <c r="D214" i="6"/>
  <c r="D445" i="6"/>
  <c r="C445" i="6"/>
  <c r="F254" i="6"/>
  <c r="C254" i="6"/>
  <c r="F264" i="6"/>
  <c r="C264" i="6"/>
  <c r="C42" i="6"/>
  <c r="C258" i="6"/>
  <c r="D31" i="6"/>
  <c r="C31" i="6"/>
  <c r="F262" i="6"/>
  <c r="D29" i="6"/>
  <c r="C29" i="6"/>
  <c r="G255" i="6"/>
  <c r="F255" i="6"/>
  <c r="C34" i="6"/>
  <c r="F260" i="6"/>
  <c r="D23" i="6"/>
  <c r="C23" i="6"/>
  <c r="G263" i="6"/>
  <c r="F263" i="6"/>
  <c r="C263" i="6"/>
  <c r="D41" i="6"/>
  <c r="C41" i="6"/>
  <c r="G299" i="6"/>
  <c r="D25" i="6"/>
  <c r="C25" i="6"/>
  <c r="C26" i="6"/>
  <c r="F305" i="6"/>
  <c r="D28" i="6"/>
  <c r="C28" i="6"/>
  <c r="D40" i="6"/>
  <c r="C40" i="6"/>
  <c r="F304" i="6"/>
  <c r="C304" i="6"/>
  <c r="D35" i="6"/>
  <c r="C35" i="6"/>
  <c r="F298" i="6"/>
  <c r="C298" i="6"/>
  <c r="D22" i="6"/>
  <c r="C22" i="6"/>
  <c r="F296" i="6"/>
  <c r="D296" i="6"/>
  <c r="C30" i="6"/>
  <c r="F302" i="6"/>
  <c r="C302" i="6"/>
  <c r="C39" i="6"/>
  <c r="C33" i="6"/>
  <c r="G324" i="6"/>
  <c r="F324" i="6"/>
  <c r="D82" i="6"/>
  <c r="C82" i="6"/>
  <c r="D89" i="6"/>
  <c r="C89" i="6"/>
  <c r="C330" i="6"/>
  <c r="D79" i="6"/>
  <c r="C79" i="6"/>
  <c r="D71" i="6"/>
  <c r="C71" i="6"/>
  <c r="G328" i="6"/>
  <c r="F328" i="6"/>
  <c r="C328" i="6"/>
  <c r="D75" i="6"/>
  <c r="C75" i="6"/>
  <c r="F332" i="6"/>
  <c r="D66" i="6"/>
  <c r="C66" i="6"/>
  <c r="F331" i="6"/>
  <c r="C53" i="6"/>
  <c r="G284" i="6"/>
  <c r="F284" i="6"/>
  <c r="C284" i="6"/>
  <c r="D84" i="6"/>
  <c r="C84" i="6"/>
  <c r="C88" i="6"/>
  <c r="G327" i="6"/>
  <c r="F327" i="6"/>
  <c r="D327" i="6"/>
  <c r="C327" i="6"/>
  <c r="D76" i="6"/>
  <c r="C76" i="6"/>
  <c r="F287" i="6"/>
  <c r="D70" i="6"/>
  <c r="C70" i="6"/>
  <c r="D27" i="6"/>
  <c r="C27" i="6"/>
  <c r="F285" i="6"/>
  <c r="C85" i="6"/>
  <c r="F281" i="6"/>
  <c r="C281" i="6"/>
  <c r="D77" i="6"/>
  <c r="C77" i="6"/>
  <c r="D80" i="6"/>
  <c r="C80" i="6"/>
  <c r="F283" i="6"/>
  <c r="D74" i="6"/>
  <c r="C74" i="6"/>
  <c r="J715" i="9"/>
  <c r="J692" i="9"/>
  <c r="J690" i="9"/>
  <c r="J689" i="9"/>
  <c r="J684" i="9"/>
  <c r="J681" i="9"/>
  <c r="J630" i="9"/>
  <c r="J560" i="9"/>
  <c r="J443" i="9"/>
  <c r="J383" i="9"/>
  <c r="J365" i="9"/>
  <c r="J364" i="9"/>
  <c r="J361" i="9"/>
  <c r="J289" i="9"/>
  <c r="J268" i="9"/>
  <c r="J205" i="9"/>
  <c r="J191" i="9"/>
  <c r="J168" i="9"/>
  <c r="J118" i="9"/>
  <c r="J110" i="9"/>
  <c r="J96" i="9"/>
  <c r="J708" i="9"/>
  <c r="J677" i="9"/>
  <c r="J659" i="9"/>
  <c r="J544" i="9"/>
  <c r="J538" i="9"/>
  <c r="J535" i="9"/>
  <c r="J534" i="9"/>
  <c r="J533" i="9"/>
  <c r="J529" i="9"/>
  <c r="J392" i="9"/>
  <c r="J390" i="9"/>
  <c r="J259" i="9"/>
  <c r="J216" i="9"/>
  <c r="J173" i="9"/>
  <c r="J169" i="9"/>
  <c r="J130" i="9"/>
  <c r="J90" i="9"/>
  <c r="J700" i="9"/>
  <c r="J685" i="9"/>
  <c r="J633" i="9"/>
  <c r="J557" i="9"/>
  <c r="J389" i="9"/>
  <c r="J382" i="9"/>
  <c r="J314" i="9"/>
  <c r="J275" i="9"/>
  <c r="J266" i="9"/>
  <c r="J217" i="9"/>
  <c r="J62" i="9"/>
  <c r="J58" i="9"/>
  <c r="J49" i="9"/>
  <c r="J716" i="9"/>
  <c r="J438" i="9"/>
  <c r="J402" i="9"/>
  <c r="J280" i="9"/>
  <c r="J213" i="9"/>
  <c r="J170" i="9"/>
  <c r="J160" i="9"/>
  <c r="J248" i="9"/>
  <c r="J601" i="9"/>
  <c r="J590" i="9"/>
  <c r="J441" i="9"/>
  <c r="J434" i="9"/>
  <c r="J244" i="9"/>
  <c r="J120" i="9"/>
  <c r="J112" i="9"/>
  <c r="J720" i="9"/>
  <c r="J596" i="9"/>
  <c r="J594" i="9"/>
  <c r="J585" i="9"/>
  <c r="J577" i="9"/>
  <c r="J511" i="9"/>
  <c r="J504" i="9"/>
  <c r="J498" i="9"/>
  <c r="J485" i="9"/>
  <c r="J480" i="9"/>
  <c r="J472" i="9"/>
  <c r="J457" i="9"/>
  <c r="J454" i="9"/>
  <c r="J427" i="9"/>
  <c r="J426" i="9"/>
  <c r="J405" i="9"/>
  <c r="J404" i="9"/>
  <c r="J396" i="9"/>
  <c r="J371" i="9"/>
  <c r="J274" i="9"/>
  <c r="J224" i="9"/>
  <c r="J159" i="9"/>
  <c r="J157" i="9"/>
  <c r="J152" i="9"/>
  <c r="J147" i="9"/>
  <c r="J143" i="9"/>
  <c r="J108" i="9"/>
  <c r="J56" i="9"/>
  <c r="J51" i="9"/>
  <c r="J44" i="9"/>
  <c r="J10" i="9"/>
  <c r="J4" i="9"/>
  <c r="J2" i="9"/>
  <c r="J705" i="9"/>
  <c r="J616" i="9"/>
  <c r="J583" i="9"/>
  <c r="J582" i="9"/>
  <c r="J578" i="9"/>
  <c r="J517" i="9"/>
  <c r="J368" i="9"/>
  <c r="J291" i="9"/>
  <c r="J183" i="9"/>
  <c r="J151" i="9"/>
  <c r="J695" i="9"/>
  <c r="J579" i="9"/>
  <c r="J496" i="9"/>
  <c r="J429" i="9"/>
  <c r="J407" i="9"/>
  <c r="J388" i="9"/>
  <c r="J357" i="9"/>
  <c r="J322" i="9"/>
  <c r="J292" i="9"/>
  <c r="J142" i="9"/>
  <c r="J136" i="9"/>
  <c r="J132" i="9"/>
  <c r="J119" i="9"/>
  <c r="J109" i="9"/>
  <c r="J57" i="9"/>
  <c r="J707" i="9"/>
  <c r="J687" i="9"/>
  <c r="J672" i="9"/>
  <c r="J664" i="9"/>
  <c r="J610" i="9"/>
  <c r="J608" i="9"/>
  <c r="J606" i="9"/>
  <c r="J605" i="9"/>
  <c r="J604" i="9"/>
  <c r="J603" i="9"/>
  <c r="J602" i="9"/>
  <c r="J598" i="9"/>
  <c r="J597" i="9"/>
  <c r="J595" i="9"/>
  <c r="J591" i="9"/>
  <c r="J588" i="9"/>
  <c r="J586" i="9"/>
  <c r="J572" i="9"/>
  <c r="J566" i="9"/>
  <c r="J565" i="9"/>
  <c r="J563" i="9"/>
  <c r="J562" i="9"/>
  <c r="J558" i="9"/>
  <c r="J553" i="9"/>
  <c r="J514" i="9"/>
  <c r="J510" i="9"/>
  <c r="J493" i="9"/>
  <c r="J491" i="9"/>
  <c r="J489" i="9"/>
  <c r="J466" i="9"/>
  <c r="J461" i="9"/>
  <c r="J460" i="9"/>
  <c r="J458" i="9"/>
  <c r="J455" i="9"/>
  <c r="J423" i="9"/>
  <c r="J418" i="9"/>
  <c r="J321" i="9"/>
  <c r="J163" i="9"/>
  <c r="J150" i="9"/>
  <c r="J149" i="9"/>
  <c r="J137" i="9"/>
  <c r="J104" i="9"/>
  <c r="J644" i="9"/>
  <c r="J444" i="9"/>
  <c r="J240" i="9"/>
  <c r="J227" i="9"/>
  <c r="J166" i="9"/>
  <c r="J154" i="9"/>
  <c r="J107" i="9"/>
  <c r="J37" i="9"/>
  <c r="J711" i="9"/>
  <c r="J674" i="9"/>
  <c r="J670" i="9"/>
  <c r="J668" i="9"/>
  <c r="J666" i="9"/>
  <c r="J656" i="9"/>
  <c r="J530" i="9"/>
  <c r="J528" i="9"/>
  <c r="J492" i="9"/>
  <c r="J425" i="9"/>
  <c r="J406" i="9"/>
  <c r="J370" i="9"/>
  <c r="J369" i="9"/>
  <c r="J220" i="9"/>
  <c r="J194" i="9"/>
  <c r="J167" i="9"/>
  <c r="J106" i="9"/>
  <c r="J102" i="9"/>
  <c r="J50" i="9"/>
  <c r="J710" i="9"/>
  <c r="J682" i="9"/>
  <c r="J571" i="9"/>
  <c r="J554" i="9"/>
  <c r="J507" i="9"/>
  <c r="J422" i="9"/>
  <c r="J398" i="9"/>
  <c r="J377" i="9"/>
  <c r="J374" i="9"/>
  <c r="J250" i="9"/>
  <c r="J221" i="9"/>
  <c r="J190" i="9"/>
  <c r="J187" i="9"/>
  <c r="J155" i="9"/>
  <c r="J148" i="9"/>
  <c r="J36" i="9"/>
  <c r="J713" i="9"/>
  <c r="J698" i="9"/>
  <c r="J691" i="9"/>
  <c r="J641" i="9"/>
  <c r="J634" i="9"/>
  <c r="J612" i="9"/>
  <c r="J573" i="9"/>
  <c r="J515" i="9"/>
  <c r="J412" i="9"/>
  <c r="J409" i="9"/>
  <c r="J408" i="9"/>
  <c r="J403" i="9"/>
  <c r="J352" i="9"/>
  <c r="J309" i="9"/>
  <c r="J277" i="9"/>
  <c r="J271" i="9"/>
  <c r="J241" i="9"/>
  <c r="J218" i="9"/>
  <c r="J201" i="9"/>
  <c r="J199" i="9"/>
  <c r="J197" i="9"/>
  <c r="J182" i="9"/>
  <c r="J131" i="9"/>
  <c r="J87" i="9"/>
  <c r="J38" i="9"/>
  <c r="J12" i="9"/>
  <c r="J693" i="9"/>
  <c r="J680" i="9"/>
  <c r="J564" i="9"/>
  <c r="J502" i="9"/>
  <c r="J497" i="9"/>
  <c r="J165" i="9"/>
  <c r="J113" i="9"/>
  <c r="J93" i="9"/>
  <c r="J721" i="9"/>
  <c r="J628" i="9"/>
  <c r="J615" i="9"/>
  <c r="J570" i="9"/>
  <c r="J568" i="9"/>
  <c r="J549" i="9"/>
  <c r="J508" i="9"/>
  <c r="J486" i="9"/>
  <c r="J413" i="9"/>
  <c r="J401" i="9"/>
  <c r="J293" i="9"/>
  <c r="J233" i="9"/>
  <c r="J144" i="9"/>
  <c r="J78" i="9"/>
  <c r="J72" i="9"/>
  <c r="J719" i="9"/>
  <c r="J678" i="9"/>
  <c r="J676" i="9"/>
  <c r="J673" i="9"/>
  <c r="J527" i="9"/>
  <c r="J521" i="9"/>
  <c r="J381" i="9"/>
  <c r="J257" i="9"/>
  <c r="J208" i="9"/>
  <c r="J158" i="9"/>
  <c r="J128" i="9"/>
  <c r="J91" i="9"/>
  <c r="J541" i="9"/>
  <c r="J258" i="9"/>
  <c r="J31" i="9"/>
  <c r="J539" i="9"/>
  <c r="J262" i="9"/>
  <c r="J29" i="9"/>
  <c r="J639" i="9"/>
  <c r="J255" i="9"/>
  <c r="J34" i="9"/>
  <c r="J625" i="9"/>
  <c r="J260" i="9"/>
  <c r="J23" i="9"/>
  <c r="J543" i="9"/>
  <c r="J263" i="9"/>
  <c r="J41" i="9"/>
  <c r="J531" i="9"/>
  <c r="J299" i="9"/>
  <c r="J25" i="9"/>
  <c r="J542" i="9"/>
  <c r="J300" i="9"/>
  <c r="J26" i="9"/>
  <c r="J550" i="9"/>
  <c r="J305" i="9"/>
  <c r="J28" i="9"/>
  <c r="J540" i="9"/>
  <c r="J261" i="9"/>
  <c r="J40" i="9"/>
  <c r="J551" i="9"/>
  <c r="J304" i="9"/>
  <c r="J35" i="9"/>
  <c r="J650" i="9"/>
  <c r="J298" i="9"/>
  <c r="J22" i="9"/>
  <c r="J537" i="9"/>
  <c r="J296" i="9"/>
  <c r="J30" i="9"/>
  <c r="J545" i="9"/>
  <c r="J302" i="9"/>
  <c r="J39" i="9"/>
  <c r="J643" i="9"/>
  <c r="J301" i="9"/>
  <c r="J33" i="9"/>
  <c r="J675" i="9"/>
  <c r="J324" i="9"/>
  <c r="J82" i="9"/>
  <c r="J546" i="9"/>
  <c r="J326" i="9"/>
  <c r="J89" i="9"/>
  <c r="J652" i="9"/>
  <c r="J330" i="9"/>
  <c r="J79" i="9"/>
  <c r="J638" i="9"/>
  <c r="J329" i="9"/>
  <c r="J71" i="9"/>
  <c r="J619" i="9"/>
  <c r="J328" i="9"/>
  <c r="J75" i="9"/>
  <c r="J622" i="9"/>
  <c r="J332" i="9"/>
  <c r="J66" i="9"/>
  <c r="J621" i="9"/>
  <c r="J331" i="9"/>
  <c r="J53" i="9"/>
  <c r="J611" i="9"/>
  <c r="J284" i="9"/>
  <c r="J84" i="9"/>
  <c r="J620" i="9"/>
  <c r="J278" i="9"/>
  <c r="J88" i="9"/>
  <c r="J327" i="9"/>
  <c r="J76" i="9"/>
  <c r="J655" i="9"/>
  <c r="J287" i="9"/>
  <c r="J70" i="9"/>
  <c r="J661" i="9"/>
  <c r="J286" i="9"/>
  <c r="J27" i="9"/>
  <c r="J613" i="9"/>
  <c r="J285" i="9"/>
  <c r="J85" i="9"/>
  <c r="J662" i="9"/>
  <c r="J283" i="9"/>
  <c r="J74" i="9"/>
  <c r="J722" i="9"/>
  <c r="J683" i="9"/>
  <c r="J649" i="9"/>
  <c r="J642" i="9"/>
  <c r="J600" i="9"/>
  <c r="J574" i="9"/>
  <c r="J556" i="9"/>
  <c r="J473" i="9"/>
  <c r="J464" i="9"/>
  <c r="J367" i="9"/>
  <c r="J308" i="9"/>
  <c r="J256" i="9"/>
  <c r="J243" i="9"/>
  <c r="J215" i="9"/>
  <c r="J195" i="9"/>
  <c r="J172" i="9"/>
  <c r="J145" i="9"/>
  <c r="J111" i="9"/>
  <c r="J105" i="9"/>
  <c r="J24" i="9"/>
  <c r="J694" i="9"/>
  <c r="J477" i="9"/>
  <c r="J313" i="9"/>
  <c r="J181" i="9"/>
  <c r="J141" i="9"/>
  <c r="J500" i="9"/>
  <c r="J270" i="9"/>
  <c r="J176" i="9"/>
  <c r="J414" i="9"/>
  <c r="J242" i="9"/>
  <c r="J198" i="9"/>
  <c r="J139" i="9"/>
  <c r="J724" i="9"/>
  <c r="J483" i="9"/>
  <c r="J468" i="9"/>
  <c r="J394" i="9"/>
  <c r="J354" i="9"/>
  <c r="J325" i="9"/>
  <c r="J315" i="9"/>
  <c r="J175" i="9"/>
  <c r="J123" i="9"/>
  <c r="J100" i="9"/>
  <c r="J68" i="9"/>
  <c r="J63" i="9"/>
  <c r="J726" i="9"/>
  <c r="J696" i="9"/>
  <c r="J607" i="9"/>
  <c r="J567" i="9"/>
  <c r="J411" i="9"/>
  <c r="J319" i="9"/>
  <c r="J306" i="9"/>
  <c r="J238" i="9"/>
  <c r="J236" i="9"/>
  <c r="J209" i="9"/>
  <c r="J122" i="9"/>
  <c r="J69" i="9"/>
  <c r="J65" i="9"/>
  <c r="J55" i="9"/>
  <c r="J723" i="9"/>
  <c r="J654" i="9"/>
  <c r="J506" i="9"/>
  <c r="J430" i="9"/>
  <c r="J424" i="9"/>
  <c r="J415" i="9"/>
  <c r="J320" i="9"/>
  <c r="J253" i="9"/>
  <c r="J192" i="9"/>
  <c r="J140" i="9"/>
  <c r="J125" i="9"/>
  <c r="J92" i="9"/>
  <c r="J73" i="9"/>
  <c r="J647" i="9"/>
  <c r="J523" i="9"/>
  <c r="J501" i="9"/>
  <c r="J494" i="9"/>
  <c r="J474" i="9"/>
  <c r="J432" i="9"/>
  <c r="J246" i="9"/>
  <c r="J204" i="9"/>
  <c r="J164" i="9"/>
  <c r="J162" i="9"/>
  <c r="J156" i="9"/>
  <c r="J48" i="9"/>
  <c r="J702" i="9"/>
  <c r="J629" i="9"/>
  <c r="J623" i="9"/>
  <c r="J437" i="9"/>
  <c r="J380" i="9"/>
  <c r="J363" i="9"/>
  <c r="J239" i="9"/>
  <c r="J234" i="9"/>
  <c r="J179" i="9"/>
  <c r="J178" i="9"/>
  <c r="J614" i="9"/>
  <c r="J384" i="9"/>
  <c r="J252" i="9"/>
  <c r="J180" i="9"/>
  <c r="J631" i="9"/>
  <c r="J618" i="9"/>
  <c r="J547" i="9"/>
  <c r="J479" i="9"/>
  <c r="J436" i="9"/>
  <c r="J265" i="9"/>
  <c r="J686" i="9"/>
  <c r="J417" i="9"/>
  <c r="J290" i="9"/>
  <c r="J282" i="9"/>
  <c r="J212" i="9"/>
  <c r="J97" i="9"/>
  <c r="J712" i="9"/>
  <c r="J669" i="9"/>
  <c r="J648" i="9"/>
  <c r="J637" i="9"/>
  <c r="J636" i="9"/>
  <c r="J635" i="9"/>
  <c r="J626" i="9"/>
  <c r="J624" i="9"/>
  <c r="J548" i="9"/>
  <c r="J503" i="9"/>
  <c r="J495" i="9"/>
  <c r="J482" i="9"/>
  <c r="J421" i="9"/>
  <c r="J399" i="9"/>
  <c r="J372" i="9"/>
  <c r="J323" i="9"/>
  <c r="J273" i="9"/>
  <c r="J230" i="9"/>
  <c r="J207" i="9"/>
  <c r="J200" i="9"/>
  <c r="J185" i="9"/>
  <c r="J184" i="9"/>
  <c r="J134" i="9"/>
  <c r="J114" i="9"/>
  <c r="J94" i="9"/>
  <c r="J717" i="9"/>
  <c r="J701" i="9"/>
  <c r="J632" i="9"/>
  <c r="J575" i="9"/>
  <c r="J428" i="9"/>
  <c r="J225" i="9"/>
  <c r="J219" i="9"/>
  <c r="J133" i="9"/>
  <c r="J99" i="9"/>
  <c r="J86" i="9"/>
  <c r="J81" i="9"/>
  <c r="J703" i="9"/>
  <c r="J697" i="9"/>
  <c r="J651" i="9"/>
  <c r="J609" i="9"/>
  <c r="J592" i="9"/>
  <c r="J569" i="9"/>
  <c r="J490" i="9"/>
  <c r="J470" i="9"/>
  <c r="J356" i="9"/>
  <c r="J295" i="9"/>
  <c r="J245" i="9"/>
  <c r="J64" i="9"/>
  <c r="J60" i="9"/>
  <c r="J59" i="9"/>
  <c r="J704" i="9"/>
  <c r="J581" i="9"/>
  <c r="J519" i="9"/>
  <c r="J469" i="9"/>
  <c r="J435" i="9"/>
  <c r="J317" i="9"/>
  <c r="J311" i="9"/>
  <c r="J294" i="9"/>
  <c r="J516" i="9"/>
  <c r="J445" i="9"/>
  <c r="J442" i="9"/>
  <c r="J419" i="9"/>
  <c r="J376" i="9"/>
  <c r="J318" i="9"/>
  <c r="J310" i="9"/>
  <c r="J303" i="9"/>
  <c r="J254" i="9"/>
  <c r="J237" i="9"/>
  <c r="J228" i="9"/>
  <c r="J196" i="9"/>
  <c r="J188" i="9"/>
  <c r="J135" i="9"/>
  <c r="J116" i="9"/>
  <c r="J67" i="9"/>
  <c r="J61" i="9"/>
  <c r="J708" i="10"/>
  <c r="J677" i="10"/>
  <c r="J659" i="10"/>
  <c r="J544" i="10"/>
  <c r="J538" i="10"/>
  <c r="J535" i="10"/>
  <c r="J534" i="10"/>
  <c r="J533" i="10"/>
  <c r="J529" i="10"/>
  <c r="J392" i="10"/>
  <c r="J390" i="10"/>
  <c r="J333" i="10"/>
  <c r="J259" i="10"/>
  <c r="J216" i="10"/>
  <c r="J173" i="10"/>
  <c r="J169" i="10"/>
  <c r="J130" i="10"/>
  <c r="J90" i="10"/>
  <c r="J700" i="10"/>
  <c r="J685" i="10"/>
  <c r="J633" i="10"/>
  <c r="J557" i="10"/>
  <c r="J389" i="10"/>
  <c r="J382" i="10"/>
  <c r="J314" i="10"/>
  <c r="J275" i="10"/>
  <c r="J266" i="10"/>
  <c r="J217" i="10"/>
  <c r="J62" i="10"/>
  <c r="J58" i="10"/>
  <c r="J49" i="10"/>
  <c r="J716" i="10"/>
  <c r="J438" i="10"/>
  <c r="J402" i="10"/>
  <c r="J280" i="10"/>
  <c r="J213" i="10"/>
  <c r="J170" i="10"/>
  <c r="J160" i="10"/>
  <c r="J601" i="10"/>
  <c r="J590" i="10"/>
  <c r="J720" i="10"/>
  <c r="J596" i="10"/>
  <c r="J594" i="10"/>
  <c r="J585" i="10"/>
  <c r="J577" i="10"/>
  <c r="J511" i="10"/>
  <c r="J504" i="10"/>
  <c r="J498" i="10"/>
  <c r="J485" i="10"/>
  <c r="J480" i="10"/>
  <c r="J472" i="10"/>
  <c r="J457" i="10"/>
  <c r="J454" i="10"/>
  <c r="J427" i="10"/>
  <c r="J426" i="10"/>
  <c r="J405" i="10"/>
  <c r="J404" i="10"/>
  <c r="J396" i="10"/>
  <c r="J371" i="10"/>
  <c r="J274" i="10"/>
  <c r="J224" i="10"/>
  <c r="J159" i="10"/>
  <c r="J157" i="10"/>
  <c r="J152" i="10"/>
  <c r="J147" i="10"/>
  <c r="J143" i="10"/>
  <c r="J108" i="10"/>
  <c r="J56" i="10"/>
  <c r="J51" i="10"/>
  <c r="J44" i="10"/>
  <c r="J10" i="10"/>
  <c r="J4" i="10"/>
  <c r="J2" i="10"/>
  <c r="J699" i="10"/>
  <c r="J688" i="10"/>
  <c r="J587" i="10"/>
  <c r="J524" i="10"/>
  <c r="J512" i="10"/>
  <c r="J463" i="10"/>
  <c r="J462" i="10"/>
  <c r="J440" i="10"/>
  <c r="J433" i="10"/>
  <c r="J397" i="10"/>
  <c r="J385" i="10"/>
  <c r="J355" i="10"/>
  <c r="J288" i="10"/>
  <c r="J267" i="10"/>
  <c r="J210" i="10"/>
  <c r="J189" i="10"/>
  <c r="J171" i="10"/>
  <c r="J161" i="10"/>
  <c r="J127" i="10"/>
  <c r="J121" i="10"/>
  <c r="J705" i="10"/>
  <c r="J616" i="10"/>
  <c r="J583" i="10"/>
  <c r="J582" i="10"/>
  <c r="J578" i="10"/>
  <c r="J517" i="10"/>
  <c r="J368" i="10"/>
  <c r="J291" i="10"/>
  <c r="J183" i="10"/>
  <c r="J151" i="10"/>
  <c r="J707" i="10"/>
  <c r="J687" i="10"/>
  <c r="J672" i="10"/>
  <c r="J610" i="10"/>
  <c r="J608" i="10"/>
  <c r="J606" i="10"/>
  <c r="J605" i="10"/>
  <c r="J604" i="10"/>
  <c r="J603" i="10"/>
  <c r="J602" i="10"/>
  <c r="J597" i="10"/>
  <c r="J595" i="10"/>
  <c r="J591" i="10"/>
  <c r="J588" i="10"/>
  <c r="J586" i="10"/>
  <c r="J572" i="10"/>
  <c r="J566" i="10"/>
  <c r="J563" i="10"/>
  <c r="J558" i="10"/>
  <c r="J553" i="10"/>
  <c r="J514" i="10"/>
  <c r="J510" i="10"/>
  <c r="J491" i="10"/>
  <c r="J489" i="10"/>
  <c r="J466" i="10"/>
  <c r="J461" i="10"/>
  <c r="J460" i="10"/>
  <c r="J455" i="10"/>
  <c r="J423" i="10"/>
  <c r="J418" i="10"/>
  <c r="J321" i="10"/>
  <c r="J206" i="10"/>
  <c r="J163" i="10"/>
  <c r="J150" i="10"/>
  <c r="J149" i="10"/>
  <c r="J137" i="10"/>
  <c r="J104" i="10"/>
  <c r="J644" i="10"/>
  <c r="J499" i="10"/>
  <c r="J444" i="10"/>
  <c r="J240" i="10"/>
  <c r="J227" i="10"/>
  <c r="J166" i="10"/>
  <c r="J154" i="10"/>
  <c r="J107" i="10"/>
  <c r="J37" i="10"/>
  <c r="J711" i="10"/>
  <c r="J674" i="10"/>
  <c r="J670" i="10"/>
  <c r="J668" i="10"/>
  <c r="J666" i="10"/>
  <c r="J656" i="10"/>
  <c r="J530" i="10"/>
  <c r="J528" i="10"/>
  <c r="J492" i="10"/>
  <c r="J425" i="10"/>
  <c r="J406" i="10"/>
  <c r="J370" i="10"/>
  <c r="J369" i="10"/>
  <c r="J220" i="10"/>
  <c r="J194" i="10"/>
  <c r="J167" i="10"/>
  <c r="J106" i="10"/>
  <c r="J102" i="10"/>
  <c r="J50" i="10"/>
  <c r="J710" i="10"/>
  <c r="J682" i="10"/>
  <c r="J571" i="10"/>
  <c r="J554" i="10"/>
  <c r="J507" i="10"/>
  <c r="J422" i="10"/>
  <c r="J420" i="10"/>
  <c r="J398" i="10"/>
  <c r="J377" i="10"/>
  <c r="J374" i="10"/>
  <c r="J250" i="10"/>
  <c r="J221" i="10"/>
  <c r="J190" i="10"/>
  <c r="J187" i="10"/>
  <c r="J155" i="10"/>
  <c r="J148" i="10"/>
  <c r="J43" i="10"/>
  <c r="J36" i="10"/>
  <c r="J671" i="10"/>
  <c r="J526" i="10"/>
  <c r="J101" i="10"/>
  <c r="J693" i="10"/>
  <c r="J680" i="10"/>
  <c r="J564" i="10"/>
  <c r="J502" i="10"/>
  <c r="J497" i="10"/>
  <c r="J359" i="10"/>
  <c r="J165" i="10"/>
  <c r="J113" i="10"/>
  <c r="J93" i="10"/>
  <c r="J721" i="10"/>
  <c r="J628" i="10"/>
  <c r="J615" i="10"/>
  <c r="J570" i="10"/>
  <c r="J568" i="10"/>
  <c r="J549" i="10"/>
  <c r="J508" i="10"/>
  <c r="J486" i="10"/>
  <c r="J413" i="10"/>
  <c r="J401" i="10"/>
  <c r="J293" i="10"/>
  <c r="J233" i="10"/>
  <c r="J144" i="10"/>
  <c r="J78" i="10"/>
  <c r="J72" i="10"/>
  <c r="J706" i="10"/>
  <c r="J663" i="10"/>
  <c r="J645" i="10"/>
  <c r="J589" i="10"/>
  <c r="J559" i="10"/>
  <c r="J505" i="10"/>
  <c r="J484" i="10"/>
  <c r="J459" i="10"/>
  <c r="J431" i="10"/>
  <c r="J373" i="10"/>
  <c r="J297" i="10"/>
  <c r="J678" i="10"/>
  <c r="J676" i="10"/>
  <c r="J673" i="10"/>
  <c r="J527" i="10"/>
  <c r="J521" i="10"/>
  <c r="J381" i="10"/>
  <c r="J257" i="10"/>
  <c r="J208" i="10"/>
  <c r="J158" i="10"/>
  <c r="J128" i="10"/>
  <c r="J91" i="10"/>
  <c r="J722" i="10"/>
  <c r="J683" i="10"/>
  <c r="J649" i="10"/>
  <c r="J642" i="10"/>
  <c r="J600" i="10"/>
  <c r="J574" i="10"/>
  <c r="J556" i="10"/>
  <c r="J473" i="10"/>
  <c r="J464" i="10"/>
  <c r="J456" i="10"/>
  <c r="J367" i="10"/>
  <c r="J308" i="10"/>
  <c r="J256" i="10"/>
  <c r="J243" i="10"/>
  <c r="J215" i="10"/>
  <c r="J195" i="10"/>
  <c r="J172" i="10"/>
  <c r="J145" i="10"/>
  <c r="J111" i="10"/>
  <c r="J105" i="10"/>
  <c r="J24" i="10"/>
  <c r="J414" i="10"/>
  <c r="J242" i="10"/>
  <c r="J198" i="10"/>
  <c r="J139" i="10"/>
  <c r="J723" i="10"/>
  <c r="J654" i="10"/>
  <c r="J506" i="10"/>
  <c r="J465" i="10"/>
  <c r="J430" i="10"/>
  <c r="J424" i="10"/>
  <c r="J415" i="10"/>
  <c r="J320" i="10"/>
  <c r="J253" i="10"/>
  <c r="J192" i="10"/>
  <c r="J140" i="10"/>
  <c r="J125" i="10"/>
  <c r="J92" i="10"/>
  <c r="J73" i="10"/>
  <c r="J647" i="10"/>
  <c r="J523" i="10"/>
  <c r="J501" i="10"/>
  <c r="J494" i="10"/>
  <c r="J474" i="10"/>
  <c r="J432" i="10"/>
  <c r="J246" i="10"/>
  <c r="J204" i="10"/>
  <c r="J164" i="10"/>
  <c r="J162" i="10"/>
  <c r="J156" i="10"/>
  <c r="J48" i="10"/>
  <c r="J709" i="10"/>
  <c r="J667" i="10"/>
  <c r="J536" i="10"/>
  <c r="J488" i="10"/>
  <c r="J360" i="10"/>
  <c r="J358" i="10"/>
  <c r="J312" i="10"/>
  <c r="J251" i="10"/>
  <c r="J235" i="10"/>
  <c r="J232" i="10"/>
  <c r="J211" i="10"/>
  <c r="J174" i="10"/>
  <c r="J153" i="10"/>
  <c r="J95" i="10"/>
  <c r="J702" i="10"/>
  <c r="J629" i="10"/>
  <c r="J623" i="10"/>
  <c r="J363" i="10"/>
  <c r="J239" i="10"/>
  <c r="J234" i="10"/>
  <c r="J179" i="10"/>
  <c r="J178" i="10"/>
  <c r="J614" i="10"/>
  <c r="J384" i="10"/>
  <c r="J252" i="10"/>
  <c r="J180" i="10"/>
  <c r="J631" i="10"/>
  <c r="J618" i="10"/>
  <c r="J547" i="10"/>
  <c r="J479" i="10"/>
  <c r="J436" i="10"/>
  <c r="J265" i="10"/>
  <c r="J712" i="10"/>
  <c r="J669" i="10"/>
  <c r="J648" i="10"/>
  <c r="J646" i="10"/>
  <c r="J637" i="10"/>
  <c r="J636" i="10"/>
  <c r="J635" i="10"/>
  <c r="J626" i="10"/>
  <c r="J624" i="10"/>
  <c r="J548" i="10"/>
  <c r="J503" i="10"/>
  <c r="J495" i="10"/>
  <c r="J482" i="10"/>
  <c r="J421" i="10"/>
  <c r="J399" i="10"/>
  <c r="J372" i="10"/>
  <c r="J323" i="10"/>
  <c r="J273" i="10"/>
  <c r="J230" i="10"/>
  <c r="J207" i="10"/>
  <c r="J200" i="10"/>
  <c r="J185" i="10"/>
  <c r="J184" i="10"/>
  <c r="J134" i="10"/>
  <c r="J114" i="10"/>
  <c r="J94" i="10"/>
  <c r="J717" i="10"/>
  <c r="J701" i="10"/>
  <c r="J632" i="10"/>
  <c r="J575" i="10"/>
  <c r="J428" i="10"/>
  <c r="J225" i="10"/>
  <c r="J219" i="10"/>
  <c r="J133" i="10"/>
  <c r="J99" i="10"/>
  <c r="J86" i="10"/>
  <c r="J81" i="10"/>
  <c r="C172" i="6"/>
  <c r="C111" i="6"/>
  <c r="C195" i="6"/>
  <c r="C24" i="6"/>
  <c r="G243" i="6"/>
  <c r="F243" i="6"/>
  <c r="C243" i="6"/>
  <c r="F308" i="6"/>
  <c r="C308" i="6"/>
  <c r="C145" i="6"/>
  <c r="D367" i="6"/>
  <c r="C367" i="6"/>
  <c r="C105" i="6"/>
  <c r="D215" i="6"/>
  <c r="C215" i="6"/>
  <c r="F289" i="6"/>
  <c r="C289" i="6"/>
  <c r="G268" i="6"/>
  <c r="F268" i="6"/>
  <c r="D191" i="6"/>
  <c r="C191" i="6"/>
  <c r="C168" i="6"/>
  <c r="D110" i="6"/>
  <c r="C110" i="6"/>
  <c r="D205" i="6"/>
  <c r="C205" i="6"/>
  <c r="D96" i="6"/>
  <c r="C96" i="6"/>
  <c r="D118" i="6"/>
  <c r="C118" i="6"/>
  <c r="D364" i="6"/>
  <c r="C364" i="6"/>
  <c r="D361" i="6"/>
  <c r="C361" i="6"/>
  <c r="C443" i="6"/>
  <c r="D383" i="6"/>
  <c r="C383" i="6"/>
  <c r="D365" i="6"/>
  <c r="C365" i="6"/>
  <c r="D715" i="6"/>
  <c r="C715" i="6"/>
  <c r="F259" i="6"/>
  <c r="D90" i="6"/>
  <c r="C90" i="6"/>
  <c r="D390" i="6"/>
  <c r="C390" i="6"/>
  <c r="D708" i="6"/>
  <c r="C708" i="6"/>
  <c r="D173" i="6"/>
  <c r="C173" i="6"/>
  <c r="D216" i="6"/>
  <c r="C216" i="6"/>
  <c r="C130" i="6"/>
  <c r="D392" i="6"/>
  <c r="C392" i="6"/>
  <c r="C169" i="6"/>
  <c r="G275" i="6"/>
  <c r="F275" i="6"/>
  <c r="D275" i="6"/>
  <c r="C275" i="6"/>
  <c r="D49" i="6"/>
  <c r="C49" i="6"/>
  <c r="D700" i="6"/>
  <c r="C700" i="6"/>
  <c r="D217" i="6"/>
  <c r="C217" i="6"/>
  <c r="D382" i="6"/>
  <c r="C382" i="6"/>
  <c r="C62" i="6"/>
  <c r="C58" i="6"/>
  <c r="C170" i="6"/>
  <c r="D213" i="6"/>
  <c r="C213" i="6"/>
  <c r="D402" i="6"/>
  <c r="C402" i="6"/>
  <c r="C160" i="6"/>
  <c r="D438" i="6"/>
  <c r="C438" i="6"/>
  <c r="G248" i="6"/>
  <c r="F248" i="6"/>
  <c r="G244" i="6"/>
  <c r="F244" i="6"/>
  <c r="C244" i="6"/>
  <c r="C434" i="6"/>
  <c r="C120" i="6"/>
  <c r="C112" i="6"/>
  <c r="D441" i="6"/>
  <c r="C441" i="6"/>
  <c r="C366" i="6"/>
  <c r="G306" i="6"/>
  <c r="C306" i="6"/>
  <c r="G238" i="6"/>
  <c r="D238" i="6"/>
  <c r="G319" i="6"/>
  <c r="F319" i="6"/>
  <c r="D319" i="6"/>
  <c r="C319" i="6"/>
  <c r="C236" i="6"/>
  <c r="C567" i="6"/>
  <c r="C696" i="6"/>
  <c r="C607" i="6"/>
  <c r="I122" i="6"/>
  <c r="D122" i="6"/>
  <c r="C122" i="6"/>
  <c r="I65" i="6"/>
  <c r="D65" i="6"/>
  <c r="I69" i="6"/>
  <c r="D69" i="6"/>
  <c r="I411" i="6"/>
  <c r="D411" i="6"/>
  <c r="C411" i="6"/>
  <c r="I55" i="6"/>
  <c r="C55" i="6"/>
  <c r="I209" i="6"/>
  <c r="C209" i="6"/>
  <c r="D253" i="6"/>
  <c r="C253" i="6"/>
  <c r="G320" i="6"/>
  <c r="F320" i="6"/>
  <c r="C320" i="6"/>
  <c r="C654" i="6"/>
  <c r="C506" i="6"/>
  <c r="C465" i="6"/>
  <c r="I415" i="6"/>
  <c r="D415" i="6"/>
  <c r="C415" i="6"/>
  <c r="I92" i="6"/>
  <c r="C92" i="6"/>
  <c r="I125" i="6"/>
  <c r="C125" i="6"/>
  <c r="I424" i="6"/>
  <c r="D424" i="6"/>
  <c r="I430" i="6"/>
  <c r="D430" i="6"/>
  <c r="C430" i="6"/>
  <c r="I192" i="6"/>
  <c r="D192" i="6"/>
  <c r="C192" i="6"/>
  <c r="I73" i="6"/>
  <c r="C73" i="6"/>
  <c r="C723" i="6"/>
  <c r="D723" i="6"/>
  <c r="I140" i="6"/>
  <c r="C140" i="6"/>
  <c r="G246" i="6"/>
  <c r="F246" i="6"/>
  <c r="C246" i="6"/>
  <c r="C474" i="6"/>
  <c r="C647" i="6"/>
  <c r="C494" i="6"/>
  <c r="C523" i="6"/>
  <c r="C501" i="6"/>
  <c r="I162" i="6"/>
  <c r="D162" i="6"/>
  <c r="C162" i="6"/>
  <c r="I164" i="6"/>
  <c r="D164" i="6"/>
  <c r="C164" i="6"/>
  <c r="I432" i="6"/>
  <c r="D432" i="6"/>
  <c r="C432" i="6"/>
  <c r="I204" i="6"/>
  <c r="D204" i="6"/>
  <c r="C204" i="6"/>
  <c r="I48" i="6"/>
  <c r="D48" i="6"/>
  <c r="C48" i="6"/>
  <c r="I156" i="6"/>
  <c r="D156" i="6"/>
  <c r="C156" i="6"/>
  <c r="C667" i="6"/>
  <c r="C536" i="6"/>
  <c r="C488" i="6"/>
  <c r="C251" i="6"/>
  <c r="G235" i="6"/>
  <c r="F235" i="6"/>
  <c r="D235" i="6"/>
  <c r="C235" i="6"/>
  <c r="I358" i="6"/>
  <c r="D358" i="6"/>
  <c r="C358" i="6"/>
  <c r="D232" i="6"/>
  <c r="C232" i="6"/>
  <c r="I95" i="6"/>
  <c r="D95" i="6"/>
  <c r="C95" i="6"/>
  <c r="I211" i="6"/>
  <c r="D211" i="6"/>
  <c r="C211" i="6"/>
  <c r="I360" i="6"/>
  <c r="D360" i="6"/>
  <c r="C360" i="6"/>
  <c r="I174" i="6"/>
  <c r="D174" i="6"/>
  <c r="C174" i="6"/>
  <c r="I153" i="6"/>
  <c r="D153" i="6"/>
  <c r="F247" i="6"/>
  <c r="C247" i="6"/>
  <c r="G307" i="6"/>
  <c r="F307" i="6"/>
  <c r="C307" i="6"/>
  <c r="I203" i="6"/>
  <c r="C203" i="6"/>
  <c r="I138" i="6"/>
  <c r="D138" i="6"/>
  <c r="C138" i="6"/>
  <c r="I98" i="6"/>
  <c r="D98" i="6"/>
  <c r="C98" i="6"/>
  <c r="I45" i="6"/>
  <c r="C45" i="6"/>
  <c r="C316" i="6"/>
  <c r="G239" i="6"/>
  <c r="F239" i="6"/>
  <c r="C239" i="6"/>
  <c r="I178" i="6"/>
  <c r="D178" i="6"/>
  <c r="C178" i="6"/>
  <c r="I380" i="6"/>
  <c r="D380" i="6"/>
  <c r="C380" i="6"/>
  <c r="I437" i="6"/>
  <c r="D437" i="6"/>
  <c r="C437" i="6"/>
  <c r="C702" i="6"/>
  <c r="I363" i="6"/>
  <c r="D363" i="6"/>
  <c r="C363" i="6"/>
  <c r="C234" i="6"/>
  <c r="I179" i="6"/>
  <c r="D179" i="6"/>
  <c r="C179" i="6"/>
  <c r="C629" i="6"/>
  <c r="C623" i="6"/>
  <c r="G316" i="6"/>
  <c r="F316" i="6"/>
  <c r="D316" i="6"/>
  <c r="I115" i="6"/>
  <c r="D115" i="6"/>
  <c r="C115" i="6"/>
  <c r="I375" i="6"/>
  <c r="D375" i="6"/>
  <c r="C375" i="6"/>
  <c r="I129" i="6"/>
  <c r="D129" i="6"/>
  <c r="C129" i="6"/>
  <c r="I54" i="6"/>
  <c r="D54" i="6"/>
  <c r="C54" i="6"/>
  <c r="I410" i="6"/>
  <c r="D410" i="6"/>
  <c r="C410" i="6"/>
  <c r="C471" i="6"/>
  <c r="C599" i="6"/>
  <c r="C552" i="6"/>
  <c r="C532" i="6"/>
  <c r="I32" i="6"/>
  <c r="D32" i="6"/>
  <c r="C32" i="6"/>
  <c r="I180" i="6"/>
  <c r="D180" i="6"/>
  <c r="C180" i="6"/>
  <c r="G252" i="6"/>
  <c r="F252" i="6"/>
  <c r="C252" i="6"/>
  <c r="I384" i="6"/>
  <c r="D384" i="6"/>
  <c r="C384" i="6"/>
  <c r="C614" i="6"/>
  <c r="F265" i="6"/>
  <c r="C265" i="6"/>
  <c r="C479" i="6"/>
  <c r="C547" i="6"/>
  <c r="C631" i="6"/>
  <c r="C618" i="6"/>
  <c r="I436" i="6"/>
  <c r="D436" i="6"/>
  <c r="I103" i="6"/>
  <c r="D103" i="6"/>
  <c r="C686" i="6"/>
  <c r="G282" i="6"/>
  <c r="F282" i="6"/>
  <c r="D282" i="6"/>
  <c r="C282" i="6"/>
  <c r="C97" i="6"/>
  <c r="I212" i="6"/>
  <c r="D212" i="6"/>
  <c r="C212" i="6"/>
  <c r="D417" i="6"/>
  <c r="I417" i="6"/>
  <c r="D712" i="6"/>
  <c r="C712" i="6"/>
  <c r="F323" i="6"/>
  <c r="C323" i="6"/>
  <c r="G273" i="6"/>
  <c r="F273" i="6"/>
  <c r="C273" i="6"/>
  <c r="C495" i="6"/>
  <c r="C503" i="6"/>
  <c r="C482" i="6"/>
  <c r="C635" i="6"/>
  <c r="C624" i="6"/>
  <c r="C648" i="6"/>
  <c r="C637" i="6"/>
  <c r="C646" i="6"/>
  <c r="I134" i="6"/>
  <c r="D134" i="6"/>
  <c r="C134" i="6"/>
  <c r="C626" i="6"/>
  <c r="C548" i="6"/>
  <c r="C636" i="6"/>
  <c r="C669" i="6"/>
  <c r="D230" i="6"/>
  <c r="C230" i="6"/>
  <c r="I372" i="6"/>
  <c r="D372" i="6"/>
  <c r="I399" i="6"/>
  <c r="D399" i="6"/>
  <c r="I421" i="6"/>
  <c r="D421" i="6"/>
  <c r="C421" i="6"/>
  <c r="I185" i="6"/>
  <c r="D185" i="6"/>
  <c r="I184" i="6"/>
  <c r="D184" i="6"/>
  <c r="C184" i="6"/>
  <c r="I200" i="6"/>
  <c r="D200" i="6"/>
  <c r="C200" i="6"/>
  <c r="I114" i="6"/>
  <c r="D114" i="6"/>
  <c r="C114" i="6"/>
  <c r="I94" i="6"/>
  <c r="D94" i="6"/>
  <c r="C94" i="6"/>
  <c r="I207" i="6"/>
  <c r="D207" i="6"/>
  <c r="C207" i="6"/>
  <c r="D717" i="6"/>
  <c r="C717" i="6"/>
  <c r="D701" i="6"/>
  <c r="C701" i="6"/>
  <c r="C632" i="6"/>
  <c r="C584" i="6"/>
  <c r="C575" i="6"/>
  <c r="C475" i="6"/>
  <c r="I428" i="6"/>
  <c r="C428" i="6"/>
  <c r="C225" i="6"/>
  <c r="I202" i="6"/>
  <c r="D202" i="6"/>
  <c r="C202" i="6"/>
  <c r="I86" i="6"/>
  <c r="C86" i="6"/>
  <c r="I219" i="6"/>
  <c r="C219" i="6"/>
  <c r="I99" i="6"/>
  <c r="C99" i="6"/>
  <c r="I81" i="6"/>
  <c r="C81" i="6"/>
  <c r="I133" i="6"/>
  <c r="D133" i="6"/>
  <c r="C133" i="6"/>
  <c r="I369" i="5"/>
  <c r="I406" i="5"/>
  <c r="I167" i="5"/>
  <c r="I194" i="5"/>
  <c r="I220" i="5"/>
  <c r="I102" i="5"/>
  <c r="I106" i="5"/>
  <c r="I425" i="5"/>
  <c r="I370" i="5"/>
  <c r="I50" i="5"/>
  <c r="I155" i="5"/>
  <c r="I422" i="5"/>
  <c r="I221" i="5"/>
  <c r="I374" i="5"/>
  <c r="I190" i="5"/>
  <c r="I177" i="5"/>
  <c r="I43" i="5"/>
  <c r="I420" i="5"/>
  <c r="I148" i="5"/>
  <c r="I398" i="5"/>
  <c r="I187" i="5"/>
  <c r="I36" i="5"/>
  <c r="I377" i="5"/>
  <c r="I409" i="5"/>
  <c r="I408" i="5"/>
  <c r="I403" i="5"/>
  <c r="I352" i="5"/>
  <c r="I218" i="5"/>
  <c r="I201" i="5"/>
  <c r="I199" i="5"/>
  <c r="I197" i="5"/>
  <c r="I182" i="5"/>
  <c r="I131" i="5"/>
  <c r="I87" i="5"/>
  <c r="I38" i="5"/>
  <c r="I101" i="5"/>
  <c r="I93" i="5"/>
  <c r="I359" i="5"/>
  <c r="I113" i="5"/>
  <c r="I165" i="5"/>
  <c r="I395" i="5"/>
  <c r="I413" i="5"/>
  <c r="I401" i="5"/>
  <c r="I144" i="5"/>
  <c r="I336" i="5"/>
  <c r="I343" i="5"/>
  <c r="I350" i="5"/>
  <c r="I354" i="5"/>
  <c r="I356" i="5"/>
  <c r="I358" i="5"/>
  <c r="I360" i="5"/>
  <c r="I363" i="5"/>
  <c r="I367" i="5"/>
  <c r="I372" i="5"/>
  <c r="I373" i="5"/>
  <c r="I375" i="5"/>
  <c r="I376" i="5"/>
  <c r="I380" i="5"/>
  <c r="I381" i="5"/>
  <c r="I384" i="5"/>
  <c r="I393" i="5"/>
  <c r="I394" i="5"/>
  <c r="I399" i="5"/>
  <c r="I400" i="5"/>
  <c r="I410" i="5"/>
  <c r="I411" i="5"/>
  <c r="I414" i="5"/>
  <c r="I415" i="5"/>
  <c r="I419" i="5"/>
  <c r="I421" i="5"/>
  <c r="I424" i="5"/>
  <c r="I428" i="5"/>
  <c r="I430" i="5"/>
  <c r="I431" i="5"/>
  <c r="I432" i="5"/>
  <c r="I435" i="5"/>
  <c r="I436" i="5"/>
  <c r="I437" i="5"/>
  <c r="I442" i="5"/>
  <c r="I445" i="5"/>
  <c r="I78" i="5"/>
  <c r="I72" i="5"/>
  <c r="I158" i="5"/>
  <c r="I128" i="5"/>
  <c r="I208" i="5"/>
  <c r="I91" i="5"/>
  <c r="I42" i="5"/>
  <c r="I31" i="5"/>
  <c r="I34" i="5"/>
  <c r="I41" i="5"/>
  <c r="I25" i="5"/>
  <c r="H25" i="5"/>
  <c r="I26" i="5"/>
  <c r="I28" i="5"/>
  <c r="I40" i="5"/>
  <c r="I35" i="5"/>
  <c r="I30" i="5"/>
  <c r="I39" i="5"/>
  <c r="I33" i="5"/>
  <c r="I82" i="5"/>
  <c r="I29" i="5"/>
  <c r="I23" i="5"/>
  <c r="I22" i="5"/>
  <c r="I89" i="5"/>
  <c r="I79" i="5"/>
  <c r="I71" i="5"/>
  <c r="I75" i="5"/>
  <c r="I66" i="5"/>
  <c r="I53" i="5"/>
  <c r="I84" i="5"/>
  <c r="I70" i="5"/>
  <c r="I27" i="5"/>
  <c r="I88" i="5"/>
  <c r="I76" i="5"/>
  <c r="I85" i="5"/>
  <c r="I77" i="5"/>
  <c r="I80" i="5"/>
  <c r="I74" i="5"/>
  <c r="I145" i="5"/>
  <c r="I172" i="5"/>
  <c r="I215" i="5"/>
  <c r="I111" i="5"/>
  <c r="I105" i="5"/>
  <c r="I195" i="5"/>
  <c r="I24" i="5"/>
  <c r="I141" i="5"/>
  <c r="I181" i="5"/>
  <c r="I176" i="5"/>
  <c r="I198" i="5"/>
  <c r="I139" i="5"/>
  <c r="I100" i="5"/>
  <c r="I123" i="5"/>
  <c r="H354" i="5"/>
  <c r="I68" i="5"/>
  <c r="I63" i="5"/>
  <c r="I126" i="5"/>
  <c r="I175" i="5"/>
  <c r="I122" i="5"/>
  <c r="I65" i="5"/>
  <c r="I55" i="5"/>
  <c r="I125" i="5"/>
  <c r="I73" i="5"/>
  <c r="I192" i="5"/>
  <c r="I140" i="5"/>
  <c r="I92" i="5"/>
  <c r="I162" i="5"/>
  <c r="I164" i="5"/>
  <c r="I204" i="5"/>
  <c r="I48" i="5"/>
  <c r="I156" i="5"/>
  <c r="I95" i="5"/>
  <c r="I211" i="5"/>
  <c r="I174" i="5"/>
  <c r="I153" i="5"/>
  <c r="I98" i="5"/>
  <c r="I138" i="5"/>
  <c r="I203" i="5"/>
  <c r="I45" i="5"/>
  <c r="I115" i="5"/>
  <c r="I129" i="5"/>
  <c r="I54" i="5"/>
  <c r="I178" i="5"/>
  <c r="I32" i="5"/>
  <c r="I180" i="5"/>
  <c r="I103" i="5"/>
  <c r="I185" i="5"/>
  <c r="I184" i="5"/>
  <c r="I200" i="5"/>
  <c r="I114" i="5"/>
  <c r="I94" i="5"/>
  <c r="I207" i="5"/>
  <c r="I134" i="5"/>
  <c r="I202" i="5"/>
  <c r="I86" i="5"/>
  <c r="I219" i="5"/>
  <c r="I99" i="5"/>
  <c r="I81" i="5"/>
  <c r="I133" i="5"/>
  <c r="I60" i="5"/>
  <c r="I64" i="5"/>
  <c r="I117" i="5"/>
  <c r="I124" i="5"/>
  <c r="I59" i="5"/>
  <c r="I146" i="5"/>
  <c r="I214" i="5"/>
  <c r="I188" i="5"/>
  <c r="I67" i="5"/>
  <c r="I61" i="5"/>
  <c r="I116" i="5"/>
  <c r="I196" i="5"/>
  <c r="I135" i="5"/>
  <c r="D703" i="6"/>
  <c r="C697" i="6"/>
  <c r="C651" i="6"/>
  <c r="C609" i="6"/>
  <c r="C593" i="6"/>
  <c r="C592" i="6"/>
  <c r="C569" i="6"/>
  <c r="C490" i="6"/>
  <c r="C470" i="6"/>
  <c r="D393" i="6"/>
  <c r="C393" i="6"/>
  <c r="D356" i="6"/>
  <c r="G295" i="6"/>
  <c r="F295" i="6"/>
  <c r="D295" i="6"/>
  <c r="C295" i="6"/>
  <c r="G245" i="6"/>
  <c r="F245" i="6"/>
  <c r="D245" i="6"/>
  <c r="C245" i="6"/>
  <c r="D231" i="6"/>
  <c r="C231" i="6"/>
  <c r="D146" i="6"/>
  <c r="C146" i="6"/>
  <c r="D124" i="6"/>
  <c r="C124" i="6"/>
  <c r="D117" i="6"/>
  <c r="C117" i="6"/>
  <c r="D64" i="6"/>
  <c r="C64" i="6"/>
  <c r="D60" i="6"/>
  <c r="C60" i="6"/>
  <c r="D59" i="6"/>
  <c r="C59" i="6"/>
  <c r="D704" i="6"/>
  <c r="C704" i="6"/>
  <c r="C581" i="6"/>
  <c r="C519" i="6"/>
  <c r="C469" i="6"/>
  <c r="D435" i="6"/>
  <c r="C435" i="6"/>
  <c r="D350" i="6"/>
  <c r="C350" i="6"/>
  <c r="G317" i="6"/>
  <c r="F317" i="6"/>
  <c r="D317" i="6"/>
  <c r="C317" i="6"/>
  <c r="F311" i="6"/>
  <c r="C311" i="6"/>
  <c r="F294" i="6"/>
  <c r="C294" i="6"/>
  <c r="C214" i="6"/>
  <c r="C580" i="6"/>
  <c r="C516" i="6"/>
  <c r="D442" i="6"/>
  <c r="C442" i="6"/>
  <c r="D419" i="6"/>
  <c r="C419" i="6"/>
  <c r="D376" i="6"/>
  <c r="C376" i="6"/>
  <c r="G318" i="6"/>
  <c r="F318" i="6"/>
  <c r="C318" i="6"/>
  <c r="G310" i="6"/>
  <c r="F310" i="6"/>
  <c r="D310" i="6"/>
  <c r="C310" i="6"/>
  <c r="G303" i="6"/>
  <c r="F303" i="6"/>
  <c r="D303" i="6"/>
  <c r="C303" i="6"/>
  <c r="G237" i="6"/>
  <c r="F237" i="6"/>
  <c r="D237" i="6"/>
  <c r="C237" i="6"/>
  <c r="C228" i="6"/>
  <c r="D196" i="6"/>
  <c r="C196" i="6"/>
  <c r="D188" i="6"/>
  <c r="C188" i="6"/>
  <c r="D135" i="6"/>
  <c r="C135" i="6"/>
  <c r="D116" i="6"/>
  <c r="C116" i="6"/>
  <c r="D67" i="6"/>
  <c r="C67" i="6"/>
  <c r="D61" i="6"/>
  <c r="C61" i="6"/>
  <c r="D720" i="5"/>
  <c r="D414" i="5"/>
  <c r="D411" i="5"/>
  <c r="D404" i="5"/>
  <c r="D384" i="5"/>
  <c r="D380" i="5"/>
  <c r="D365" i="5"/>
  <c r="D355" i="5"/>
  <c r="D352" i="5"/>
  <c r="D296" i="5"/>
  <c r="D291" i="5"/>
  <c r="D281" i="5"/>
  <c r="D258" i="5"/>
  <c r="D240" i="5"/>
  <c r="D214" i="5"/>
  <c r="D201" i="5"/>
  <c r="D106" i="5"/>
  <c r="D76" i="5"/>
  <c r="D49" i="5"/>
  <c r="C81" i="5"/>
  <c r="C174" i="5"/>
  <c r="D431" i="5"/>
  <c r="C431" i="5"/>
  <c r="H426" i="5"/>
  <c r="D426" i="5"/>
  <c r="C426" i="5"/>
  <c r="H408" i="5"/>
  <c r="D408" i="5"/>
  <c r="C408" i="5"/>
  <c r="H399" i="5"/>
  <c r="D399" i="5"/>
  <c r="C399" i="5"/>
  <c r="H395" i="5"/>
  <c r="D395" i="5"/>
  <c r="C395" i="5"/>
  <c r="H393" i="5"/>
  <c r="D393" i="5"/>
  <c r="C393" i="5"/>
  <c r="H390" i="5"/>
  <c r="D390" i="5"/>
  <c r="C390" i="5"/>
  <c r="C382" i="5"/>
  <c r="H382" i="5"/>
  <c r="D382" i="5"/>
  <c r="H351" i="5"/>
  <c r="C355" i="5"/>
  <c r="D351" i="5"/>
  <c r="C351" i="5"/>
  <c r="G322" i="5"/>
  <c r="F322" i="5"/>
  <c r="D322" i="5"/>
  <c r="C322" i="5"/>
  <c r="G317" i="5"/>
  <c r="F317" i="5"/>
  <c r="D317" i="5"/>
  <c r="C317" i="5"/>
  <c r="G301" i="5"/>
  <c r="F301" i="5"/>
  <c r="C301" i="5"/>
  <c r="G268" i="5"/>
  <c r="F268" i="5"/>
  <c r="D268" i="5"/>
  <c r="C268" i="5"/>
  <c r="C229" i="5"/>
  <c r="D220" i="5"/>
  <c r="C220" i="5"/>
  <c r="C195" i="5"/>
  <c r="C181" i="5"/>
  <c r="D174" i="5"/>
  <c r="D157" i="5"/>
  <c r="C157" i="5"/>
  <c r="D142" i="5"/>
  <c r="C142" i="5"/>
  <c r="C140" i="5"/>
  <c r="C122" i="5"/>
  <c r="D122" i="5"/>
  <c r="D52" i="5"/>
  <c r="C52" i="5"/>
  <c r="D46" i="5"/>
  <c r="C46" i="5"/>
  <c r="D433" i="5"/>
  <c r="C433" i="5"/>
  <c r="C443" i="5"/>
  <c r="C482" i="5"/>
  <c r="C577" i="5"/>
  <c r="C653" i="5"/>
  <c r="C214" i="5" l="1"/>
  <c r="C330" i="5"/>
  <c r="F330" i="5"/>
  <c r="C285" i="5"/>
  <c r="F258" i="5"/>
  <c r="C258" i="5"/>
  <c r="C211" i="5"/>
  <c r="C235" i="5"/>
  <c r="H226" i="5"/>
  <c r="C204" i="5"/>
  <c r="C374" i="5"/>
  <c r="C197" i="5"/>
  <c r="D195" i="5"/>
  <c r="C394" i="5"/>
  <c r="C208" i="5"/>
  <c r="C187" i="5"/>
  <c r="C178" i="5"/>
  <c r="C101" i="5"/>
  <c r="C86" i="5"/>
  <c r="C72" i="5"/>
  <c r="C41" i="5"/>
  <c r="C33" i="5"/>
  <c r="D24" i="5"/>
  <c r="C24" i="5"/>
  <c r="H17" i="5"/>
  <c r="H13" i="5"/>
  <c r="H11" i="5"/>
  <c r="H8" i="5"/>
  <c r="D177" i="5"/>
  <c r="C177" i="5"/>
  <c r="C182" i="5"/>
  <c r="D182" i="5"/>
  <c r="H182" i="5"/>
  <c r="C725" i="5"/>
  <c r="D715" i="5"/>
  <c r="C715" i="5"/>
  <c r="C677" i="5"/>
  <c r="C533" i="5"/>
  <c r="D708" i="5"/>
  <c r="C708" i="5"/>
  <c r="H392" i="5"/>
  <c r="D392" i="5"/>
  <c r="C392" i="5"/>
  <c r="H337" i="5"/>
  <c r="D337" i="5"/>
  <c r="C337" i="5"/>
  <c r="C481" i="5"/>
  <c r="C467" i="5"/>
  <c r="H121" i="5"/>
  <c r="D121" i="5"/>
  <c r="C121" i="5"/>
  <c r="H189" i="5"/>
  <c r="D189" i="5"/>
  <c r="C189" i="5"/>
  <c r="H186" i="5"/>
  <c r="D186" i="5"/>
  <c r="C186" i="5"/>
  <c r="G267" i="5"/>
  <c r="F267" i="5"/>
  <c r="D267" i="5"/>
  <c r="C267" i="5"/>
  <c r="H171" i="5"/>
  <c r="D171" i="5"/>
  <c r="C171" i="5"/>
  <c r="C524" i="5"/>
  <c r="H52" i="5"/>
  <c r="C463" i="5"/>
  <c r="C699" i="5"/>
  <c r="D229" i="5"/>
  <c r="H385" i="5"/>
  <c r="D385" i="5"/>
  <c r="C385" i="5"/>
  <c r="D397" i="5"/>
  <c r="C397" i="5"/>
  <c r="H127" i="5"/>
  <c r="D127" i="5"/>
  <c r="C127" i="5"/>
  <c r="C587" i="5"/>
  <c r="C512" i="5"/>
  <c r="D210" i="5"/>
  <c r="C210" i="5"/>
  <c r="H161" i="5"/>
  <c r="D161" i="5"/>
  <c r="C161" i="5"/>
  <c r="F288" i="5"/>
  <c r="G288" i="5"/>
  <c r="C288" i="5"/>
  <c r="H387" i="5"/>
  <c r="D387" i="5"/>
  <c r="C387" i="5"/>
  <c r="H341" i="5"/>
  <c r="D341" i="5"/>
  <c r="C341" i="5"/>
  <c r="D368" i="5"/>
  <c r="C368" i="5"/>
  <c r="F272" i="5"/>
  <c r="C272" i="5"/>
  <c r="H369" i="5"/>
  <c r="D369" i="5"/>
  <c r="C369" i="5"/>
  <c r="C645" i="5"/>
  <c r="C484" i="5"/>
  <c r="F256" i="5"/>
  <c r="C256" i="5"/>
  <c r="H24" i="5"/>
  <c r="H343" i="5"/>
  <c r="D343" i="5"/>
  <c r="C343" i="5"/>
  <c r="H98" i="5"/>
  <c r="D98" i="5"/>
  <c r="C98" i="5"/>
  <c r="G307" i="5"/>
  <c r="F307" i="5"/>
  <c r="C307" i="5"/>
  <c r="F247" i="5"/>
  <c r="C247" i="5"/>
  <c r="H138" i="5"/>
  <c r="D138" i="5"/>
  <c r="C138" i="5"/>
  <c r="H203" i="5"/>
  <c r="D203" i="5"/>
  <c r="C203" i="5"/>
  <c r="H45" i="5"/>
  <c r="D45" i="5"/>
  <c r="C45" i="5"/>
  <c r="H336" i="5"/>
  <c r="D336" i="5"/>
  <c r="C336" i="5"/>
  <c r="H32" i="5"/>
  <c r="D32" i="5"/>
  <c r="C32" i="5"/>
  <c r="C532" i="5"/>
  <c r="G276" i="5"/>
  <c r="F276" i="5"/>
  <c r="D276" i="5"/>
  <c r="C276" i="5"/>
  <c r="H103" i="5"/>
  <c r="D103" i="5"/>
  <c r="C103" i="5"/>
  <c r="H16" i="5"/>
  <c r="C547" i="5"/>
  <c r="C618" i="5"/>
  <c r="F265" i="5"/>
  <c r="C265" i="5"/>
  <c r="H436" i="5"/>
  <c r="D436" i="5"/>
  <c r="C436" i="5"/>
  <c r="C479" i="5"/>
  <c r="C631" i="5"/>
  <c r="C681" i="5"/>
  <c r="C684" i="5"/>
  <c r="C692" i="5"/>
  <c r="C689" i="5"/>
  <c r="C690" i="5"/>
  <c r="C560" i="5"/>
  <c r="H191" i="5"/>
  <c r="D191" i="5"/>
  <c r="C191" i="5"/>
  <c r="H168" i="5"/>
  <c r="D168" i="5"/>
  <c r="C168" i="5"/>
  <c r="H110" i="5"/>
  <c r="D110" i="5"/>
  <c r="C110" i="5"/>
  <c r="H205" i="5"/>
  <c r="D205" i="5"/>
  <c r="C205" i="5"/>
  <c r="H96" i="5"/>
  <c r="D96" i="5"/>
  <c r="C96" i="5"/>
  <c r="H118" i="5"/>
  <c r="D118" i="5"/>
  <c r="C118" i="5"/>
  <c r="H364" i="5"/>
  <c r="D364" i="5"/>
  <c r="C364" i="5"/>
  <c r="H361" i="5"/>
  <c r="D361" i="5"/>
  <c r="C361" i="5"/>
  <c r="H443" i="5"/>
  <c r="H383" i="5"/>
  <c r="D383" i="5"/>
  <c r="C383" i="5"/>
  <c r="H365" i="5"/>
  <c r="C365" i="5"/>
  <c r="F289" i="5"/>
  <c r="C289" i="5"/>
  <c r="C535" i="5"/>
  <c r="C518" i="5"/>
  <c r="C534" i="5"/>
  <c r="F259" i="5"/>
  <c r="C259" i="5"/>
  <c r="H173" i="5"/>
  <c r="D173" i="5"/>
  <c r="C173" i="5"/>
  <c r="H130" i="5"/>
  <c r="D130" i="5"/>
  <c r="C130" i="5"/>
  <c r="C544" i="5"/>
  <c r="C659" i="5"/>
  <c r="H216" i="5"/>
  <c r="D216" i="5"/>
  <c r="C216" i="5"/>
  <c r="C529" i="5"/>
  <c r="H90" i="5"/>
  <c r="D90" i="5"/>
  <c r="C90" i="5"/>
  <c r="H169" i="5"/>
  <c r="C169" i="5"/>
  <c r="G275" i="5"/>
  <c r="F275" i="5"/>
  <c r="D275" i="5"/>
  <c r="C275" i="5"/>
  <c r="H49" i="5"/>
  <c r="C49" i="5"/>
  <c r="C700" i="5"/>
  <c r="D700" i="5"/>
  <c r="H217" i="5"/>
  <c r="D217" i="5"/>
  <c r="C217" i="5"/>
  <c r="C633" i="5"/>
  <c r="C685" i="5"/>
  <c r="F266" i="5"/>
  <c r="C266" i="5"/>
  <c r="G314" i="5"/>
  <c r="F314" i="5"/>
  <c r="D314" i="5"/>
  <c r="C314" i="5"/>
  <c r="H389" i="5"/>
  <c r="D389" i="5"/>
  <c r="C389" i="5"/>
  <c r="H58" i="5"/>
  <c r="C58" i="5"/>
  <c r="C557" i="5"/>
  <c r="H62" i="5"/>
  <c r="D62" i="5"/>
  <c r="C62" i="5"/>
  <c r="H170" i="5"/>
  <c r="C170" i="5"/>
  <c r="G280" i="5"/>
  <c r="F280" i="5"/>
  <c r="C280" i="5"/>
  <c r="H402" i="5"/>
  <c r="D402" i="5"/>
  <c r="C402" i="5"/>
  <c r="H160" i="5"/>
  <c r="D160" i="5"/>
  <c r="C160" i="5"/>
  <c r="H438" i="5"/>
  <c r="D438" i="5"/>
  <c r="C438" i="5"/>
  <c r="H213" i="5"/>
  <c r="D213" i="5"/>
  <c r="C213" i="5"/>
  <c r="D716" i="5"/>
  <c r="C716" i="5"/>
  <c r="G248" i="5"/>
  <c r="F248" i="5"/>
  <c r="D248" i="5"/>
  <c r="C248" i="5"/>
  <c r="C601" i="5"/>
  <c r="C590" i="5"/>
  <c r="H434" i="5"/>
  <c r="D434" i="5"/>
  <c r="C434" i="5"/>
  <c r="G120" i="5"/>
  <c r="D120" i="5"/>
  <c r="C120" i="5"/>
  <c r="H112" i="5"/>
  <c r="D112" i="5"/>
  <c r="C112" i="5"/>
  <c r="G244" i="5"/>
  <c r="F244" i="5"/>
  <c r="C244" i="5"/>
  <c r="H441" i="5"/>
  <c r="D441" i="5"/>
  <c r="C441" i="5"/>
  <c r="C478" i="5"/>
  <c r="C511" i="5"/>
  <c r="H4" i="5"/>
  <c r="C454" i="5"/>
  <c r="C472" i="5"/>
  <c r="H10" i="5"/>
  <c r="C457" i="5"/>
  <c r="H44" i="5"/>
  <c r="D44" i="5"/>
  <c r="C44" i="5"/>
  <c r="H46" i="5"/>
  <c r="C594" i="5"/>
  <c r="H56" i="5"/>
  <c r="D56" i="5"/>
  <c r="C56" i="5"/>
  <c r="C504" i="5"/>
  <c r="C480" i="5"/>
  <c r="H143" i="5"/>
  <c r="H152" i="5"/>
  <c r="D143" i="5"/>
  <c r="C143" i="5"/>
  <c r="H396" i="5"/>
  <c r="D396" i="5"/>
  <c r="C396" i="5"/>
  <c r="H371" i="5"/>
  <c r="D371" i="5"/>
  <c r="C371" i="5"/>
  <c r="H427" i="5"/>
  <c r="D427" i="5"/>
  <c r="C427" i="5"/>
  <c r="H108" i="5"/>
  <c r="D108" i="5"/>
  <c r="C108" i="5"/>
  <c r="D147" i="5"/>
  <c r="C147" i="5"/>
  <c r="C498" i="5"/>
  <c r="G274" i="5"/>
  <c r="F274" i="5"/>
  <c r="D274" i="5"/>
  <c r="C274" i="5"/>
  <c r="H159" i="5"/>
  <c r="D159" i="5"/>
  <c r="C159" i="5"/>
  <c r="H157" i="5"/>
  <c r="H405" i="5"/>
  <c r="D405" i="5"/>
  <c r="C405" i="5"/>
  <c r="D152" i="5"/>
  <c r="C152" i="5"/>
  <c r="C485" i="5"/>
  <c r="C596" i="5"/>
  <c r="H51" i="5"/>
  <c r="D51" i="5"/>
  <c r="C51" i="5"/>
  <c r="H2" i="5"/>
  <c r="C720" i="5"/>
  <c r="H404" i="5"/>
  <c r="C404" i="5"/>
  <c r="D224" i="5"/>
  <c r="C224" i="5"/>
  <c r="C585" i="5"/>
  <c r="H14" i="5"/>
  <c r="H5" i="5"/>
  <c r="H440" i="5"/>
  <c r="D440" i="5"/>
  <c r="C440" i="5"/>
  <c r="D705" i="5"/>
  <c r="C705" i="5"/>
  <c r="G291" i="5"/>
  <c r="F291" i="5"/>
  <c r="C291" i="5"/>
  <c r="C578" i="5"/>
  <c r="C583" i="5"/>
  <c r="H183" i="5"/>
  <c r="D183" i="5"/>
  <c r="C183" i="5"/>
  <c r="C582" i="5"/>
  <c r="C616" i="5"/>
  <c r="H379" i="5"/>
  <c r="D379" i="5"/>
  <c r="C379" i="5"/>
  <c r="H151" i="5"/>
  <c r="D151" i="5"/>
  <c r="C151" i="5"/>
  <c r="C517" i="5"/>
  <c r="C718" i="5"/>
  <c r="G269" i="5"/>
  <c r="F269" i="5"/>
  <c r="D269" i="5"/>
  <c r="C269" i="5"/>
  <c r="H429" i="5"/>
  <c r="D429" i="5"/>
  <c r="C429" i="5"/>
  <c r="H57" i="5"/>
  <c r="D57" i="5"/>
  <c r="C57" i="5"/>
  <c r="C579" i="5"/>
  <c r="C695" i="5"/>
  <c r="H119" i="5"/>
  <c r="D119" i="5"/>
  <c r="C119" i="5"/>
  <c r="H136" i="5"/>
  <c r="D136" i="5"/>
  <c r="C136" i="5"/>
  <c r="H407" i="5"/>
  <c r="D407" i="5"/>
  <c r="C407" i="5"/>
  <c r="F292" i="5"/>
  <c r="C292" i="5"/>
  <c r="H132" i="5"/>
  <c r="D132" i="5"/>
  <c r="C132" i="5"/>
  <c r="H357" i="5"/>
  <c r="D357" i="5"/>
  <c r="C357" i="5"/>
  <c r="H388" i="5"/>
  <c r="D388" i="5"/>
  <c r="C388" i="5"/>
  <c r="H109" i="5"/>
  <c r="D109" i="5"/>
  <c r="C109" i="5"/>
  <c r="H142" i="5"/>
  <c r="C496" i="5"/>
  <c r="C525" i="5"/>
  <c r="C617" i="5"/>
  <c r="C640" i="5"/>
  <c r="H83" i="5"/>
  <c r="D83" i="5"/>
  <c r="C83" i="5"/>
  <c r="C603" i="5"/>
  <c r="C610" i="5"/>
  <c r="C489" i="5"/>
  <c r="D707" i="5"/>
  <c r="C707" i="5"/>
  <c r="H423" i="5"/>
  <c r="D423" i="5"/>
  <c r="C423" i="5"/>
  <c r="F321" i="5"/>
  <c r="D321" i="5"/>
  <c r="C321" i="5"/>
  <c r="C458" i="5"/>
  <c r="C460" i="5"/>
  <c r="C597" i="5"/>
  <c r="H137" i="5"/>
  <c r="D137" i="5"/>
  <c r="C137" i="5"/>
  <c r="C598" i="5"/>
  <c r="C672" i="5"/>
  <c r="H206" i="5"/>
  <c r="D206" i="5"/>
  <c r="C206" i="5"/>
  <c r="C602" i="5"/>
  <c r="C558" i="5"/>
  <c r="H163" i="5"/>
  <c r="D163" i="5"/>
  <c r="C163" i="5"/>
  <c r="C493" i="5"/>
  <c r="H149" i="5"/>
  <c r="D149" i="5"/>
  <c r="C149" i="5"/>
  <c r="C608" i="5"/>
  <c r="C591" i="5"/>
  <c r="C466" i="5"/>
  <c r="C514" i="5"/>
  <c r="C687" i="5"/>
  <c r="C455" i="5"/>
  <c r="C586" i="5"/>
  <c r="C572" i="5"/>
  <c r="H150" i="5"/>
  <c r="D150" i="5"/>
  <c r="C150" i="5"/>
  <c r="H104" i="5"/>
  <c r="D104" i="5"/>
  <c r="C104" i="5"/>
  <c r="C553" i="5"/>
  <c r="C491" i="5"/>
  <c r="C563" i="5"/>
  <c r="C605" i="5"/>
  <c r="C606" i="5"/>
  <c r="H418" i="5"/>
  <c r="D418" i="5"/>
  <c r="C418" i="5"/>
  <c r="C461" i="5"/>
  <c r="C566" i="5"/>
  <c r="C510" i="5"/>
  <c r="C588" i="5"/>
  <c r="C562" i="5"/>
  <c r="C565" i="5"/>
  <c r="C664" i="5"/>
  <c r="C576" i="5"/>
  <c r="C644" i="5"/>
  <c r="C499" i="5"/>
  <c r="D444" i="5"/>
  <c r="C444" i="5"/>
  <c r="G240" i="5"/>
  <c r="F240" i="5"/>
  <c r="C240" i="5"/>
  <c r="D227" i="5"/>
  <c r="C227" i="5"/>
  <c r="H107" i="5"/>
  <c r="D107" i="5"/>
  <c r="C107" i="5"/>
  <c r="H37" i="5"/>
  <c r="C37" i="5"/>
  <c r="H166" i="5"/>
  <c r="D166" i="5"/>
  <c r="C166" i="5"/>
  <c r="H154" i="5"/>
  <c r="D154" i="5"/>
  <c r="C154" i="5"/>
  <c r="H406" i="5"/>
  <c r="D406" i="5"/>
  <c r="C406" i="5"/>
  <c r="C711" i="5"/>
  <c r="H167" i="5"/>
  <c r="D167" i="5"/>
  <c r="C167" i="5"/>
  <c r="H194" i="5"/>
  <c r="D194" i="5"/>
  <c r="C194" i="5"/>
  <c r="C666" i="5"/>
  <c r="C530" i="5"/>
  <c r="H220" i="5"/>
  <c r="H102" i="5"/>
  <c r="D102" i="5"/>
  <c r="C102" i="5"/>
  <c r="C656" i="5"/>
  <c r="H106" i="5"/>
  <c r="C106" i="5"/>
  <c r="C670" i="5"/>
  <c r="C528" i="5"/>
  <c r="H425" i="5"/>
  <c r="D425" i="5"/>
  <c r="C425" i="5"/>
  <c r="C674" i="5"/>
  <c r="C492" i="5"/>
  <c r="H370" i="5"/>
  <c r="D370" i="5"/>
  <c r="C370" i="5"/>
  <c r="C668" i="5"/>
  <c r="H50" i="5"/>
  <c r="D50" i="5"/>
  <c r="C50" i="5"/>
  <c r="C554" i="5"/>
  <c r="H155" i="5"/>
  <c r="D155" i="5"/>
  <c r="C155" i="5"/>
  <c r="H422" i="5"/>
  <c r="D422" i="5"/>
  <c r="C422" i="5"/>
  <c r="H221" i="5"/>
  <c r="D221" i="5"/>
  <c r="C221" i="5"/>
  <c r="C507" i="5"/>
  <c r="H374" i="5"/>
  <c r="D374" i="5"/>
  <c r="H190" i="5"/>
  <c r="D190" i="5"/>
  <c r="C190" i="5"/>
  <c r="H43" i="5"/>
  <c r="D43" i="5"/>
  <c r="C43" i="5"/>
  <c r="D710" i="5"/>
  <c r="C710" i="5"/>
  <c r="C571" i="5"/>
  <c r="H420" i="5"/>
  <c r="D420" i="5"/>
  <c r="C420" i="5"/>
  <c r="H148" i="5"/>
  <c r="D148" i="5"/>
  <c r="C148" i="5"/>
  <c r="H398" i="5"/>
  <c r="D398" i="5"/>
  <c r="C398" i="5"/>
  <c r="F250" i="5"/>
  <c r="C250" i="5"/>
  <c r="H187" i="5"/>
  <c r="D36" i="5"/>
  <c r="H36" i="5"/>
  <c r="C36" i="5"/>
  <c r="H377" i="5"/>
  <c r="C377" i="5"/>
  <c r="C682" i="5"/>
  <c r="D713" i="5"/>
  <c r="C713" i="5"/>
  <c r="C698" i="5"/>
  <c r="C691" i="5"/>
  <c r="C641" i="5"/>
  <c r="C612" i="5"/>
  <c r="C573" i="5"/>
  <c r="C515" i="5"/>
  <c r="C476" i="5"/>
  <c r="H409" i="5"/>
  <c r="D409" i="5"/>
  <c r="C409" i="5"/>
  <c r="D412" i="5"/>
  <c r="C412" i="5"/>
  <c r="H403" i="5"/>
  <c r="D403" i="5"/>
  <c r="C403" i="5"/>
  <c r="F309" i="5"/>
  <c r="C309" i="5"/>
  <c r="H352" i="5"/>
  <c r="C352" i="5"/>
  <c r="F277" i="5"/>
  <c r="C277" i="5"/>
  <c r="F271" i="5"/>
  <c r="C271" i="5"/>
  <c r="F241" i="5"/>
  <c r="C241" i="5"/>
  <c r="H201" i="5"/>
  <c r="C201" i="5"/>
  <c r="H197" i="5"/>
  <c r="D197" i="5"/>
  <c r="H218" i="5"/>
  <c r="D218" i="5"/>
  <c r="C218" i="5"/>
  <c r="H199" i="5"/>
  <c r="D199" i="5"/>
  <c r="C199" i="5"/>
  <c r="H87" i="5"/>
  <c r="D87" i="5"/>
  <c r="C87" i="5"/>
  <c r="H38" i="5"/>
  <c r="D38" i="5"/>
  <c r="C38" i="5"/>
  <c r="H131" i="5"/>
  <c r="D131" i="5"/>
  <c r="C131" i="5"/>
  <c r="H12" i="5"/>
  <c r="C526" i="5"/>
  <c r="C671" i="5"/>
  <c r="H101" i="5"/>
  <c r="D101" i="5"/>
  <c r="C564" i="5"/>
  <c r="C502" i="5"/>
  <c r="H93" i="5"/>
  <c r="D93" i="5"/>
  <c r="C93" i="5"/>
  <c r="C497" i="5"/>
  <c r="C693" i="5"/>
  <c r="C680" i="5"/>
  <c r="H359" i="5"/>
  <c r="D359" i="5"/>
  <c r="C359" i="5"/>
  <c r="H113" i="5"/>
  <c r="D113" i="5"/>
  <c r="C113" i="5"/>
  <c r="H165" i="5"/>
  <c r="C165" i="5"/>
  <c r="D721" i="5"/>
  <c r="C721" i="5"/>
  <c r="C628" i="5"/>
  <c r="C615" i="5"/>
  <c r="C570" i="5"/>
  <c r="C568" i="5"/>
  <c r="C549" i="5"/>
  <c r="C508" i="5"/>
  <c r="C486" i="5"/>
  <c r="H413" i="5"/>
  <c r="D413" i="5"/>
  <c r="C413" i="5"/>
  <c r="H401" i="5"/>
  <c r="D401" i="5"/>
  <c r="C401" i="5"/>
  <c r="G293" i="5"/>
  <c r="F293" i="5"/>
  <c r="D293" i="5"/>
  <c r="C293" i="5"/>
  <c r="D233" i="5"/>
  <c r="C233" i="5"/>
  <c r="H78" i="5"/>
  <c r="D78" i="5"/>
  <c r="C78" i="5"/>
  <c r="H144" i="5"/>
  <c r="D144" i="5"/>
  <c r="C144" i="5"/>
  <c r="H72" i="5"/>
  <c r="D72" i="5"/>
  <c r="H373" i="5"/>
  <c r="D373" i="5"/>
  <c r="C373" i="5"/>
  <c r="D706" i="5"/>
  <c r="C706" i="5"/>
  <c r="C559" i="5"/>
  <c r="G249" i="5"/>
  <c r="F249" i="5"/>
  <c r="D249" i="5"/>
  <c r="C249" i="5"/>
  <c r="G297" i="5"/>
  <c r="F297" i="5"/>
  <c r="C297" i="5"/>
  <c r="C663" i="5"/>
  <c r="C589" i="5"/>
  <c r="C459" i="5"/>
  <c r="H431" i="5"/>
  <c r="C505" i="5"/>
  <c r="C521" i="5"/>
  <c r="C678" i="5"/>
  <c r="H158" i="5"/>
  <c r="D158" i="5"/>
  <c r="C158" i="5"/>
  <c r="F257" i="5"/>
  <c r="C257" i="5"/>
  <c r="H128" i="5"/>
  <c r="D128" i="5"/>
  <c r="C128" i="5"/>
  <c r="C527" i="5"/>
  <c r="C673" i="5"/>
  <c r="H208" i="5"/>
  <c r="D208" i="5"/>
  <c r="C676" i="5"/>
  <c r="H91" i="5"/>
  <c r="D91" i="5"/>
  <c r="C91" i="5"/>
  <c r="D719" i="5"/>
  <c r="C719" i="5"/>
  <c r="H381" i="5"/>
  <c r="D381" i="5"/>
  <c r="C381" i="5"/>
  <c r="G264" i="5"/>
  <c r="F264" i="5"/>
  <c r="D264" i="5"/>
  <c r="C264" i="5"/>
  <c r="H42" i="5"/>
  <c r="C42" i="5"/>
  <c r="C657" i="5"/>
  <c r="H31" i="5"/>
  <c r="D31" i="5"/>
  <c r="C31" i="5"/>
  <c r="C541" i="5"/>
  <c r="C539" i="5"/>
  <c r="F262" i="5"/>
  <c r="C262" i="5"/>
  <c r="H29" i="5"/>
  <c r="D29" i="5"/>
  <c r="C29" i="5"/>
  <c r="C639" i="5"/>
  <c r="G255" i="5"/>
  <c r="F255" i="5"/>
  <c r="D255" i="5"/>
  <c r="C255" i="5"/>
  <c r="H34" i="5"/>
  <c r="C34" i="5"/>
  <c r="C625" i="5"/>
  <c r="H23" i="5"/>
  <c r="D23" i="5"/>
  <c r="C23" i="5"/>
  <c r="G260" i="5"/>
  <c r="F260" i="5"/>
  <c r="C260" i="5"/>
  <c r="C543" i="5"/>
  <c r="G263" i="5"/>
  <c r="F263" i="5"/>
  <c r="D263" i="5"/>
  <c r="C263" i="5"/>
  <c r="H41" i="5"/>
  <c r="D41" i="5"/>
  <c r="C531" i="5"/>
  <c r="D25" i="5"/>
  <c r="C25" i="5"/>
  <c r="G299" i="5"/>
  <c r="F299" i="5"/>
  <c r="C299" i="5"/>
  <c r="F300" i="5"/>
  <c r="C300" i="5"/>
  <c r="H26" i="5"/>
  <c r="D26" i="5"/>
  <c r="C26" i="5"/>
  <c r="C542" i="5"/>
  <c r="G305" i="5"/>
  <c r="F305" i="5"/>
  <c r="C305" i="5"/>
  <c r="H28" i="5"/>
  <c r="D28" i="5"/>
  <c r="C28" i="5"/>
  <c r="C550" i="5"/>
  <c r="C540" i="5"/>
  <c r="H40" i="5"/>
  <c r="D40" i="5"/>
  <c r="C40" i="5"/>
  <c r="F261" i="5"/>
  <c r="C261" i="5"/>
  <c r="H35" i="5"/>
  <c r="D35" i="5"/>
  <c r="C35" i="5"/>
  <c r="G304" i="5"/>
  <c r="F304" i="5"/>
  <c r="C304" i="5"/>
  <c r="C551" i="5"/>
  <c r="G298" i="5"/>
  <c r="F298" i="5"/>
  <c r="D298" i="5"/>
  <c r="C298" i="5"/>
  <c r="H22" i="5"/>
  <c r="D22" i="5"/>
  <c r="C22" i="5"/>
  <c r="C650" i="5"/>
  <c r="G296" i="5"/>
  <c r="F296" i="5"/>
  <c r="C296" i="5"/>
  <c r="H30" i="5"/>
  <c r="C30" i="5"/>
  <c r="C537" i="5"/>
  <c r="H39" i="5"/>
  <c r="C39" i="5"/>
  <c r="F302" i="5"/>
  <c r="C302" i="5"/>
  <c r="C545" i="5"/>
  <c r="C643" i="5"/>
  <c r="G324" i="5"/>
  <c r="D324" i="5"/>
  <c r="F324" i="5"/>
  <c r="C324" i="5"/>
  <c r="H82" i="5"/>
  <c r="D82" i="5"/>
  <c r="C82" i="5"/>
  <c r="C675" i="5"/>
  <c r="C546" i="5"/>
  <c r="F326" i="5"/>
  <c r="C326" i="5"/>
  <c r="H89" i="5"/>
  <c r="D89" i="5"/>
  <c r="C89" i="5"/>
  <c r="G330" i="5"/>
  <c r="H79" i="5"/>
  <c r="D79" i="5"/>
  <c r="C79" i="5"/>
  <c r="C652" i="5"/>
  <c r="F329" i="5"/>
  <c r="D329" i="5"/>
  <c r="C329" i="5"/>
  <c r="H71" i="5"/>
  <c r="D71" i="5"/>
  <c r="C71" i="5"/>
  <c r="F328" i="5"/>
  <c r="G328" i="5"/>
  <c r="D328" i="5"/>
  <c r="C328" i="5"/>
  <c r="C619" i="5"/>
  <c r="H75" i="5"/>
  <c r="D75" i="5"/>
  <c r="C75" i="5"/>
  <c r="C622" i="5"/>
  <c r="G332" i="5"/>
  <c r="F332" i="5"/>
  <c r="D332" i="5"/>
  <c r="C332" i="5"/>
  <c r="H66" i="5"/>
  <c r="D66" i="5"/>
  <c r="C66" i="5"/>
  <c r="C621" i="5"/>
  <c r="F331" i="5"/>
  <c r="C331" i="5"/>
  <c r="H53" i="5"/>
  <c r="C53" i="5"/>
  <c r="G284" i="5"/>
  <c r="F284" i="5"/>
  <c r="C284" i="5"/>
  <c r="H84" i="5"/>
  <c r="D84" i="5"/>
  <c r="C84" i="5"/>
  <c r="C611" i="5"/>
  <c r="C620" i="5"/>
  <c r="F278" i="5"/>
  <c r="C278" i="5"/>
  <c r="H88" i="5"/>
  <c r="D88" i="5"/>
  <c r="C88" i="5"/>
  <c r="G327" i="5"/>
  <c r="F327" i="5"/>
  <c r="D327" i="5"/>
  <c r="C327" i="5"/>
  <c r="C627" i="5"/>
  <c r="H76" i="5"/>
  <c r="C76" i="5"/>
  <c r="C655" i="5"/>
  <c r="H70" i="5"/>
  <c r="D70" i="5"/>
  <c r="C70" i="5"/>
  <c r="G287" i="5"/>
  <c r="F287" i="5"/>
  <c r="D287" i="5"/>
  <c r="C287" i="5"/>
  <c r="C661" i="5"/>
  <c r="G286" i="5"/>
  <c r="F286" i="5"/>
  <c r="C286" i="5"/>
  <c r="H27" i="5"/>
  <c r="D27" i="5"/>
  <c r="C27" i="5"/>
  <c r="C613" i="5"/>
  <c r="G285" i="5"/>
  <c r="F285" i="5"/>
  <c r="H85" i="5"/>
  <c r="C85" i="5"/>
  <c r="C658" i="5"/>
  <c r="H77" i="5"/>
  <c r="D77" i="5"/>
  <c r="C77" i="5"/>
  <c r="G281" i="5"/>
  <c r="F281" i="5"/>
  <c r="C281" i="5"/>
  <c r="C665" i="5"/>
  <c r="F279" i="5"/>
  <c r="C279" i="5"/>
  <c r="H80" i="5"/>
  <c r="D80" i="5"/>
  <c r="C80" i="5"/>
  <c r="G283" i="5"/>
  <c r="F283" i="5"/>
  <c r="C283" i="5"/>
  <c r="H74" i="5"/>
  <c r="D74" i="5"/>
  <c r="C74" i="5"/>
  <c r="C662" i="5"/>
  <c r="G308" i="5"/>
  <c r="F308" i="5"/>
  <c r="C308" i="5"/>
  <c r="H145" i="5"/>
  <c r="C145" i="5"/>
  <c r="H367" i="5"/>
  <c r="D367" i="5"/>
  <c r="C367" i="5"/>
  <c r="G243" i="5"/>
  <c r="F243" i="5"/>
  <c r="C243" i="5"/>
  <c r="D722" i="5"/>
  <c r="C722" i="5"/>
  <c r="H172" i="5"/>
  <c r="C172" i="5"/>
  <c r="H215" i="5"/>
  <c r="D215" i="5"/>
  <c r="C215" i="5"/>
  <c r="H111" i="5"/>
  <c r="D111" i="5"/>
  <c r="C111" i="5"/>
  <c r="H105" i="5"/>
  <c r="D105" i="5"/>
  <c r="C105" i="5"/>
  <c r="H195" i="5"/>
  <c r="C556" i="5"/>
  <c r="C649" i="5"/>
  <c r="C642" i="5"/>
  <c r="C600" i="5"/>
  <c r="C574" i="5"/>
  <c r="C473" i="5"/>
  <c r="C464" i="5"/>
  <c r="C456" i="5"/>
  <c r="C683" i="5"/>
  <c r="H181" i="5"/>
  <c r="C694" i="5"/>
  <c r="G313" i="5"/>
  <c r="F313" i="5"/>
  <c r="C313" i="5"/>
  <c r="H141" i="5"/>
  <c r="D141" i="5"/>
  <c r="C141" i="5"/>
  <c r="C477" i="5"/>
  <c r="C500" i="5"/>
  <c r="H176" i="5"/>
  <c r="D176" i="5"/>
  <c r="C176" i="5"/>
  <c r="H400" i="5"/>
  <c r="D400" i="5"/>
  <c r="C400" i="5"/>
  <c r="G270" i="5"/>
  <c r="F270" i="5"/>
  <c r="D270" i="5"/>
  <c r="C270" i="5"/>
  <c r="H198" i="5"/>
  <c r="D198" i="5"/>
  <c r="C198" i="5"/>
  <c r="G242" i="5"/>
  <c r="F242" i="5"/>
  <c r="C242" i="5"/>
  <c r="H139" i="5"/>
  <c r="C139" i="5"/>
  <c r="H414" i="5"/>
  <c r="C414" i="5"/>
  <c r="H100" i="5"/>
  <c r="D100" i="5"/>
  <c r="C100" i="5"/>
  <c r="H123" i="5"/>
  <c r="D123" i="5"/>
  <c r="C123" i="5"/>
  <c r="G315" i="5"/>
  <c r="F315" i="5"/>
  <c r="D315" i="5"/>
  <c r="C315" i="5"/>
  <c r="D354" i="5"/>
  <c r="C354" i="5"/>
  <c r="D724" i="5"/>
  <c r="C724" i="5"/>
  <c r="H68" i="5"/>
  <c r="D68" i="5"/>
  <c r="C68" i="5"/>
  <c r="H394" i="5"/>
  <c r="D394" i="5"/>
  <c r="H63" i="5"/>
  <c r="D63" i="5"/>
  <c r="C63" i="5"/>
  <c r="F325" i="5"/>
  <c r="C325" i="5"/>
  <c r="H126" i="5"/>
  <c r="D126" i="5"/>
  <c r="C126" i="5"/>
  <c r="C483" i="5"/>
  <c r="C468" i="5"/>
  <c r="H175" i="5"/>
  <c r="D175" i="5"/>
  <c r="C175" i="5"/>
  <c r="C567" i="5"/>
  <c r="G306" i="5"/>
  <c r="F306" i="5"/>
  <c r="D306" i="5"/>
  <c r="C306" i="5"/>
  <c r="C411" i="5"/>
  <c r="C607" i="5"/>
  <c r="H6" i="5"/>
  <c r="H65" i="5"/>
  <c r="D65" i="5"/>
  <c r="C65" i="5"/>
  <c r="G319" i="5"/>
  <c r="F319" i="5"/>
  <c r="D319" i="5"/>
  <c r="C319" i="5"/>
  <c r="H55" i="5"/>
  <c r="C55" i="5"/>
  <c r="C506" i="5"/>
  <c r="C465" i="5"/>
  <c r="H430" i="5"/>
  <c r="D430" i="5"/>
  <c r="C430" i="5"/>
  <c r="G320" i="5"/>
  <c r="F320" i="5"/>
  <c r="C320" i="5"/>
  <c r="H424" i="5"/>
  <c r="D424" i="5"/>
  <c r="C424" i="5"/>
  <c r="D125" i="5"/>
  <c r="C125" i="5"/>
  <c r="G253" i="5"/>
  <c r="F253" i="5"/>
  <c r="D253" i="5"/>
  <c r="C253" i="5"/>
  <c r="H73" i="5"/>
  <c r="C73" i="5"/>
  <c r="H192" i="5"/>
  <c r="D192" i="5"/>
  <c r="C192" i="5"/>
  <c r="H415" i="5"/>
  <c r="D415" i="5"/>
  <c r="C415" i="5"/>
  <c r="H140" i="5"/>
  <c r="D723" i="5"/>
  <c r="C723" i="5"/>
  <c r="H92" i="5"/>
  <c r="D92" i="5"/>
  <c r="C92" i="5"/>
  <c r="C501" i="5"/>
  <c r="C523" i="5"/>
  <c r="H162" i="5"/>
  <c r="D162" i="5"/>
  <c r="C162" i="5"/>
  <c r="H164" i="5"/>
  <c r="D164" i="5"/>
  <c r="C164" i="5"/>
  <c r="H432" i="5"/>
  <c r="D432" i="5"/>
  <c r="C432" i="5"/>
  <c r="C494" i="5"/>
  <c r="H204" i="5"/>
  <c r="D204" i="5"/>
  <c r="C647" i="5"/>
  <c r="C474" i="5"/>
  <c r="H48" i="5"/>
  <c r="D48" i="5"/>
  <c r="C48" i="5"/>
  <c r="H156" i="5"/>
  <c r="D156" i="5"/>
  <c r="C156" i="5"/>
  <c r="G246" i="5"/>
  <c r="F246" i="5"/>
  <c r="C246" i="5"/>
  <c r="C709" i="5"/>
  <c r="D709" i="5"/>
  <c r="H95" i="5"/>
  <c r="D95" i="5"/>
  <c r="C95" i="5"/>
  <c r="H211" i="5"/>
  <c r="D211" i="5"/>
  <c r="H174" i="5"/>
  <c r="G235" i="5"/>
  <c r="F235" i="5"/>
  <c r="D235" i="5"/>
  <c r="H360" i="5"/>
  <c r="D360" i="5"/>
  <c r="C360" i="5"/>
  <c r="C488" i="5"/>
  <c r="C667" i="5"/>
  <c r="H358" i="5"/>
  <c r="D358" i="5"/>
  <c r="C358" i="5"/>
  <c r="D232" i="5"/>
  <c r="C232" i="5"/>
  <c r="G251" i="5"/>
  <c r="F251" i="5"/>
  <c r="C251" i="5"/>
  <c r="G312" i="5"/>
  <c r="F312" i="5"/>
  <c r="D312" i="5"/>
  <c r="C312" i="5"/>
  <c r="H153" i="5"/>
  <c r="D153" i="5"/>
  <c r="C153" i="5"/>
  <c r="C536" i="5"/>
  <c r="C225" i="5"/>
  <c r="D702" i="5"/>
  <c r="C702" i="5"/>
  <c r="C629" i="5"/>
  <c r="C623" i="5"/>
  <c r="C599" i="5"/>
  <c r="C552" i="5"/>
  <c r="C471" i="5"/>
  <c r="H437" i="5"/>
  <c r="D437" i="5"/>
  <c r="C437" i="5"/>
  <c r="H410" i="5"/>
  <c r="D410" i="5"/>
  <c r="C410" i="5"/>
  <c r="H380" i="5"/>
  <c r="C380" i="5"/>
  <c r="H375" i="5"/>
  <c r="D375" i="5"/>
  <c r="C375" i="5"/>
  <c r="H363" i="5"/>
  <c r="D363" i="5"/>
  <c r="C363" i="5"/>
  <c r="G316" i="5"/>
  <c r="F316" i="5"/>
  <c r="D316" i="5"/>
  <c r="C316" i="5"/>
  <c r="G239" i="5"/>
  <c r="F239" i="5"/>
  <c r="C239" i="5"/>
  <c r="C234" i="5"/>
  <c r="H179" i="5"/>
  <c r="D179" i="5"/>
  <c r="C179" i="5"/>
  <c r="H178" i="5"/>
  <c r="D178" i="5"/>
  <c r="H129" i="5"/>
  <c r="D129" i="5"/>
  <c r="C129" i="5"/>
  <c r="H115" i="5"/>
  <c r="D115" i="5"/>
  <c r="C115" i="5"/>
  <c r="H54" i="5"/>
  <c r="D54" i="5"/>
  <c r="C54" i="5"/>
  <c r="C614" i="5"/>
  <c r="H384" i="5"/>
  <c r="C384" i="5"/>
  <c r="G252" i="5"/>
  <c r="F252" i="5"/>
  <c r="C252" i="5"/>
  <c r="H180" i="5"/>
  <c r="D180" i="5"/>
  <c r="C180" i="5"/>
  <c r="D712" i="5"/>
  <c r="C712" i="5"/>
  <c r="C669" i="5"/>
  <c r="C648" i="5"/>
  <c r="C646" i="5"/>
  <c r="C637" i="5"/>
  <c r="C636" i="5"/>
  <c r="C635" i="5"/>
  <c r="C626" i="5"/>
  <c r="C624" i="5"/>
  <c r="C548" i="5"/>
  <c r="C503" i="5"/>
  <c r="H421" i="5"/>
  <c r="D421" i="5"/>
  <c r="C421" i="5"/>
  <c r="H372" i="5"/>
  <c r="D372" i="5"/>
  <c r="C372" i="5"/>
  <c r="G323" i="5"/>
  <c r="F323" i="5"/>
  <c r="C323" i="5"/>
  <c r="G273" i="5"/>
  <c r="F273" i="5"/>
  <c r="C273" i="5"/>
  <c r="D230" i="5"/>
  <c r="C230" i="5"/>
  <c r="H207" i="5"/>
  <c r="D207" i="5"/>
  <c r="C207" i="5"/>
  <c r="H200" i="5"/>
  <c r="D200" i="5"/>
  <c r="C200" i="5"/>
  <c r="H185" i="5"/>
  <c r="D185" i="5"/>
  <c r="C185" i="5"/>
  <c r="H184" i="5"/>
  <c r="D184" i="5"/>
  <c r="C184" i="5"/>
  <c r="H134" i="5"/>
  <c r="D134" i="5"/>
  <c r="C134" i="5"/>
  <c r="H114" i="5"/>
  <c r="D114" i="5"/>
  <c r="C114" i="5"/>
  <c r="H94" i="5"/>
  <c r="D94" i="5"/>
  <c r="C94" i="5"/>
  <c r="D717" i="5"/>
  <c r="C717" i="5"/>
  <c r="D701" i="5"/>
  <c r="C701" i="5"/>
  <c r="C632" i="5"/>
  <c r="C584" i="5"/>
  <c r="C575" i="5"/>
  <c r="C475" i="5"/>
  <c r="H428" i="5"/>
  <c r="C428" i="5"/>
  <c r="H219" i="5"/>
  <c r="D219" i="5"/>
  <c r="C219" i="5"/>
  <c r="H202" i="5"/>
  <c r="D202" i="5"/>
  <c r="C202" i="5"/>
  <c r="H133" i="5"/>
  <c r="D133" i="5"/>
  <c r="C133" i="5"/>
  <c r="H99" i="5"/>
  <c r="C99" i="5"/>
  <c r="H86" i="5"/>
  <c r="H81" i="5"/>
  <c r="D703" i="5"/>
  <c r="C703" i="5"/>
  <c r="C697" i="5"/>
  <c r="C651" i="5"/>
  <c r="C609" i="5"/>
  <c r="C593" i="5"/>
  <c r="C592" i="5"/>
  <c r="C569" i="5"/>
  <c r="C490" i="5"/>
  <c r="C470" i="5"/>
  <c r="H356" i="5"/>
  <c r="D356" i="5"/>
  <c r="C356" i="5"/>
  <c r="G295" i="5"/>
  <c r="F295" i="5"/>
  <c r="D295" i="5"/>
  <c r="C295" i="5"/>
  <c r="G245" i="5"/>
  <c r="F245" i="5"/>
  <c r="D245" i="5"/>
  <c r="C245" i="5"/>
  <c r="D231" i="5"/>
  <c r="C231" i="5"/>
  <c r="H146" i="5"/>
  <c r="D146" i="5"/>
  <c r="C146" i="5"/>
  <c r="H124" i="5"/>
  <c r="C124" i="5"/>
  <c r="H117" i="5"/>
  <c r="D117" i="5"/>
  <c r="C117" i="5"/>
  <c r="H64" i="5"/>
  <c r="D64" i="5"/>
  <c r="C64" i="5"/>
  <c r="H60" i="5"/>
  <c r="D60" i="5"/>
  <c r="C60" i="5"/>
  <c r="H59" i="5"/>
  <c r="D59" i="5"/>
  <c r="C59" i="5"/>
  <c r="D704" i="5"/>
  <c r="C704" i="5"/>
  <c r="C519" i="5"/>
  <c r="C469" i="5"/>
  <c r="H435" i="5"/>
  <c r="D435" i="5"/>
  <c r="C435" i="5"/>
  <c r="H350" i="5"/>
  <c r="D350" i="5"/>
  <c r="C350" i="5"/>
  <c r="G311" i="5"/>
  <c r="F311" i="5"/>
  <c r="D311" i="5"/>
  <c r="C311" i="5"/>
  <c r="F294" i="5"/>
  <c r="C294" i="5"/>
  <c r="H214" i="5"/>
  <c r="C188" i="5"/>
  <c r="C580" i="5"/>
  <c r="C516" i="5"/>
  <c r="H445" i="5"/>
  <c r="D445" i="5"/>
  <c r="C445" i="5"/>
  <c r="D442" i="5"/>
  <c r="C442" i="5"/>
  <c r="H419" i="5"/>
  <c r="D419" i="5"/>
  <c r="C419" i="5"/>
  <c r="D376" i="5"/>
  <c r="C376" i="5"/>
  <c r="G318" i="5"/>
  <c r="F318" i="5"/>
  <c r="D318" i="5"/>
  <c r="C318" i="5"/>
  <c r="G310" i="5"/>
  <c r="F310" i="5"/>
  <c r="D310" i="5"/>
  <c r="C310" i="5"/>
  <c r="G303" i="5"/>
  <c r="F303" i="5"/>
  <c r="D303" i="5"/>
  <c r="C303" i="5"/>
  <c r="F254" i="5"/>
  <c r="C254" i="5"/>
  <c r="F237" i="5"/>
  <c r="D237" i="5"/>
  <c r="C237" i="5"/>
  <c r="C228" i="5"/>
  <c r="H196" i="5"/>
  <c r="D196" i="5"/>
  <c r="C196" i="5"/>
  <c r="H188" i="5"/>
  <c r="D188" i="5"/>
  <c r="H135" i="5"/>
  <c r="D135" i="5"/>
  <c r="C135" i="5"/>
  <c r="H116" i="5"/>
  <c r="D116" i="5"/>
  <c r="C116" i="5"/>
  <c r="H67" i="5"/>
  <c r="D67" i="5"/>
  <c r="C67" i="5"/>
  <c r="H61" i="5"/>
  <c r="D61" i="5"/>
  <c r="C61" i="5"/>
  <c r="C679" i="8"/>
  <c r="C509" i="11"/>
  <c r="D391" i="11"/>
  <c r="C391" i="11"/>
  <c r="D366" i="11"/>
  <c r="C366" i="11"/>
  <c r="D193" i="11"/>
  <c r="C193" i="11"/>
  <c r="C362" i="8"/>
  <c r="C513" i="11"/>
  <c r="D714" i="11"/>
  <c r="C714" i="11"/>
  <c r="D362" i="11"/>
  <c r="C362" i="11"/>
  <c r="C725" i="11"/>
  <c r="C725" i="9"/>
  <c r="C653" i="9"/>
  <c r="C513" i="9"/>
  <c r="C509" i="9"/>
  <c r="D391" i="9"/>
  <c r="C391" i="9"/>
  <c r="D366" i="9"/>
  <c r="C366" i="9"/>
  <c r="D362" i="9"/>
  <c r="C362" i="9"/>
  <c r="D269" i="9"/>
  <c r="C269" i="9"/>
  <c r="D193" i="9"/>
  <c r="C193" i="9"/>
  <c r="C725" i="8"/>
  <c r="C714" i="8"/>
  <c r="C653" i="8"/>
  <c r="C513" i="8"/>
  <c r="C509" i="8"/>
  <c r="D366" i="8"/>
  <c r="D362" i="8"/>
  <c r="D193" i="8"/>
  <c r="C725" i="6"/>
  <c r="D714" i="6"/>
  <c r="C714" i="6"/>
  <c r="C679" i="6"/>
  <c r="C653" i="6"/>
  <c r="C513" i="6"/>
  <c r="C509" i="6"/>
  <c r="D391" i="6"/>
  <c r="C391" i="6"/>
  <c r="D366" i="6"/>
  <c r="D362" i="6"/>
  <c r="C362" i="6"/>
  <c r="D193" i="6"/>
  <c r="C193" i="6"/>
  <c r="H3" i="5"/>
  <c r="I446" i="6"/>
  <c r="I18" i="6"/>
  <c r="I448" i="6"/>
  <c r="I334" i="6"/>
  <c r="I353" i="6"/>
  <c r="I20" i="6"/>
  <c r="I342" i="6"/>
  <c r="I416" i="6"/>
  <c r="I9" i="6"/>
  <c r="I340" i="6"/>
  <c r="I447" i="6"/>
  <c r="I449" i="6"/>
  <c r="I386" i="6"/>
  <c r="I344" i="6"/>
  <c r="I451" i="6"/>
  <c r="I19" i="6"/>
  <c r="I21" i="6"/>
  <c r="I660" i="6"/>
</calcChain>
</file>

<file path=xl/sharedStrings.xml><?xml version="1.0" encoding="utf-8"?>
<sst xmlns="http://schemas.openxmlformats.org/spreadsheetml/2006/main" count="54370" uniqueCount="891">
  <si>
    <t>CLAVE UR</t>
  </si>
  <si>
    <t>SERIE</t>
  </si>
  <si>
    <t>BN CARTA</t>
  </si>
  <si>
    <t>BN OFICIO</t>
  </si>
  <si>
    <t>BN DC</t>
  </si>
  <si>
    <t>COLOR CARTA</t>
  </si>
  <si>
    <t>COLOR OFICIO</t>
  </si>
  <si>
    <t>ENVIAR</t>
  </si>
  <si>
    <t>COPIAR</t>
  </si>
  <si>
    <t>Columna1</t>
  </si>
  <si>
    <t>UR-00D</t>
  </si>
  <si>
    <t>CN076AM019</t>
  </si>
  <si>
    <t>CN07MAM019</t>
  </si>
  <si>
    <t>CN07NAM00H</t>
  </si>
  <si>
    <t>CN07NAM00Q</t>
  </si>
  <si>
    <t>CN07NAM017</t>
  </si>
  <si>
    <t>CN07OAM005</t>
  </si>
  <si>
    <t>CN07OAM014</t>
  </si>
  <si>
    <t>CN07OAM015</t>
  </si>
  <si>
    <t>CN07OAM017</t>
  </si>
  <si>
    <t>CN094AM00N</t>
  </si>
  <si>
    <t>CN094AM00Q</t>
  </si>
  <si>
    <t>CN094AM019</t>
  </si>
  <si>
    <t>CN094AM01C</t>
  </si>
  <si>
    <t>CN094AM01H</t>
  </si>
  <si>
    <t>CN094AM01N</t>
  </si>
  <si>
    <t>CN117D900Z</t>
  </si>
  <si>
    <t>CNBRP191DG</t>
  </si>
  <si>
    <t>CNBRP193PM</t>
  </si>
  <si>
    <t>CNBRP193VV</t>
  </si>
  <si>
    <t>CNBRP194S3</t>
  </si>
  <si>
    <t>UR-141</t>
  </si>
  <si>
    <t>CNBRP2870Q</t>
  </si>
  <si>
    <t>UR-148</t>
  </si>
  <si>
    <t>CNBRP2870Z</t>
  </si>
  <si>
    <t>CNBRP2871B</t>
  </si>
  <si>
    <t>UR-146</t>
  </si>
  <si>
    <t>CNBRP2871K</t>
  </si>
  <si>
    <t>UR-145</t>
  </si>
  <si>
    <t>CNBRP2871V</t>
  </si>
  <si>
    <t>UR-125</t>
  </si>
  <si>
    <t>CNBRP28723</t>
  </si>
  <si>
    <t>CNBRP2874C</t>
  </si>
  <si>
    <t>UR-150</t>
  </si>
  <si>
    <t>CNBRP2874K</t>
  </si>
  <si>
    <t>UR-140</t>
  </si>
  <si>
    <t>CNBRP2874X</t>
  </si>
  <si>
    <t>UR-151</t>
  </si>
  <si>
    <t>CNBRP2875B</t>
  </si>
  <si>
    <t>CNBRP2875K</t>
  </si>
  <si>
    <t>UR-138</t>
  </si>
  <si>
    <t>CNBRP2875Z</t>
  </si>
  <si>
    <t>UR-149</t>
  </si>
  <si>
    <t>CNBRP2876B</t>
  </si>
  <si>
    <t>UR-142</t>
  </si>
  <si>
    <t>CNBRP2876P</t>
  </si>
  <si>
    <t>CNBRP2876Y</t>
  </si>
  <si>
    <t>CNBRP2877B</t>
  </si>
  <si>
    <t>CNBRP2877L</t>
  </si>
  <si>
    <t>UR-139</t>
  </si>
  <si>
    <t>CNBRP2877Y</t>
  </si>
  <si>
    <t>UR-143</t>
  </si>
  <si>
    <t>CNBRP28787</t>
  </si>
  <si>
    <t>CNBRP2878G</t>
  </si>
  <si>
    <t>CNBRP2878X</t>
  </si>
  <si>
    <t>CNBRP28798</t>
  </si>
  <si>
    <t>CNBRP2879H</t>
  </si>
  <si>
    <t>UR-310</t>
  </si>
  <si>
    <t>CNBRP2879P</t>
  </si>
  <si>
    <t>UR-710</t>
  </si>
  <si>
    <t>CNBRP2879X</t>
  </si>
  <si>
    <t>CNBRP287BB</t>
  </si>
  <si>
    <t>UR-312</t>
  </si>
  <si>
    <t>CNBRP287BP</t>
  </si>
  <si>
    <t>CNBRP287BW</t>
  </si>
  <si>
    <t>CNBRP287C4</t>
  </si>
  <si>
    <t>UR-712</t>
  </si>
  <si>
    <t>CNBRP287CJ</t>
  </si>
  <si>
    <t>CNBRP287CT</t>
  </si>
  <si>
    <t>CNBRP287D6</t>
  </si>
  <si>
    <t>CNBRP287DG</t>
  </si>
  <si>
    <t>CNBRP287DQ</t>
  </si>
  <si>
    <t>CNBRP287DX</t>
  </si>
  <si>
    <t>UR-700</t>
  </si>
  <si>
    <t>CNBRP287F9</t>
  </si>
  <si>
    <t>CNBRP287FG</t>
  </si>
  <si>
    <t>CNBRP287FW</t>
  </si>
  <si>
    <t>CNBRP287G2</t>
  </si>
  <si>
    <t>CNBRP287JX</t>
  </si>
  <si>
    <t>CNBRP287K4</t>
  </si>
  <si>
    <t>CNBRP287KH</t>
  </si>
  <si>
    <t>CNBRP287KS</t>
  </si>
  <si>
    <t>CNBRP287MD</t>
  </si>
  <si>
    <t>CNBRP287ML</t>
  </si>
  <si>
    <t>CNBRP287MT</t>
  </si>
  <si>
    <t>CNBRP287N3</t>
  </si>
  <si>
    <t>CNBRP287NB</t>
  </si>
  <si>
    <t>UR-126</t>
  </si>
  <si>
    <t>CNBRP287NY</t>
  </si>
  <si>
    <t>UR-134</t>
  </si>
  <si>
    <t>CNBRP287QL</t>
  </si>
  <si>
    <t>UR-511</t>
  </si>
  <si>
    <t>CNBRP287RW</t>
  </si>
  <si>
    <t>CNBRP287SZ</t>
  </si>
  <si>
    <t>UR-121</t>
  </si>
  <si>
    <t>CNBRP287Y5</t>
  </si>
  <si>
    <t>UR-133</t>
  </si>
  <si>
    <t>CNBRP287YB</t>
  </si>
  <si>
    <t>UR-127</t>
  </si>
  <si>
    <t>CNBRP287YV</t>
  </si>
  <si>
    <t>UR-123</t>
  </si>
  <si>
    <t>CNBRP287ZQ</t>
  </si>
  <si>
    <t>CNBRP28819</t>
  </si>
  <si>
    <t>UR-135</t>
  </si>
  <si>
    <t>CNBRP2881K</t>
  </si>
  <si>
    <t>UR-122</t>
  </si>
  <si>
    <t>CNBRP2881R</t>
  </si>
  <si>
    <t>CNBRP2881Z</t>
  </si>
  <si>
    <t>UR-137</t>
  </si>
  <si>
    <t>CNBRP2882J</t>
  </si>
  <si>
    <t>UR-311</t>
  </si>
  <si>
    <t>CNBRP2882W</t>
  </si>
  <si>
    <t>CNBRP28837</t>
  </si>
  <si>
    <t>UR-124</t>
  </si>
  <si>
    <t>CNBRP2883V</t>
  </si>
  <si>
    <t>CNBRP28842</t>
  </si>
  <si>
    <t>CNBRP2884L</t>
  </si>
  <si>
    <t>CNBRP2884Q</t>
  </si>
  <si>
    <t>UR-136</t>
  </si>
  <si>
    <t>CNBRP2884X</t>
  </si>
  <si>
    <t>CNBRP28854</t>
  </si>
  <si>
    <t>UR-211</t>
  </si>
  <si>
    <t>CNBRP2885H</t>
  </si>
  <si>
    <t>CNBRP2885R</t>
  </si>
  <si>
    <t>UR-514</t>
  </si>
  <si>
    <t>CNBRP2886B</t>
  </si>
  <si>
    <t>CNBRP2886K</t>
  </si>
  <si>
    <t>CNBRP2886V</t>
  </si>
  <si>
    <t>UR-N00</t>
  </si>
  <si>
    <t>CNBRP28874</t>
  </si>
  <si>
    <t>UR-200</t>
  </si>
  <si>
    <t>CNBRP2887D</t>
  </si>
  <si>
    <t>CNBRP2887K</t>
  </si>
  <si>
    <t>CNBRP2887T</t>
  </si>
  <si>
    <t>CNBRP2887Z</t>
  </si>
  <si>
    <t>CNBRP28885</t>
  </si>
  <si>
    <t>UR-611</t>
  </si>
  <si>
    <t>CNBRP2888K</t>
  </si>
  <si>
    <t>CNBRP2888Q</t>
  </si>
  <si>
    <t>CNBRP2888Y</t>
  </si>
  <si>
    <t>UR-114</t>
  </si>
  <si>
    <t>CNBRP28893</t>
  </si>
  <si>
    <t>CNBRP2889F</t>
  </si>
  <si>
    <t>CNBRP2889N</t>
  </si>
  <si>
    <t>CNBRP288JB</t>
  </si>
  <si>
    <t>CNBRP288JH</t>
  </si>
  <si>
    <t>CNBRP288JN</t>
  </si>
  <si>
    <t>CNBRP288JR</t>
  </si>
  <si>
    <t>CNBRP288L9</t>
  </si>
  <si>
    <t>CNBRP288LG</t>
  </si>
  <si>
    <t>CNBRP288M4</t>
  </si>
  <si>
    <t>CNBRP288M6</t>
  </si>
  <si>
    <t>CNBRP288MB</t>
  </si>
  <si>
    <t>CNBRP288MF</t>
  </si>
  <si>
    <t>CNBRP288MW</t>
  </si>
  <si>
    <t>CNBRP288N0</t>
  </si>
  <si>
    <t>CNBRP288N4</t>
  </si>
  <si>
    <t>CNBRP288N8</t>
  </si>
  <si>
    <t>CNBRP288NL</t>
  </si>
  <si>
    <t>CNBRP288NQ</t>
  </si>
  <si>
    <t>CNBRP288NW</t>
  </si>
  <si>
    <t>CNBRP288NX</t>
  </si>
  <si>
    <t>CNBRP288P1</t>
  </si>
  <si>
    <t>CNBRP288P8</t>
  </si>
  <si>
    <t>CNBRP288PK</t>
  </si>
  <si>
    <t>CNBRP288PM</t>
  </si>
  <si>
    <t>CNBRP288PS</t>
  </si>
  <si>
    <t>CNBRP288PW</t>
  </si>
  <si>
    <t>CNBRP288Q2</t>
  </si>
  <si>
    <t>CNBRP288Q5</t>
  </si>
  <si>
    <t>CNBRP288QC</t>
  </si>
  <si>
    <t>CNBRP288QH</t>
  </si>
  <si>
    <t>CNBRP288QK</t>
  </si>
  <si>
    <t>CNBRP288QN</t>
  </si>
  <si>
    <t>CNBRP288QR</t>
  </si>
  <si>
    <t>UR-210</t>
  </si>
  <si>
    <t>CNBRP288QW</t>
  </si>
  <si>
    <t>CNBRP288QZ</t>
  </si>
  <si>
    <t>UR-118</t>
  </si>
  <si>
    <t>CNBRP288RD</t>
  </si>
  <si>
    <t>CNBRP288RH</t>
  </si>
  <si>
    <t>CNBRP288RL</t>
  </si>
  <si>
    <t>CNBRP288RP</t>
  </si>
  <si>
    <t>CNBRP288RT</t>
  </si>
  <si>
    <t>CNBRP288S0</t>
  </si>
  <si>
    <t>CNBRP288SB</t>
  </si>
  <si>
    <t>CNBRP288SM</t>
  </si>
  <si>
    <t>CNBRP288ST</t>
  </si>
  <si>
    <t>CNBRP288SX</t>
  </si>
  <si>
    <t>CNBRP288T3</t>
  </si>
  <si>
    <t>CNBRP288T5</t>
  </si>
  <si>
    <t>CNBRP288TB</t>
  </si>
  <si>
    <t>CNBRP288TG</t>
  </si>
  <si>
    <t>CNBRP288TP</t>
  </si>
  <si>
    <t>CNBRP288TR</t>
  </si>
  <si>
    <t>CNBRP288TZ</t>
  </si>
  <si>
    <t>CNBRP288V4</t>
  </si>
  <si>
    <t>CNBRP288V7</t>
  </si>
  <si>
    <t>CNBRP288VC</t>
  </si>
  <si>
    <t>CNBRP288VK</t>
  </si>
  <si>
    <t>CNBRP288VP</t>
  </si>
  <si>
    <t>CNBRP288VS</t>
  </si>
  <si>
    <t>CNBRP288VW</t>
  </si>
  <si>
    <t>CNBRP288W0</t>
  </si>
  <si>
    <t>CNBRP288W8</t>
  </si>
  <si>
    <t>CNBRP288WF</t>
  </si>
  <si>
    <t>CNBRP288WJ</t>
  </si>
  <si>
    <t>CNBRP288WP</t>
  </si>
  <si>
    <t>CNBRP288X0</t>
  </si>
  <si>
    <t>CNBRP288XN</t>
  </si>
  <si>
    <t>CNBRP288Y0</t>
  </si>
  <si>
    <t>CNBRP288Z2</t>
  </si>
  <si>
    <t>CNBRP288Z6</t>
  </si>
  <si>
    <t>CNBRP288ZK</t>
  </si>
  <si>
    <t>CNBRP288ZN</t>
  </si>
  <si>
    <t>CNBRP288ZR</t>
  </si>
  <si>
    <t>UR-300</t>
  </si>
  <si>
    <t>CNBRP288ZZ</t>
  </si>
  <si>
    <t>CNBRP28901</t>
  </si>
  <si>
    <t>UR-173</t>
  </si>
  <si>
    <t>CNBRP28906</t>
  </si>
  <si>
    <t>UR-413</t>
  </si>
  <si>
    <t>CNBRP2890K</t>
  </si>
  <si>
    <t>CNBRP2890P</t>
  </si>
  <si>
    <t>CNBRP2890V</t>
  </si>
  <si>
    <t>CNBRP28910</t>
  </si>
  <si>
    <t>CNBRP28913</t>
  </si>
  <si>
    <t>CNBRP28917</t>
  </si>
  <si>
    <t>CNBRP2891G</t>
  </si>
  <si>
    <t>CNBRP2891P</t>
  </si>
  <si>
    <t>CNBRP2891R</t>
  </si>
  <si>
    <t>CNBRP28924</t>
  </si>
  <si>
    <t>CNBRP28929</t>
  </si>
  <si>
    <t>CNBRP2892D</t>
  </si>
  <si>
    <t>CNBRP2892M</t>
  </si>
  <si>
    <t>CNBRP2892N</t>
  </si>
  <si>
    <t>CNBRP2892V</t>
  </si>
  <si>
    <t>CNBRP28933</t>
  </si>
  <si>
    <t>UR-600</t>
  </si>
  <si>
    <t>CNBRP28939</t>
  </si>
  <si>
    <t>CNBRP2893D</t>
  </si>
  <si>
    <t>CNBRP2893K</t>
  </si>
  <si>
    <t>CNBRP2893R</t>
  </si>
  <si>
    <t>CNBRP28942</t>
  </si>
  <si>
    <t>CNBRP28946</t>
  </si>
  <si>
    <t>CNBRP2894N</t>
  </si>
  <si>
    <t>CNBRP2894X</t>
  </si>
  <si>
    <t>CNBRP2894Y</t>
  </si>
  <si>
    <t>CNBRP28952</t>
  </si>
  <si>
    <t>CNBRP28954</t>
  </si>
  <si>
    <t>CNBRP2895B</t>
  </si>
  <si>
    <t>CNBRP2895H</t>
  </si>
  <si>
    <t>CNBRP2895M</t>
  </si>
  <si>
    <t>CNBRP2895S</t>
  </si>
  <si>
    <t>CNBRP28960</t>
  </si>
  <si>
    <t>UR-K00</t>
  </si>
  <si>
    <t>CNBRP28964</t>
  </si>
  <si>
    <t>CNBRP28967</t>
  </si>
  <si>
    <t>CNBRP2896C</t>
  </si>
  <si>
    <t>CNBRP2896G</t>
  </si>
  <si>
    <t>CNBRP2896M</t>
  </si>
  <si>
    <t>CNBRP2896Q</t>
  </si>
  <si>
    <t>CNBRP2896V</t>
  </si>
  <si>
    <t>CNBRP28970</t>
  </si>
  <si>
    <t>CNBRP28974</t>
  </si>
  <si>
    <t>CNC1N5P04M</t>
  </si>
  <si>
    <t>CNC1N6J039</t>
  </si>
  <si>
    <t>CNMCM6D18K</t>
  </si>
  <si>
    <t>CNMCM6D1KL</t>
  </si>
  <si>
    <t>CNNCLAN908</t>
  </si>
  <si>
    <t>CNNCNCQ1KR</t>
  </si>
  <si>
    <t>CNNCP3C0S8</t>
  </si>
  <si>
    <t>CNNCP3C0XV</t>
  </si>
  <si>
    <t>CNNCP3C0XW</t>
  </si>
  <si>
    <t>CNNCP3C0XZ</t>
  </si>
  <si>
    <t>CNNCP3C0Y0</t>
  </si>
  <si>
    <t>CNNCP3C0Y4</t>
  </si>
  <si>
    <t>CNNCP3C0YD</t>
  </si>
  <si>
    <t>JPBCM6503S</t>
  </si>
  <si>
    <t>JPBCM65041</t>
  </si>
  <si>
    <t>JPBCM6504G</t>
  </si>
  <si>
    <t>JPBCM9D03L</t>
  </si>
  <si>
    <t>JPBCMBF167</t>
  </si>
  <si>
    <t>JPBCNB71DW</t>
  </si>
  <si>
    <t>JPBCNB71J7</t>
  </si>
  <si>
    <t>JPBCNB71JL</t>
  </si>
  <si>
    <t>JPBCNB71JP</t>
  </si>
  <si>
    <t>JPBCNB71JS</t>
  </si>
  <si>
    <t>JPBCNB71JY</t>
  </si>
  <si>
    <t>JPBCNB71K0</t>
  </si>
  <si>
    <t>JPBCNB71K1</t>
  </si>
  <si>
    <t>JPBCNB71K4</t>
  </si>
  <si>
    <t>JPBCNB71KC</t>
  </si>
  <si>
    <t>JPBCNB71KG</t>
  </si>
  <si>
    <t>JPBCNB71KK</t>
  </si>
  <si>
    <t>UR-314</t>
  </si>
  <si>
    <t>JPBCNB71KQ</t>
  </si>
  <si>
    <t>JPBCNB71KX</t>
  </si>
  <si>
    <t>JPBCNB71KZ</t>
  </si>
  <si>
    <t>JPBCNB71L2</t>
  </si>
  <si>
    <t>JPBCNB71L7</t>
  </si>
  <si>
    <t>JPBCNB71LC</t>
  </si>
  <si>
    <t>JPBCNB71LF</t>
  </si>
  <si>
    <t>JPBCNB71LJ</t>
  </si>
  <si>
    <t>JPBCNB71LS</t>
  </si>
  <si>
    <t>JPBCNB71LY</t>
  </si>
  <si>
    <t>JPBCNB71M2</t>
  </si>
  <si>
    <t>JPBCNB71M6</t>
  </si>
  <si>
    <t>JPBCNB71ML</t>
  </si>
  <si>
    <t>JPBCNB71NR</t>
  </si>
  <si>
    <t>JPBCNB71PB</t>
  </si>
  <si>
    <t>JPBCNB71PK</t>
  </si>
  <si>
    <t>JPBCNB71PT</t>
  </si>
  <si>
    <t>JPBCNB71PZ</t>
  </si>
  <si>
    <t>JPBCNB71Q1</t>
  </si>
  <si>
    <t>JPBCNB71Q6</t>
  </si>
  <si>
    <t>JPBCNB71Q9</t>
  </si>
  <si>
    <t>JPBCNB71QG</t>
  </si>
  <si>
    <t>UR0712</t>
  </si>
  <si>
    <t>JPBCNB71QK</t>
  </si>
  <si>
    <t>JPBCNB71QL</t>
  </si>
  <si>
    <t>JPBCNB71QX</t>
  </si>
  <si>
    <t>JPBCNB71R5</t>
  </si>
  <si>
    <t>JPBCNB71XX</t>
  </si>
  <si>
    <t>JPBCNB71Y1</t>
  </si>
  <si>
    <t>JPBCNB71Z2</t>
  </si>
  <si>
    <t>JPBCNB71ZC</t>
  </si>
  <si>
    <t>JPBCNB71ZD</t>
  </si>
  <si>
    <t>JPBCNB71ZH</t>
  </si>
  <si>
    <t>JPBCNB71ZQ</t>
  </si>
  <si>
    <t>JPBCNB71ZT</t>
  </si>
  <si>
    <t>JPBCNB7201</t>
  </si>
  <si>
    <t>JPBCNB7205</t>
  </si>
  <si>
    <t>JPBCNB720L</t>
  </si>
  <si>
    <t>JPBCNB7213</t>
  </si>
  <si>
    <t>JPBCP2915S</t>
  </si>
  <si>
    <t>JPBCP29164</t>
  </si>
  <si>
    <t>JPBCP2916M</t>
  </si>
  <si>
    <t>JPBCP2916P</t>
  </si>
  <si>
    <t>JPBCP31017</t>
  </si>
  <si>
    <t>JPBCP3104R</t>
  </si>
  <si>
    <t>JPBCP31059</t>
  </si>
  <si>
    <t>JPBCP3105F</t>
  </si>
  <si>
    <t>JPBCP3105P</t>
  </si>
  <si>
    <t>JPBCP3105S</t>
  </si>
  <si>
    <t>JPBCP3105W</t>
  </si>
  <si>
    <t>JPBCP3105Z</t>
  </si>
  <si>
    <t>JPBCP31062</t>
  </si>
  <si>
    <t>JPBCP3106K</t>
  </si>
  <si>
    <t>JPBCP3106R</t>
  </si>
  <si>
    <t>JPBCP3106V</t>
  </si>
  <si>
    <t>JPBCP3106Z</t>
  </si>
  <si>
    <t>JPBCP3Q1HH</t>
  </si>
  <si>
    <t>JPBCP3Q1HL</t>
  </si>
  <si>
    <t>JPBCP3Q1HN</t>
  </si>
  <si>
    <t>JPBCP3Q1HZ</t>
  </si>
  <si>
    <t>JPBCP3Q1J3</t>
  </si>
  <si>
    <t>JPBCP3Q1JC</t>
  </si>
  <si>
    <t>JPBCP3Q1JF</t>
  </si>
  <si>
    <t>JPBCP3Q1JH</t>
  </si>
  <si>
    <t>JPBCP3Q1JJ</t>
  </si>
  <si>
    <t>JPBCP3Q1JM</t>
  </si>
  <si>
    <t>JPBCP3Q1JY</t>
  </si>
  <si>
    <t>JPBCP3Q1JZ</t>
  </si>
  <si>
    <t>JPBCP441FR</t>
  </si>
  <si>
    <t>JPBCP441G8</t>
  </si>
  <si>
    <t>JPBCP4X0H2</t>
  </si>
  <si>
    <t>JPBCP4X0HQ</t>
  </si>
  <si>
    <t>JPBCP4X0J4</t>
  </si>
  <si>
    <t>JPBCP4X1FY</t>
  </si>
  <si>
    <t>JPBCP4X1HH</t>
  </si>
  <si>
    <t>JPBCP4X1J8</t>
  </si>
  <si>
    <t>JPBCP4X1KK</t>
  </si>
  <si>
    <t>JPBCP4X1KN</t>
  </si>
  <si>
    <t>JPBCP4X1KX</t>
  </si>
  <si>
    <t>JPBCP4X1L0</t>
  </si>
  <si>
    <t>JPBCP4X1LC</t>
  </si>
  <si>
    <t>JPBCP4X1LX</t>
  </si>
  <si>
    <t>MXSC15KG4J</t>
  </si>
  <si>
    <t>MXSC15KG4P</t>
  </si>
  <si>
    <t>MXSC185GSM</t>
  </si>
  <si>
    <t>MXSC185GUM</t>
  </si>
  <si>
    <t>MXSC185GV0</t>
  </si>
  <si>
    <t>MXSC185GVM</t>
  </si>
  <si>
    <t>MXSC185GY2</t>
  </si>
  <si>
    <t>MXSC185H3T</t>
  </si>
  <si>
    <t>MXSC189GXX</t>
  </si>
  <si>
    <t>MXSC189GZ8</t>
  </si>
  <si>
    <t>MXSC189H20</t>
  </si>
  <si>
    <t>MXSC189H3D</t>
  </si>
  <si>
    <t>MXSC189H45</t>
  </si>
  <si>
    <t>MXSC189H4J</t>
  </si>
  <si>
    <t>MXSC189HAD</t>
  </si>
  <si>
    <t>MXSC18AGFR</t>
  </si>
  <si>
    <t>MXSCMCJ06Q</t>
  </si>
  <si>
    <t>MXSCMCJ077</t>
  </si>
  <si>
    <t>MXSCMCJ07D</t>
  </si>
  <si>
    <t>MXSCMCJ0CQ</t>
  </si>
  <si>
    <t>MXSCMCJ0CZ</t>
  </si>
  <si>
    <t>MXSCMCJ0FF</t>
  </si>
  <si>
    <t>MXSCMCJ0FJ</t>
  </si>
  <si>
    <t>MXSCMCJ0FV</t>
  </si>
  <si>
    <t>MXSCMCJ0FZ</t>
  </si>
  <si>
    <t>MXSCMCJ0GN</t>
  </si>
  <si>
    <t>MXSCMCJ0GS</t>
  </si>
  <si>
    <t>MXSCMCJ0H7</t>
  </si>
  <si>
    <t>MXSCMCJ0JM</t>
  </si>
  <si>
    <t>MXSCMCJ0KF</t>
  </si>
  <si>
    <t>MXSCMCJ0KM</t>
  </si>
  <si>
    <t>MXSCN2R0WZ</t>
  </si>
  <si>
    <t>MXSCN2R0XW</t>
  </si>
  <si>
    <t>MXSCN2R0Y8</t>
  </si>
  <si>
    <t>MXSCN2R0YG</t>
  </si>
  <si>
    <t>MXSCN2R0YP</t>
  </si>
  <si>
    <t>MXSCN2R0YZ</t>
  </si>
  <si>
    <t>MXSCN2R102</t>
  </si>
  <si>
    <t>MXSCN2R106</t>
  </si>
  <si>
    <t>MXSCN2R113</t>
  </si>
  <si>
    <t>MXSCN2R1CK</t>
  </si>
  <si>
    <t>MXSCN2R1G0</t>
  </si>
  <si>
    <t>MXSCN2R1TZ</t>
  </si>
  <si>
    <t>MXSCN2R1VW</t>
  </si>
  <si>
    <t>MXSCN2R1WH</t>
  </si>
  <si>
    <t>MXSCN2R1Y3</t>
  </si>
  <si>
    <t>MXSCN2R1YJ</t>
  </si>
  <si>
    <t>MXSCN2R1YM</t>
  </si>
  <si>
    <t>MXSCN2R1ZZ</t>
  </si>
  <si>
    <t>MXSCN2R20P</t>
  </si>
  <si>
    <t>MXSCN2R20Z</t>
  </si>
  <si>
    <t>MXSCN2R2GP</t>
  </si>
  <si>
    <t>MXSCN2R2N2</t>
  </si>
  <si>
    <t>MXSCN2R2QT</t>
  </si>
  <si>
    <t>MXSCN2R2TV</t>
  </si>
  <si>
    <t>MXSCN2R2V3</t>
  </si>
  <si>
    <t>MXSCN2R2VF</t>
  </si>
  <si>
    <t>MXSCN2R2VL</t>
  </si>
  <si>
    <t>MXSCN2R2WC</t>
  </si>
  <si>
    <t>MXSCN2R2WN</t>
  </si>
  <si>
    <t>MXSCN2V0KN</t>
  </si>
  <si>
    <t>MXSCN2V0LM</t>
  </si>
  <si>
    <t>MXSCN2V0LX</t>
  </si>
  <si>
    <t>MXSCN2V0MG</t>
  </si>
  <si>
    <t>MXSCN2V0MP</t>
  </si>
  <si>
    <t>MXSCN2V0T2</t>
  </si>
  <si>
    <t>MXSCN2V0V9</t>
  </si>
  <si>
    <t>MXSCN2V0VJ</t>
  </si>
  <si>
    <t>MXSCN2V0VR</t>
  </si>
  <si>
    <t>MXSCN2V0VY</t>
  </si>
  <si>
    <t>MXSCN2V12F</t>
  </si>
  <si>
    <t>MXSCN2V12R</t>
  </si>
  <si>
    <t>MXSCN2V12X</t>
  </si>
  <si>
    <t>MXSCN2V13D</t>
  </si>
  <si>
    <t>MXSCN2V13H</t>
  </si>
  <si>
    <t>MXSCN2V13Q</t>
  </si>
  <si>
    <t>MXSCN2V1B4</t>
  </si>
  <si>
    <t>MXSCN2V1BV</t>
  </si>
  <si>
    <t>MXSCN3B0X6</t>
  </si>
  <si>
    <t>MXSCN3B0YG</t>
  </si>
  <si>
    <t>MXSCN3B0ZQ</t>
  </si>
  <si>
    <t>MXSCN3B126</t>
  </si>
  <si>
    <t>MXSCN3B12B</t>
  </si>
  <si>
    <t>MXSCN3B12J</t>
  </si>
  <si>
    <t>MXSCN3B12X</t>
  </si>
  <si>
    <t>MXSCN3B131</t>
  </si>
  <si>
    <t>MXSCN3B136</t>
  </si>
  <si>
    <t>MXSCN3B13H</t>
  </si>
  <si>
    <t>MXSCN3B13L</t>
  </si>
  <si>
    <t>MXSCN3B146</t>
  </si>
  <si>
    <t>MXSCN3B15C</t>
  </si>
  <si>
    <t>MXSCN3B160</t>
  </si>
  <si>
    <t>MXSCN3B163</t>
  </si>
  <si>
    <t>MXSCN3J19J</t>
  </si>
  <si>
    <t>MXSCN3J1BR</t>
  </si>
  <si>
    <t>MXSCN3J1CF</t>
  </si>
  <si>
    <t>MXSCN3J1CT</t>
  </si>
  <si>
    <t>MXSCN3J1DJ</t>
  </si>
  <si>
    <t>MXSCN3J1FC</t>
  </si>
  <si>
    <t>MXSCN411FM</t>
  </si>
  <si>
    <t>MXSCN411J8</t>
  </si>
  <si>
    <t>MXSCN411L3</t>
  </si>
  <si>
    <t>MXSCN411L7</t>
  </si>
  <si>
    <t>MXSCN411LX</t>
  </si>
  <si>
    <t>MXSCN411M0</t>
  </si>
  <si>
    <t>MXSCN411MG</t>
  </si>
  <si>
    <t>MXSCN411MH</t>
  </si>
  <si>
    <t>UR-613</t>
  </si>
  <si>
    <t>MXSCN411MN</t>
  </si>
  <si>
    <t>MXSCN411MR</t>
  </si>
  <si>
    <t>MXSCND21GY</t>
  </si>
  <si>
    <t>MXSCP5D1SC</t>
  </si>
  <si>
    <t>MXSCP5D1XQ</t>
  </si>
  <si>
    <t>PHBTT05982</t>
  </si>
  <si>
    <t>PHBTT05985</t>
  </si>
  <si>
    <t>PHBTT05987</t>
  </si>
  <si>
    <t>PHBTT05992</t>
  </si>
  <si>
    <t>PHBTT05996</t>
  </si>
  <si>
    <t>PHBTT05997</t>
  </si>
  <si>
    <t>PHBTT05998</t>
  </si>
  <si>
    <t>PHBTT05999</t>
  </si>
  <si>
    <t>PHBTT06000</t>
  </si>
  <si>
    <t>PHBTT06001</t>
  </si>
  <si>
    <t>PHBTT06002</t>
  </si>
  <si>
    <t>UR-313</t>
  </si>
  <si>
    <t>PHBTT06003</t>
  </si>
  <si>
    <t>PHBTT06004</t>
  </si>
  <si>
    <t>PHBTT06008</t>
  </si>
  <si>
    <t>PHBTT06019</t>
  </si>
  <si>
    <t>PHBTT06027</t>
  </si>
  <si>
    <t>PHBTT06032</t>
  </si>
  <si>
    <t>PHBTT06033</t>
  </si>
  <si>
    <t>PHBTT06034</t>
  </si>
  <si>
    <t>PHBTT06035</t>
  </si>
  <si>
    <t>PHBTT06036</t>
  </si>
  <si>
    <t>PHBTT06037</t>
  </si>
  <si>
    <t>PHBTT06038</t>
  </si>
  <si>
    <t>PHBTT06039</t>
  </si>
  <si>
    <t>PHBTT06045</t>
  </si>
  <si>
    <t>PHBTT06047</t>
  </si>
  <si>
    <t>PHBTT06049</t>
  </si>
  <si>
    <t>PHBTT06051</t>
  </si>
  <si>
    <t>PHBTT06055</t>
  </si>
  <si>
    <t>PHBTT06067</t>
  </si>
  <si>
    <t>PHBTT06070</t>
  </si>
  <si>
    <t>PHBTT06072</t>
  </si>
  <si>
    <t>PHBTT06077</t>
  </si>
  <si>
    <t>PHBTT06078</t>
  </si>
  <si>
    <t>PHBTT06079</t>
  </si>
  <si>
    <t>PHBTT06080</t>
  </si>
  <si>
    <t>PHBTT06082</t>
  </si>
  <si>
    <t>PHBTT06083</t>
  </si>
  <si>
    <t>PHBTT06084</t>
  </si>
  <si>
    <t>PHBTT06086</t>
  </si>
  <si>
    <t>PHBTT06090</t>
  </si>
  <si>
    <t>PHBTT06108</t>
  </si>
  <si>
    <t>PHBTT06111</t>
  </si>
  <si>
    <t>PHBTT06122</t>
  </si>
  <si>
    <t>PHBTT06124</t>
  </si>
  <si>
    <t>PHBTT06125</t>
  </si>
  <si>
    <t>PHBTT06126</t>
  </si>
  <si>
    <t>PHBTT06127</t>
  </si>
  <si>
    <t>PHBTT06128</t>
  </si>
  <si>
    <t>PHBTT06129</t>
  </si>
  <si>
    <t>PHBTT06131</t>
  </si>
  <si>
    <t>PHBTT06132</t>
  </si>
  <si>
    <t>PHBTT06133</t>
  </si>
  <si>
    <t>PHBTT06135</t>
  </si>
  <si>
    <t>PHBTT06137</t>
  </si>
  <si>
    <t>PHBTT06158</t>
  </si>
  <si>
    <t>PHBTT06163</t>
  </si>
  <si>
    <t>PHBTT06165</t>
  </si>
  <si>
    <t>PHBTT06166</t>
  </si>
  <si>
    <t>PHBTT06168</t>
  </si>
  <si>
    <t>PHBTT06175</t>
  </si>
  <si>
    <t>PHBTT06192</t>
  </si>
  <si>
    <t>PHBTT06193</t>
  </si>
  <si>
    <t>PHBTT06205</t>
  </si>
  <si>
    <t>PHBTT06206</t>
  </si>
  <si>
    <t>PHBTT06207</t>
  </si>
  <si>
    <t>PHBTT06208</t>
  </si>
  <si>
    <t>PHBTT06209</t>
  </si>
  <si>
    <t>PHBTT06210</t>
  </si>
  <si>
    <t>PHBTT06211</t>
  </si>
  <si>
    <t>PHBTT06212</t>
  </si>
  <si>
    <t>PHBTT06213</t>
  </si>
  <si>
    <t>PHBTT06216</t>
  </si>
  <si>
    <t>PHBTT06218</t>
  </si>
  <si>
    <t>PHBTT06219</t>
  </si>
  <si>
    <t>PHBTT06220</t>
  </si>
  <si>
    <t>PHBTT06221</t>
  </si>
  <si>
    <t>PHBTT06222</t>
  </si>
  <si>
    <t>PHBTT06224</t>
  </si>
  <si>
    <t>PHBTT06225</t>
  </si>
  <si>
    <t>PHBTT06226</t>
  </si>
  <si>
    <t>PHBTT06227</t>
  </si>
  <si>
    <t>PHBTT06229</t>
  </si>
  <si>
    <t>PHBTT06230</t>
  </si>
  <si>
    <t>PHBTT06231</t>
  </si>
  <si>
    <t>PHBTT06232</t>
  </si>
  <si>
    <t>PHBTT06233</t>
  </si>
  <si>
    <t>PHBTT06235</t>
  </si>
  <si>
    <t>PHBTT06236</t>
  </si>
  <si>
    <t>PHBTT06237</t>
  </si>
  <si>
    <t>PHBTT06238</t>
  </si>
  <si>
    <t>PHBTT06239</t>
  </si>
  <si>
    <t>PHBTT06242</t>
  </si>
  <si>
    <t>PHBTT06243</t>
  </si>
  <si>
    <t>PHBTT06245</t>
  </si>
  <si>
    <t>PHBTT06246</t>
  </si>
  <si>
    <t>PHBTT06247</t>
  </si>
  <si>
    <t>PHBTT06249</t>
  </si>
  <si>
    <t>PHBTT06366</t>
  </si>
  <si>
    <t>PHBTT06405</t>
  </si>
  <si>
    <t>PHBTT06406</t>
  </si>
  <si>
    <t>PHBTT06407</t>
  </si>
  <si>
    <t>PHBTT06409</t>
  </si>
  <si>
    <t>PHBTT06410</t>
  </si>
  <si>
    <t>PHBTT06411</t>
  </si>
  <si>
    <t>PHBTT06412</t>
  </si>
  <si>
    <t>PHBTT06413</t>
  </si>
  <si>
    <t>PHBTT06414</t>
  </si>
  <si>
    <t>PHBTT06415</t>
  </si>
  <si>
    <t>PHBTT06416</t>
  </si>
  <si>
    <t>PHBTT06417</t>
  </si>
  <si>
    <t>PHBTT06418</t>
  </si>
  <si>
    <t>PHBTT06419</t>
  </si>
  <si>
    <t>PHBTT06420</t>
  </si>
  <si>
    <t>PHBTT06422</t>
  </si>
  <si>
    <t>PHBTT06423</t>
  </si>
  <si>
    <t>PHBTT06424</t>
  </si>
  <si>
    <t>PHBTT06426</t>
  </si>
  <si>
    <t>PHBTT06427</t>
  </si>
  <si>
    <t>PHBTT06428</t>
  </si>
  <si>
    <t>PHBTT06430</t>
  </si>
  <si>
    <t>PHBTT06432</t>
  </si>
  <si>
    <t>PHBTT06433</t>
  </si>
  <si>
    <t>PHBTT06434</t>
  </si>
  <si>
    <t>PHBTT06435</t>
  </si>
  <si>
    <t>PHBTT06436</t>
  </si>
  <si>
    <t>PHBTT06437</t>
  </si>
  <si>
    <t>PHBTT06439</t>
  </si>
  <si>
    <t>PHBTT06688</t>
  </si>
  <si>
    <t>PHBTT06689</t>
  </si>
  <si>
    <t>PHBTT06690</t>
  </si>
  <si>
    <t>PHBTT06691</t>
  </si>
  <si>
    <t>PHBTT06692</t>
  </si>
  <si>
    <t>PHBTT06693</t>
  </si>
  <si>
    <t>PHBTT06694</t>
  </si>
  <si>
    <t>PHBTT06695</t>
  </si>
  <si>
    <t>PHBTT06696</t>
  </si>
  <si>
    <t>PHBTT06697</t>
  </si>
  <si>
    <t>PHBTT06698</t>
  </si>
  <si>
    <t>PHBTT06700</t>
  </si>
  <si>
    <t>PHBTT06743</t>
  </si>
  <si>
    <t>PHBTT06746</t>
  </si>
  <si>
    <t>PHBTT06754</t>
  </si>
  <si>
    <t>PHBTT06759</t>
  </si>
  <si>
    <t>PHBTT06760</t>
  </si>
  <si>
    <t>PHBTT06762</t>
  </si>
  <si>
    <t>PHBTT06763</t>
  </si>
  <si>
    <t>PHBTT06765</t>
  </si>
  <si>
    <t>PHBTT06767</t>
  </si>
  <si>
    <t>PHBTT06768</t>
  </si>
  <si>
    <t>PHBTT06769</t>
  </si>
  <si>
    <t>PHBTT06770</t>
  </si>
  <si>
    <t>PHBTT06771</t>
  </si>
  <si>
    <t>PHBTT06772</t>
  </si>
  <si>
    <t>PHBTT06774</t>
  </si>
  <si>
    <t>PHBTT06776</t>
  </si>
  <si>
    <t>PHBTT06786</t>
  </si>
  <si>
    <t>PHBTT07106</t>
  </si>
  <si>
    <t>PHBTT07126</t>
  </si>
  <si>
    <t>PHBTT07127</t>
  </si>
  <si>
    <t>PHBTT07128</t>
  </si>
  <si>
    <t>PHBTT07130</t>
  </si>
  <si>
    <t>PHBTT07131</t>
  </si>
  <si>
    <t>PHBTT07142</t>
  </si>
  <si>
    <t>PHBTT07146</t>
  </si>
  <si>
    <t>PHBTT07147</t>
  </si>
  <si>
    <t>PHBTT07150</t>
  </si>
  <si>
    <t>PHBTT07152</t>
  </si>
  <si>
    <t>PHBTT07153</t>
  </si>
  <si>
    <t>PHBTT07154</t>
  </si>
  <si>
    <t>PHBTT07155</t>
  </si>
  <si>
    <t>PHBTT07158</t>
  </si>
  <si>
    <t>PHBTT07159</t>
  </si>
  <si>
    <t>PHBTT07162</t>
  </si>
  <si>
    <t>PHBTT07163</t>
  </si>
  <si>
    <t>PHBTT07164</t>
  </si>
  <si>
    <t>PHBTT07165</t>
  </si>
  <si>
    <t>PHBTT07166</t>
  </si>
  <si>
    <t>PHBTT07168</t>
  </si>
  <si>
    <t>PHBTT07169</t>
  </si>
  <si>
    <t>PHBTT07170</t>
  </si>
  <si>
    <t>PHBTT07171</t>
  </si>
  <si>
    <t>PHBTT07172</t>
  </si>
  <si>
    <t>PHBTT07173</t>
  </si>
  <si>
    <t>PHBTT07174</t>
  </si>
  <si>
    <t>PHBTT07351</t>
  </si>
  <si>
    <t>PHBTT07360</t>
  </si>
  <si>
    <t>PHBTT07363</t>
  </si>
  <si>
    <t>PHBTT07368</t>
  </si>
  <si>
    <t>PHBTT07369</t>
  </si>
  <si>
    <t>PHBTT07375</t>
  </si>
  <si>
    <t>PHBTT07379</t>
  </si>
  <si>
    <t>PHBTT07380</t>
  </si>
  <si>
    <t>PHBTT07382</t>
  </si>
  <si>
    <t>PHBTT07383</t>
  </si>
  <si>
    <t>PHBTT07384</t>
  </si>
  <si>
    <t>PHBTT07385</t>
  </si>
  <si>
    <t>PHBTT07386</t>
  </si>
  <si>
    <t>PHBTT07394</t>
  </si>
  <si>
    <t>PHBTT07479</t>
  </si>
  <si>
    <t>PHBTT07486</t>
  </si>
  <si>
    <t>PHBTT07499</t>
  </si>
  <si>
    <t>PHBTT07517</t>
  </si>
  <si>
    <t>PHBTT07518</t>
  </si>
  <si>
    <t>PHBTT07529</t>
  </si>
  <si>
    <t>PHBTT07538</t>
  </si>
  <si>
    <t>PHBTT07543</t>
  </si>
  <si>
    <t>PHBTT07545</t>
  </si>
  <si>
    <t>PHBTT07546</t>
  </si>
  <si>
    <t>PHBTT07547</t>
  </si>
  <si>
    <t>PHBTT07548</t>
  </si>
  <si>
    <t>PHBTT07549</t>
  </si>
  <si>
    <t>PHBTT07550</t>
  </si>
  <si>
    <t>PHBTT07551</t>
  </si>
  <si>
    <t>PHBTT07552</t>
  </si>
  <si>
    <t>PHBTT07553</t>
  </si>
  <si>
    <t>PHBTT07555</t>
  </si>
  <si>
    <t>PHBTT07556</t>
  </si>
  <si>
    <t>PHBTT07557</t>
  </si>
  <si>
    <t>PHBTT07558</t>
  </si>
  <si>
    <t>PHBTT07559</t>
  </si>
  <si>
    <t>PHBTT07560</t>
  </si>
  <si>
    <t>PHBTT07561</t>
  </si>
  <si>
    <t>PHBTT07563</t>
  </si>
  <si>
    <t>PHBTT07564</t>
  </si>
  <si>
    <t>PHBTT07568</t>
  </si>
  <si>
    <t>PHBTT07570</t>
  </si>
  <si>
    <t>PHBTT07571</t>
  </si>
  <si>
    <t>PHBTT07572</t>
  </si>
  <si>
    <t>PHBTT07722</t>
  </si>
  <si>
    <t>PHBTT07733</t>
  </si>
  <si>
    <t>PHBTT07734</t>
  </si>
  <si>
    <t>PHBTT07736</t>
  </si>
  <si>
    <t>PHBTT07737</t>
  </si>
  <si>
    <t>PHBTT07742</t>
  </si>
  <si>
    <t>PHBTT07743</t>
  </si>
  <si>
    <t>PHBTT07744</t>
  </si>
  <si>
    <t>PHBTT07745</t>
  </si>
  <si>
    <t>PHBTT07747</t>
  </si>
  <si>
    <t>PHBTT07748</t>
  </si>
  <si>
    <t>PHBTT07749</t>
  </si>
  <si>
    <t>PHBTT07750</t>
  </si>
  <si>
    <t>PHBTT07751</t>
  </si>
  <si>
    <t>PHBTT07752</t>
  </si>
  <si>
    <t>PHBTT07754</t>
  </si>
  <si>
    <t>PHCCP2H0GP</t>
  </si>
  <si>
    <t>PHCCP2H0ST</t>
  </si>
  <si>
    <t>PHCCP2H0TL</t>
  </si>
  <si>
    <t>PHCCP2H0TR</t>
  </si>
  <si>
    <t>PHCCP2H0TX</t>
  </si>
  <si>
    <t>PHCCP2H0TZ</t>
  </si>
  <si>
    <t>PHCCP2H0V0</t>
  </si>
  <si>
    <t>PHCCP2H0V3</t>
  </si>
  <si>
    <t>PHCCP2H0V4</t>
  </si>
  <si>
    <t>PHCCP2H0V9</t>
  </si>
  <si>
    <t>PHCCP2H0VC</t>
  </si>
  <si>
    <t>PHCCP2H0VD</t>
  </si>
  <si>
    <t>PHCCP2H0VH</t>
  </si>
  <si>
    <t>PHCCP2H0VL</t>
  </si>
  <si>
    <t>PHCCP2H0VP</t>
  </si>
  <si>
    <t>PHCCP2H0VS</t>
  </si>
  <si>
    <t>PHCCP2H0VY</t>
  </si>
  <si>
    <t>PHCCP2H0W0</t>
  </si>
  <si>
    <t>PHCCP2H0W2</t>
  </si>
  <si>
    <t>PHCCP2H0W4</t>
  </si>
  <si>
    <t>PHCCP2H0W6</t>
  </si>
  <si>
    <t>PHCCP2H0WC</t>
  </si>
  <si>
    <t>PHCCP2H0WG</t>
  </si>
  <si>
    <t>PHCCP2H0WJ</t>
  </si>
  <si>
    <t>PHCCP2H0WM</t>
  </si>
  <si>
    <t>PHCCP2H0WP</t>
  </si>
  <si>
    <t>PHCCP2H0WT</t>
  </si>
  <si>
    <t>PHCCP2H0WX</t>
  </si>
  <si>
    <t>VNB3D48970</t>
  </si>
  <si>
    <t>VNB3D48979</t>
  </si>
  <si>
    <t>VNB3L33282</t>
  </si>
  <si>
    <t>MXSC185H1K</t>
  </si>
  <si>
    <t>MXSCMCJ0CC</t>
  </si>
  <si>
    <t>MXSCN2R223</t>
  </si>
  <si>
    <t>MXSCN3B0ZM</t>
  </si>
  <si>
    <t>MXSCNC12QH</t>
  </si>
  <si>
    <t>MXSCNCY0S4</t>
  </si>
  <si>
    <t>MXSCNCY0SN</t>
  </si>
  <si>
    <t>MXSCND214V</t>
  </si>
  <si>
    <t>MXSCNDP2LF</t>
  </si>
  <si>
    <t>UR-144</t>
  </si>
  <si>
    <t>UR-610</t>
  </si>
  <si>
    <t>UR-147</t>
  </si>
  <si>
    <t>UR-152</t>
  </si>
  <si>
    <t>UR-100</t>
  </si>
  <si>
    <t>UR-161</t>
  </si>
  <si>
    <t>UR-130</t>
  </si>
  <si>
    <t>UR-M00</t>
  </si>
  <si>
    <t>UR-116</t>
  </si>
  <si>
    <t>UR-713</t>
  </si>
  <si>
    <t>UR-110</t>
  </si>
  <si>
    <t>UR-G00</t>
  </si>
  <si>
    <t>UR-212</t>
  </si>
  <si>
    <t>OBSERVACIONES</t>
  </si>
  <si>
    <t>UR-711</t>
  </si>
  <si>
    <t>UR-120</t>
  </si>
  <si>
    <t>UR-00R</t>
  </si>
  <si>
    <t>UR-171</t>
  </si>
  <si>
    <t>UR-000</t>
  </si>
  <si>
    <t>UR-170</t>
  </si>
  <si>
    <t>UR-315</t>
  </si>
  <si>
    <t>L00</t>
  </si>
  <si>
    <t>UR-L00</t>
  </si>
  <si>
    <t>UR-131</t>
  </si>
  <si>
    <t>UR-111</t>
  </si>
  <si>
    <t>UR-132</t>
  </si>
  <si>
    <t>UR-128</t>
  </si>
  <si>
    <t>M00</t>
  </si>
  <si>
    <t>N00</t>
  </si>
  <si>
    <t>UR-515</t>
  </si>
  <si>
    <t>UR-616</t>
  </si>
  <si>
    <t>UR-715</t>
  </si>
  <si>
    <t>CORRECTO</t>
  </si>
  <si>
    <t>K00</t>
  </si>
  <si>
    <t>UR-153</t>
  </si>
  <si>
    <t>G00</t>
  </si>
  <si>
    <t>UR-113</t>
  </si>
  <si>
    <t>UR-500</t>
  </si>
  <si>
    <t>UR-412</t>
  </si>
  <si>
    <t>UR-400</t>
  </si>
  <si>
    <t>DIGITALIZACIÓN</t>
  </si>
  <si>
    <t>00</t>
  </si>
  <si>
    <t>UR-414-020</t>
  </si>
  <si>
    <t>UR-414-027</t>
  </si>
  <si>
    <t>UR-414</t>
  </si>
  <si>
    <t>UR-414-025</t>
  </si>
  <si>
    <t>UR-414-024</t>
  </si>
  <si>
    <t>UR-414-005</t>
  </si>
  <si>
    <t>UR-414-023</t>
  </si>
  <si>
    <t>UR-414-029</t>
  </si>
  <si>
    <t>UR-414-019</t>
  </si>
  <si>
    <t>UR-414-030</t>
  </si>
  <si>
    <t>UR-180</t>
  </si>
  <si>
    <t>UR-414-017</t>
  </si>
  <si>
    <t>UR-414-028</t>
  </si>
  <si>
    <t>UR-414-021</t>
  </si>
  <si>
    <t>UR-414-018</t>
  </si>
  <si>
    <t>UR-414-022</t>
  </si>
  <si>
    <t>UR-414-026</t>
  </si>
  <si>
    <t>UR-414-031</t>
  </si>
  <si>
    <t>UR-414-010</t>
  </si>
  <si>
    <t>UR-410</t>
  </si>
  <si>
    <t>UR-414-011</t>
  </si>
  <si>
    <t>UR-414-006</t>
  </si>
  <si>
    <t>UR-414-013</t>
  </si>
  <si>
    <t>UR-414-001</t>
  </si>
  <si>
    <t>UR-414-012</t>
  </si>
  <si>
    <t>UR-414-007</t>
  </si>
  <si>
    <t>UR-414-003</t>
  </si>
  <si>
    <t>UR-414-014</t>
  </si>
  <si>
    <t>UR-414-002</t>
  </si>
  <si>
    <t>UR-414-016</t>
  </si>
  <si>
    <t>UR-617</t>
  </si>
  <si>
    <t>UR-414-009</t>
  </si>
  <si>
    <t>UR-414-004</t>
  </si>
  <si>
    <t>UR-414-008</t>
  </si>
  <si>
    <t>UR-414-015</t>
  </si>
  <si>
    <t>UR-415</t>
  </si>
  <si>
    <t>UR-411</t>
  </si>
  <si>
    <t>FALTA DIGITALIZACIÓN</t>
  </si>
  <si>
    <t>FALTA PÁGINA DE USO</t>
  </si>
  <si>
    <t>UR-417</t>
  </si>
  <si>
    <t>PERFIL</t>
  </si>
  <si>
    <t>F</t>
  </si>
  <si>
    <t>G</t>
  </si>
  <si>
    <t>J</t>
  </si>
  <si>
    <t>j</t>
  </si>
  <si>
    <t>K</t>
  </si>
  <si>
    <t>C</t>
  </si>
  <si>
    <t>I</t>
  </si>
  <si>
    <t>D</t>
  </si>
  <si>
    <t>A</t>
  </si>
  <si>
    <t>B</t>
  </si>
  <si>
    <t>UR</t>
  </si>
  <si>
    <t>NÚMERO DE SERIE</t>
  </si>
  <si>
    <t xml:space="preserve"> </t>
  </si>
  <si>
    <t>BLANCO Y NEGRO TAMAÑO CARTA2</t>
  </si>
  <si>
    <t xml:space="preserve"> BLANCO Y NEGRO TAMAÑO OFICIO3</t>
  </si>
  <si>
    <t>BLANCO Y NEGRO TAMAÑO DOBLE CARTA4</t>
  </si>
  <si>
    <t>COLOR TAMAÑO CARTA5</t>
  </si>
  <si>
    <t>COLOR TAMAÑO OFICIO6</t>
  </si>
  <si>
    <t>DIGITALIZACIÓN7</t>
  </si>
  <si>
    <t>COPIAR8</t>
  </si>
  <si>
    <t>UR-418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</si>
</sst>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FFFFFF"/>
      <name val="Montserrat Light"/>
    </font>
    <font>
      <sz val="11"/>
      <name val="Calibri"/>
      <family val="2"/>
    </font>
    <font>
      <sz val="12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2F75B5"/>
        <bgColor rgb="FF4472C4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</fills>
  <borders count="32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rgb="FF8EA9DB"/>
      </bottom>
      <diagonal/>
    </border>
    <border>
      <left/>
      <right/>
      <top style="thin">
        <color rgb="FF8EA9DB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 style="medium">
        <color rgb="FF5B9BD5"/>
      </left>
      <right style="thin">
        <color rgb="FF4472C4"/>
      </right>
      <top style="thin">
        <color rgb="FF4472C4"/>
      </top>
      <bottom/>
      <diagonal/>
    </border>
    <border>
      <left/>
      <right style="thin">
        <color rgb="FF4472C4"/>
      </right>
      <top style="thin">
        <color rgb="FF4472C4"/>
      </top>
      <bottom/>
      <diagonal/>
    </border>
    <border>
      <left/>
      <right style="medium">
        <color rgb="FF5B9BD5"/>
      </right>
      <top style="thin">
        <color rgb="FF4472C4"/>
      </top>
      <bottom/>
      <diagonal/>
    </border>
    <border>
      <left style="thin">
        <color rgb="FF5B9BD5"/>
      </left>
      <right style="thin">
        <color rgb="FF5B9BD5"/>
      </right>
      <top style="thin">
        <color rgb="FF5B9BD5"/>
      </top>
      <bottom style="thin">
        <color rgb="FF5B9BD5"/>
      </bottom>
      <diagonal/>
    </border>
    <border>
      <left/>
      <right style="thin">
        <color rgb="FF5B9BD5"/>
      </right>
      <top style="thin">
        <color rgb="FF5B9BD5"/>
      </top>
      <bottom style="thin">
        <color rgb="FF5B9BD5"/>
      </bottom>
      <diagonal/>
    </border>
    <border>
      <left style="medium">
        <color rgb="FF5B9BD5"/>
      </left>
      <right style="thin">
        <color rgb="FF5B9BD5"/>
      </right>
      <top style="thin">
        <color rgb="FF5B9BD5"/>
      </top>
      <bottom style="thin">
        <color rgb="FF5B9BD5"/>
      </bottom>
      <diagonal/>
    </border>
    <border>
      <left/>
      <right style="medium">
        <color rgb="FF5B9BD5"/>
      </right>
      <top style="thin">
        <color rgb="FF5B9BD5"/>
      </top>
      <bottom style="thin">
        <color rgb="FF5B9BD5"/>
      </bottom>
      <diagonal/>
    </border>
    <border>
      <left style="thin">
        <color rgb="FF5B9BD5"/>
      </left>
      <right style="thin">
        <color rgb="FF5B9BD5"/>
      </right>
      <top/>
      <bottom style="thin">
        <color rgb="FF5B9BD5"/>
      </bottom>
      <diagonal/>
    </border>
    <border>
      <left/>
      <right style="thin">
        <color rgb="FF5B9BD5"/>
      </right>
      <top/>
      <bottom style="thin">
        <color rgb="FF5B9BD5"/>
      </bottom>
      <diagonal/>
    </border>
    <border>
      <left style="medium">
        <color rgb="FF5B9BD5"/>
      </left>
      <right style="thin">
        <color rgb="FF5B9BD5"/>
      </right>
      <top/>
      <bottom style="thin">
        <color rgb="FF5B9BD5"/>
      </bottom>
      <diagonal/>
    </border>
    <border>
      <left/>
      <right style="medium">
        <color rgb="FF5B9BD5"/>
      </right>
      <top/>
      <bottom style="thin">
        <color rgb="FF5B9BD5"/>
      </bottom>
      <diagonal/>
    </border>
    <border>
      <left style="medium">
        <color rgb="FF5B9BD5"/>
      </left>
      <right style="thin">
        <color rgb="FF5B9BD5"/>
      </right>
      <top/>
      <bottom style="medium">
        <color rgb="FF5B9BD5"/>
      </bottom>
      <diagonal/>
    </border>
    <border>
      <left/>
      <right style="thin">
        <color rgb="FF5B9BD5"/>
      </right>
      <top/>
      <bottom style="medium">
        <color rgb="FF5B9BD5"/>
      </bottom>
      <diagonal/>
    </border>
    <border>
      <left/>
      <right style="medium">
        <color rgb="FF5B9BD5"/>
      </right>
      <top/>
      <bottom style="medium">
        <color rgb="FF5B9BD5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</borders>
  <cellStyleXfs count="2">
    <xf numFmtId="0" fontId="0" fillId="0" borderId="0"/>
    <xf numFmtId="44" fontId="7" fillId="0" borderId="0" applyFont="0" applyFill="0" applyBorder="0" applyAlignment="0" applyProtection="0"/>
  </cellStyleXfs>
  <cellXfs count="70">
    <xf numFmtId="0" fontId="0" fillId="0" borderId="0" xfId="0"/>
    <xf numFmtId="1" fontId="0" fillId="0" borderId="0" xfId="0" applyNumberFormat="1"/>
    <xf numFmtId="0" fontId="0" fillId="2" borderId="0" xfId="0" applyFill="1"/>
    <xf numFmtId="1" fontId="0" fillId="2" borderId="0" xfId="0" applyNumberFormat="1" applyFill="1"/>
    <xf numFmtId="0" fontId="1" fillId="0" borderId="0" xfId="0" applyFont="1"/>
    <xf numFmtId="0" fontId="0" fillId="3" borderId="0" xfId="0" applyFill="1"/>
    <xf numFmtId="1" fontId="0" fillId="3" borderId="0" xfId="0" applyNumberFormat="1" applyFill="1"/>
    <xf numFmtId="1" fontId="0" fillId="0" borderId="0" xfId="0" applyNumberFormat="1" applyAlignment="1">
      <alignment horizontal="center"/>
    </xf>
    <xf numFmtId="17" fontId="0" fillId="0" borderId="0" xfId="0" applyNumberFormat="1"/>
    <xf numFmtId="0" fontId="0" fillId="0" borderId="1" xfId="0" applyBorder="1"/>
    <xf numFmtId="0" fontId="0" fillId="0" borderId="2" xfId="0" applyBorder="1"/>
    <xf numFmtId="1" fontId="0" fillId="5" borderId="0" xfId="0" applyNumberFormat="1" applyFill="1"/>
    <xf numFmtId="0" fontId="0" fillId="4" borderId="2" xfId="0" applyFill="1" applyBorder="1"/>
    <xf numFmtId="0" fontId="3" fillId="0" borderId="4" xfId="0" applyFont="1" applyBorder="1"/>
    <xf numFmtId="0" fontId="4" fillId="0" borderId="5" xfId="0" applyFont="1" applyBorder="1"/>
    <xf numFmtId="0" fontId="3" fillId="0" borderId="6" xfId="0" applyFont="1" applyBorder="1"/>
    <xf numFmtId="0" fontId="3" fillId="0" borderId="0" xfId="0" applyFont="1"/>
    <xf numFmtId="1" fontId="0" fillId="0" borderId="2" xfId="0" applyNumberFormat="1" applyBorder="1"/>
    <xf numFmtId="0" fontId="0" fillId="4" borderId="7" xfId="0" applyFill="1" applyBorder="1"/>
    <xf numFmtId="0" fontId="0" fillId="0" borderId="7" xfId="0" applyBorder="1"/>
    <xf numFmtId="0" fontId="5" fillId="6" borderId="8" xfId="0" applyFont="1" applyFill="1" applyBorder="1"/>
    <xf numFmtId="0" fontId="0" fillId="4" borderId="3" xfId="0" applyFill="1" applyBorder="1"/>
    <xf numFmtId="0" fontId="0" fillId="4" borderId="9" xfId="0" applyFill="1" applyBorder="1"/>
    <xf numFmtId="0" fontId="0" fillId="4" borderId="0" xfId="0" applyFill="1"/>
    <xf numFmtId="1" fontId="0" fillId="4" borderId="0" xfId="0" applyNumberFormat="1" applyFill="1"/>
    <xf numFmtId="0" fontId="0" fillId="0" borderId="10" xfId="0" applyBorder="1"/>
    <xf numFmtId="0" fontId="0" fillId="0" borderId="11" xfId="0" applyBorder="1"/>
    <xf numFmtId="0" fontId="6" fillId="0" borderId="0" xfId="0" applyFont="1"/>
    <xf numFmtId="44" fontId="1" fillId="0" borderId="0" xfId="0" applyNumberFormat="1" applyFont="1"/>
    <xf numFmtId="44" fontId="0" fillId="0" borderId="0" xfId="0" applyNumberFormat="1"/>
    <xf numFmtId="44" fontId="0" fillId="0" borderId="0" xfId="1" applyFont="1"/>
    <xf numFmtId="44" fontId="1" fillId="0" borderId="0" xfId="1" applyFont="1"/>
    <xf numFmtId="1" fontId="6" fillId="0" borderId="0" xfId="0" applyNumberFormat="1" applyFont="1"/>
    <xf numFmtId="0" fontId="8" fillId="7" borderId="0" xfId="0" applyFont="1" applyFill="1" applyAlignment="1">
      <alignment wrapText="1"/>
    </xf>
    <xf numFmtId="0" fontId="8" fillId="7" borderId="12" xfId="0" applyFont="1" applyFill="1" applyBorder="1" applyAlignment="1">
      <alignment wrapText="1"/>
    </xf>
    <xf numFmtId="0" fontId="8" fillId="7" borderId="13" xfId="0" applyFont="1" applyFill="1" applyBorder="1" applyAlignment="1">
      <alignment wrapText="1"/>
    </xf>
    <xf numFmtId="0" fontId="8" fillId="7" borderId="14" xfId="0" applyFont="1" applyFill="1" applyBorder="1" applyAlignment="1">
      <alignment wrapText="1"/>
    </xf>
    <xf numFmtId="0" fontId="9" fillId="0" borderId="15" xfId="0" applyFont="1" applyBorder="1"/>
    <xf numFmtId="0" fontId="9" fillId="0" borderId="16" xfId="0" applyFont="1" applyBorder="1"/>
    <xf numFmtId="0" fontId="3" fillId="0" borderId="17" xfId="0" applyFont="1" applyBorder="1"/>
    <xf numFmtId="0" fontId="3" fillId="0" borderId="16" xfId="0" applyFont="1" applyBorder="1"/>
    <xf numFmtId="0" fontId="3" fillId="0" borderId="18" xfId="0" applyFont="1" applyBorder="1"/>
    <xf numFmtId="0" fontId="9" fillId="0" borderId="19" xfId="0" applyFont="1" applyBorder="1"/>
    <xf numFmtId="0" fontId="9" fillId="0" borderId="20" xfId="0" applyFont="1" applyBorder="1"/>
    <xf numFmtId="0" fontId="3" fillId="0" borderId="21" xfId="0" applyFont="1" applyBorder="1"/>
    <xf numFmtId="0" fontId="3" fillId="0" borderId="20" xfId="0" applyFont="1" applyBorder="1"/>
    <xf numFmtId="0" fontId="3" fillId="0" borderId="22" xfId="0" applyFont="1" applyBorder="1"/>
    <xf numFmtId="0" fontId="10" fillId="0" borderId="21" xfId="0" applyFont="1" applyBorder="1"/>
    <xf numFmtId="0" fontId="10" fillId="0" borderId="20" xfId="0" applyFont="1" applyBorder="1"/>
    <xf numFmtId="0" fontId="10" fillId="0" borderId="22" xfId="0" applyFont="1" applyBorder="1"/>
    <xf numFmtId="0" fontId="3" fillId="0" borderId="23" xfId="0" applyFont="1" applyBorder="1"/>
    <xf numFmtId="0" fontId="3" fillId="0" borderId="24" xfId="0" applyFont="1" applyBorder="1"/>
    <xf numFmtId="0" fontId="3" fillId="0" borderId="25" xfId="0" applyFont="1" applyBorder="1"/>
    <xf numFmtId="0" fontId="0" fillId="0" borderId="26" xfId="0" applyBorder="1"/>
    <xf numFmtId="0" fontId="0" fillId="0" borderId="28" xfId="0" applyBorder="1"/>
    <xf numFmtId="0" fontId="0" fillId="0" borderId="27" xfId="0" applyBorder="1"/>
    <xf numFmtId="0" fontId="0" fillId="0" borderId="29" xfId="0" applyBorder="1"/>
    <xf numFmtId="1" fontId="0" fillId="0" borderId="0" xfId="1" applyNumberFormat="1" applyFont="1" applyFill="1" applyBorder="1"/>
    <xf numFmtId="0" fontId="0" fillId="4" borderId="26" xfId="0" applyFill="1" applyBorder="1"/>
    <xf numFmtId="0" fontId="0" fillId="4" borderId="27" xfId="0" applyFill="1" applyBorder="1"/>
    <xf numFmtId="1" fontId="0" fillId="0" borderId="27" xfId="0" applyNumberFormat="1" applyBorder="1"/>
    <xf numFmtId="1" fontId="0" fillId="0" borderId="29" xfId="0" applyNumberFormat="1" applyBorder="1"/>
    <xf numFmtId="0" fontId="4" fillId="8" borderId="30" xfId="0" applyFont="1" applyFill="1" applyBorder="1"/>
    <xf numFmtId="0" fontId="4" fillId="8" borderId="4" xfId="0" applyFont="1" applyFill="1" applyBorder="1"/>
    <xf numFmtId="0" fontId="4" fillId="8" borderId="31" xfId="0" applyFont="1" applyFill="1" applyBorder="1"/>
    <xf numFmtId="0" fontId="3" fillId="9" borderId="30" xfId="0" applyFont="1" applyFill="1" applyBorder="1"/>
    <xf numFmtId="0" fontId="3" fillId="9" borderId="4" xfId="0" applyFont="1" applyFill="1" applyBorder="1"/>
    <xf numFmtId="0" fontId="3" fillId="9" borderId="31" xfId="0" applyFont="1" applyFill="1" applyBorder="1"/>
    <xf numFmtId="0" fontId="3" fillId="0" borderId="30" xfId="0" applyFont="1" applyBorder="1"/>
    <xf numFmtId="0" fontId="3" fillId="0" borderId="31" xfId="0" applyFont="1" applyBorder="1"/>
  </cellXfs>
  <cellStyles count="2">
    <cellStyle name="Moneda" xfId="1" builtinId="4"/>
    <cellStyle name="Normal" xfId="0" builtinId="0"/>
  </cellStyles>
  <dxfs count="564"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" formatCode="0"/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</dxf>
    <dxf>
      <numFmt numFmtId="1" formatCode="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  <fill>
        <patternFill patternType="none">
          <bgColor auto="1"/>
        </patternFill>
      </fill>
    </dxf>
    <dxf>
      <numFmt numFmtId="1" formatCode="0"/>
      <fill>
        <patternFill patternType="none">
          <bgColor auto="1"/>
        </patternFill>
      </fill>
    </dxf>
    <dxf>
      <numFmt numFmtId="1" formatCode="0"/>
      <fill>
        <patternFill patternType="none">
          <bgColor auto="1"/>
        </patternFill>
      </fill>
    </dxf>
    <dxf>
      <numFmt numFmtId="1" formatCode="0"/>
      <fill>
        <patternFill patternType="none">
          <bgColor auto="1"/>
        </patternFill>
      </fill>
    </dxf>
    <dxf>
      <numFmt numFmtId="1" formatCode="0"/>
      <fill>
        <patternFill patternType="none">
          <bgColor auto="1"/>
        </patternFill>
      </fill>
    </dxf>
    <dxf>
      <numFmt numFmtId="1" formatCode="0"/>
      <fill>
        <patternFill patternType="none">
          <bgColor auto="1"/>
        </patternFill>
      </fill>
    </dxf>
    <dxf>
      <numFmt numFmtId="1" formatCode="0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numFmt numFmtId="1" formatCode="0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rgb="FF8EA9DB"/>
        </top>
        <bottom style="thin">
          <color rgb="FF8EA9D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rgb="FF8EA9DB"/>
        </top>
        <bottom style="thin">
          <color rgb="FF8EA9D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rgb="FF8EA9DB"/>
        </top>
        <bottom style="thin">
          <color rgb="FF8EA9D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rgb="FF8EA9DB"/>
        </top>
        <bottom style="thin">
          <color rgb="FF8EA9D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rgb="FF8EA9DB"/>
        </top>
        <bottom style="thin">
          <color rgb="FF8EA9D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rgb="FF8EA9DB"/>
        </top>
        <bottom style="thin">
          <color rgb="FF8EA9D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rgb="FF8EA9DB"/>
        </top>
        <bottom style="thin">
          <color rgb="FF8EA9D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rgb="FF8EA9DB"/>
        </top>
        <bottom style="thin">
          <color rgb="FF8EA9DB"/>
        </bottom>
      </border>
    </dxf>
    <dxf>
      <border outline="0">
        <top style="thin">
          <color rgb="FF8EA9DB"/>
        </top>
      </border>
    </dxf>
    <dxf>
      <border outline="0">
        <left style="thin">
          <color rgb="FF8EA9DB"/>
        </left>
        <right style="thin">
          <color rgb="FF8EA9DB"/>
        </right>
        <top style="thin">
          <color rgb="FF8EA9DB"/>
        </top>
        <bottom style="thin">
          <color rgb="FF8EA9D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fill>
        <patternFill patternType="none">
          <fgColor indexed="64"/>
          <bgColor indexed="65"/>
        </patternFill>
      </fill>
    </dxf>
    <dxf>
      <numFmt numFmtId="1" formatCode="0"/>
    </dxf>
    <dxf>
      <fill>
        <patternFill patternType="none">
          <fgColor indexed="64"/>
          <bgColor indexed="65"/>
        </patternFill>
      </fill>
    </dxf>
    <dxf>
      <numFmt numFmtId="1" formatCode="0"/>
    </dxf>
    <dxf>
      <fill>
        <patternFill patternType="none">
          <fgColor indexed="64"/>
          <bgColor indexed="65"/>
        </patternFill>
      </fill>
    </dxf>
    <dxf>
      <numFmt numFmtId="1" formatCode="0"/>
    </dxf>
    <dxf>
      <fill>
        <patternFill patternType="none">
          <fgColor indexed="64"/>
          <bgColor indexed="65"/>
        </patternFill>
      </fill>
    </dxf>
    <dxf>
      <numFmt numFmtId="1" formatCode="0"/>
    </dxf>
    <dxf>
      <fill>
        <patternFill patternType="none">
          <fgColor indexed="64"/>
          <bgColor indexed="65"/>
        </patternFill>
      </fill>
    </dxf>
    <dxf>
      <numFmt numFmtId="1" formatCode="0"/>
    </dxf>
    <dxf>
      <fill>
        <patternFill patternType="none">
          <fgColor indexed="64"/>
          <bgColor indexed="65"/>
        </patternFill>
      </fill>
    </dxf>
    <dxf>
      <numFmt numFmtId="1" formatCode="0"/>
    </dxf>
    <dxf>
      <numFmt numFmtId="1" formatCode="0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CB504E32-A183-44C8-852D-2AE15360AFE8}" name="Tabla32" displayName="Tabla32" ref="A1:J729" totalsRowShown="0" headerRowDxfId="563" dataDxfId="562">
  <autoFilter ref="A1:J729" xr:uid="{CB504E32-A183-44C8-852D-2AE15360AFE8}"/>
  <sortState xmlns:xlrd2="http://schemas.microsoft.com/office/spreadsheetml/2017/richdata2" ref="A2:I720">
    <sortCondition ref="B2:B720"/>
  </sortState>
  <tableColumns count="10">
    <tableColumn id="1" xr3:uid="{1D33C088-3D8A-4A6C-93C8-E9BD34650004}" name="CLAVE UR" dataDxfId="561"/>
    <tableColumn id="2" xr3:uid="{346584DA-FCE1-4A8E-891B-6535DCBCFA55}" name="SERIE" dataDxfId="560"/>
    <tableColumn id="3" xr3:uid="{892338D5-8952-4CAB-BC6E-C38F1EA77A3D}" name="BN CARTA" dataDxfId="559"/>
    <tableColumn id="4" xr3:uid="{74D2EB06-4FE4-469B-8105-1507A13AF0A8}" name="BN OFICIO" dataDxfId="558"/>
    <tableColumn id="5" xr3:uid="{D2E65CA0-E898-4814-A5F1-FC118755C56D}" name="BN DC" dataDxfId="557"/>
    <tableColumn id="6" xr3:uid="{DA7B109A-9B12-4CC6-A8AA-6FDD37F54A57}" name="COLOR CARTA" dataDxfId="556"/>
    <tableColumn id="7" xr3:uid="{600D33FF-AB8C-4B37-AF50-419588F65E8C}" name="COLOR OFICIO" dataDxfId="555"/>
    <tableColumn id="8" xr3:uid="{D1338D9D-44DE-4E70-9520-C2532B1C7EEB}" name="ENVIAR" dataDxfId="554"/>
    <tableColumn id="9" xr3:uid="{1C576C11-52A3-4FF1-802A-4C4E2F32F056}" name="COPIAR" dataDxfId="553"/>
    <tableColumn id="10" xr3:uid="{1B11D852-2958-4C6B-8059-3C14533CC07F}" name="Columna1" dataDxfId="552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00F0DF7-8103-4FA2-B86F-3D5EF8E367FA}" name="Tabla33" displayName="Tabla33" ref="K1:S730" totalsRowCount="1" headerRowDxfId="551" dataDxfId="550">
  <autoFilter ref="K1:S729" xr:uid="{200F0DF7-8103-4FA2-B86F-3D5EF8E367FA}"/>
  <tableColumns count="9">
    <tableColumn id="1" xr3:uid="{24B95B22-73AA-4274-B0F7-F5796EA18AC5}" name="CLAVE UR" dataDxfId="549"/>
    <tableColumn id="2" xr3:uid="{3F8736D0-4100-4EE4-9FEA-ECA91793446A}" name="SERIE" dataDxfId="548"/>
    <tableColumn id="3" xr3:uid="{F09D7E29-E0A7-4F88-A1C5-C6288A072CB9}" name="BN CARTA" dataDxfId="547" totalsRowDxfId="546">
      <calculatedColumnFormula>Tabla32[[#This Row],[BN CARTA]]-#REF!</calculatedColumnFormula>
    </tableColumn>
    <tableColumn id="4" xr3:uid="{C69D79D3-13B8-421C-958C-579C0778C341}" name="BN OFICIO" dataDxfId="545" totalsRowDxfId="544">
      <calculatedColumnFormula>Tabla32[[#This Row],[BN OFICIO]]-#REF!</calculatedColumnFormula>
    </tableColumn>
    <tableColumn id="5" xr3:uid="{C981F805-0FEB-4A7F-B12E-A231E8A2086A}" name="BN DC" dataDxfId="543" totalsRowDxfId="542">
      <calculatedColumnFormula>Tabla32[[#This Row],[BN DC]]-#REF!</calculatedColumnFormula>
    </tableColumn>
    <tableColumn id="6" xr3:uid="{8BDB0E3B-9675-4FD2-92B1-8F9B85A7ED7D}" name="COLOR CARTA" dataDxfId="541" totalsRowDxfId="540">
      <calculatedColumnFormula>Tabla32[[#This Row],[COLOR CARTA]]-#REF!</calculatedColumnFormula>
    </tableColumn>
    <tableColumn id="7" xr3:uid="{A40D044B-AC25-4BAD-A7D3-F0884E9614C5}" name="COLOR OFICIO" dataDxfId="539" totalsRowDxfId="538">
      <calculatedColumnFormula>Tabla32[[#This Row],[COLOR OFICIO]]-#REF!</calculatedColumnFormula>
    </tableColumn>
    <tableColumn id="8" xr3:uid="{9D74C7B0-E53E-445F-9012-BDD2C3BE7FCD}" name="ENVIAR" dataDxfId="537" totalsRowDxfId="536">
      <calculatedColumnFormula>Tabla32[[#This Row],[ENVIAR]]-#REF!</calculatedColumnFormula>
    </tableColumn>
    <tableColumn id="9" xr3:uid="{77B902AC-6409-476B-B8CF-FBF1F020B122}" name="COPIAR" dataDxfId="535" totalsRowDxfId="534">
      <calculatedColumnFormula>Tabla32[[#This Row],[COPIAR]]-#REF!</calculatedColumnFormula>
    </tableColumn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CABE0527-BE59-4651-A738-0299112BAFF3}" name="Tabla34" displayName="Tabla34" ref="A1:I729" totalsRowShown="0" headerRowDxfId="533" dataDxfId="532">
  <autoFilter ref="A1:I729" xr:uid="{CABE0527-BE59-4651-A738-0299112BAFF3}"/>
  <sortState xmlns:xlrd2="http://schemas.microsoft.com/office/spreadsheetml/2017/richdata2" ref="A2:I729">
    <sortCondition ref="B2:B729"/>
  </sortState>
  <tableColumns count="9">
    <tableColumn id="1" xr3:uid="{6D933E60-80E9-4937-9D65-E359546E5F99}" name="CLAVE UR" dataDxfId="531"/>
    <tableColumn id="2" xr3:uid="{956C9696-FCB7-43BA-9166-17F768700C09}" name="SERIE" dataDxfId="530"/>
    <tableColumn id="3" xr3:uid="{770485B1-8388-4A30-BB2B-F6FD22226AAF}" name="BN CARTA" dataDxfId="529"/>
    <tableColumn id="4" xr3:uid="{67A1C75A-AE03-4A73-A750-6460ECB41ABB}" name="BN OFICIO" dataDxfId="528"/>
    <tableColumn id="5" xr3:uid="{C8FA699D-6F8C-442C-A69F-638BBCDF53F0}" name="BN DC" dataDxfId="527"/>
    <tableColumn id="6" xr3:uid="{BB5C1E9D-ACD7-4E43-97D7-34ECAA199447}" name="COLOR CARTA" dataDxfId="526"/>
    <tableColumn id="7" xr3:uid="{50FF9C32-5F80-4C58-B705-CB73BE5EDABD}" name="COLOR OFICIO" dataDxfId="525"/>
    <tableColumn id="8" xr3:uid="{91505729-9053-42C6-A43F-A7E621B574EF}" name="ENVIAR" dataDxfId="524"/>
    <tableColumn id="9" xr3:uid="{8ED5CE4C-0B37-42E6-AA43-FC35CC9392C7}" name="COPIAR" dataDxfId="52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4EB9D24F-CC39-4DA3-A4F7-09E2B36DC413}" name="Tabla35" displayName="Tabla35" ref="K1:S720" totalsRowShown="0" headerRowDxfId="522" dataDxfId="521">
  <autoFilter ref="K1:S720" xr:uid="{4EB9D24F-CC39-4DA3-A4F7-09E2B36DC413}"/>
  <tableColumns count="9">
    <tableColumn id="1" xr3:uid="{26BFED64-A983-4363-B619-2A29B193B66B}" name="CLAVE UR" dataDxfId="520"/>
    <tableColumn id="2" xr3:uid="{E4B39100-8EC0-4F2C-83DF-70118E9DFCD2}" name="SERIE" dataDxfId="519"/>
    <tableColumn id="3" xr3:uid="{2735A2AB-CF77-4717-9154-E82CF854154A}" name="BN CARTA" dataDxfId="518"/>
    <tableColumn id="4" xr3:uid="{37755FB9-A6FC-41C0-BA39-6C452068AA32}" name="BN OFICIO" dataDxfId="517"/>
    <tableColumn id="5" xr3:uid="{A3E31356-20B9-42E1-9790-88C45CDC9232}" name="BN DC" dataDxfId="516"/>
    <tableColumn id="6" xr3:uid="{DFD0CD4A-7016-4E28-A9C1-3048E51E16DE}" name="COLOR CARTA" dataDxfId="515"/>
    <tableColumn id="7" xr3:uid="{F9D53C24-3929-4A58-87FA-5ED6A9C776F5}" name="COLOR OFICIO" dataDxfId="514"/>
    <tableColumn id="8" xr3:uid="{950DE703-0508-40BD-8E4B-0A2B9C51C8DD}" name="ENVIAR" dataDxfId="513"/>
    <tableColumn id="9" xr3:uid="{63C47D46-6995-4FAE-B5B7-A95884ED31C2}" name="COPIAR" dataDxfId="512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BE40D304-6B2F-4B7C-A3F2-D37DE452678E}" name="Tabla36" displayName="Tabla36" ref="U1:AC721" totalsRowCount="1" headerRowDxfId="511" dataDxfId="510">
  <autoFilter ref="U1:AC720" xr:uid="{BE40D304-6B2F-4B7C-A3F2-D37DE452678E}"/>
  <tableColumns count="9">
    <tableColumn id="1" xr3:uid="{51E04CCE-82A3-49CD-9789-0F92D381532F}" name="CLAVE UR" dataDxfId="509" totalsRowDxfId="508"/>
    <tableColumn id="2" xr3:uid="{D61E23AE-A2A2-4C7B-B3BB-3218E656ACBB}" name="SERIE" dataDxfId="507" totalsRowDxfId="506"/>
    <tableColumn id="3" xr3:uid="{7F24EC89-B687-4327-91E1-F1A6C9F1712A}" name="BN CARTA" totalsRowFunction="sum" dataDxfId="505" totalsRowDxfId="504">
      <calculatedColumnFormula>Tabla35[[#This Row],[BN CARTA]]-Tabla34[[#This Row],[BN CARTA]]</calculatedColumnFormula>
    </tableColumn>
    <tableColumn id="4" xr3:uid="{ED0AA3EA-9E8D-4751-BF78-30C39FF62693}" name="BN OFICIO" totalsRowFunction="sum" dataDxfId="503" totalsRowDxfId="502">
      <calculatedColumnFormula>Tabla35[[#This Row],[BN OFICIO]]-Tabla34[[#This Row],[BN OFICIO]]</calculatedColumnFormula>
    </tableColumn>
    <tableColumn id="5" xr3:uid="{4F7FBEA0-6B35-4D12-9C99-01CF64D4932B}" name="BN DC" totalsRowFunction="sum" dataDxfId="501" totalsRowDxfId="500">
      <calculatedColumnFormula>Tabla35[[#This Row],[BN DC]]-Tabla34[[#This Row],[BN DC]]</calculatedColumnFormula>
    </tableColumn>
    <tableColumn id="6" xr3:uid="{36F04E33-8B6B-4198-ACBD-E2FBE5FDE762}" name="COLOR CARTA" totalsRowFunction="sum" dataDxfId="499" totalsRowDxfId="498">
      <calculatedColumnFormula>Tabla35[[#This Row],[COLOR CARTA]]-Tabla34[[#This Row],[COLOR CARTA]]</calculatedColumnFormula>
    </tableColumn>
    <tableColumn id="7" xr3:uid="{E6F35A42-184E-4E38-B7B6-403F0BCAAB48}" name="COLOR OFICIO" totalsRowFunction="sum" dataDxfId="497" totalsRowDxfId="496">
      <calculatedColumnFormula>Tabla35[[#This Row],[COLOR OFICIO]]-Tabla34[[#This Row],[COLOR OFICIO]]</calculatedColumnFormula>
    </tableColumn>
    <tableColumn id="8" xr3:uid="{EC314C9A-870B-4ADE-A50D-6676FCD81AFF}" name="ENVIAR" totalsRowFunction="sum" dataDxfId="495" totalsRowDxfId="494">
      <calculatedColumnFormula>Tabla35[[#This Row],[ENVIAR]]-Tabla34[[#This Row],[ENVIAR]]</calculatedColumnFormula>
    </tableColumn>
    <tableColumn id="9" xr3:uid="{08D3C49B-8EF0-4DBC-A38F-2685265BF653}" name="COPIAR" totalsRowFunction="sum" dataDxfId="493" totalsRowDxfId="492">
      <calculatedColumnFormula>Tabla35[[#This Row],[COPIAR]]-Tabla34[[#This Row],[COPIAR]]</calculatedColumnFormula>
    </tableColumn>
  </tableColumns>
  <tableStyleInfo name="TableStyleMedium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D5B6672-306B-4E2D-ADFF-DD85F7F34517}" name="Tabla134" displayName="Tabla134" ref="A1:J729" totalsRowShown="0" headerRowDxfId="491" dataDxfId="490">
  <autoFilter ref="A1:J729" xr:uid="{0F149C49-C8A6-474D-946C-F597BD4AEAE2}"/>
  <sortState xmlns:xlrd2="http://schemas.microsoft.com/office/spreadsheetml/2017/richdata2" ref="A2:J729">
    <sortCondition ref="B2:B729"/>
  </sortState>
  <tableColumns count="10">
    <tableColumn id="1" xr3:uid="{619A117A-92B9-4374-A333-A53CDA9EF65E}" name="CLAVE UR" dataDxfId="489" totalsRowDxfId="488"/>
    <tableColumn id="2" xr3:uid="{1C1E95F5-3E14-4869-9116-46A97F0535C4}" name="SERIE" dataDxfId="487" totalsRowDxfId="486"/>
    <tableColumn id="3" xr3:uid="{DC36CE05-427B-4FFF-87E0-3C3E6025D2E6}" name="BN CARTA" dataDxfId="485" totalsRowDxfId="484"/>
    <tableColumn id="4" xr3:uid="{5212C526-044A-4D2F-B0E3-33BBCFAB1C74}" name="BN OFICIO" dataDxfId="483" totalsRowDxfId="482"/>
    <tableColumn id="5" xr3:uid="{DE8CA57B-3FF1-4E19-976B-74BE60DFB257}" name="BN DC" dataDxfId="481" totalsRowDxfId="480"/>
    <tableColumn id="6" xr3:uid="{DD4DF5C4-FEA4-4BEC-9631-40F34730774C}" name="COLOR CARTA" dataDxfId="479" totalsRowDxfId="478"/>
    <tableColumn id="7" xr3:uid="{14AF42F8-7A68-45FC-9ACA-6B81B4219150}" name="COLOR OFICIO" dataDxfId="477" totalsRowDxfId="476"/>
    <tableColumn id="10" xr3:uid="{C4156CCF-A35A-4221-9E1A-74C8CA08FC14}" name="ENVIAR" dataDxfId="475" totalsRowDxfId="474"/>
    <tableColumn id="9" xr3:uid="{52F28CCF-06D6-44D4-9433-744216D26700}" name="COPIAR" dataDxfId="473" totalsRowDxfId="472"/>
    <tableColumn id="8" xr3:uid="{2EE1042A-04BA-4EA8-AF18-7096BB583408}" name="OBSERVACIONES" dataDxfId="471" totalsRowDxfId="470"/>
  </tableColumns>
  <tableStyleInfo name="TableStyleMedium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C8EEC63-EF50-47C9-A5AD-B9C18A174136}" name="Tabla4" displayName="Tabla4" ref="L1:S706" totalsRowShown="0">
  <autoFilter ref="L1:S706" xr:uid="{4C8EEC63-EF50-47C9-A5AD-B9C18A174136}"/>
  <sortState xmlns:xlrd2="http://schemas.microsoft.com/office/spreadsheetml/2017/richdata2" ref="L2:S705">
    <sortCondition ref="M2:M705"/>
  </sortState>
  <tableColumns count="8">
    <tableColumn id="1" xr3:uid="{BC257C4F-AB45-4D2C-A19C-7CB4DB8E0914}" name="CLAVE UR"/>
    <tableColumn id="2" xr3:uid="{21DE41C1-1EF3-4CC1-B060-345C2D9D856C}" name="SERIE"/>
    <tableColumn id="3" xr3:uid="{280DEEAA-8361-4564-9FCC-00A1F21D2727}" name="BN CARTA"/>
    <tableColumn id="10" xr3:uid="{25C31E2D-A4FD-4E90-8ED2-F64A0FB28047}" name="BN OFICIO"/>
    <tableColumn id="11" xr3:uid="{2C20E1FD-A3C2-4937-910A-46562EAC56F0}" name="BN DC"/>
    <tableColumn id="12" xr3:uid="{C16FB7A9-E84E-47BB-B3BA-B9DDBE142E05}" name="COLOR CARTA"/>
    <tableColumn id="13" xr3:uid="{AA7DCA8D-8EBD-4B82-80C1-0228F04AE187}" name="COLOR OFICIO"/>
    <tableColumn id="14" xr3:uid="{08BE7141-1FD5-4576-A2BB-8F45E974D4D0}" name="ENVIA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E35E344-BFC9-4159-8CD3-C61F00642605}" name="Tabla13456789101112" displayName="Tabla13456789101112" ref="A1:J729" totalsRowShown="0">
  <autoFilter ref="A1:J729" xr:uid="{0F149C49-C8A6-474D-946C-F597BD4AEAE2}"/>
  <sortState xmlns:xlrd2="http://schemas.microsoft.com/office/spreadsheetml/2017/richdata2" ref="A2:J729">
    <sortCondition ref="B2:B729"/>
  </sortState>
  <tableColumns count="10">
    <tableColumn id="1" xr3:uid="{56AA0370-9481-4839-AB03-FBBC05AAC028}" name="CLAVE UR"/>
    <tableColumn id="2" xr3:uid="{A7C9A471-7533-4210-9CE4-4980C9D8F52D}" name="SERIE"/>
    <tableColumn id="3" xr3:uid="{18100C8B-8A2C-42CA-92B1-2EDC99AE6C44}" name="BN CARTA" dataDxfId="469"/>
    <tableColumn id="4" xr3:uid="{A62602C3-3E65-4698-A7AF-3941875B6D0A}" name="BN OFICIO" dataDxfId="468"/>
    <tableColumn id="5" xr3:uid="{63C04902-C4BC-4864-916D-7BA0BEBD3FF7}" name="BN DC" dataDxfId="467"/>
    <tableColumn id="6" xr3:uid="{AA2C1AC2-CFDD-4C56-B587-8E65F69EE5FF}" name="COLOR CARTA" dataDxfId="466"/>
    <tableColumn id="7" xr3:uid="{D6B50914-7AA1-4663-9797-B81F62612F99}" name="COLOR OFICIO" dataDxfId="465"/>
    <tableColumn id="10" xr3:uid="{1AB6C054-EE26-461E-AB20-B93BCE7A019A}" name="ENVIAR" dataDxfId="464"/>
    <tableColumn id="9" xr3:uid="{571A30A0-269F-4D0B-9B53-FAC8A9A58AF4}" name="COPIAR" dataDxfId="463"/>
    <tableColumn id="11" xr3:uid="{3C22265C-5BFB-4D1D-AAB7-041B8EEB3D15}" name="Columna1" dataDxfId="46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490FC0F-E84C-4140-B5AA-2DF588CC3A56}" name="Tabla23" displayName="Tabla23" ref="L1:S705" totalsRowShown="0" headerRowDxfId="461" dataDxfId="459" headerRowBorderDxfId="460" tableBorderDxfId="458" totalsRowBorderDxfId="457">
  <autoFilter ref="L1:S705" xr:uid="{3490FC0F-E84C-4140-B5AA-2DF588CC3A56}"/>
  <sortState xmlns:xlrd2="http://schemas.microsoft.com/office/spreadsheetml/2017/richdata2" ref="L2:S705">
    <sortCondition ref="M2:M705"/>
  </sortState>
  <tableColumns count="8">
    <tableColumn id="1" xr3:uid="{0CEA6104-D41C-4CEB-B1D6-3E9CDD43F7BA}" name="CLAVE UR" dataDxfId="456"/>
    <tableColumn id="2" xr3:uid="{EE2A6500-209E-4150-882F-FAE25ED75D96}" name="SERIE" dataDxfId="455"/>
    <tableColumn id="3" xr3:uid="{8250D1AC-9A3F-4DE1-87BA-083C582D61B0}" name="BN CARTA" dataDxfId="454"/>
    <tableColumn id="4" xr3:uid="{E223A966-CE09-4E8A-99AF-FFEF23DC711C}" name="BN OFICIO" dataDxfId="453"/>
    <tableColumn id="5" xr3:uid="{BB36BD44-6458-4448-A932-6F005682A8B1}" name="BN DC" dataDxfId="452"/>
    <tableColumn id="6" xr3:uid="{606E1337-D849-48E4-B969-2762879EA7DC}" name="COLOR CARTA" dataDxfId="451"/>
    <tableColumn id="7" xr3:uid="{628A3EB5-1E64-46BD-A8CD-760877458496}" name="COLOR OFICIO" dataDxfId="450"/>
    <tableColumn id="8" xr3:uid="{9675B2C8-AD39-4D0A-8E05-D0B061F0D29C}" name="ENVIAR" dataDxfId="44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A7CC30E-4754-47F6-A220-BBAC1547ACF7}" name="Tabla134567891011" displayName="Tabla134567891011" ref="A1:J729" totalsRowShown="0" headerRowDxfId="448" dataDxfId="447">
  <autoFilter ref="A1:J729" xr:uid="{0F149C49-C8A6-474D-946C-F597BD4AEAE2}"/>
  <sortState xmlns:xlrd2="http://schemas.microsoft.com/office/spreadsheetml/2017/richdata2" ref="A2:J729">
    <sortCondition ref="B2:B729"/>
  </sortState>
  <tableColumns count="10">
    <tableColumn id="1" xr3:uid="{6CD883F5-BACD-4AE9-B454-ACE59FFE9341}" name="CLAVE UR" dataDxfId="446"/>
    <tableColumn id="2" xr3:uid="{6DC6FADE-052A-4D12-B167-FF14D0151C58}" name="SERIE" dataDxfId="445"/>
    <tableColumn id="3" xr3:uid="{44622244-287C-44E3-B6DB-733B2F2B63B9}" name="BN CARTA" dataDxfId="444"/>
    <tableColumn id="4" xr3:uid="{BE3F1752-03EF-4951-A84F-FF63BAA29982}" name="BN OFICIO" dataDxfId="443"/>
    <tableColumn id="5" xr3:uid="{F4C04150-1D90-4438-AED9-8DBD9273996C}" name="BN DC" dataDxfId="442"/>
    <tableColumn id="6" xr3:uid="{5E47B9E3-251E-4EDE-B0C9-AB81F786515C}" name="COLOR CARTA" dataDxfId="441"/>
    <tableColumn id="7" xr3:uid="{7B23C5E3-F081-454E-B3FE-C5981FB0E7A4}" name="COLOR OFICIO" dataDxfId="440"/>
    <tableColumn id="10" xr3:uid="{D7997E57-9C6B-4482-B576-01715BEAB493}" name="ENVIAR" dataDxfId="439"/>
    <tableColumn id="9" xr3:uid="{0D8E5D7F-A39F-4FEE-A201-3F6CA8EC86E5}" name="COPIAR" dataDxfId="438"/>
    <tableColumn id="11" xr3:uid="{4376A5D9-444C-431D-B375-CEEB8B3711D1}" name="Columna1" dataDxfId="437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9E689D9-BD06-4202-9494-4E4AA1C81C70}" name="Tabla17" displayName="Tabla17" ref="L1:S706" totalsRowShown="0" headerRowDxfId="436" dataDxfId="434" headerRowBorderDxfId="435" tableBorderDxfId="433" totalsRowBorderDxfId="432">
  <autoFilter ref="L1:S706" xr:uid="{39E689D9-BD06-4202-9494-4E4AA1C81C70}"/>
  <tableColumns count="8">
    <tableColumn id="1" xr3:uid="{C4EEF35C-FE43-49A8-8378-7F4D9EF65AC9}" name="CLAVE UR" dataDxfId="431"/>
    <tableColumn id="2" xr3:uid="{6AE2F6EB-30F4-493D-B20B-E162F1E63797}" name="SERIE" dataDxfId="430"/>
    <tableColumn id="3" xr3:uid="{E5DAEAF1-41D5-46DD-BEA6-C9F7617E5C1E}" name="BN CARTA" dataDxfId="429"/>
    <tableColumn id="4" xr3:uid="{70569BB9-7088-4646-829E-6E08B12E0D50}" name="BN OFICIO" dataDxfId="428"/>
    <tableColumn id="5" xr3:uid="{850AA5C9-B0AF-476A-BF69-4A22447ADEB4}" name="BN DC" dataDxfId="427"/>
    <tableColumn id="6" xr3:uid="{50B77A66-44D6-4EBE-95DA-FCBDA5AE29DC}" name="COLOR CARTA" dataDxfId="426"/>
    <tableColumn id="7" xr3:uid="{B71A947B-1EEB-47C7-A88B-89D8C250EB0C}" name="COLOR OFICIO" dataDxfId="425"/>
    <tableColumn id="8" xr3:uid="{F30AA84D-FAAD-4162-9711-F82080FC4DB9}" name="ENVIAR" dataDxfId="424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701F759-63CA-43FE-ACB5-D1F1486B3455}" name="Tabla1345678910" displayName="Tabla1345678910" ref="A1:K729" totalsRowShown="0">
  <autoFilter ref="A1:K729" xr:uid="{0F149C49-C8A6-474D-946C-F597BD4AEAE2}"/>
  <sortState xmlns:xlrd2="http://schemas.microsoft.com/office/spreadsheetml/2017/richdata2" ref="A2:K729">
    <sortCondition ref="B2:B729"/>
  </sortState>
  <tableColumns count="11">
    <tableColumn id="1" xr3:uid="{01DEED87-6BA5-4884-8B4C-E65028723989}" name="CLAVE UR"/>
    <tableColumn id="2" xr3:uid="{4E856C63-D50E-418A-A2CB-39514CB5466B}" name="SERIE"/>
    <tableColumn id="3" xr3:uid="{C1D40B57-BF36-43CC-BBBF-45A8D39C9C5E}" name="BN CARTA" dataDxfId="423"/>
    <tableColumn id="4" xr3:uid="{D0FCB39F-2FD7-456D-BCA0-CAEB677C784E}" name="BN OFICIO" dataDxfId="422"/>
    <tableColumn id="5" xr3:uid="{1ABFA77D-5DA2-4C2E-A961-122E5F65388C}" name="BN DC" dataDxfId="421"/>
    <tableColumn id="6" xr3:uid="{5C727996-59B0-43F9-9162-8B3F4963B30B}" name="COLOR CARTA" dataDxfId="420"/>
    <tableColumn id="7" xr3:uid="{4C3F79AE-876A-44EB-B48B-60754CCA49A1}" name="COLOR OFICIO" dataDxfId="419"/>
    <tableColumn id="10" xr3:uid="{F3E1E03D-AABD-4621-B385-813D93EC089C}" name="ENVIAR" dataDxfId="418"/>
    <tableColumn id="9" xr3:uid="{93C9A53B-594F-4082-91C5-6FA40380B8A1}" name="COPIAR" dataDxfId="417"/>
    <tableColumn id="8" xr3:uid="{60A62AFB-C051-492E-8E64-B917EAFE36A6}" name="DIGITALIZACIÓN" dataDxfId="416"/>
    <tableColumn id="11" xr3:uid="{CE1BCF4E-9A9B-4C5F-AC5D-A33E0D0D91E8}" name="Columna1" dataDxfId="415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DF94F6E4-E2C6-4633-A8FA-7B559D888015}" name="Tabla25" displayName="Tabla25" ref="M1:V706" totalsRowShown="0" headerRowDxfId="414" headerRowBorderDxfId="413" tableBorderDxfId="412">
  <autoFilter ref="M1:V706" xr:uid="{DF94F6E4-E2C6-4633-A8FA-7B559D888015}"/>
  <sortState xmlns:xlrd2="http://schemas.microsoft.com/office/spreadsheetml/2017/richdata2" ref="M2:V704">
    <sortCondition ref="N2:N704"/>
  </sortState>
  <tableColumns count="10">
    <tableColumn id="1" xr3:uid="{24CC17EC-1EB1-4F6B-9170-28422C20E67D}" name="CLAVE UR" dataDxfId="411"/>
    <tableColumn id="2" xr3:uid="{1C4ED6E4-B78A-413E-95F0-9D2CD7DD8D44}" name="SERIE" dataDxfId="410"/>
    <tableColumn id="3" xr3:uid="{94C1DE4A-49D6-4E3E-B847-338244A3CDD7}" name="BN CARTA" dataDxfId="409"/>
    <tableColumn id="4" xr3:uid="{2683A624-7816-4570-9F6B-6C044788231D}" name="BN OFICIO" dataDxfId="408"/>
    <tableColumn id="5" xr3:uid="{9616287D-A91A-4C71-9BDF-A32C00BC8334}" name="BN DC" dataDxfId="407"/>
    <tableColumn id="6" xr3:uid="{9DC2E76E-79D0-4F2B-B701-1D016F93AA07}" name="COLOR CARTA" dataDxfId="406"/>
    <tableColumn id="7" xr3:uid="{E95F3978-0FB9-4435-9511-CB536D1383F3}" name="COLOR OFICIO" dataDxfId="405"/>
    <tableColumn id="8" xr3:uid="{A434D27A-BE22-46EA-B987-D190888934D3}" name="ENVIAR" dataDxfId="404"/>
    <tableColumn id="9" xr3:uid="{2D2966B6-8509-4563-806D-2DF675332CAE}" name="COPIAR" dataDxfId="403"/>
    <tableColumn id="10" xr3:uid="{7EED8852-C5D7-4E61-9719-10C7AA39B9F1}" name="DIGITALIZACIÓN">
      <calculatedColumnFormula>SUM(T2:U2)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38B1F4F-58AD-45F6-986D-6C055234E7EC}" name="Tabla13456789" displayName="Tabla13456789" ref="A1:K729" totalsRowShown="0">
  <autoFilter ref="A1:K729" xr:uid="{0F149C49-C8A6-474D-946C-F597BD4AEAE2}"/>
  <sortState xmlns:xlrd2="http://schemas.microsoft.com/office/spreadsheetml/2017/richdata2" ref="A2:K729">
    <sortCondition ref="B2:B729"/>
  </sortState>
  <tableColumns count="11">
    <tableColumn id="1" xr3:uid="{B114C3D5-CCB6-4B7D-8E21-8375521CB10A}" name="CLAVE UR"/>
    <tableColumn id="2" xr3:uid="{887A01F3-D249-4E6E-8F29-0D0D3AE263E4}" name="SERIE"/>
    <tableColumn id="3" xr3:uid="{7D6B3924-753D-47D9-BE6E-0C963FA4BA8F}" name="BN CARTA" dataDxfId="402"/>
    <tableColumn id="4" xr3:uid="{9B67D9A1-8D3F-4AE9-9959-E3DD665C337A}" name="BN OFICIO" dataDxfId="401"/>
    <tableColumn id="5" xr3:uid="{D3F2C0C8-EBDA-4532-90DF-0BEFBBAAD201}" name="BN DC" dataDxfId="400"/>
    <tableColumn id="6" xr3:uid="{A127FDEA-1E9D-47A3-8CEB-A7BE8B1D09EE}" name="COLOR CARTA" dataDxfId="399"/>
    <tableColumn id="7" xr3:uid="{C48EBD0E-7777-406C-A7DE-84B91C77DE46}" name="COLOR OFICIO" dataDxfId="398"/>
    <tableColumn id="10" xr3:uid="{8D394DE9-ABB3-4796-909C-AD233020EB7B}" name="ENVIAR" dataDxfId="397"/>
    <tableColumn id="9" xr3:uid="{4C24B635-CDA8-4087-9F85-3F5373C9D9CC}" name="COPIAR" dataDxfId="396"/>
    <tableColumn id="8" xr3:uid="{89E27096-DAD0-41B2-B64D-DB5C773AAB12}" name="DIGITALIZACIÓN" dataDxfId="395"/>
    <tableColumn id="11" xr3:uid="{126F87D1-6E73-4B5E-8D8B-650599B68CFE}" name="Columna1" dataDxfId="394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F67FC1FD-DA3A-455B-BB81-76D02B07516A}" name="Tabla28" displayName="Tabla28" ref="M1:V706" totalsRowShown="0" headerRowDxfId="393" headerRowBorderDxfId="392" tableBorderDxfId="391">
  <autoFilter ref="M1:V706" xr:uid="{F67FC1FD-DA3A-455B-BB81-76D02B07516A}"/>
  <tableColumns count="10">
    <tableColumn id="1" xr3:uid="{33180E9B-E36A-40C2-96A4-0E54916FBF34}" name="CLAVE UR" dataDxfId="390"/>
    <tableColumn id="2" xr3:uid="{28F3BC00-A10A-4819-BCDF-63951F33AA8B}" name="SERIE" dataDxfId="389"/>
    <tableColumn id="3" xr3:uid="{E6FA4753-6001-45EE-9A74-9DAF9A643379}" name="BN CARTA" dataDxfId="388"/>
    <tableColumn id="4" xr3:uid="{DEF00B87-8FE0-4F64-8E2B-D24FA9EFEBB6}" name="BN OFICIO" dataDxfId="387"/>
    <tableColumn id="5" xr3:uid="{AB7793BB-13D3-40BD-B292-F2A5F781E6BE}" name="BN DC" dataDxfId="386"/>
    <tableColumn id="6" xr3:uid="{22E0D1F9-8A3B-4F9F-81BB-D1C45DFCA805}" name="COLOR CARTA" dataDxfId="385"/>
    <tableColumn id="7" xr3:uid="{7ED817BD-2FB3-4E70-8624-FED2A549F484}" name="COLOR OFICIO" dataDxfId="384"/>
    <tableColumn id="8" xr3:uid="{12DB8D3D-2F1A-493F-BE4A-E9B3BEEA4973}" name="ENVIAR" dataDxfId="383"/>
    <tableColumn id="9" xr3:uid="{916FD555-A035-4770-8740-3EA30B48E9E7}" name="COPIAR" dataDxfId="382"/>
    <tableColumn id="10" xr3:uid="{F3DF0F50-A1A0-4485-8D1F-C51FC58BE725}" name="DIGITALIZACIÓN" dataDxfId="381">
      <calculatedColumnFormula>SUM(T2:U2)</calculatedColumnFormula>
    </tableColumn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70FCE87-B724-42F5-AC87-F074738C624E}" name="Tabla1345678" displayName="Tabla1345678" ref="A1:J729" totalsRowShown="0">
  <autoFilter ref="A1:J729" xr:uid="{0F149C49-C8A6-474D-946C-F597BD4AEAE2}"/>
  <sortState xmlns:xlrd2="http://schemas.microsoft.com/office/spreadsheetml/2017/richdata2" ref="A2:J729">
    <sortCondition ref="B2:B729"/>
  </sortState>
  <tableColumns count="10">
    <tableColumn id="1" xr3:uid="{53096EF3-3A80-4773-84B1-F8FEED88E5F7}" name="CLAVE UR"/>
    <tableColumn id="2" xr3:uid="{1152041B-6136-413C-8E33-462862C7080C}" name="SERIE"/>
    <tableColumn id="3" xr3:uid="{139D18D0-8BE2-4209-BC68-22892D790429}" name="BN CARTA" dataDxfId="380"/>
    <tableColumn id="4" xr3:uid="{C6B4F9BC-F91E-463E-AE6A-6818B03EA87B}" name="BN OFICIO" dataDxfId="379"/>
    <tableColumn id="5" xr3:uid="{5F6299B3-EFFA-4AE6-8BE5-ADA80BBA0049}" name="BN DC" dataDxfId="378"/>
    <tableColumn id="6" xr3:uid="{BD1A74E6-C0B2-4680-8D22-9EF43D2EA189}" name="COLOR CARTA" dataDxfId="377"/>
    <tableColumn id="7" xr3:uid="{6901A363-327E-4919-8511-A8009CB16D43}" name="COLOR OFICIO" dataDxfId="376"/>
    <tableColumn id="10" xr3:uid="{A898DC2F-2A9C-4447-A9A9-D77ED01926A0}" name="ENVIAR" dataDxfId="375"/>
    <tableColumn id="9" xr3:uid="{1C2BAC2C-2959-4933-9232-8D9000C3D9C5}" name="COPIAR" dataDxfId="374"/>
    <tableColumn id="11" xr3:uid="{5C230410-BAAF-464F-A033-F37810D6CF6C}" name="Columna1" dataDxfId="37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6C8A51D-12BC-472C-B042-40E7D62DF19D}" name="Tabla134567" displayName="Tabla134567" ref="A1:J729" totalsRowShown="0">
  <autoFilter ref="A1:J729" xr:uid="{0F149C49-C8A6-474D-946C-F597BD4AEAE2}"/>
  <sortState xmlns:xlrd2="http://schemas.microsoft.com/office/spreadsheetml/2017/richdata2" ref="A2:J729">
    <sortCondition ref="B2:B729"/>
  </sortState>
  <tableColumns count="10">
    <tableColumn id="1" xr3:uid="{C7A3F694-D9E6-4898-A868-F7DDEF3888F7}" name="CLAVE UR"/>
    <tableColumn id="2" xr3:uid="{710D77EF-9996-4A2C-BC99-38320F0B5FED}" name="SERIE"/>
    <tableColumn id="3" xr3:uid="{87E58D65-48C8-47B3-95D0-DA3F93394375}" name="BN CARTA" dataDxfId="372"/>
    <tableColumn id="4" xr3:uid="{E58AD4B7-808D-4E0B-B523-E705904CEF0F}" name="BN OFICIO" dataDxfId="371"/>
    <tableColumn id="5" xr3:uid="{B8E92454-EA73-454A-BE0F-D07278736EF4}" name="BN DC" dataDxfId="370"/>
    <tableColumn id="6" xr3:uid="{AC0772C0-2D68-424B-8A56-8CFB47B5FBAE}" name="COLOR CARTA" dataDxfId="369"/>
    <tableColumn id="7" xr3:uid="{A30A946A-1242-4CD6-B145-476BA905D3E4}" name="COLOR OFICIO" dataDxfId="368"/>
    <tableColumn id="10" xr3:uid="{F90EC80A-8D50-449B-90B1-80F0063573CC}" name="ENVIAR" dataDxfId="367"/>
    <tableColumn id="9" xr3:uid="{DE4B9F29-A958-44A7-9159-8762AAB97871}" name="COPIAR" dataDxfId="366"/>
    <tableColumn id="11" xr3:uid="{447BF535-15A4-420A-8631-49948B845247}" name="Columna1" dataDxfId="365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4E8DEA0-E1B9-483B-8CEF-FE21DE5D8D74}" name="Tabla13456" displayName="Tabla13456" ref="A1:J729" totalsRowShown="0">
  <autoFilter ref="A1:J729" xr:uid="{0F149C49-C8A6-474D-946C-F597BD4AEAE2}"/>
  <sortState xmlns:xlrd2="http://schemas.microsoft.com/office/spreadsheetml/2017/richdata2" ref="A2:J729">
    <sortCondition ref="B2:B729"/>
  </sortState>
  <tableColumns count="10">
    <tableColumn id="1" xr3:uid="{EA02E2B7-F82E-45B5-924A-02816FD99057}" name="CLAVE UR"/>
    <tableColumn id="2" xr3:uid="{115FE192-8684-469C-8460-D4D48A6499C3}" name="SERIE"/>
    <tableColumn id="3" xr3:uid="{BED616EA-BFB7-4A67-AFC3-4B338C5ACB49}" name="BN CARTA" dataDxfId="364"/>
    <tableColumn id="4" xr3:uid="{93633452-FAFE-4AD8-9DDD-F17F35EDFE73}" name="BN OFICIO" dataDxfId="363"/>
    <tableColumn id="5" xr3:uid="{8885197D-0F71-46C6-BCBD-A64815D84337}" name="BN DC" dataDxfId="362"/>
    <tableColumn id="6" xr3:uid="{845727C1-863D-4DB1-8D29-884991451D73}" name="COLOR CARTA" dataDxfId="361"/>
    <tableColumn id="7" xr3:uid="{6AE08363-92B2-4EC4-8A28-96A588889DFA}" name="COLOR OFICIO" dataDxfId="360"/>
    <tableColumn id="10" xr3:uid="{F579D2E4-9545-4078-A7EC-5B4EAC8D66E9}" name="ENVIAR" dataDxfId="359"/>
    <tableColumn id="9" xr3:uid="{A43B8C27-E49D-4038-BFB2-898F63DC8772}" name="COPIAR" dataDxfId="358">
      <calculatedColumnFormula>Tabla13456[[#This Row],[ENVIAR]]+Tabla13456[[#This Row],[COPIAR]]</calculatedColumnFormula>
    </tableColumn>
    <tableColumn id="11" xr3:uid="{C675F5C2-585D-4746-A3D3-C0FE3DB36F16}" name="Columna1" dataDxfId="357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25BCC6C-C1AF-4725-B869-B37FB1280EDF}" name="Tabla1345" displayName="Tabla1345" ref="A1:J729" totalsRowShown="0" headerRowDxfId="356" dataDxfId="355">
  <autoFilter ref="A1:J729" xr:uid="{0F149C49-C8A6-474D-946C-F597BD4AEAE2}"/>
  <sortState xmlns:xlrd2="http://schemas.microsoft.com/office/spreadsheetml/2017/richdata2" ref="A2:J729">
    <sortCondition ref="B2:B729"/>
  </sortState>
  <tableColumns count="10">
    <tableColumn id="1" xr3:uid="{04C394D8-3FFD-437B-A2C4-668087B74C35}" name="CLAVE UR" dataDxfId="354"/>
    <tableColumn id="2" xr3:uid="{809C55ED-FF03-4F2A-B6EE-BF3CB73C8F8B}" name="SERIE" dataDxfId="353"/>
    <tableColumn id="3" xr3:uid="{71F31EF2-0D62-4792-A87C-177BFA1D6BC2}" name="BN CARTA" dataDxfId="352"/>
    <tableColumn id="4" xr3:uid="{17944C27-27C8-4324-8C01-6123238744CF}" name="BN OFICIO" dataDxfId="351"/>
    <tableColumn id="5" xr3:uid="{1EC40988-3856-4B2F-8B32-2B6C30D64674}" name="BN DC" dataDxfId="350"/>
    <tableColumn id="6" xr3:uid="{84DCA836-D437-4402-954A-7239E55BC0C0}" name="COLOR CARTA" dataDxfId="349"/>
    <tableColumn id="7" xr3:uid="{BDA04509-C280-4C7D-9B71-A79F3087E61D}" name="COLOR OFICIO" dataDxfId="348"/>
    <tableColumn id="8" xr3:uid="{D1BA423A-DED7-4773-A44D-5FAF6232E8DD}" name="ENVIAR" dataDxfId="347"/>
    <tableColumn id="10" xr3:uid="{120257F9-9015-4C38-ABD8-C70F98BA16D6}" name="COPIAR" dataDxfId="346"/>
    <tableColumn id="11" xr3:uid="{3F82879E-C974-406F-9306-F7172EE69332}" name="Columna1" dataDxfId="345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170E1AC-32C1-4A82-9E31-4CEDA75AA6AB}" name="Tabla1313" displayName="Tabla1313" ref="A1:J729" totalsRowShown="0" headerRowDxfId="344" dataDxfId="343">
  <autoFilter ref="A1:J729" xr:uid="{C170E1AC-32C1-4A82-9E31-4CEDA75AA6AB}"/>
  <sortState xmlns:xlrd2="http://schemas.microsoft.com/office/spreadsheetml/2017/richdata2" ref="A2:J729">
    <sortCondition ref="B2:B729"/>
  </sortState>
  <tableColumns count="10">
    <tableColumn id="1" xr3:uid="{AE4D8E5A-90E3-46E2-89ED-8B037AB9091D}" name="CLAVE UR" dataDxfId="342"/>
    <tableColumn id="2" xr3:uid="{B63520E2-4908-433C-99C0-899F87F4BD9F}" name="SERIE" dataDxfId="341"/>
    <tableColumn id="3" xr3:uid="{0B01C24F-5DB0-421D-A0FF-A67599A29DC9}" name="BN CARTA" dataDxfId="340"/>
    <tableColumn id="4" xr3:uid="{4054CF29-41C8-433A-AE4A-3C62A1080617}" name="BN OFICIO" dataDxfId="339"/>
    <tableColumn id="5" xr3:uid="{EEE86CD4-0A6E-4D38-B318-A6AFB78438DA}" name="BN DC" dataDxfId="338"/>
    <tableColumn id="6" xr3:uid="{09299652-BB16-4523-92A0-155445C41A69}" name="COLOR CARTA" dataDxfId="337"/>
    <tableColumn id="7" xr3:uid="{60E0B65C-2754-4FB3-B277-AF30D0977BB0}" name="COLOR OFICIO" dataDxfId="336"/>
    <tableColumn id="11" xr3:uid="{60B0911F-DE7B-4AA0-962A-2FCD9BCFC100}" name="ENVIAR" dataDxfId="335"/>
    <tableColumn id="10" xr3:uid="{1CD9AF14-D093-4883-BF8C-CCB55BD6DF38}" name="COPIAR" dataDxfId="334"/>
    <tableColumn id="9" xr3:uid="{CBC721B8-3D52-4F16-B877-B4D4B6C814E7}" name="Columna1" dataDxfId="333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6E3EAEE-14BA-45E2-A898-37A366E7B19D}" name="Tabla13456715" displayName="Tabla13456715" ref="A1:J729" totalsRowShown="0" headerRowDxfId="332" dataDxfId="331">
  <autoFilter ref="A1:J729" xr:uid="{D6E3EAEE-14BA-45E2-A898-37A366E7B19D}"/>
  <sortState xmlns:xlrd2="http://schemas.microsoft.com/office/spreadsheetml/2017/richdata2" ref="A2:J729">
    <sortCondition ref="C2:C729"/>
  </sortState>
  <tableColumns count="10">
    <tableColumn id="1" xr3:uid="{66AC0C90-8200-4DAE-8EFD-A9E457655AF5}" name="CLAVE UR" dataDxfId="330"/>
    <tableColumn id="8" xr3:uid="{DE884219-9CB8-48E0-9123-A2A750FAC9F8}" name="PERFIL" dataDxfId="329"/>
    <tableColumn id="2" xr3:uid="{AD2B2AA8-7F67-4C1A-8EE6-CBF7CAE2921D}" name="SERIE" dataDxfId="328"/>
    <tableColumn id="3" xr3:uid="{BE7BF711-18D5-42EB-918B-2F332DAE72D5}" name="BN CARTA" dataDxfId="327"/>
    <tableColumn id="4" xr3:uid="{B2D5C770-E40A-448A-B441-1D54A5545B00}" name="BN OFICIO" dataDxfId="326"/>
    <tableColumn id="5" xr3:uid="{1B7A1B58-E234-4A48-BB99-E58C68460A63}" name="BN DC" dataDxfId="325"/>
    <tableColumn id="6" xr3:uid="{6E276255-0E78-496E-A136-A4368F495F1C}" name="COLOR CARTA" dataDxfId="324"/>
    <tableColumn id="7" xr3:uid="{14E17B22-7A07-4846-BF1F-66F8B4D16B33}" name="COLOR OFICIO" dataDxfId="323"/>
    <tableColumn id="10" xr3:uid="{AC104FAE-CB31-4186-9D32-C2B388CEFEA8}" name="ENVIAR" dataDxfId="322"/>
    <tableColumn id="9" xr3:uid="{2AD4C116-377E-45AF-B439-03F6092BE4C0}" name="COPIAR" dataDxfId="321"/>
  </tableColumns>
  <tableStyleInfo name="TableStyleMedium3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CCCE052-AB7B-4F48-B31D-56B9D523AD23}" name="Tabla1345671514" displayName="Tabla1345671514" ref="A1:J729" totalsRowShown="0">
  <autoFilter ref="A1:J729" xr:uid="{CCCCE052-AB7B-4F48-B31D-56B9D523AD23}"/>
  <sortState xmlns:xlrd2="http://schemas.microsoft.com/office/spreadsheetml/2017/richdata2" ref="A2:J729">
    <sortCondition ref="C2:C729"/>
  </sortState>
  <tableColumns count="10">
    <tableColumn id="1" xr3:uid="{F62C1404-BD22-4F17-BA84-18AAC1B889A9}" name="CLAVE UR"/>
    <tableColumn id="11" xr3:uid="{8B1F4FF4-6F5C-48D6-8281-37AE63BEBD9E}" name="PERFIL"/>
    <tableColumn id="2" xr3:uid="{E5908640-0DD9-4D5A-A5BC-E980C5F7D8B2}" name="SERIE"/>
    <tableColumn id="3" xr3:uid="{726C469A-524C-452E-B642-45DD416EF4C4}" name="BN CARTA" dataDxfId="320" totalsRowDxfId="319"/>
    <tableColumn id="4" xr3:uid="{0CF721DD-DEF5-49FC-B566-B2717EA5265A}" name="BN OFICIO" dataDxfId="318" totalsRowDxfId="317"/>
    <tableColumn id="5" xr3:uid="{DF1EB932-6E5F-4285-B324-F3FC47BC63DE}" name="BN DC" dataDxfId="316" totalsRowDxfId="315"/>
    <tableColumn id="6" xr3:uid="{FFC70FD8-44B1-40C9-A6C3-BCEF4C886F52}" name="COLOR CARTA" dataDxfId="314" totalsRowDxfId="313"/>
    <tableColumn id="7" xr3:uid="{284B7366-A6AF-46AC-9AED-05B9A0E7086D}" name="COLOR OFICIO" dataDxfId="312" totalsRowDxfId="311"/>
    <tableColumn id="10" xr3:uid="{5FEC2061-F4C4-4522-AD33-E0638C3D8CA3}" name="ENVIAR" dataDxfId="310" totalsRowDxfId="309"/>
    <tableColumn id="9" xr3:uid="{0704B922-F278-48A6-B82B-FAC5683A0404}" name="COPIAR" dataDxfId="308" totalsRowDxfId="307"/>
  </tableColumns>
  <tableStyleInfo name="TableStyleMedium3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6D7C8AE-C27C-4FC8-BD35-6EC4EE0A9F40}" name="Tabla15" displayName="Tabla15" ref="L1:T706" totalsRowShown="0">
  <autoFilter ref="L1:T706" xr:uid="{D6D7C8AE-C27C-4FC8-BD35-6EC4EE0A9F4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sortState xmlns:xlrd2="http://schemas.microsoft.com/office/spreadsheetml/2017/richdata2" ref="L2:T706">
    <sortCondition ref="N2:N706"/>
  </sortState>
  <tableColumns count="9">
    <tableColumn id="1" xr3:uid="{285AF335-C076-4ADC-9C04-E73B1904706C}" name="UR"/>
    <tableColumn id="2" xr3:uid="{6A47C572-FEA4-48F0-936D-655D5B071458}" name="PERFIL"/>
    <tableColumn id="3" xr3:uid="{04EE5B2C-18B1-4572-8374-97EA42AD4F5F}" name="NÚMERO DE SERIE"/>
    <tableColumn id="10" xr3:uid="{9DFC1AE8-51E3-4418-A692-C71570FDFB0C}" name="BN CARTA"/>
    <tableColumn id="11" xr3:uid="{838F126F-46E8-48C0-91EB-8D2B7BBEFE32}" name="BN OFICIO"/>
    <tableColumn id="12" xr3:uid="{C6558D24-687B-48C4-902A-D1CE9D43FF8E}" name="BN DC"/>
    <tableColumn id="13" xr3:uid="{4BABC06F-B168-4449-B671-0D66CF410594}" name="COLOR CARTA"/>
    <tableColumn id="14" xr3:uid="{66CC3EB8-C0D3-4D06-B37B-C2B1133E1BE0}" name="COLOR OFICIO"/>
    <tableColumn id="15" xr3:uid="{3BD49C71-840B-4D36-9DF7-6A51C7002640}" name="ENVIAR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B01FD49-0FAA-4899-9D4F-3D2D5184E510}" name="Tabla1345671521" displayName="Tabla1345671521" ref="A1:J729" totalsRowShown="0" headerRowDxfId="306" dataDxfId="305">
  <autoFilter ref="A1:J729" xr:uid="{D6E3EAEE-14BA-45E2-A898-37A366E7B19D}"/>
  <sortState xmlns:xlrd2="http://schemas.microsoft.com/office/spreadsheetml/2017/richdata2" ref="A2:J729">
    <sortCondition ref="C2:C729"/>
  </sortState>
  <tableColumns count="10">
    <tableColumn id="1" xr3:uid="{9B1FDB22-8822-45FB-9325-6B5AC3AF8C4D}" name="CLAVE UR" dataDxfId="304" totalsRowDxfId="303"/>
    <tableColumn id="8" xr3:uid="{DA0678AE-C1B5-4461-9E87-72E1C9A0DAE8}" name="PERFIL" dataDxfId="302" totalsRowDxfId="301"/>
    <tableColumn id="2" xr3:uid="{20147A24-7E7E-4707-9B25-71EED0818A11}" name="SERIE" dataDxfId="300" totalsRowDxfId="299"/>
    <tableColumn id="3" xr3:uid="{078D29D4-DDC9-4D00-814D-2849FDF0E698}" name="BN CARTA" dataDxfId="298" totalsRowDxfId="297"/>
    <tableColumn id="4" xr3:uid="{12F643A7-D4F4-4F65-8E73-938C23A21948}" name="BN OFICIO" dataDxfId="296" totalsRowDxfId="295"/>
    <tableColumn id="5" xr3:uid="{70C19596-EE4A-4CF7-912C-CC628F455D5F}" name="BN DC" dataDxfId="294" totalsRowDxfId="293"/>
    <tableColumn id="6" xr3:uid="{AE8CEAA8-D422-41BA-A7AB-2D579F2FA5A1}" name="COLOR CARTA" dataDxfId="292" totalsRowDxfId="291"/>
    <tableColumn id="7" xr3:uid="{02CEF230-536A-4857-A2C5-3FFB772C05CB}" name="COLOR OFICIO" dataDxfId="290" totalsRowDxfId="289"/>
    <tableColumn id="10" xr3:uid="{2AB88265-B6E6-48C6-87C3-1CB196D10BF1}" name="ENVIAR" dataDxfId="288" totalsRowDxfId="287"/>
    <tableColumn id="9" xr3:uid="{03FDAAC2-426E-4AEC-8E36-6CA8C38D28C0}" name="COPIAR" dataDxfId="286" totalsRowDxfId="285"/>
  </tableColumns>
  <tableStyleInfo name="TableStyleMedium3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AA8F267D-1D77-4251-BD99-D099C247D4E0}" name="Tabla134567152123" displayName="Tabla134567152123" ref="A1:J729" totalsRowShown="0" headerRowDxfId="284" dataDxfId="283" totalsRowDxfId="282">
  <autoFilter ref="A1:J729" xr:uid="{AA8F267D-1D77-4251-BD99-D099C247D4E0}"/>
  <sortState xmlns:xlrd2="http://schemas.microsoft.com/office/spreadsheetml/2017/richdata2" ref="A2:J729">
    <sortCondition ref="C2:C729"/>
  </sortState>
  <tableColumns count="10">
    <tableColumn id="1" xr3:uid="{B46FD8BC-143E-4A38-A0D4-245533FD9EC4}" name="CLAVE UR" dataDxfId="281" totalsRowDxfId="280"/>
    <tableColumn id="8" xr3:uid="{9752ABF4-9F92-43A1-975B-1F2016FA3B71}" name="PERFIL" dataDxfId="279" totalsRowDxfId="278"/>
    <tableColumn id="2" xr3:uid="{E833305E-FC43-4F99-B641-85E236F2DB95}" name="SERIE" dataDxfId="277" totalsRowDxfId="276"/>
    <tableColumn id="3" xr3:uid="{AA641D2B-080A-4282-896A-95C7FDA96A80}" name="BN CARTA" dataDxfId="275" totalsRowDxfId="274"/>
    <tableColumn id="4" xr3:uid="{4485DD32-AC81-4554-95C1-03865E3273DE}" name="BN OFICIO" dataDxfId="273" totalsRowDxfId="272"/>
    <tableColumn id="5" xr3:uid="{EAE74A83-A07E-4D69-8982-26162A656861}" name="BN DC" dataDxfId="271" totalsRowDxfId="270"/>
    <tableColumn id="6" xr3:uid="{2B3419D5-677F-4DCA-8C50-336F8284177E}" name="COLOR CARTA" dataDxfId="269" totalsRowDxfId="268"/>
    <tableColumn id="7" xr3:uid="{FDCF77C1-F242-438F-BF03-84ED0F093801}" name="COLOR OFICIO" dataDxfId="267" totalsRowDxfId="266"/>
    <tableColumn id="10" xr3:uid="{32F0F27D-2ED8-4BFA-A935-E36AE4E7E396}" name="ENVIAR" dataDxfId="265" totalsRowDxfId="264"/>
    <tableColumn id="9" xr3:uid="{E5C08C84-61F1-4804-B2D7-79FE689A3C6C}" name="COPIAR" dataDxfId="263" totalsRowDxfId="262"/>
  </tableColumns>
  <tableStyleInfo name="TableStyleMedium3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D160DE43-6EB7-4A32-A7CE-DE16A53EACF0}" name="Tabla13456715212327" displayName="Tabla13456715212327" ref="A1:J729" totalsRowShown="0" headerRowDxfId="261" dataDxfId="260" totalsRowDxfId="259">
  <autoFilter ref="A1:J729" xr:uid="{D160DE43-6EB7-4A32-A7CE-DE16A53EACF0}"/>
  <sortState xmlns:xlrd2="http://schemas.microsoft.com/office/spreadsheetml/2017/richdata2" ref="A2:J729">
    <sortCondition ref="C2:C729"/>
  </sortState>
  <tableColumns count="10">
    <tableColumn id="1" xr3:uid="{84CBE733-BF30-4D86-A4E7-C759C3343EE1}" name="CLAVE UR" dataDxfId="258"/>
    <tableColumn id="8" xr3:uid="{46AEC669-EDF5-41BC-93C1-3B01FDC886F8}" name="PERFIL" dataDxfId="257"/>
    <tableColumn id="2" xr3:uid="{FDA058E9-5834-4ACD-80A1-D5E3BBA24BDE}" name="SERIE" dataDxfId="256"/>
    <tableColumn id="3" xr3:uid="{090B0343-BA1B-4351-9234-7FF316444C74}" name="BN CARTA" dataDxfId="255" totalsRowDxfId="254"/>
    <tableColumn id="4" xr3:uid="{A4E0D615-40E2-4973-8CC8-B199CE2F1D40}" name="BN OFICIO" dataDxfId="253" totalsRowDxfId="252"/>
    <tableColumn id="5" xr3:uid="{D5EE1874-C468-49A5-B7A6-8E7EF26C9168}" name="BN DC" dataDxfId="251" totalsRowDxfId="250"/>
    <tableColumn id="6" xr3:uid="{81D186F5-FC79-4426-A3CC-2858B3BD30B0}" name="COLOR CARTA" dataDxfId="249" totalsRowDxfId="248"/>
    <tableColumn id="7" xr3:uid="{F83598FB-104E-4873-845C-E83B12C3230A}" name="COLOR OFICIO" dataDxfId="247" totalsRowDxfId="246"/>
    <tableColumn id="10" xr3:uid="{91C445C4-4199-4DEF-8998-FC42B18185CB}" name="ENVIAR" dataDxfId="245" totalsRowDxfId="244"/>
    <tableColumn id="9" xr3:uid="{D4C0D2D2-C09A-4458-8CF2-2B9D7EF90EAC}" name="COPIAR" dataDxfId="243" totalsRowDxfId="242"/>
  </tableColumns>
  <tableStyleInfo name="TableStyleMedium3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928A64E-13AB-44B2-B98E-4D8B03BBA045}" name="Tabla1345671521232719173" displayName="Tabla1345671521232719173" ref="A1:J729" totalsRowShown="0" headerRowDxfId="241" dataDxfId="240" totalsRowDxfId="239">
  <autoFilter ref="A1:J729" xr:uid="{D160DE43-6EB7-4A32-A7CE-DE16A53EACF0}">
    <filterColumn colId="0">
      <filters>
        <filter val="UR-500"/>
      </filters>
    </filterColumn>
  </autoFilter>
  <sortState xmlns:xlrd2="http://schemas.microsoft.com/office/spreadsheetml/2017/richdata2" ref="A2:J729">
    <sortCondition ref="C2:C729"/>
  </sortState>
  <tableColumns count="10">
    <tableColumn id="1" xr3:uid="{DCCD0931-0BC0-41A5-A3F6-CE5342597C21}" name="CLAVE UR" dataDxfId="238" totalsRowDxfId="237"/>
    <tableColumn id="8" xr3:uid="{0D1DCBC4-EB61-484E-AB42-BDF7595AB8A6}" name="PERFIL" dataDxfId="236" totalsRowDxfId="235"/>
    <tableColumn id="2" xr3:uid="{1455C3EE-92AD-4E04-8B43-4AA74DC184AD}" name="SERIE" dataDxfId="234" totalsRowDxfId="233"/>
    <tableColumn id="3" xr3:uid="{9B3D46D4-8FCA-40D8-976F-4873F491B6FD}" name="BN CARTA" dataDxfId="232" totalsRowDxfId="231"/>
    <tableColumn id="4" xr3:uid="{D7EA326E-DF14-491B-8A55-A415ECCC0B1A}" name="BN OFICIO" dataDxfId="230" totalsRowDxfId="229"/>
    <tableColumn id="5" xr3:uid="{B78D2D74-BF01-44C9-80D5-CBBD9345B640}" name="BN DC" dataDxfId="228" totalsRowDxfId="227"/>
    <tableColumn id="6" xr3:uid="{242D4F22-4704-4C40-A6EC-6C68EBF19422}" name="COLOR CARTA" dataDxfId="226" totalsRowDxfId="225"/>
    <tableColumn id="7" xr3:uid="{AC00A5B9-A407-4D12-8C77-573D2F6D689D}" name="COLOR OFICIO" dataDxfId="224" totalsRowDxfId="223"/>
    <tableColumn id="10" xr3:uid="{116BDC4A-187D-4BA5-ACA5-46C5CA3FC1FA}" name="ENVIAR" dataDxfId="222" totalsRowDxfId="221"/>
    <tableColumn id="9" xr3:uid="{E85F0888-2D19-422F-8AFC-7F27FAB3B009}" name="COPIAR" dataDxfId="220" totalsRowDxfId="219"/>
  </tableColumns>
  <tableStyleInfo name="TableStyleMedium4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28CE123-2BA9-41ED-8120-23664647C032}" name="Tabla134567152123271917" displayName="Tabla134567152123271917" ref="A1:K729" totalsRowShown="0" headerRowDxfId="218" dataDxfId="217" totalsRowDxfId="216">
  <autoFilter ref="A1:K729" xr:uid="{D160DE43-6EB7-4A32-A7CE-DE16A53EACF0}"/>
  <sortState xmlns:xlrd2="http://schemas.microsoft.com/office/spreadsheetml/2017/richdata2" ref="A2:K729">
    <sortCondition ref="C2:C729"/>
  </sortState>
  <tableColumns count="11">
    <tableColumn id="1" xr3:uid="{47748942-BF7D-4F26-B143-10BB55ED00CE}" name="CLAVE UR" dataDxfId="215" totalsRowDxfId="214"/>
    <tableColumn id="8" xr3:uid="{0966F7B3-0140-401C-A32D-A17A8A8636B0}" name="PERFIL" dataDxfId="213" totalsRowDxfId="212"/>
    <tableColumn id="2" xr3:uid="{AFD88206-40CA-43B3-AFA3-93B62BF6DCC3}" name="SERIE" dataDxfId="211" totalsRowDxfId="210"/>
    <tableColumn id="3" xr3:uid="{2B616E14-B7A5-4750-9609-B641056F051C}" name="BN CARTA" dataDxfId="209" totalsRowDxfId="208"/>
    <tableColumn id="4" xr3:uid="{4CF458D4-6E3F-4A39-8FDB-E2EF2F20DD12}" name="BN OFICIO" dataDxfId="207" totalsRowDxfId="206"/>
    <tableColumn id="5" xr3:uid="{0337E194-01D4-465A-9E54-EDBE39A4D64E}" name="BN DC" dataDxfId="205" totalsRowDxfId="204"/>
    <tableColumn id="6" xr3:uid="{85376130-37B9-4959-80FD-23A5AF1D2511}" name="COLOR CARTA" dataDxfId="203" totalsRowDxfId="202"/>
    <tableColumn id="7" xr3:uid="{DADB0E99-B3B0-4DD8-B08D-965918BB46CD}" name="COLOR OFICIO" dataDxfId="201" totalsRowDxfId="200"/>
    <tableColumn id="10" xr3:uid="{FDE2E0AD-30EE-418E-A1BE-890D05C9B0F8}" name="ENVIAR" dataDxfId="199" totalsRowDxfId="198"/>
    <tableColumn id="9" xr3:uid="{7B604D56-4181-47B8-A7ED-C3D7CACA2CF6}" name="COPIAR" dataDxfId="197" totalsRowDxfId="196"/>
    <tableColumn id="11" xr3:uid="{97748E1B-ED39-43CD-9637-1EAEBBDA8972}" name="Columna1" dataDxfId="195" totalsRowDxfId="194"/>
  </tableColumns>
  <tableStyleInfo name="TableStyleMedium4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37B1859-94A2-4402-AAAA-AB0A06485496}" name="Tabla13456715212327191719" displayName="Tabla13456715212327191719" ref="A1:J729" totalsRowShown="0" headerRowDxfId="193" dataDxfId="192" totalsRowDxfId="191">
  <autoFilter ref="A1:J729" xr:uid="{D160DE43-6EB7-4A32-A7CE-DE16A53EACF0}"/>
  <sortState xmlns:xlrd2="http://schemas.microsoft.com/office/spreadsheetml/2017/richdata2" ref="A2:J729">
    <sortCondition ref="C2:C729"/>
  </sortState>
  <tableColumns count="10">
    <tableColumn id="1" xr3:uid="{0932B1B7-C591-4BF8-A967-D88E539FDEED}" name="CLAVE UR" dataDxfId="190" totalsRowDxfId="189"/>
    <tableColumn id="8" xr3:uid="{0137D27C-0258-4D4D-9FA1-15536EC31EEE}" name="PERFIL" dataDxfId="188" totalsRowDxfId="187"/>
    <tableColumn id="2" xr3:uid="{6D42B880-E247-4AEC-8E76-87F31AE22376}" name="SERIE" dataDxfId="186" totalsRowDxfId="185"/>
    <tableColumn id="3" xr3:uid="{CB1D69EA-D105-4FB8-959C-1B6A9592C1ED}" name="BN CARTA" dataDxfId="184" totalsRowDxfId="183"/>
    <tableColumn id="4" xr3:uid="{5100A207-949E-4E97-8D55-33AE7834EFFD}" name="BN OFICIO" dataDxfId="182" totalsRowDxfId="181"/>
    <tableColumn id="5" xr3:uid="{D7688ECC-6F68-4F65-B758-5E680CA87D77}" name="BN DC" dataDxfId="180" totalsRowDxfId="179"/>
    <tableColumn id="6" xr3:uid="{02E342F7-A364-4AFA-81DC-15370CDDC790}" name="COLOR CARTA" dataDxfId="178" totalsRowDxfId="177"/>
    <tableColumn id="7" xr3:uid="{A817FFE9-E838-4765-80E9-D8687DDCD037}" name="COLOR OFICIO" dataDxfId="176" totalsRowDxfId="175"/>
    <tableColumn id="10" xr3:uid="{06D32D57-4AD1-4F27-8808-498E5796392C}" name="ENVIAR" dataDxfId="174" totalsRowDxfId="173"/>
    <tableColumn id="9" xr3:uid="{6516190B-0562-4068-A9B9-5D65E373982A}" name="COPIAR" dataDxfId="172" totalsRowDxfId="171"/>
  </tableColumns>
  <tableStyleInfo name="TableStyleMedium4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94047C-3F3E-4F03-9227-816CB79F3817}" name="Tabla134567152123271917192" displayName="Tabla134567152123271917192" ref="A1:K729" totalsRowShown="0" headerRowDxfId="170" dataDxfId="169" totalsRowDxfId="168">
  <autoFilter ref="A1:K729" xr:uid="{D160DE43-6EB7-4A32-A7CE-DE16A53EACF0}"/>
  <sortState xmlns:xlrd2="http://schemas.microsoft.com/office/spreadsheetml/2017/richdata2" ref="A2:J729">
    <sortCondition ref="C1:C729"/>
  </sortState>
  <tableColumns count="11">
    <tableColumn id="1" xr3:uid="{BE3FB3DB-7858-477C-9D2E-D8CE9DFCF3D8}" name="CLAVE UR" dataDxfId="167" totalsRowDxfId="166"/>
    <tableColumn id="8" xr3:uid="{F2A0B7C8-6A2E-49C0-B9FE-1F50297579C1}" name="PERFIL" dataDxfId="165" totalsRowDxfId="164"/>
    <tableColumn id="2" xr3:uid="{73FC6BBC-0CC3-48AA-9D93-F8D678665337}" name="SERIE" dataDxfId="163" totalsRowDxfId="162"/>
    <tableColumn id="3" xr3:uid="{CAF213D8-819F-4192-AFDF-D14B756B0F1B}" name="BN CARTA" dataDxfId="161" totalsRowDxfId="160"/>
    <tableColumn id="4" xr3:uid="{0806C75C-AE16-4D59-B2A5-F4421365095C}" name="BN OFICIO" dataDxfId="159" totalsRowDxfId="158"/>
    <tableColumn id="5" xr3:uid="{089B56D6-F118-4C31-A6FD-D943C40A2409}" name="BN DC" dataDxfId="157" totalsRowDxfId="156"/>
    <tableColumn id="6" xr3:uid="{4DBFADF2-1BFD-4703-8649-CF53D3067057}" name="COLOR CARTA" dataDxfId="155" totalsRowDxfId="154"/>
    <tableColumn id="7" xr3:uid="{4AF5BCB7-63CF-442B-9E07-444983A5432C}" name="COLOR OFICIO" dataDxfId="153" totalsRowDxfId="152"/>
    <tableColumn id="10" xr3:uid="{88C20BB9-D3CA-453A-A035-4C423A4C1A81}" name="ENVIAR" dataDxfId="151" totalsRowDxfId="150"/>
    <tableColumn id="9" xr3:uid="{F178E6EF-0414-43D0-A756-98802E254C16}" name="COPIAR" dataDxfId="149" totalsRowDxfId="148"/>
    <tableColumn id="11" xr3:uid="{C7538AAF-0E73-4676-B30C-C7A6BF65B9DD}" name="OBSERVACIONES" dataDxfId="147" totalsRowDxfId="146"/>
  </tableColumns>
  <tableStyleInfo name="TableStyleMedium4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1ECF898-92C7-455D-A581-FB72131DA87B}" name="Tabla19" displayName="Tabla19" ref="M1:V729" totalsRowShown="0" headerRowDxfId="134" dataDxfId="135">
  <autoFilter ref="M1:V729" xr:uid="{11ECF898-92C7-455D-A581-FB72131DA87B}"/>
  <sortState xmlns:xlrd2="http://schemas.microsoft.com/office/spreadsheetml/2017/richdata2" ref="M2:V729">
    <sortCondition ref="O1:O729"/>
  </sortState>
  <tableColumns count="10">
    <tableColumn id="1" xr3:uid="{8C12E629-AD76-42A7-8C00-E4FB26994C99}" name="CLAVE UR" dataDxfId="145"/>
    <tableColumn id="2" xr3:uid="{190347F2-5F6C-4906-B4B8-BB35F2BEBD48}" name="PERFIL" dataDxfId="144"/>
    <tableColumn id="3" xr3:uid="{517DF431-58E1-4A86-BCEF-8B829107DAEE}" name="SERIE" dataDxfId="143"/>
    <tableColumn id="5" xr3:uid="{48F287B7-268E-4BC5-8FC3-EA3F9406BBE3}" name="BN CARTA" dataDxfId="142"/>
    <tableColumn id="6" xr3:uid="{52DE06CC-5FF1-4D2D-9741-3B985EA60A59}" name="BN OFICIO" dataDxfId="141"/>
    <tableColumn id="7" xr3:uid="{01982CAE-953F-40F5-8200-FD132B39BE5A}" name="BN DC" dataDxfId="140"/>
    <tableColumn id="8" xr3:uid="{4D9B1E85-8340-49BE-AD12-A77CB5978554}" name="COLOR CARTA" dataDxfId="139"/>
    <tableColumn id="9" xr3:uid="{2F60CEFF-8D7A-4723-9FC7-2D58F4A53212}" name="COLOR OFICIO" dataDxfId="138"/>
    <tableColumn id="10" xr3:uid="{17EFA322-B7F9-48D3-9539-91BD15C99C57}" name="ENVIAR" dataDxfId="137"/>
    <tableColumn id="11" xr3:uid="{36B26DAD-8090-41C5-8B79-AC8E858E58BF}" name="COPIAR" dataDxfId="13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table" Target="../tables/table1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FABB-DF5C-4F9E-B98F-F8DC866DADF5}">
  <sheetPr>
    <tabColor theme="1"/>
  </sheetPr>
  <dimension ref="A1:S730"/>
  <sheetViews>
    <sheetView zoomScaleNormal="100" workbookViewId="0">
      <selection activeCell="F12" sqref="F12"/>
    </sheetView>
  </sheetViews>
  <sheetFormatPr baseColWidth="10" defaultColWidth="11.42578125" defaultRowHeight="15" x14ac:dyDescent="0.25"/>
  <cols>
    <col min="1" max="1" width="11.85546875" bestFit="1" customWidth="1"/>
    <col min="2" max="2" width="13.85546875" bestFit="1" customWidth="1"/>
    <col min="3" max="3" width="12.140625" bestFit="1" customWidth="1"/>
    <col min="4" max="4" width="12.42578125" bestFit="1" customWidth="1"/>
    <col min="5" max="5" width="8.7109375" bestFit="1" customWidth="1"/>
    <col min="6" max="6" width="15.5703125" bestFit="1" customWidth="1"/>
    <col min="7" max="7" width="15.85546875" bestFit="1" customWidth="1"/>
    <col min="8" max="9" width="10" bestFit="1" customWidth="1"/>
    <col min="10" max="10" width="2.140625" customWidth="1"/>
    <col min="11" max="11" width="11.85546875" bestFit="1" customWidth="1"/>
    <col min="12" max="12" width="13.85546875" bestFit="1" customWidth="1"/>
    <col min="13" max="13" width="12.140625" bestFit="1" customWidth="1"/>
    <col min="14" max="14" width="12.42578125" bestFit="1" customWidth="1"/>
    <col min="15" max="15" width="8.7109375" bestFit="1" customWidth="1"/>
    <col min="16" max="16" width="15.5703125" bestFit="1" customWidth="1"/>
    <col min="17" max="17" width="15.85546875" bestFit="1" customWidth="1"/>
    <col min="18" max="19" width="11.5703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</row>
    <row r="2" spans="1:19" x14ac:dyDescent="0.25">
      <c r="A2" t="s">
        <v>10</v>
      </c>
      <c r="B2" t="s">
        <v>11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K2" t="s">
        <v>10</v>
      </c>
      <c r="L2" t="s">
        <v>11</v>
      </c>
      <c r="M2" s="1" t="e">
        <f>Tabla32[[#This Row],[BN CARTA]]-#REF!</f>
        <v>#REF!</v>
      </c>
      <c r="N2" s="1" t="e">
        <f>Tabla32[[#This Row],[BN OFICIO]]-#REF!</f>
        <v>#REF!</v>
      </c>
      <c r="O2" s="1" t="e">
        <f>Tabla32[[#This Row],[BN DC]]-#REF!</f>
        <v>#REF!</v>
      </c>
      <c r="P2" s="1" t="e">
        <f>Tabla32[[#This Row],[COLOR CARTA]]-#REF!</f>
        <v>#REF!</v>
      </c>
      <c r="Q2" s="1" t="e">
        <f>Tabla32[[#This Row],[COLOR OFICIO]]-#REF!</f>
        <v>#REF!</v>
      </c>
      <c r="R2" s="1" t="e">
        <f>Tabla32[[#This Row],[ENVIAR]]-#REF!</f>
        <v>#REF!</v>
      </c>
      <c r="S2" s="1" t="e">
        <f>Tabla32[[#This Row],[COPIAR]]-#REF!</f>
        <v>#REF!</v>
      </c>
    </row>
    <row r="3" spans="1:19" x14ac:dyDescent="0.25">
      <c r="A3" t="s">
        <v>10</v>
      </c>
      <c r="B3" t="s">
        <v>12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K3" t="s">
        <v>10</v>
      </c>
      <c r="L3" t="s">
        <v>12</v>
      </c>
      <c r="M3" s="1" t="e">
        <f>Tabla32[[#This Row],[BN CARTA]]-#REF!</f>
        <v>#REF!</v>
      </c>
      <c r="N3" s="1" t="e">
        <f>Tabla32[[#This Row],[BN OFICIO]]-#REF!</f>
        <v>#REF!</v>
      </c>
      <c r="O3" s="1" t="e">
        <f>Tabla32[[#This Row],[BN DC]]-#REF!</f>
        <v>#REF!</v>
      </c>
      <c r="P3" s="1" t="e">
        <f>Tabla32[[#This Row],[COLOR CARTA]]-#REF!</f>
        <v>#REF!</v>
      </c>
      <c r="Q3" s="1" t="e">
        <f>Tabla32[[#This Row],[COLOR OFICIO]]-#REF!</f>
        <v>#REF!</v>
      </c>
      <c r="R3" s="1" t="e">
        <f>Tabla32[[#This Row],[ENVIAR]]-#REF!</f>
        <v>#REF!</v>
      </c>
      <c r="S3" s="1" t="e">
        <f>Tabla32[[#This Row],[COPIAR]]-#REF!</f>
        <v>#REF!</v>
      </c>
    </row>
    <row r="4" spans="1:19" x14ac:dyDescent="0.25">
      <c r="A4" t="s">
        <v>10</v>
      </c>
      <c r="B4" t="s">
        <v>13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K4" t="s">
        <v>10</v>
      </c>
      <c r="L4" t="s">
        <v>13</v>
      </c>
      <c r="M4" s="1" t="e">
        <f>Tabla32[[#This Row],[BN CARTA]]-#REF!</f>
        <v>#REF!</v>
      </c>
      <c r="N4" s="1" t="e">
        <f>Tabla32[[#This Row],[BN OFICIO]]-#REF!</f>
        <v>#REF!</v>
      </c>
      <c r="O4" s="1" t="e">
        <f>Tabla32[[#This Row],[BN DC]]-#REF!</f>
        <v>#REF!</v>
      </c>
      <c r="P4" s="1" t="e">
        <f>Tabla32[[#This Row],[COLOR CARTA]]-#REF!</f>
        <v>#REF!</v>
      </c>
      <c r="Q4" s="1" t="e">
        <f>Tabla32[[#This Row],[COLOR OFICIO]]-#REF!</f>
        <v>#REF!</v>
      </c>
      <c r="R4" s="1" t="e">
        <f>Tabla32[[#This Row],[ENVIAR]]-#REF!</f>
        <v>#REF!</v>
      </c>
      <c r="S4" s="1" t="e">
        <f>Tabla32[[#This Row],[COPIAR]]-#REF!</f>
        <v>#REF!</v>
      </c>
    </row>
    <row r="5" spans="1:19" x14ac:dyDescent="0.25">
      <c r="A5" t="s">
        <v>10</v>
      </c>
      <c r="B5" t="s">
        <v>14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K5" t="s">
        <v>10</v>
      </c>
      <c r="L5" t="s">
        <v>14</v>
      </c>
      <c r="M5" s="1" t="e">
        <f>Tabla32[[#This Row],[BN CARTA]]-#REF!</f>
        <v>#REF!</v>
      </c>
      <c r="N5" s="1" t="e">
        <f>Tabla32[[#This Row],[BN OFICIO]]-#REF!</f>
        <v>#REF!</v>
      </c>
      <c r="O5" s="1" t="e">
        <f>Tabla32[[#This Row],[BN DC]]-#REF!</f>
        <v>#REF!</v>
      </c>
      <c r="P5" s="1" t="e">
        <f>Tabla32[[#This Row],[COLOR CARTA]]-#REF!</f>
        <v>#REF!</v>
      </c>
      <c r="Q5" s="1" t="e">
        <f>Tabla32[[#This Row],[COLOR OFICIO]]-#REF!</f>
        <v>#REF!</v>
      </c>
      <c r="R5" s="1" t="e">
        <f>Tabla32[[#This Row],[ENVIAR]]-#REF!</f>
        <v>#REF!</v>
      </c>
      <c r="S5" s="1" t="e">
        <f>Tabla32[[#This Row],[COPIAR]]-#REF!</f>
        <v>#REF!</v>
      </c>
    </row>
    <row r="6" spans="1:19" x14ac:dyDescent="0.25">
      <c r="A6" t="s">
        <v>10</v>
      </c>
      <c r="B6" t="s">
        <v>15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K6" t="s">
        <v>10</v>
      </c>
      <c r="L6" t="s">
        <v>15</v>
      </c>
      <c r="M6" s="1" t="e">
        <f>Tabla32[[#This Row],[BN CARTA]]-#REF!</f>
        <v>#REF!</v>
      </c>
      <c r="N6" s="1" t="e">
        <f>Tabla32[[#This Row],[BN OFICIO]]-#REF!</f>
        <v>#REF!</v>
      </c>
      <c r="O6" s="1" t="e">
        <f>Tabla32[[#This Row],[BN DC]]-#REF!</f>
        <v>#REF!</v>
      </c>
      <c r="P6" s="1" t="e">
        <f>Tabla32[[#This Row],[COLOR CARTA]]-#REF!</f>
        <v>#REF!</v>
      </c>
      <c r="Q6" s="1" t="e">
        <f>Tabla32[[#This Row],[COLOR OFICIO]]-#REF!</f>
        <v>#REF!</v>
      </c>
      <c r="R6" s="1" t="e">
        <f>Tabla32[[#This Row],[ENVIAR]]-#REF!</f>
        <v>#REF!</v>
      </c>
      <c r="S6" s="1" t="e">
        <f>Tabla32[[#This Row],[COPIAR]]-#REF!</f>
        <v>#REF!</v>
      </c>
    </row>
    <row r="7" spans="1:19" x14ac:dyDescent="0.25">
      <c r="A7" t="s">
        <v>10</v>
      </c>
      <c r="B7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K7" t="s">
        <v>10</v>
      </c>
      <c r="L7" t="s">
        <v>16</v>
      </c>
      <c r="M7" s="1" t="e">
        <f>Tabla32[[#This Row],[BN CARTA]]-#REF!</f>
        <v>#REF!</v>
      </c>
      <c r="N7" s="1" t="e">
        <f>Tabla32[[#This Row],[BN OFICIO]]-#REF!</f>
        <v>#REF!</v>
      </c>
      <c r="O7" s="1" t="e">
        <f>Tabla32[[#This Row],[BN DC]]-#REF!</f>
        <v>#REF!</v>
      </c>
      <c r="P7" s="1" t="e">
        <f>Tabla32[[#This Row],[COLOR CARTA]]-#REF!</f>
        <v>#REF!</v>
      </c>
      <c r="Q7" s="1" t="e">
        <f>Tabla32[[#This Row],[COLOR OFICIO]]-#REF!</f>
        <v>#REF!</v>
      </c>
      <c r="R7" s="1" t="e">
        <f>Tabla32[[#This Row],[ENVIAR]]-#REF!</f>
        <v>#REF!</v>
      </c>
      <c r="S7" s="1" t="e">
        <f>Tabla32[[#This Row],[COPIAR]]-#REF!</f>
        <v>#REF!</v>
      </c>
    </row>
    <row r="8" spans="1:19" x14ac:dyDescent="0.25">
      <c r="A8" t="s">
        <v>10</v>
      </c>
      <c r="B8" t="s">
        <v>17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K8" t="s">
        <v>10</v>
      </c>
      <c r="L8" t="s">
        <v>17</v>
      </c>
      <c r="M8" s="1" t="e">
        <f>Tabla32[[#This Row],[BN CARTA]]-#REF!</f>
        <v>#REF!</v>
      </c>
      <c r="N8" s="1" t="e">
        <f>Tabla32[[#This Row],[BN OFICIO]]-#REF!</f>
        <v>#REF!</v>
      </c>
      <c r="O8" s="1" t="e">
        <f>Tabla32[[#This Row],[BN DC]]-#REF!</f>
        <v>#REF!</v>
      </c>
      <c r="P8" s="1" t="e">
        <f>Tabla32[[#This Row],[COLOR CARTA]]-#REF!</f>
        <v>#REF!</v>
      </c>
      <c r="Q8" s="1" t="e">
        <f>Tabla32[[#This Row],[COLOR OFICIO]]-#REF!</f>
        <v>#REF!</v>
      </c>
      <c r="R8" s="1" t="e">
        <f>Tabla32[[#This Row],[ENVIAR]]-#REF!</f>
        <v>#REF!</v>
      </c>
      <c r="S8" s="1" t="e">
        <f>Tabla32[[#This Row],[COPIAR]]-#REF!</f>
        <v>#REF!</v>
      </c>
    </row>
    <row r="9" spans="1:19" x14ac:dyDescent="0.25">
      <c r="A9" t="s">
        <v>10</v>
      </c>
      <c r="B9" t="s">
        <v>18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K9" t="s">
        <v>10</v>
      </c>
      <c r="L9" t="s">
        <v>18</v>
      </c>
      <c r="M9" s="1" t="e">
        <f>Tabla32[[#This Row],[BN CARTA]]-#REF!</f>
        <v>#REF!</v>
      </c>
      <c r="N9" s="1" t="e">
        <f>Tabla32[[#This Row],[BN OFICIO]]-#REF!</f>
        <v>#REF!</v>
      </c>
      <c r="O9" s="1" t="e">
        <f>Tabla32[[#This Row],[BN DC]]-#REF!</f>
        <v>#REF!</v>
      </c>
      <c r="P9" s="1" t="e">
        <f>Tabla32[[#This Row],[COLOR CARTA]]-#REF!</f>
        <v>#REF!</v>
      </c>
      <c r="Q9" s="1" t="e">
        <f>Tabla32[[#This Row],[COLOR OFICIO]]-#REF!</f>
        <v>#REF!</v>
      </c>
      <c r="R9" s="1" t="e">
        <f>Tabla32[[#This Row],[ENVIAR]]-#REF!</f>
        <v>#REF!</v>
      </c>
      <c r="S9" s="1" t="e">
        <f>Tabla32[[#This Row],[COPIAR]]-#REF!</f>
        <v>#REF!</v>
      </c>
    </row>
    <row r="10" spans="1:19" x14ac:dyDescent="0.25">
      <c r="A10" t="s">
        <v>10</v>
      </c>
      <c r="B10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K10" t="s">
        <v>10</v>
      </c>
      <c r="L10" t="s">
        <v>19</v>
      </c>
      <c r="M10" s="1" t="e">
        <f>Tabla32[[#This Row],[BN CARTA]]-#REF!</f>
        <v>#REF!</v>
      </c>
      <c r="N10" s="1" t="e">
        <f>Tabla32[[#This Row],[BN OFICIO]]-#REF!</f>
        <v>#REF!</v>
      </c>
      <c r="O10" s="1" t="e">
        <f>Tabla32[[#This Row],[BN DC]]-#REF!</f>
        <v>#REF!</v>
      </c>
      <c r="P10" s="1" t="e">
        <f>Tabla32[[#This Row],[COLOR CARTA]]-#REF!</f>
        <v>#REF!</v>
      </c>
      <c r="Q10" s="1" t="e">
        <f>Tabla32[[#This Row],[COLOR OFICIO]]-#REF!</f>
        <v>#REF!</v>
      </c>
      <c r="R10" s="1" t="e">
        <f>Tabla32[[#This Row],[ENVIAR]]-#REF!</f>
        <v>#REF!</v>
      </c>
      <c r="S10" s="1" t="e">
        <f>Tabla32[[#This Row],[COPIAR]]-#REF!</f>
        <v>#REF!</v>
      </c>
    </row>
    <row r="11" spans="1:19" x14ac:dyDescent="0.25">
      <c r="A11" t="s">
        <v>10</v>
      </c>
      <c r="B11" t="s">
        <v>20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K11" t="s">
        <v>10</v>
      </c>
      <c r="L11" t="s">
        <v>20</v>
      </c>
      <c r="M11" s="1" t="e">
        <f>Tabla32[[#This Row],[BN CARTA]]-#REF!</f>
        <v>#REF!</v>
      </c>
      <c r="N11" s="1" t="e">
        <f>Tabla32[[#This Row],[BN OFICIO]]-#REF!</f>
        <v>#REF!</v>
      </c>
      <c r="O11" s="1" t="e">
        <f>Tabla32[[#This Row],[BN DC]]-#REF!</f>
        <v>#REF!</v>
      </c>
      <c r="P11" s="1" t="e">
        <f>Tabla32[[#This Row],[COLOR CARTA]]-#REF!</f>
        <v>#REF!</v>
      </c>
      <c r="Q11" s="1" t="e">
        <f>Tabla32[[#This Row],[COLOR OFICIO]]-#REF!</f>
        <v>#REF!</v>
      </c>
      <c r="R11" s="1" t="e">
        <f>Tabla32[[#This Row],[ENVIAR]]-#REF!</f>
        <v>#REF!</v>
      </c>
      <c r="S11" s="1" t="e">
        <f>Tabla32[[#This Row],[COPIAR]]-#REF!</f>
        <v>#REF!</v>
      </c>
    </row>
    <row r="12" spans="1:19" x14ac:dyDescent="0.25">
      <c r="A12" t="s">
        <v>10</v>
      </c>
      <c r="B12" t="s">
        <v>21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K12" t="s">
        <v>10</v>
      </c>
      <c r="L12" t="s">
        <v>21</v>
      </c>
      <c r="M12" s="1" t="e">
        <f>Tabla32[[#This Row],[BN CARTA]]-#REF!</f>
        <v>#REF!</v>
      </c>
      <c r="N12" s="1" t="e">
        <f>Tabla32[[#This Row],[BN OFICIO]]-#REF!</f>
        <v>#REF!</v>
      </c>
      <c r="O12" s="1" t="e">
        <f>Tabla32[[#This Row],[BN DC]]-#REF!</f>
        <v>#REF!</v>
      </c>
      <c r="P12" s="1" t="e">
        <f>Tabla32[[#This Row],[COLOR CARTA]]-#REF!</f>
        <v>#REF!</v>
      </c>
      <c r="Q12" s="1" t="e">
        <f>Tabla32[[#This Row],[COLOR OFICIO]]-#REF!</f>
        <v>#REF!</v>
      </c>
      <c r="R12" s="1" t="e">
        <f>Tabla32[[#This Row],[ENVIAR]]-#REF!</f>
        <v>#REF!</v>
      </c>
      <c r="S12" s="1" t="e">
        <f>Tabla32[[#This Row],[COPIAR]]-#REF!</f>
        <v>#REF!</v>
      </c>
    </row>
    <row r="13" spans="1:19" x14ac:dyDescent="0.25">
      <c r="A13" t="s">
        <v>10</v>
      </c>
      <c r="B13" t="s">
        <v>22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K13" t="s">
        <v>10</v>
      </c>
      <c r="L13" t="s">
        <v>22</v>
      </c>
      <c r="M13" s="1" t="e">
        <f>Tabla32[[#This Row],[BN CARTA]]-#REF!</f>
        <v>#REF!</v>
      </c>
      <c r="N13" s="1" t="e">
        <f>Tabla32[[#This Row],[BN OFICIO]]-#REF!</f>
        <v>#REF!</v>
      </c>
      <c r="O13" s="1" t="e">
        <f>Tabla32[[#This Row],[BN DC]]-#REF!</f>
        <v>#REF!</v>
      </c>
      <c r="P13" s="1" t="e">
        <f>Tabla32[[#This Row],[COLOR CARTA]]-#REF!</f>
        <v>#REF!</v>
      </c>
      <c r="Q13" s="1" t="e">
        <f>Tabla32[[#This Row],[COLOR OFICIO]]-#REF!</f>
        <v>#REF!</v>
      </c>
      <c r="R13" s="1" t="e">
        <f>Tabla32[[#This Row],[ENVIAR]]-#REF!</f>
        <v>#REF!</v>
      </c>
      <c r="S13" s="1" t="e">
        <f>Tabla32[[#This Row],[COPIAR]]-#REF!</f>
        <v>#REF!</v>
      </c>
    </row>
    <row r="14" spans="1:19" x14ac:dyDescent="0.25">
      <c r="A14" t="s">
        <v>10</v>
      </c>
      <c r="B14" t="s">
        <v>23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K14" t="s">
        <v>10</v>
      </c>
      <c r="L14" t="s">
        <v>23</v>
      </c>
      <c r="M14" s="1" t="e">
        <f>Tabla32[[#This Row],[BN CARTA]]-#REF!</f>
        <v>#REF!</v>
      </c>
      <c r="N14" s="1" t="e">
        <f>Tabla32[[#This Row],[BN OFICIO]]-#REF!</f>
        <v>#REF!</v>
      </c>
      <c r="O14" s="1" t="e">
        <f>Tabla32[[#This Row],[BN DC]]-#REF!</f>
        <v>#REF!</v>
      </c>
      <c r="P14" s="1" t="e">
        <f>Tabla32[[#This Row],[COLOR CARTA]]-#REF!</f>
        <v>#REF!</v>
      </c>
      <c r="Q14" s="1" t="e">
        <f>Tabla32[[#This Row],[COLOR OFICIO]]-#REF!</f>
        <v>#REF!</v>
      </c>
      <c r="R14" s="1" t="e">
        <f>Tabla32[[#This Row],[ENVIAR]]-#REF!</f>
        <v>#REF!</v>
      </c>
      <c r="S14" s="1" t="e">
        <f>Tabla32[[#This Row],[COPIAR]]-#REF!</f>
        <v>#REF!</v>
      </c>
    </row>
    <row r="15" spans="1:19" x14ac:dyDescent="0.25">
      <c r="A15" t="s">
        <v>10</v>
      </c>
      <c r="B15" t="s">
        <v>24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K15" t="s">
        <v>10</v>
      </c>
      <c r="L15" t="s">
        <v>24</v>
      </c>
      <c r="M15" s="1" t="e">
        <f>Tabla32[[#This Row],[BN CARTA]]-#REF!</f>
        <v>#REF!</v>
      </c>
      <c r="N15" s="1" t="e">
        <f>Tabla32[[#This Row],[BN OFICIO]]-#REF!</f>
        <v>#REF!</v>
      </c>
      <c r="O15" s="1" t="e">
        <f>Tabla32[[#This Row],[BN DC]]-#REF!</f>
        <v>#REF!</v>
      </c>
      <c r="P15" s="1" t="e">
        <f>Tabla32[[#This Row],[COLOR CARTA]]-#REF!</f>
        <v>#REF!</v>
      </c>
      <c r="Q15" s="1" t="e">
        <f>Tabla32[[#This Row],[COLOR OFICIO]]-#REF!</f>
        <v>#REF!</v>
      </c>
      <c r="R15" s="1" t="e">
        <f>Tabla32[[#This Row],[ENVIAR]]-#REF!</f>
        <v>#REF!</v>
      </c>
      <c r="S15" s="1" t="e">
        <f>Tabla32[[#This Row],[COPIAR]]-#REF!</f>
        <v>#REF!</v>
      </c>
    </row>
    <row r="16" spans="1:19" x14ac:dyDescent="0.25">
      <c r="A16" t="s">
        <v>10</v>
      </c>
      <c r="B16" t="s">
        <v>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K16" t="s">
        <v>10</v>
      </c>
      <c r="L16" t="s">
        <v>25</v>
      </c>
      <c r="M16" s="1" t="e">
        <f>Tabla32[[#This Row],[BN CARTA]]-#REF!</f>
        <v>#REF!</v>
      </c>
      <c r="N16" s="1" t="e">
        <f>Tabla32[[#This Row],[BN OFICIO]]-#REF!</f>
        <v>#REF!</v>
      </c>
      <c r="O16" s="1" t="e">
        <f>Tabla32[[#This Row],[BN DC]]-#REF!</f>
        <v>#REF!</v>
      </c>
      <c r="P16" s="1" t="e">
        <f>Tabla32[[#This Row],[COLOR CARTA]]-#REF!</f>
        <v>#REF!</v>
      </c>
      <c r="Q16" s="1" t="e">
        <f>Tabla32[[#This Row],[COLOR OFICIO]]-#REF!</f>
        <v>#REF!</v>
      </c>
      <c r="R16" s="1" t="e">
        <f>Tabla32[[#This Row],[ENVIAR]]-#REF!</f>
        <v>#REF!</v>
      </c>
      <c r="S16" s="1" t="e">
        <f>Tabla32[[#This Row],[COPIAR]]-#REF!</f>
        <v>#REF!</v>
      </c>
    </row>
    <row r="17" spans="1:19" x14ac:dyDescent="0.25">
      <c r="A17" t="s">
        <v>10</v>
      </c>
      <c r="B17" t="s">
        <v>26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K17" t="s">
        <v>10</v>
      </c>
      <c r="L17" t="s">
        <v>26</v>
      </c>
      <c r="M17" s="1" t="e">
        <f>Tabla32[[#This Row],[BN CARTA]]-#REF!</f>
        <v>#REF!</v>
      </c>
      <c r="N17" s="1" t="e">
        <f>Tabla32[[#This Row],[BN OFICIO]]-#REF!</f>
        <v>#REF!</v>
      </c>
      <c r="O17" s="1" t="e">
        <f>Tabla32[[#This Row],[BN DC]]-#REF!</f>
        <v>#REF!</v>
      </c>
      <c r="P17" s="1" t="e">
        <f>Tabla32[[#This Row],[COLOR CARTA]]-#REF!</f>
        <v>#REF!</v>
      </c>
      <c r="Q17" s="1" t="e">
        <f>Tabla32[[#This Row],[COLOR OFICIO]]-#REF!</f>
        <v>#REF!</v>
      </c>
      <c r="R17" s="1" t="e">
        <f>Tabla32[[#This Row],[ENVIAR]]-#REF!</f>
        <v>#REF!</v>
      </c>
      <c r="S17" s="1" t="e">
        <f>Tabla32[[#This Row],[COPIAR]]-#REF!</f>
        <v>#REF!</v>
      </c>
    </row>
    <row r="18" spans="1:19" x14ac:dyDescent="0.25">
      <c r="A18" t="s">
        <v>10</v>
      </c>
      <c r="B18" t="s">
        <v>27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K18" t="s">
        <v>10</v>
      </c>
      <c r="L18" t="s">
        <v>27</v>
      </c>
      <c r="M18" s="1" t="e">
        <f>Tabla32[[#This Row],[BN CARTA]]-#REF!</f>
        <v>#REF!</v>
      </c>
      <c r="N18" s="1" t="e">
        <f>Tabla32[[#This Row],[BN OFICIO]]-#REF!</f>
        <v>#REF!</v>
      </c>
      <c r="O18" s="1" t="e">
        <f>Tabla32[[#This Row],[BN DC]]-#REF!</f>
        <v>#REF!</v>
      </c>
      <c r="P18" s="1" t="e">
        <f>Tabla32[[#This Row],[COLOR CARTA]]-#REF!</f>
        <v>#REF!</v>
      </c>
      <c r="Q18" s="1" t="e">
        <f>Tabla32[[#This Row],[COLOR OFICIO]]-#REF!</f>
        <v>#REF!</v>
      </c>
      <c r="R18" s="1" t="e">
        <f>Tabla32[[#This Row],[ENVIAR]]-#REF!</f>
        <v>#REF!</v>
      </c>
      <c r="S18" s="1" t="e">
        <f>Tabla32[[#This Row],[COPIAR]]-#REF!</f>
        <v>#REF!</v>
      </c>
    </row>
    <row r="19" spans="1:19" x14ac:dyDescent="0.25">
      <c r="A19" t="s">
        <v>10</v>
      </c>
      <c r="B19" t="s">
        <v>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K19" t="s">
        <v>10</v>
      </c>
      <c r="L19" t="s">
        <v>28</v>
      </c>
      <c r="M19" s="1" t="e">
        <f>Tabla32[[#This Row],[BN CARTA]]-#REF!</f>
        <v>#REF!</v>
      </c>
      <c r="N19" s="1" t="e">
        <f>Tabla32[[#This Row],[BN OFICIO]]-#REF!</f>
        <v>#REF!</v>
      </c>
      <c r="O19" s="1" t="e">
        <f>Tabla32[[#This Row],[BN DC]]-#REF!</f>
        <v>#REF!</v>
      </c>
      <c r="P19" s="1" t="e">
        <f>Tabla32[[#This Row],[COLOR CARTA]]-#REF!</f>
        <v>#REF!</v>
      </c>
      <c r="Q19" s="1" t="e">
        <f>Tabla32[[#This Row],[COLOR OFICIO]]-#REF!</f>
        <v>#REF!</v>
      </c>
      <c r="R19" s="1" t="e">
        <f>Tabla32[[#This Row],[ENVIAR]]-#REF!</f>
        <v>#REF!</v>
      </c>
      <c r="S19" s="1" t="e">
        <f>Tabla32[[#This Row],[COPIAR]]-#REF!</f>
        <v>#REF!</v>
      </c>
    </row>
    <row r="20" spans="1:19" x14ac:dyDescent="0.25">
      <c r="A20" t="s">
        <v>10</v>
      </c>
      <c r="B20" t="s">
        <v>29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K20" t="s">
        <v>10</v>
      </c>
      <c r="L20" t="s">
        <v>29</v>
      </c>
      <c r="M20" s="1" t="e">
        <f>Tabla32[[#This Row],[BN CARTA]]-#REF!</f>
        <v>#REF!</v>
      </c>
      <c r="N20" s="1" t="e">
        <f>Tabla32[[#This Row],[BN OFICIO]]-#REF!</f>
        <v>#REF!</v>
      </c>
      <c r="O20" s="1" t="e">
        <f>Tabla32[[#This Row],[BN DC]]-#REF!</f>
        <v>#REF!</v>
      </c>
      <c r="P20" s="1" t="e">
        <f>Tabla32[[#This Row],[COLOR CARTA]]-#REF!</f>
        <v>#REF!</v>
      </c>
      <c r="Q20" s="1" t="e">
        <f>Tabla32[[#This Row],[COLOR OFICIO]]-#REF!</f>
        <v>#REF!</v>
      </c>
      <c r="R20" s="1" t="e">
        <f>Tabla32[[#This Row],[ENVIAR]]-#REF!</f>
        <v>#REF!</v>
      </c>
      <c r="S20" s="1" t="e">
        <f>Tabla32[[#This Row],[COPIAR]]-#REF!</f>
        <v>#REF!</v>
      </c>
    </row>
    <row r="21" spans="1:19" x14ac:dyDescent="0.25">
      <c r="A21" t="s">
        <v>10</v>
      </c>
      <c r="B21" t="s">
        <v>30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K21" t="s">
        <v>10</v>
      </c>
      <c r="L21" t="s">
        <v>30</v>
      </c>
      <c r="M21" s="1" t="e">
        <f>Tabla32[[#This Row],[BN CARTA]]-#REF!</f>
        <v>#REF!</v>
      </c>
      <c r="N21" s="1" t="e">
        <f>Tabla32[[#This Row],[BN OFICIO]]-#REF!</f>
        <v>#REF!</v>
      </c>
      <c r="O21" s="1" t="e">
        <f>Tabla32[[#This Row],[BN DC]]-#REF!</f>
        <v>#REF!</v>
      </c>
      <c r="P21" s="1" t="e">
        <f>Tabla32[[#This Row],[COLOR CARTA]]-#REF!</f>
        <v>#REF!</v>
      </c>
      <c r="Q21" s="1" t="e">
        <f>Tabla32[[#This Row],[COLOR OFICIO]]-#REF!</f>
        <v>#REF!</v>
      </c>
      <c r="R21" s="1" t="e">
        <f>Tabla32[[#This Row],[ENVIAR]]-#REF!</f>
        <v>#REF!</v>
      </c>
      <c r="S21" s="1" t="e">
        <f>Tabla32[[#This Row],[COPIAR]]-#REF!</f>
        <v>#REF!</v>
      </c>
    </row>
    <row r="22" spans="1:19" x14ac:dyDescent="0.25">
      <c r="A22" t="s">
        <v>31</v>
      </c>
      <c r="B22" t="s">
        <v>32</v>
      </c>
      <c r="C22">
        <v>1567</v>
      </c>
      <c r="D22">
        <v>0</v>
      </c>
      <c r="E22">
        <v>0</v>
      </c>
      <c r="F22">
        <v>0</v>
      </c>
      <c r="G22">
        <v>0</v>
      </c>
      <c r="H22">
        <v>352</v>
      </c>
      <c r="I22">
        <v>147</v>
      </c>
      <c r="K22" t="s">
        <v>31</v>
      </c>
      <c r="L22" t="s">
        <v>32</v>
      </c>
      <c r="M22" s="1" t="e">
        <f>Tabla32[[#This Row],[BN CARTA]]-#REF!</f>
        <v>#REF!</v>
      </c>
      <c r="N22" s="1" t="e">
        <f>Tabla32[[#This Row],[BN OFICIO]]-#REF!</f>
        <v>#REF!</v>
      </c>
      <c r="O22" s="1" t="e">
        <f>Tabla32[[#This Row],[BN DC]]-#REF!</f>
        <v>#REF!</v>
      </c>
      <c r="P22" s="1" t="e">
        <f>Tabla32[[#This Row],[COLOR CARTA]]-#REF!</f>
        <v>#REF!</v>
      </c>
      <c r="Q22" s="1" t="e">
        <f>Tabla32[[#This Row],[COLOR OFICIO]]-#REF!</f>
        <v>#REF!</v>
      </c>
      <c r="R22" s="1" t="e">
        <f>Tabla32[[#This Row],[ENVIAR]]-#REF!</f>
        <v>#REF!</v>
      </c>
      <c r="S22" s="1" t="e">
        <f>Tabla32[[#This Row],[COPIAR]]-#REF!</f>
        <v>#REF!</v>
      </c>
    </row>
    <row r="23" spans="1:19" x14ac:dyDescent="0.25">
      <c r="A23" t="s">
        <v>33</v>
      </c>
      <c r="B23" t="s">
        <v>34</v>
      </c>
      <c r="C23">
        <v>413</v>
      </c>
      <c r="D23">
        <v>0</v>
      </c>
      <c r="E23">
        <v>0</v>
      </c>
      <c r="F23">
        <v>0</v>
      </c>
      <c r="G23">
        <v>0</v>
      </c>
      <c r="H23">
        <v>212</v>
      </c>
      <c r="I23">
        <v>451</v>
      </c>
      <c r="K23" t="s">
        <v>33</v>
      </c>
      <c r="L23" t="s">
        <v>34</v>
      </c>
      <c r="M23" s="1" t="e">
        <f>Tabla32[[#This Row],[BN CARTA]]-#REF!</f>
        <v>#REF!</v>
      </c>
      <c r="N23" s="1" t="e">
        <f>Tabla32[[#This Row],[BN OFICIO]]-#REF!</f>
        <v>#REF!</v>
      </c>
      <c r="O23" s="1" t="e">
        <f>Tabla32[[#This Row],[BN DC]]-#REF!</f>
        <v>#REF!</v>
      </c>
      <c r="P23" s="1" t="e">
        <f>Tabla32[[#This Row],[COLOR CARTA]]-#REF!</f>
        <v>#REF!</v>
      </c>
      <c r="Q23" s="1" t="e">
        <f>Tabla32[[#This Row],[COLOR OFICIO]]-#REF!</f>
        <v>#REF!</v>
      </c>
      <c r="R23" s="1" t="e">
        <f>Tabla32[[#This Row],[ENVIAR]]-#REF!</f>
        <v>#REF!</v>
      </c>
      <c r="S23" s="1" t="e">
        <f>Tabla32[[#This Row],[COPIAR]]-#REF!</f>
        <v>#REF!</v>
      </c>
    </row>
    <row r="24" spans="1:19" x14ac:dyDescent="0.25">
      <c r="A24" t="s">
        <v>10</v>
      </c>
      <c r="B24" t="s">
        <v>35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K24" t="s">
        <v>10</v>
      </c>
      <c r="L24" t="s">
        <v>35</v>
      </c>
      <c r="M24" s="1" t="e">
        <f>Tabla32[[#This Row],[BN CARTA]]-#REF!</f>
        <v>#REF!</v>
      </c>
      <c r="N24" s="1" t="e">
        <f>Tabla32[[#This Row],[BN OFICIO]]-#REF!</f>
        <v>#REF!</v>
      </c>
      <c r="O24" s="1" t="e">
        <f>Tabla32[[#This Row],[BN DC]]-#REF!</f>
        <v>#REF!</v>
      </c>
      <c r="P24" s="1" t="e">
        <f>Tabla32[[#This Row],[COLOR CARTA]]-#REF!</f>
        <v>#REF!</v>
      </c>
      <c r="Q24" s="1" t="e">
        <f>Tabla32[[#This Row],[COLOR OFICIO]]-#REF!</f>
        <v>#REF!</v>
      </c>
      <c r="R24" s="1" t="e">
        <f>Tabla32[[#This Row],[ENVIAR]]-#REF!</f>
        <v>#REF!</v>
      </c>
      <c r="S24" s="1" t="e">
        <f>Tabla32[[#This Row],[COPIAR]]-#REF!</f>
        <v>#REF!</v>
      </c>
    </row>
    <row r="25" spans="1:19" x14ac:dyDescent="0.25">
      <c r="A25" t="s">
        <v>36</v>
      </c>
      <c r="B25" t="s">
        <v>37</v>
      </c>
      <c r="C25">
        <v>553</v>
      </c>
      <c r="D25">
        <v>0</v>
      </c>
      <c r="E25">
        <v>0</v>
      </c>
      <c r="F25">
        <v>0</v>
      </c>
      <c r="G25">
        <v>0</v>
      </c>
      <c r="H25">
        <v>245</v>
      </c>
      <c r="I25">
        <v>67</v>
      </c>
      <c r="K25" t="s">
        <v>36</v>
      </c>
      <c r="L25" t="s">
        <v>37</v>
      </c>
      <c r="M25" s="1" t="e">
        <f>Tabla32[[#This Row],[BN CARTA]]-#REF!</f>
        <v>#REF!</v>
      </c>
      <c r="N25" s="1" t="e">
        <f>Tabla32[[#This Row],[BN OFICIO]]-#REF!</f>
        <v>#REF!</v>
      </c>
      <c r="O25" s="1" t="e">
        <f>Tabla32[[#This Row],[BN DC]]-#REF!</f>
        <v>#REF!</v>
      </c>
      <c r="P25" s="1" t="e">
        <f>Tabla32[[#This Row],[COLOR CARTA]]-#REF!</f>
        <v>#REF!</v>
      </c>
      <c r="Q25" s="1" t="e">
        <f>Tabla32[[#This Row],[COLOR OFICIO]]-#REF!</f>
        <v>#REF!</v>
      </c>
      <c r="R25" s="1" t="e">
        <f>Tabla32[[#This Row],[ENVIAR]]-#REF!</f>
        <v>#REF!</v>
      </c>
      <c r="S25" s="1" t="e">
        <f>Tabla32[[#This Row],[COPIAR]]-#REF!</f>
        <v>#REF!</v>
      </c>
    </row>
    <row r="26" spans="1:19" x14ac:dyDescent="0.25">
      <c r="A26" t="s">
        <v>38</v>
      </c>
      <c r="B26" t="s">
        <v>39</v>
      </c>
      <c r="C26">
        <v>325</v>
      </c>
      <c r="D26">
        <v>0</v>
      </c>
      <c r="E26">
        <v>0</v>
      </c>
      <c r="F26">
        <v>0</v>
      </c>
      <c r="G26">
        <v>0</v>
      </c>
      <c r="H26">
        <v>501</v>
      </c>
      <c r="I26">
        <v>102</v>
      </c>
      <c r="K26" t="s">
        <v>38</v>
      </c>
      <c r="L26" t="s">
        <v>39</v>
      </c>
      <c r="M26" s="1" t="e">
        <f>Tabla32[[#This Row],[BN CARTA]]-#REF!</f>
        <v>#REF!</v>
      </c>
      <c r="N26" s="1" t="e">
        <f>Tabla32[[#This Row],[BN OFICIO]]-#REF!</f>
        <v>#REF!</v>
      </c>
      <c r="O26" s="1" t="e">
        <f>Tabla32[[#This Row],[BN DC]]-#REF!</f>
        <v>#REF!</v>
      </c>
      <c r="P26" s="1" t="e">
        <f>Tabla32[[#This Row],[COLOR CARTA]]-#REF!</f>
        <v>#REF!</v>
      </c>
      <c r="Q26" s="1" t="e">
        <f>Tabla32[[#This Row],[COLOR OFICIO]]-#REF!</f>
        <v>#REF!</v>
      </c>
      <c r="R26" s="1" t="e">
        <f>Tabla32[[#This Row],[ENVIAR]]-#REF!</f>
        <v>#REF!</v>
      </c>
      <c r="S26" s="1" t="e">
        <f>Tabla32[[#This Row],[COPIAR]]-#REF!</f>
        <v>#REF!</v>
      </c>
    </row>
    <row r="27" spans="1:19" x14ac:dyDescent="0.25">
      <c r="A27" t="s">
        <v>40</v>
      </c>
      <c r="B27" t="s">
        <v>41</v>
      </c>
      <c r="C27">
        <v>1045</v>
      </c>
      <c r="D27">
        <v>0</v>
      </c>
      <c r="E27">
        <v>0</v>
      </c>
      <c r="F27">
        <v>0</v>
      </c>
      <c r="G27">
        <v>0</v>
      </c>
      <c r="H27">
        <v>241</v>
      </c>
      <c r="I27">
        <v>227</v>
      </c>
      <c r="K27" t="s">
        <v>40</v>
      </c>
      <c r="L27" t="s">
        <v>41</v>
      </c>
      <c r="M27" s="1" t="e">
        <f>Tabla32[[#This Row],[BN CARTA]]-#REF!</f>
        <v>#REF!</v>
      </c>
      <c r="N27" s="1" t="e">
        <f>Tabla32[[#This Row],[BN OFICIO]]-#REF!</f>
        <v>#REF!</v>
      </c>
      <c r="O27" s="1" t="e">
        <f>Tabla32[[#This Row],[BN DC]]-#REF!</f>
        <v>#REF!</v>
      </c>
      <c r="P27" s="1" t="e">
        <f>Tabla32[[#This Row],[COLOR CARTA]]-#REF!</f>
        <v>#REF!</v>
      </c>
      <c r="Q27" s="1" t="e">
        <f>Tabla32[[#This Row],[COLOR OFICIO]]-#REF!</f>
        <v>#REF!</v>
      </c>
      <c r="R27" s="1" t="e">
        <f>Tabla32[[#This Row],[ENVIAR]]-#REF!</f>
        <v>#REF!</v>
      </c>
      <c r="S27" s="1" t="e">
        <f>Tabla32[[#This Row],[COPIAR]]-#REF!</f>
        <v>#REF!</v>
      </c>
    </row>
    <row r="28" spans="1:19" x14ac:dyDescent="0.25">
      <c r="A28" t="s">
        <v>10</v>
      </c>
      <c r="B28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K28" t="s">
        <v>10</v>
      </c>
      <c r="L28" t="s">
        <v>42</v>
      </c>
      <c r="M28" s="1" t="e">
        <f>Tabla32[[#This Row],[BN CARTA]]-#REF!</f>
        <v>#REF!</v>
      </c>
      <c r="N28" s="1" t="e">
        <f>Tabla32[[#This Row],[BN OFICIO]]-#REF!</f>
        <v>#REF!</v>
      </c>
      <c r="O28" s="1" t="e">
        <f>Tabla32[[#This Row],[BN DC]]-#REF!</f>
        <v>#REF!</v>
      </c>
      <c r="P28" s="1" t="e">
        <f>Tabla32[[#This Row],[COLOR CARTA]]-#REF!</f>
        <v>#REF!</v>
      </c>
      <c r="Q28" s="1" t="e">
        <f>Tabla32[[#This Row],[COLOR OFICIO]]-#REF!</f>
        <v>#REF!</v>
      </c>
      <c r="R28" s="1" t="e">
        <f>Tabla32[[#This Row],[ENVIAR]]-#REF!</f>
        <v>#REF!</v>
      </c>
      <c r="S28" s="1" t="e">
        <f>Tabla32[[#This Row],[COPIAR]]-#REF!</f>
        <v>#REF!</v>
      </c>
    </row>
    <row r="29" spans="1:19" x14ac:dyDescent="0.25">
      <c r="A29" t="s">
        <v>43</v>
      </c>
      <c r="B29" t="s">
        <v>44</v>
      </c>
      <c r="C29">
        <v>692</v>
      </c>
      <c r="D29">
        <v>1</v>
      </c>
      <c r="E29">
        <v>0</v>
      </c>
      <c r="F29">
        <v>0</v>
      </c>
      <c r="G29">
        <v>0</v>
      </c>
      <c r="H29">
        <v>289</v>
      </c>
      <c r="I29">
        <v>113</v>
      </c>
      <c r="K29" t="s">
        <v>43</v>
      </c>
      <c r="L29" t="s">
        <v>44</v>
      </c>
      <c r="M29" s="1" t="e">
        <f>Tabla32[[#This Row],[BN CARTA]]-#REF!</f>
        <v>#REF!</v>
      </c>
      <c r="N29" s="1" t="e">
        <f>Tabla32[[#This Row],[BN OFICIO]]-#REF!</f>
        <v>#REF!</v>
      </c>
      <c r="O29" s="1" t="e">
        <f>Tabla32[[#This Row],[BN DC]]-#REF!</f>
        <v>#REF!</v>
      </c>
      <c r="P29" s="1" t="e">
        <f>Tabla32[[#This Row],[COLOR CARTA]]-#REF!</f>
        <v>#REF!</v>
      </c>
      <c r="Q29" s="1" t="e">
        <f>Tabla32[[#This Row],[COLOR OFICIO]]-#REF!</f>
        <v>#REF!</v>
      </c>
      <c r="R29" s="1" t="e">
        <f>Tabla32[[#This Row],[ENVIAR]]-#REF!</f>
        <v>#REF!</v>
      </c>
      <c r="S29" s="1" t="e">
        <f>Tabla32[[#This Row],[COPIAR]]-#REF!</f>
        <v>#REF!</v>
      </c>
    </row>
    <row r="30" spans="1:19" x14ac:dyDescent="0.25">
      <c r="A30" t="s">
        <v>45</v>
      </c>
      <c r="B30" t="s">
        <v>46</v>
      </c>
      <c r="C30">
        <v>178</v>
      </c>
      <c r="D30">
        <v>0</v>
      </c>
      <c r="E30">
        <v>0</v>
      </c>
      <c r="F30">
        <v>0</v>
      </c>
      <c r="G30">
        <v>0</v>
      </c>
      <c r="H30">
        <v>133</v>
      </c>
      <c r="I30">
        <v>23</v>
      </c>
      <c r="K30" t="s">
        <v>45</v>
      </c>
      <c r="L30" t="s">
        <v>46</v>
      </c>
      <c r="M30" s="1" t="e">
        <f>Tabla32[[#This Row],[BN CARTA]]-#REF!</f>
        <v>#REF!</v>
      </c>
      <c r="N30" s="1" t="e">
        <f>Tabla32[[#This Row],[BN OFICIO]]-#REF!</f>
        <v>#REF!</v>
      </c>
      <c r="O30" s="1" t="e">
        <f>Tabla32[[#This Row],[BN DC]]-#REF!</f>
        <v>#REF!</v>
      </c>
      <c r="P30" s="1" t="e">
        <f>Tabla32[[#This Row],[COLOR CARTA]]-#REF!</f>
        <v>#REF!</v>
      </c>
      <c r="Q30" s="1" t="e">
        <f>Tabla32[[#This Row],[COLOR OFICIO]]-#REF!</f>
        <v>#REF!</v>
      </c>
      <c r="R30" s="1" t="e">
        <f>Tabla32[[#This Row],[ENVIAR]]-#REF!</f>
        <v>#REF!</v>
      </c>
      <c r="S30" s="1" t="e">
        <f>Tabla32[[#This Row],[COPIAR]]-#REF!</f>
        <v>#REF!</v>
      </c>
    </row>
    <row r="31" spans="1:19" x14ac:dyDescent="0.25">
      <c r="A31" t="s">
        <v>47</v>
      </c>
      <c r="B31" t="s">
        <v>48</v>
      </c>
      <c r="C31">
        <v>1254</v>
      </c>
      <c r="D31">
        <v>10</v>
      </c>
      <c r="E31">
        <v>0</v>
      </c>
      <c r="F31">
        <v>0</v>
      </c>
      <c r="G31">
        <v>0</v>
      </c>
      <c r="H31">
        <v>261</v>
      </c>
      <c r="I31">
        <v>211</v>
      </c>
      <c r="K31" t="s">
        <v>47</v>
      </c>
      <c r="L31" t="s">
        <v>48</v>
      </c>
      <c r="M31" s="1" t="e">
        <f>Tabla32[[#This Row],[BN CARTA]]-#REF!</f>
        <v>#REF!</v>
      </c>
      <c r="N31" s="1" t="e">
        <f>Tabla32[[#This Row],[BN OFICIO]]-#REF!</f>
        <v>#REF!</v>
      </c>
      <c r="O31" s="1" t="e">
        <f>Tabla32[[#This Row],[BN DC]]-#REF!</f>
        <v>#REF!</v>
      </c>
      <c r="P31" s="1" t="e">
        <f>Tabla32[[#This Row],[COLOR CARTA]]-#REF!</f>
        <v>#REF!</v>
      </c>
      <c r="Q31" s="1" t="e">
        <f>Tabla32[[#This Row],[COLOR OFICIO]]-#REF!</f>
        <v>#REF!</v>
      </c>
      <c r="R31" s="1" t="e">
        <f>Tabla32[[#This Row],[ENVIAR]]-#REF!</f>
        <v>#REF!</v>
      </c>
      <c r="S31" s="1" t="e">
        <f>Tabla32[[#This Row],[COPIAR]]-#REF!</f>
        <v>#REF!</v>
      </c>
    </row>
    <row r="32" spans="1:19" x14ac:dyDescent="0.25">
      <c r="A32" t="s">
        <v>10</v>
      </c>
      <c r="B32" t="s">
        <v>49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K32" t="s">
        <v>10</v>
      </c>
      <c r="L32" t="s">
        <v>49</v>
      </c>
      <c r="M32" s="1" t="e">
        <f>Tabla32[[#This Row],[BN CARTA]]-#REF!</f>
        <v>#REF!</v>
      </c>
      <c r="N32" s="1" t="e">
        <f>Tabla32[[#This Row],[BN OFICIO]]-#REF!</f>
        <v>#REF!</v>
      </c>
      <c r="O32" s="1" t="e">
        <f>Tabla32[[#This Row],[BN DC]]-#REF!</f>
        <v>#REF!</v>
      </c>
      <c r="P32" s="1" t="e">
        <f>Tabla32[[#This Row],[COLOR CARTA]]-#REF!</f>
        <v>#REF!</v>
      </c>
      <c r="Q32" s="1" t="e">
        <f>Tabla32[[#This Row],[COLOR OFICIO]]-#REF!</f>
        <v>#REF!</v>
      </c>
      <c r="R32" s="1" t="e">
        <f>Tabla32[[#This Row],[ENVIAR]]-#REF!</f>
        <v>#REF!</v>
      </c>
      <c r="S32" s="1" t="e">
        <f>Tabla32[[#This Row],[COPIAR]]-#REF!</f>
        <v>#REF!</v>
      </c>
    </row>
    <row r="33" spans="1:19" x14ac:dyDescent="0.25">
      <c r="A33" t="s">
        <v>50</v>
      </c>
      <c r="B33" t="s">
        <v>51</v>
      </c>
      <c r="C33">
        <v>229</v>
      </c>
      <c r="D33">
        <v>0</v>
      </c>
      <c r="E33">
        <v>0</v>
      </c>
      <c r="F33">
        <v>0</v>
      </c>
      <c r="G33">
        <v>0</v>
      </c>
      <c r="H33">
        <v>252</v>
      </c>
      <c r="I33">
        <v>0</v>
      </c>
      <c r="K33" t="s">
        <v>50</v>
      </c>
      <c r="L33" t="s">
        <v>51</v>
      </c>
      <c r="M33" s="1" t="e">
        <f>Tabla32[[#This Row],[BN CARTA]]-#REF!</f>
        <v>#REF!</v>
      </c>
      <c r="N33" s="1" t="e">
        <f>Tabla32[[#This Row],[BN OFICIO]]-#REF!</f>
        <v>#REF!</v>
      </c>
      <c r="O33" s="1" t="e">
        <f>Tabla32[[#This Row],[BN DC]]-#REF!</f>
        <v>#REF!</v>
      </c>
      <c r="P33" s="1" t="e">
        <f>Tabla32[[#This Row],[COLOR CARTA]]-#REF!</f>
        <v>#REF!</v>
      </c>
      <c r="Q33" s="1" t="e">
        <f>Tabla32[[#This Row],[COLOR OFICIO]]-#REF!</f>
        <v>#REF!</v>
      </c>
      <c r="R33" s="1" t="e">
        <f>Tabla32[[#This Row],[ENVIAR]]-#REF!</f>
        <v>#REF!</v>
      </c>
      <c r="S33" s="1" t="e">
        <f>Tabla32[[#This Row],[COPIAR]]-#REF!</f>
        <v>#REF!</v>
      </c>
    </row>
    <row r="34" spans="1:19" x14ac:dyDescent="0.25">
      <c r="A34" t="s">
        <v>52</v>
      </c>
      <c r="B34" t="s">
        <v>53</v>
      </c>
      <c r="C34">
        <v>897</v>
      </c>
      <c r="D34">
        <v>0</v>
      </c>
      <c r="E34">
        <v>0</v>
      </c>
      <c r="F34">
        <v>0</v>
      </c>
      <c r="G34">
        <v>0</v>
      </c>
      <c r="H34">
        <v>513</v>
      </c>
      <c r="I34">
        <v>345</v>
      </c>
      <c r="K34" t="s">
        <v>52</v>
      </c>
      <c r="L34" t="s">
        <v>53</v>
      </c>
      <c r="M34" s="1" t="e">
        <f>Tabla32[[#This Row],[BN CARTA]]-#REF!</f>
        <v>#REF!</v>
      </c>
      <c r="N34" s="1" t="e">
        <f>Tabla32[[#This Row],[BN OFICIO]]-#REF!</f>
        <v>#REF!</v>
      </c>
      <c r="O34" s="1" t="e">
        <f>Tabla32[[#This Row],[BN DC]]-#REF!</f>
        <v>#REF!</v>
      </c>
      <c r="P34" s="1" t="e">
        <f>Tabla32[[#This Row],[COLOR CARTA]]-#REF!</f>
        <v>#REF!</v>
      </c>
      <c r="Q34" s="1" t="e">
        <f>Tabla32[[#This Row],[COLOR OFICIO]]-#REF!</f>
        <v>#REF!</v>
      </c>
      <c r="R34" s="1" t="e">
        <f>Tabla32[[#This Row],[ENVIAR]]-#REF!</f>
        <v>#REF!</v>
      </c>
      <c r="S34" s="1" t="e">
        <f>Tabla32[[#This Row],[COPIAR]]-#REF!</f>
        <v>#REF!</v>
      </c>
    </row>
    <row r="35" spans="1:19" x14ac:dyDescent="0.25">
      <c r="A35" t="s">
        <v>54</v>
      </c>
      <c r="B35" t="s">
        <v>55</v>
      </c>
      <c r="C35">
        <v>665</v>
      </c>
      <c r="D35">
        <v>10</v>
      </c>
      <c r="E35">
        <v>0</v>
      </c>
      <c r="F35">
        <v>0</v>
      </c>
      <c r="G35">
        <v>0</v>
      </c>
      <c r="H35">
        <v>781</v>
      </c>
      <c r="I35">
        <v>423</v>
      </c>
      <c r="K35" t="s">
        <v>54</v>
      </c>
      <c r="L35" t="s">
        <v>55</v>
      </c>
      <c r="M35" s="1" t="e">
        <f>Tabla32[[#This Row],[BN CARTA]]-#REF!</f>
        <v>#REF!</v>
      </c>
      <c r="N35" s="1" t="e">
        <f>Tabla32[[#This Row],[BN OFICIO]]-#REF!</f>
        <v>#REF!</v>
      </c>
      <c r="O35" s="1" t="e">
        <f>Tabla32[[#This Row],[BN DC]]-#REF!</f>
        <v>#REF!</v>
      </c>
      <c r="P35" s="1" t="e">
        <f>Tabla32[[#This Row],[COLOR CARTA]]-#REF!</f>
        <v>#REF!</v>
      </c>
      <c r="Q35" s="1" t="e">
        <f>Tabla32[[#This Row],[COLOR OFICIO]]-#REF!</f>
        <v>#REF!</v>
      </c>
      <c r="R35" s="1" t="e">
        <f>Tabla32[[#This Row],[ENVIAR]]-#REF!</f>
        <v>#REF!</v>
      </c>
      <c r="S35" s="1" t="e">
        <f>Tabla32[[#This Row],[COPIAR]]-#REF!</f>
        <v>#REF!</v>
      </c>
    </row>
    <row r="36" spans="1:19" x14ac:dyDescent="0.25">
      <c r="A36" t="s">
        <v>10</v>
      </c>
      <c r="B36" t="s">
        <v>56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K36" t="s">
        <v>10</v>
      </c>
      <c r="L36" t="s">
        <v>56</v>
      </c>
      <c r="M36" s="1" t="e">
        <f>Tabla32[[#This Row],[BN CARTA]]-#REF!</f>
        <v>#REF!</v>
      </c>
      <c r="N36" s="1" t="e">
        <f>Tabla32[[#This Row],[BN OFICIO]]-#REF!</f>
        <v>#REF!</v>
      </c>
      <c r="O36" s="1" t="e">
        <f>Tabla32[[#This Row],[BN DC]]-#REF!</f>
        <v>#REF!</v>
      </c>
      <c r="P36" s="1" t="e">
        <f>Tabla32[[#This Row],[COLOR CARTA]]-#REF!</f>
        <v>#REF!</v>
      </c>
      <c r="Q36" s="1" t="e">
        <f>Tabla32[[#This Row],[COLOR OFICIO]]-#REF!</f>
        <v>#REF!</v>
      </c>
      <c r="R36" s="1" t="e">
        <f>Tabla32[[#This Row],[ENVIAR]]-#REF!</f>
        <v>#REF!</v>
      </c>
      <c r="S36" s="1" t="e">
        <f>Tabla32[[#This Row],[COPIAR]]-#REF!</f>
        <v>#REF!</v>
      </c>
    </row>
    <row r="37" spans="1:19" x14ac:dyDescent="0.25">
      <c r="A37" t="s">
        <v>10</v>
      </c>
      <c r="B37" t="s">
        <v>57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K37" t="s">
        <v>10</v>
      </c>
      <c r="L37" t="s">
        <v>57</v>
      </c>
      <c r="M37" s="1" t="e">
        <f>Tabla32[[#This Row],[BN CARTA]]-#REF!</f>
        <v>#REF!</v>
      </c>
      <c r="N37" s="1" t="e">
        <f>Tabla32[[#This Row],[BN OFICIO]]-#REF!</f>
        <v>#REF!</v>
      </c>
      <c r="O37" s="1" t="e">
        <f>Tabla32[[#This Row],[BN DC]]-#REF!</f>
        <v>#REF!</v>
      </c>
      <c r="P37" s="1" t="e">
        <f>Tabla32[[#This Row],[COLOR CARTA]]-#REF!</f>
        <v>#REF!</v>
      </c>
      <c r="Q37" s="1" t="e">
        <f>Tabla32[[#This Row],[COLOR OFICIO]]-#REF!</f>
        <v>#REF!</v>
      </c>
      <c r="R37" s="1" t="e">
        <f>Tabla32[[#This Row],[ENVIAR]]-#REF!</f>
        <v>#REF!</v>
      </c>
      <c r="S37" s="1" t="e">
        <f>Tabla32[[#This Row],[COPIAR]]-#REF!</f>
        <v>#REF!</v>
      </c>
    </row>
    <row r="38" spans="1:19" x14ac:dyDescent="0.25">
      <c r="A38" t="s">
        <v>10</v>
      </c>
      <c r="B38" t="s">
        <v>58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K38" t="s">
        <v>10</v>
      </c>
      <c r="L38" t="s">
        <v>58</v>
      </c>
      <c r="M38" s="1" t="e">
        <f>Tabla32[[#This Row],[BN CARTA]]-#REF!</f>
        <v>#REF!</v>
      </c>
      <c r="N38" s="1" t="e">
        <f>Tabla32[[#This Row],[BN OFICIO]]-#REF!</f>
        <v>#REF!</v>
      </c>
      <c r="O38" s="1" t="e">
        <f>Tabla32[[#This Row],[BN DC]]-#REF!</f>
        <v>#REF!</v>
      </c>
      <c r="P38" s="1" t="e">
        <f>Tabla32[[#This Row],[COLOR CARTA]]-#REF!</f>
        <v>#REF!</v>
      </c>
      <c r="Q38" s="1" t="e">
        <f>Tabla32[[#This Row],[COLOR OFICIO]]-#REF!</f>
        <v>#REF!</v>
      </c>
      <c r="R38" s="1" t="e">
        <f>Tabla32[[#This Row],[ENVIAR]]-#REF!</f>
        <v>#REF!</v>
      </c>
      <c r="S38" s="1" t="e">
        <f>Tabla32[[#This Row],[COPIAR]]-#REF!</f>
        <v>#REF!</v>
      </c>
    </row>
    <row r="39" spans="1:19" x14ac:dyDescent="0.25">
      <c r="A39" t="s">
        <v>59</v>
      </c>
      <c r="B39" t="s">
        <v>60</v>
      </c>
      <c r="C39">
        <v>272</v>
      </c>
      <c r="D39">
        <v>0</v>
      </c>
      <c r="E39">
        <v>0</v>
      </c>
      <c r="F39">
        <v>0</v>
      </c>
      <c r="G39">
        <v>0</v>
      </c>
      <c r="H39">
        <v>311</v>
      </c>
      <c r="I39">
        <v>107</v>
      </c>
      <c r="K39" t="s">
        <v>59</v>
      </c>
      <c r="L39" t="s">
        <v>60</v>
      </c>
      <c r="M39" s="1" t="e">
        <f>Tabla32[[#This Row],[BN CARTA]]-#REF!</f>
        <v>#REF!</v>
      </c>
      <c r="N39" s="1" t="e">
        <f>Tabla32[[#This Row],[BN OFICIO]]-#REF!</f>
        <v>#REF!</v>
      </c>
      <c r="O39" s="1" t="e">
        <f>Tabla32[[#This Row],[BN DC]]-#REF!</f>
        <v>#REF!</v>
      </c>
      <c r="P39" s="1" t="e">
        <f>Tabla32[[#This Row],[COLOR CARTA]]-#REF!</f>
        <v>#REF!</v>
      </c>
      <c r="Q39" s="1" t="e">
        <f>Tabla32[[#This Row],[COLOR OFICIO]]-#REF!</f>
        <v>#REF!</v>
      </c>
      <c r="R39" s="1" t="e">
        <f>Tabla32[[#This Row],[ENVIAR]]-#REF!</f>
        <v>#REF!</v>
      </c>
      <c r="S39" s="1" t="e">
        <f>Tabla32[[#This Row],[COPIAR]]-#REF!</f>
        <v>#REF!</v>
      </c>
    </row>
    <row r="40" spans="1:19" x14ac:dyDescent="0.25">
      <c r="A40" t="s">
        <v>61</v>
      </c>
      <c r="B40" t="s">
        <v>62</v>
      </c>
      <c r="C40">
        <v>357</v>
      </c>
      <c r="D40">
        <v>0</v>
      </c>
      <c r="E40">
        <v>0</v>
      </c>
      <c r="F40">
        <v>0</v>
      </c>
      <c r="G40">
        <v>0</v>
      </c>
      <c r="H40">
        <v>159</v>
      </c>
      <c r="I40">
        <v>144</v>
      </c>
      <c r="K40" t="s">
        <v>61</v>
      </c>
      <c r="L40" t="s">
        <v>62</v>
      </c>
      <c r="M40" s="1" t="e">
        <f>Tabla32[[#This Row],[BN CARTA]]-#REF!</f>
        <v>#REF!</v>
      </c>
      <c r="N40" s="1" t="e">
        <f>Tabla32[[#This Row],[BN OFICIO]]-#REF!</f>
        <v>#REF!</v>
      </c>
      <c r="O40" s="1" t="e">
        <f>Tabla32[[#This Row],[BN DC]]-#REF!</f>
        <v>#REF!</v>
      </c>
      <c r="P40" s="1" t="e">
        <f>Tabla32[[#This Row],[COLOR CARTA]]-#REF!</f>
        <v>#REF!</v>
      </c>
      <c r="Q40" s="1" t="e">
        <f>Tabla32[[#This Row],[COLOR OFICIO]]-#REF!</f>
        <v>#REF!</v>
      </c>
      <c r="R40" s="1" t="e">
        <f>Tabla32[[#This Row],[ENVIAR]]-#REF!</f>
        <v>#REF!</v>
      </c>
      <c r="S40" s="1" t="e">
        <f>Tabla32[[#This Row],[COPIAR]]-#REF!</f>
        <v>#REF!</v>
      </c>
    </row>
    <row r="41" spans="1:19" x14ac:dyDescent="0.25">
      <c r="A41" t="s">
        <v>10</v>
      </c>
      <c r="B41" t="s">
        <v>63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K41" t="s">
        <v>10</v>
      </c>
      <c r="L41" t="s">
        <v>63</v>
      </c>
      <c r="M41" s="1" t="e">
        <f>Tabla32[[#This Row],[BN CARTA]]-#REF!</f>
        <v>#REF!</v>
      </c>
      <c r="N41" s="1" t="e">
        <f>Tabla32[[#This Row],[BN OFICIO]]-#REF!</f>
        <v>#REF!</v>
      </c>
      <c r="O41" s="1" t="e">
        <f>Tabla32[[#This Row],[BN DC]]-#REF!</f>
        <v>#REF!</v>
      </c>
      <c r="P41" s="1" t="e">
        <f>Tabla32[[#This Row],[COLOR CARTA]]-#REF!</f>
        <v>#REF!</v>
      </c>
      <c r="Q41" s="1" t="e">
        <f>Tabla32[[#This Row],[COLOR OFICIO]]-#REF!</f>
        <v>#REF!</v>
      </c>
      <c r="R41" s="1" t="e">
        <f>Tabla32[[#This Row],[ENVIAR]]-#REF!</f>
        <v>#REF!</v>
      </c>
      <c r="S41" s="1" t="e">
        <f>Tabla32[[#This Row],[COPIAR]]-#REF!</f>
        <v>#REF!</v>
      </c>
    </row>
    <row r="42" spans="1:19" x14ac:dyDescent="0.25">
      <c r="A42" t="s">
        <v>10</v>
      </c>
      <c r="B42" t="s">
        <v>64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K42" t="s">
        <v>10</v>
      </c>
      <c r="L42" t="s">
        <v>64</v>
      </c>
      <c r="M42" s="1" t="e">
        <f>Tabla32[[#This Row],[BN CARTA]]-#REF!</f>
        <v>#REF!</v>
      </c>
      <c r="N42" s="1" t="e">
        <f>Tabla32[[#This Row],[BN OFICIO]]-#REF!</f>
        <v>#REF!</v>
      </c>
      <c r="O42" s="1" t="e">
        <f>Tabla32[[#This Row],[BN DC]]-#REF!</f>
        <v>#REF!</v>
      </c>
      <c r="P42" s="1" t="e">
        <f>Tabla32[[#This Row],[COLOR CARTA]]-#REF!</f>
        <v>#REF!</v>
      </c>
      <c r="Q42" s="1" t="e">
        <f>Tabla32[[#This Row],[COLOR OFICIO]]-#REF!</f>
        <v>#REF!</v>
      </c>
      <c r="R42" s="1" t="e">
        <f>Tabla32[[#This Row],[ENVIAR]]-#REF!</f>
        <v>#REF!</v>
      </c>
      <c r="S42" s="1" t="e">
        <f>Tabla32[[#This Row],[COPIAR]]-#REF!</f>
        <v>#REF!</v>
      </c>
    </row>
    <row r="43" spans="1:19" x14ac:dyDescent="0.25">
      <c r="A43" t="s">
        <v>10</v>
      </c>
      <c r="B43" t="s">
        <v>65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K43" t="s">
        <v>10</v>
      </c>
      <c r="L43" t="s">
        <v>65</v>
      </c>
      <c r="M43" s="1" t="e">
        <f>Tabla32[[#This Row],[BN CARTA]]-#REF!</f>
        <v>#REF!</v>
      </c>
      <c r="N43" s="1" t="e">
        <f>Tabla32[[#This Row],[BN OFICIO]]-#REF!</f>
        <v>#REF!</v>
      </c>
      <c r="O43" s="1" t="e">
        <f>Tabla32[[#This Row],[BN DC]]-#REF!</f>
        <v>#REF!</v>
      </c>
      <c r="P43" s="1" t="e">
        <f>Tabla32[[#This Row],[COLOR CARTA]]-#REF!</f>
        <v>#REF!</v>
      </c>
      <c r="Q43" s="1" t="e">
        <f>Tabla32[[#This Row],[COLOR OFICIO]]-#REF!</f>
        <v>#REF!</v>
      </c>
      <c r="R43" s="1" t="e">
        <f>Tabla32[[#This Row],[ENVIAR]]-#REF!</f>
        <v>#REF!</v>
      </c>
      <c r="S43" s="1" t="e">
        <f>Tabla32[[#This Row],[COPIAR]]-#REF!</f>
        <v>#REF!</v>
      </c>
    </row>
    <row r="44" spans="1:19" x14ac:dyDescent="0.25">
      <c r="A44" t="s">
        <v>10</v>
      </c>
      <c r="B44" t="s">
        <v>66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K44" t="s">
        <v>10</v>
      </c>
      <c r="L44" t="s">
        <v>66</v>
      </c>
      <c r="M44" s="1" t="e">
        <f>Tabla32[[#This Row],[BN CARTA]]-#REF!</f>
        <v>#REF!</v>
      </c>
      <c r="N44" s="1" t="e">
        <f>Tabla32[[#This Row],[BN OFICIO]]-#REF!</f>
        <v>#REF!</v>
      </c>
      <c r="O44" s="1" t="e">
        <f>Tabla32[[#This Row],[BN DC]]-#REF!</f>
        <v>#REF!</v>
      </c>
      <c r="P44" s="1" t="e">
        <f>Tabla32[[#This Row],[COLOR CARTA]]-#REF!</f>
        <v>#REF!</v>
      </c>
      <c r="Q44" s="1" t="e">
        <f>Tabla32[[#This Row],[COLOR OFICIO]]-#REF!</f>
        <v>#REF!</v>
      </c>
      <c r="R44" s="1" t="e">
        <f>Tabla32[[#This Row],[ENVIAR]]-#REF!</f>
        <v>#REF!</v>
      </c>
      <c r="S44" s="1" t="e">
        <f>Tabla32[[#This Row],[COPIAR]]-#REF!</f>
        <v>#REF!</v>
      </c>
    </row>
    <row r="45" spans="1:19" x14ac:dyDescent="0.25">
      <c r="A45" t="s">
        <v>67</v>
      </c>
      <c r="B45" t="s">
        <v>68</v>
      </c>
      <c r="C45">
        <v>105</v>
      </c>
      <c r="D45">
        <v>0</v>
      </c>
      <c r="E45">
        <v>0</v>
      </c>
      <c r="F45">
        <v>0</v>
      </c>
      <c r="G45">
        <v>0</v>
      </c>
      <c r="H45">
        <v>65</v>
      </c>
      <c r="I45">
        <v>26</v>
      </c>
      <c r="K45" t="s">
        <v>67</v>
      </c>
      <c r="L45" t="s">
        <v>68</v>
      </c>
      <c r="M45" s="1" t="e">
        <f>Tabla32[[#This Row],[BN CARTA]]-#REF!</f>
        <v>#REF!</v>
      </c>
      <c r="N45" s="1" t="e">
        <f>Tabla32[[#This Row],[BN OFICIO]]-#REF!</f>
        <v>#REF!</v>
      </c>
      <c r="O45" s="1" t="e">
        <f>Tabla32[[#This Row],[BN DC]]-#REF!</f>
        <v>#REF!</v>
      </c>
      <c r="P45" s="1" t="e">
        <f>Tabla32[[#This Row],[COLOR CARTA]]-#REF!</f>
        <v>#REF!</v>
      </c>
      <c r="Q45" s="1" t="e">
        <f>Tabla32[[#This Row],[COLOR OFICIO]]-#REF!</f>
        <v>#REF!</v>
      </c>
      <c r="R45" s="1" t="e">
        <f>Tabla32[[#This Row],[ENVIAR]]-#REF!</f>
        <v>#REF!</v>
      </c>
      <c r="S45" s="1" t="e">
        <f>Tabla32[[#This Row],[COPIAR]]-#REF!</f>
        <v>#REF!</v>
      </c>
    </row>
    <row r="46" spans="1:19" x14ac:dyDescent="0.25">
      <c r="A46" t="s">
        <v>69</v>
      </c>
      <c r="B46" t="s">
        <v>70</v>
      </c>
      <c r="C46">
        <v>6930</v>
      </c>
      <c r="D46">
        <v>3</v>
      </c>
      <c r="E46">
        <v>0</v>
      </c>
      <c r="F46">
        <v>0</v>
      </c>
      <c r="G46">
        <v>0</v>
      </c>
      <c r="H46">
        <v>7818</v>
      </c>
      <c r="I46">
        <v>1085</v>
      </c>
      <c r="K46" t="s">
        <v>69</v>
      </c>
      <c r="L46" t="s">
        <v>70</v>
      </c>
      <c r="M46" s="1" t="e">
        <f>Tabla32[[#This Row],[BN CARTA]]-#REF!</f>
        <v>#REF!</v>
      </c>
      <c r="N46" s="1" t="e">
        <f>Tabla32[[#This Row],[BN OFICIO]]-#REF!</f>
        <v>#REF!</v>
      </c>
      <c r="O46" s="1" t="e">
        <f>Tabla32[[#This Row],[BN DC]]-#REF!</f>
        <v>#REF!</v>
      </c>
      <c r="P46" s="1" t="e">
        <f>Tabla32[[#This Row],[COLOR CARTA]]-#REF!</f>
        <v>#REF!</v>
      </c>
      <c r="Q46" s="1" t="e">
        <f>Tabla32[[#This Row],[COLOR OFICIO]]-#REF!</f>
        <v>#REF!</v>
      </c>
      <c r="R46" s="1" t="e">
        <f>Tabla32[[#This Row],[ENVIAR]]-#REF!</f>
        <v>#REF!</v>
      </c>
      <c r="S46" s="1" t="e">
        <f>Tabla32[[#This Row],[COPIAR]]-#REF!</f>
        <v>#REF!</v>
      </c>
    </row>
    <row r="47" spans="1:19" x14ac:dyDescent="0.25">
      <c r="A47" t="s">
        <v>10</v>
      </c>
      <c r="B47" t="s">
        <v>71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K47" t="s">
        <v>10</v>
      </c>
      <c r="L47" t="s">
        <v>71</v>
      </c>
      <c r="M47" s="1" t="e">
        <f>Tabla32[[#This Row],[BN CARTA]]-#REF!</f>
        <v>#REF!</v>
      </c>
      <c r="N47" s="1" t="e">
        <f>Tabla32[[#This Row],[BN OFICIO]]-#REF!</f>
        <v>#REF!</v>
      </c>
      <c r="O47" s="1" t="e">
        <f>Tabla32[[#This Row],[BN DC]]-#REF!</f>
        <v>#REF!</v>
      </c>
      <c r="P47" s="1" t="e">
        <f>Tabla32[[#This Row],[COLOR CARTA]]-#REF!</f>
        <v>#REF!</v>
      </c>
      <c r="Q47" s="1" t="e">
        <f>Tabla32[[#This Row],[COLOR OFICIO]]-#REF!</f>
        <v>#REF!</v>
      </c>
      <c r="R47" s="1" t="e">
        <f>Tabla32[[#This Row],[ENVIAR]]-#REF!</f>
        <v>#REF!</v>
      </c>
      <c r="S47" s="1" t="e">
        <f>Tabla32[[#This Row],[COPIAR]]-#REF!</f>
        <v>#REF!</v>
      </c>
    </row>
    <row r="48" spans="1:19" x14ac:dyDescent="0.25">
      <c r="A48" t="s">
        <v>72</v>
      </c>
      <c r="B48" t="s">
        <v>73</v>
      </c>
      <c r="C48">
        <v>73</v>
      </c>
      <c r="D48">
        <v>0</v>
      </c>
      <c r="E48">
        <v>0</v>
      </c>
      <c r="F48">
        <v>0</v>
      </c>
      <c r="G48">
        <v>0</v>
      </c>
      <c r="H48">
        <v>54</v>
      </c>
      <c r="I48">
        <v>8</v>
      </c>
      <c r="K48" t="s">
        <v>72</v>
      </c>
      <c r="L48" t="s">
        <v>73</v>
      </c>
      <c r="M48" s="1" t="e">
        <f>Tabla32[[#This Row],[BN CARTA]]-#REF!</f>
        <v>#REF!</v>
      </c>
      <c r="N48" s="1" t="e">
        <f>Tabla32[[#This Row],[BN OFICIO]]-#REF!</f>
        <v>#REF!</v>
      </c>
      <c r="O48" s="1" t="e">
        <f>Tabla32[[#This Row],[BN DC]]-#REF!</f>
        <v>#REF!</v>
      </c>
      <c r="P48" s="1" t="e">
        <f>Tabla32[[#This Row],[COLOR CARTA]]-#REF!</f>
        <v>#REF!</v>
      </c>
      <c r="Q48" s="1" t="e">
        <f>Tabla32[[#This Row],[COLOR OFICIO]]-#REF!</f>
        <v>#REF!</v>
      </c>
      <c r="R48" s="1" t="e">
        <f>Tabla32[[#This Row],[ENVIAR]]-#REF!</f>
        <v>#REF!</v>
      </c>
      <c r="S48" s="1" t="e">
        <f>Tabla32[[#This Row],[COPIAR]]-#REF!</f>
        <v>#REF!</v>
      </c>
    </row>
    <row r="49" spans="1:19" x14ac:dyDescent="0.25">
      <c r="A49" t="s">
        <v>10</v>
      </c>
      <c r="B49" t="s">
        <v>74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K49" t="s">
        <v>10</v>
      </c>
      <c r="L49" t="s">
        <v>74</v>
      </c>
      <c r="M49" s="1" t="e">
        <f>Tabla32[[#This Row],[BN CARTA]]-#REF!</f>
        <v>#REF!</v>
      </c>
      <c r="N49" s="1" t="e">
        <f>Tabla32[[#This Row],[BN OFICIO]]-#REF!</f>
        <v>#REF!</v>
      </c>
      <c r="O49" s="1" t="e">
        <f>Tabla32[[#This Row],[BN DC]]-#REF!</f>
        <v>#REF!</v>
      </c>
      <c r="P49" s="1" t="e">
        <f>Tabla32[[#This Row],[COLOR CARTA]]-#REF!</f>
        <v>#REF!</v>
      </c>
      <c r="Q49" s="1" t="e">
        <f>Tabla32[[#This Row],[COLOR OFICIO]]-#REF!</f>
        <v>#REF!</v>
      </c>
      <c r="R49" s="1" t="e">
        <f>Tabla32[[#This Row],[ENVIAR]]-#REF!</f>
        <v>#REF!</v>
      </c>
      <c r="S49" s="1" t="e">
        <f>Tabla32[[#This Row],[COPIAR]]-#REF!</f>
        <v>#REF!</v>
      </c>
    </row>
    <row r="50" spans="1:19" x14ac:dyDescent="0.25">
      <c r="A50" t="s">
        <v>10</v>
      </c>
      <c r="B50" t="s">
        <v>75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K50" t="s">
        <v>10</v>
      </c>
      <c r="L50" t="s">
        <v>75</v>
      </c>
      <c r="M50" s="1" t="e">
        <f>Tabla32[[#This Row],[BN CARTA]]-#REF!</f>
        <v>#REF!</v>
      </c>
      <c r="N50" s="1" t="e">
        <f>Tabla32[[#This Row],[BN OFICIO]]-#REF!</f>
        <v>#REF!</v>
      </c>
      <c r="O50" s="1" t="e">
        <f>Tabla32[[#This Row],[BN DC]]-#REF!</f>
        <v>#REF!</v>
      </c>
      <c r="P50" s="1" t="e">
        <f>Tabla32[[#This Row],[COLOR CARTA]]-#REF!</f>
        <v>#REF!</v>
      </c>
      <c r="Q50" s="1" t="e">
        <f>Tabla32[[#This Row],[COLOR OFICIO]]-#REF!</f>
        <v>#REF!</v>
      </c>
      <c r="R50" s="1" t="e">
        <f>Tabla32[[#This Row],[ENVIAR]]-#REF!</f>
        <v>#REF!</v>
      </c>
      <c r="S50" s="1" t="e">
        <f>Tabla32[[#This Row],[COPIAR]]-#REF!</f>
        <v>#REF!</v>
      </c>
    </row>
    <row r="51" spans="1:19" x14ac:dyDescent="0.25">
      <c r="A51" t="s">
        <v>76</v>
      </c>
      <c r="B51" t="s">
        <v>77</v>
      </c>
      <c r="C51">
        <v>594</v>
      </c>
      <c r="D51">
        <v>0</v>
      </c>
      <c r="E51">
        <v>0</v>
      </c>
      <c r="F51">
        <v>0</v>
      </c>
      <c r="G51">
        <v>0</v>
      </c>
      <c r="H51">
        <v>40</v>
      </c>
      <c r="I51">
        <v>42</v>
      </c>
      <c r="K51" t="s">
        <v>76</v>
      </c>
      <c r="L51" t="s">
        <v>77</v>
      </c>
      <c r="M51" s="1" t="e">
        <f>Tabla32[[#This Row],[BN CARTA]]-#REF!</f>
        <v>#REF!</v>
      </c>
      <c r="N51" s="1" t="e">
        <f>Tabla32[[#This Row],[BN OFICIO]]-#REF!</f>
        <v>#REF!</v>
      </c>
      <c r="O51" s="1" t="e">
        <f>Tabla32[[#This Row],[BN DC]]-#REF!</f>
        <v>#REF!</v>
      </c>
      <c r="P51" s="1" t="e">
        <f>Tabla32[[#This Row],[COLOR CARTA]]-#REF!</f>
        <v>#REF!</v>
      </c>
      <c r="Q51" s="1" t="e">
        <f>Tabla32[[#This Row],[COLOR OFICIO]]-#REF!</f>
        <v>#REF!</v>
      </c>
      <c r="R51" s="1" t="e">
        <f>Tabla32[[#This Row],[ENVIAR]]-#REF!</f>
        <v>#REF!</v>
      </c>
      <c r="S51" s="1" t="e">
        <f>Tabla32[[#This Row],[COPIAR]]-#REF!</f>
        <v>#REF!</v>
      </c>
    </row>
    <row r="52" spans="1:19" x14ac:dyDescent="0.25">
      <c r="A52" t="s">
        <v>10</v>
      </c>
      <c r="B52" t="s">
        <v>78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K52" t="s">
        <v>10</v>
      </c>
      <c r="L52" t="s">
        <v>78</v>
      </c>
      <c r="M52" s="1" t="e">
        <f>Tabla32[[#This Row],[BN CARTA]]-#REF!</f>
        <v>#REF!</v>
      </c>
      <c r="N52" s="1" t="e">
        <f>Tabla32[[#This Row],[BN OFICIO]]-#REF!</f>
        <v>#REF!</v>
      </c>
      <c r="O52" s="1" t="e">
        <f>Tabla32[[#This Row],[BN DC]]-#REF!</f>
        <v>#REF!</v>
      </c>
      <c r="P52" s="1" t="e">
        <f>Tabla32[[#This Row],[COLOR CARTA]]-#REF!</f>
        <v>#REF!</v>
      </c>
      <c r="Q52" s="1" t="e">
        <f>Tabla32[[#This Row],[COLOR OFICIO]]-#REF!</f>
        <v>#REF!</v>
      </c>
      <c r="R52" s="1" t="e">
        <f>Tabla32[[#This Row],[ENVIAR]]-#REF!</f>
        <v>#REF!</v>
      </c>
      <c r="S52" s="1" t="e">
        <f>Tabla32[[#This Row],[COPIAR]]-#REF!</f>
        <v>#REF!</v>
      </c>
    </row>
    <row r="53" spans="1:19" x14ac:dyDescent="0.25">
      <c r="A53" t="s">
        <v>10</v>
      </c>
      <c r="B53" t="s">
        <v>79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K53" t="s">
        <v>10</v>
      </c>
      <c r="L53" t="s">
        <v>79</v>
      </c>
      <c r="M53" s="1" t="e">
        <f>Tabla32[[#This Row],[BN CARTA]]-#REF!</f>
        <v>#REF!</v>
      </c>
      <c r="N53" s="1" t="e">
        <f>Tabla32[[#This Row],[BN OFICIO]]-#REF!</f>
        <v>#REF!</v>
      </c>
      <c r="O53" s="1" t="e">
        <f>Tabla32[[#This Row],[BN DC]]-#REF!</f>
        <v>#REF!</v>
      </c>
      <c r="P53" s="1" t="e">
        <f>Tabla32[[#This Row],[COLOR CARTA]]-#REF!</f>
        <v>#REF!</v>
      </c>
      <c r="Q53" s="1" t="e">
        <f>Tabla32[[#This Row],[COLOR OFICIO]]-#REF!</f>
        <v>#REF!</v>
      </c>
      <c r="R53" s="1" t="e">
        <f>Tabla32[[#This Row],[ENVIAR]]-#REF!</f>
        <v>#REF!</v>
      </c>
      <c r="S53" s="1" t="e">
        <f>Tabla32[[#This Row],[COPIAR]]-#REF!</f>
        <v>#REF!</v>
      </c>
    </row>
    <row r="54" spans="1:19" x14ac:dyDescent="0.25">
      <c r="A54" t="s">
        <v>10</v>
      </c>
      <c r="B54" t="s">
        <v>80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K54" t="s">
        <v>10</v>
      </c>
      <c r="L54" t="s">
        <v>80</v>
      </c>
      <c r="M54" s="1" t="e">
        <f>Tabla32[[#This Row],[BN CARTA]]-#REF!</f>
        <v>#REF!</v>
      </c>
      <c r="N54" s="1" t="e">
        <f>Tabla32[[#This Row],[BN OFICIO]]-#REF!</f>
        <v>#REF!</v>
      </c>
      <c r="O54" s="1" t="e">
        <f>Tabla32[[#This Row],[BN DC]]-#REF!</f>
        <v>#REF!</v>
      </c>
      <c r="P54" s="1" t="e">
        <f>Tabla32[[#This Row],[COLOR CARTA]]-#REF!</f>
        <v>#REF!</v>
      </c>
      <c r="Q54" s="1" t="e">
        <f>Tabla32[[#This Row],[COLOR OFICIO]]-#REF!</f>
        <v>#REF!</v>
      </c>
      <c r="R54" s="1" t="e">
        <f>Tabla32[[#This Row],[ENVIAR]]-#REF!</f>
        <v>#REF!</v>
      </c>
      <c r="S54" s="1" t="e">
        <f>Tabla32[[#This Row],[COPIAR]]-#REF!</f>
        <v>#REF!</v>
      </c>
    </row>
    <row r="55" spans="1:19" x14ac:dyDescent="0.25">
      <c r="A55" t="s">
        <v>10</v>
      </c>
      <c r="B55" t="s">
        <v>81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K55" t="s">
        <v>10</v>
      </c>
      <c r="L55" t="s">
        <v>81</v>
      </c>
      <c r="M55" s="1" t="e">
        <f>Tabla32[[#This Row],[BN CARTA]]-#REF!</f>
        <v>#REF!</v>
      </c>
      <c r="N55" s="1" t="e">
        <f>Tabla32[[#This Row],[BN OFICIO]]-#REF!</f>
        <v>#REF!</v>
      </c>
      <c r="O55" s="1" t="e">
        <f>Tabla32[[#This Row],[BN DC]]-#REF!</f>
        <v>#REF!</v>
      </c>
      <c r="P55" s="1" t="e">
        <f>Tabla32[[#This Row],[COLOR CARTA]]-#REF!</f>
        <v>#REF!</v>
      </c>
      <c r="Q55" s="1" t="e">
        <f>Tabla32[[#This Row],[COLOR OFICIO]]-#REF!</f>
        <v>#REF!</v>
      </c>
      <c r="R55" s="1" t="e">
        <f>Tabla32[[#This Row],[ENVIAR]]-#REF!</f>
        <v>#REF!</v>
      </c>
      <c r="S55" s="1" t="e">
        <f>Tabla32[[#This Row],[COPIAR]]-#REF!</f>
        <v>#REF!</v>
      </c>
    </row>
    <row r="56" spans="1:19" x14ac:dyDescent="0.25">
      <c r="A56" t="s">
        <v>76</v>
      </c>
      <c r="B56" t="s">
        <v>82</v>
      </c>
      <c r="C56">
        <v>1778</v>
      </c>
      <c r="D56">
        <v>53</v>
      </c>
      <c r="E56">
        <v>0</v>
      </c>
      <c r="F56">
        <v>0</v>
      </c>
      <c r="G56">
        <v>0</v>
      </c>
      <c r="H56">
        <v>592</v>
      </c>
      <c r="I56">
        <v>446</v>
      </c>
      <c r="K56" t="s">
        <v>76</v>
      </c>
      <c r="L56" t="s">
        <v>82</v>
      </c>
      <c r="M56" s="1" t="e">
        <f>Tabla32[[#This Row],[BN CARTA]]-#REF!</f>
        <v>#REF!</v>
      </c>
      <c r="N56" s="1" t="e">
        <f>Tabla32[[#This Row],[BN OFICIO]]-#REF!</f>
        <v>#REF!</v>
      </c>
      <c r="O56" s="1" t="e">
        <f>Tabla32[[#This Row],[BN DC]]-#REF!</f>
        <v>#REF!</v>
      </c>
      <c r="P56" s="1" t="e">
        <f>Tabla32[[#This Row],[COLOR CARTA]]-#REF!</f>
        <v>#REF!</v>
      </c>
      <c r="Q56" s="1" t="e">
        <f>Tabla32[[#This Row],[COLOR OFICIO]]-#REF!</f>
        <v>#REF!</v>
      </c>
      <c r="R56" s="1" t="e">
        <f>Tabla32[[#This Row],[ENVIAR]]-#REF!</f>
        <v>#REF!</v>
      </c>
      <c r="S56" s="1" t="e">
        <f>Tabla32[[#This Row],[COPIAR]]-#REF!</f>
        <v>#REF!</v>
      </c>
    </row>
    <row r="57" spans="1:19" x14ac:dyDescent="0.25">
      <c r="A57" t="s">
        <v>83</v>
      </c>
      <c r="B57" t="s">
        <v>84</v>
      </c>
      <c r="C57">
        <v>1300</v>
      </c>
      <c r="D57">
        <v>0</v>
      </c>
      <c r="E57">
        <v>0</v>
      </c>
      <c r="F57">
        <v>0</v>
      </c>
      <c r="G57">
        <v>0</v>
      </c>
      <c r="H57">
        <v>1211</v>
      </c>
      <c r="I57">
        <v>633</v>
      </c>
      <c r="K57" t="s">
        <v>83</v>
      </c>
      <c r="L57" t="s">
        <v>84</v>
      </c>
      <c r="M57" s="1" t="e">
        <f>Tabla32[[#This Row],[BN CARTA]]-#REF!</f>
        <v>#REF!</v>
      </c>
      <c r="N57" s="1" t="e">
        <f>Tabla32[[#This Row],[BN OFICIO]]-#REF!</f>
        <v>#REF!</v>
      </c>
      <c r="O57" s="1" t="e">
        <f>Tabla32[[#This Row],[BN DC]]-#REF!</f>
        <v>#REF!</v>
      </c>
      <c r="P57" s="1" t="e">
        <f>Tabla32[[#This Row],[COLOR CARTA]]-#REF!</f>
        <v>#REF!</v>
      </c>
      <c r="Q57" s="1" t="e">
        <f>Tabla32[[#This Row],[COLOR OFICIO]]-#REF!</f>
        <v>#REF!</v>
      </c>
      <c r="R57" s="1" t="e">
        <f>Tabla32[[#This Row],[ENVIAR]]-#REF!</f>
        <v>#REF!</v>
      </c>
      <c r="S57" s="1" t="e">
        <f>Tabla32[[#This Row],[COPIAR]]-#REF!</f>
        <v>#REF!</v>
      </c>
    </row>
    <row r="58" spans="1:19" x14ac:dyDescent="0.25">
      <c r="A58" t="s">
        <v>10</v>
      </c>
      <c r="B58" t="s">
        <v>85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K58" t="s">
        <v>10</v>
      </c>
      <c r="L58" t="s">
        <v>85</v>
      </c>
      <c r="M58" s="1" t="e">
        <f>Tabla32[[#This Row],[BN CARTA]]-#REF!</f>
        <v>#REF!</v>
      </c>
      <c r="N58" s="1" t="e">
        <f>Tabla32[[#This Row],[BN OFICIO]]-#REF!</f>
        <v>#REF!</v>
      </c>
      <c r="O58" s="1" t="e">
        <f>Tabla32[[#This Row],[BN DC]]-#REF!</f>
        <v>#REF!</v>
      </c>
      <c r="P58" s="1" t="e">
        <f>Tabla32[[#This Row],[COLOR CARTA]]-#REF!</f>
        <v>#REF!</v>
      </c>
      <c r="Q58" s="1" t="e">
        <f>Tabla32[[#This Row],[COLOR OFICIO]]-#REF!</f>
        <v>#REF!</v>
      </c>
      <c r="R58" s="1" t="e">
        <f>Tabla32[[#This Row],[ENVIAR]]-#REF!</f>
        <v>#REF!</v>
      </c>
      <c r="S58" s="1" t="e">
        <f>Tabla32[[#This Row],[COPIAR]]-#REF!</f>
        <v>#REF!</v>
      </c>
    </row>
    <row r="59" spans="1:19" x14ac:dyDescent="0.25">
      <c r="A59" t="s">
        <v>10</v>
      </c>
      <c r="B59" t="s">
        <v>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K59" t="s">
        <v>10</v>
      </c>
      <c r="L59" t="s">
        <v>86</v>
      </c>
      <c r="M59" s="1" t="e">
        <f>Tabla32[[#This Row],[BN CARTA]]-#REF!</f>
        <v>#REF!</v>
      </c>
      <c r="N59" s="1" t="e">
        <f>Tabla32[[#This Row],[BN OFICIO]]-#REF!</f>
        <v>#REF!</v>
      </c>
      <c r="O59" s="1" t="e">
        <f>Tabla32[[#This Row],[BN DC]]-#REF!</f>
        <v>#REF!</v>
      </c>
      <c r="P59" s="1" t="e">
        <f>Tabla32[[#This Row],[COLOR CARTA]]-#REF!</f>
        <v>#REF!</v>
      </c>
      <c r="Q59" s="1" t="e">
        <f>Tabla32[[#This Row],[COLOR OFICIO]]-#REF!</f>
        <v>#REF!</v>
      </c>
      <c r="R59" s="1" t="e">
        <f>Tabla32[[#This Row],[ENVIAR]]-#REF!</f>
        <v>#REF!</v>
      </c>
      <c r="S59" s="1" t="e">
        <f>Tabla32[[#This Row],[COPIAR]]-#REF!</f>
        <v>#REF!</v>
      </c>
    </row>
    <row r="60" spans="1:19" x14ac:dyDescent="0.25">
      <c r="A60" t="s">
        <v>10</v>
      </c>
      <c r="B60" t="s">
        <v>87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K60" t="s">
        <v>10</v>
      </c>
      <c r="L60" t="s">
        <v>87</v>
      </c>
      <c r="M60" s="1" t="e">
        <f>Tabla32[[#This Row],[BN CARTA]]-#REF!</f>
        <v>#REF!</v>
      </c>
      <c r="N60" s="1" t="e">
        <f>Tabla32[[#This Row],[BN OFICIO]]-#REF!</f>
        <v>#REF!</v>
      </c>
      <c r="O60" s="1" t="e">
        <f>Tabla32[[#This Row],[BN DC]]-#REF!</f>
        <v>#REF!</v>
      </c>
      <c r="P60" s="1" t="e">
        <f>Tabla32[[#This Row],[COLOR CARTA]]-#REF!</f>
        <v>#REF!</v>
      </c>
      <c r="Q60" s="1" t="e">
        <f>Tabla32[[#This Row],[COLOR OFICIO]]-#REF!</f>
        <v>#REF!</v>
      </c>
      <c r="R60" s="1" t="e">
        <f>Tabla32[[#This Row],[ENVIAR]]-#REF!</f>
        <v>#REF!</v>
      </c>
      <c r="S60" s="1" t="e">
        <f>Tabla32[[#This Row],[COPIAR]]-#REF!</f>
        <v>#REF!</v>
      </c>
    </row>
    <row r="61" spans="1:19" x14ac:dyDescent="0.25">
      <c r="A61" t="s">
        <v>10</v>
      </c>
      <c r="B61" t="s">
        <v>88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K61" t="s">
        <v>10</v>
      </c>
      <c r="L61" t="s">
        <v>88</v>
      </c>
      <c r="M61" s="1" t="e">
        <f>Tabla32[[#This Row],[BN CARTA]]-#REF!</f>
        <v>#REF!</v>
      </c>
      <c r="N61" s="1" t="e">
        <f>Tabla32[[#This Row],[BN OFICIO]]-#REF!</f>
        <v>#REF!</v>
      </c>
      <c r="O61" s="1" t="e">
        <f>Tabla32[[#This Row],[BN DC]]-#REF!</f>
        <v>#REF!</v>
      </c>
      <c r="P61" s="1" t="e">
        <f>Tabla32[[#This Row],[COLOR CARTA]]-#REF!</f>
        <v>#REF!</v>
      </c>
      <c r="Q61" s="1" t="e">
        <f>Tabla32[[#This Row],[COLOR OFICIO]]-#REF!</f>
        <v>#REF!</v>
      </c>
      <c r="R61" s="1" t="e">
        <f>Tabla32[[#This Row],[ENVIAR]]-#REF!</f>
        <v>#REF!</v>
      </c>
      <c r="S61" s="1" t="e">
        <f>Tabla32[[#This Row],[COPIAR]]-#REF!</f>
        <v>#REF!</v>
      </c>
    </row>
    <row r="62" spans="1:19" x14ac:dyDescent="0.25">
      <c r="A62" t="s">
        <v>10</v>
      </c>
      <c r="B62" t="s">
        <v>89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K62" t="s">
        <v>10</v>
      </c>
      <c r="L62" t="s">
        <v>89</v>
      </c>
      <c r="M62" s="1" t="e">
        <f>Tabla32[[#This Row],[BN CARTA]]-#REF!</f>
        <v>#REF!</v>
      </c>
      <c r="N62" s="1" t="e">
        <f>Tabla32[[#This Row],[BN OFICIO]]-#REF!</f>
        <v>#REF!</v>
      </c>
      <c r="O62" s="1" t="e">
        <f>Tabla32[[#This Row],[BN DC]]-#REF!</f>
        <v>#REF!</v>
      </c>
      <c r="P62" s="1" t="e">
        <f>Tabla32[[#This Row],[COLOR CARTA]]-#REF!</f>
        <v>#REF!</v>
      </c>
      <c r="Q62" s="1" t="e">
        <f>Tabla32[[#This Row],[COLOR OFICIO]]-#REF!</f>
        <v>#REF!</v>
      </c>
      <c r="R62" s="1" t="e">
        <f>Tabla32[[#This Row],[ENVIAR]]-#REF!</f>
        <v>#REF!</v>
      </c>
      <c r="S62" s="1" t="e">
        <f>Tabla32[[#This Row],[COPIAR]]-#REF!</f>
        <v>#REF!</v>
      </c>
    </row>
    <row r="63" spans="1:19" x14ac:dyDescent="0.25">
      <c r="A63" t="s">
        <v>10</v>
      </c>
      <c r="B63" t="s">
        <v>90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K63" t="s">
        <v>10</v>
      </c>
      <c r="L63" t="s">
        <v>90</v>
      </c>
      <c r="M63" s="1" t="e">
        <f>Tabla32[[#This Row],[BN CARTA]]-#REF!</f>
        <v>#REF!</v>
      </c>
      <c r="N63" s="1" t="e">
        <f>Tabla32[[#This Row],[BN OFICIO]]-#REF!</f>
        <v>#REF!</v>
      </c>
      <c r="O63" s="1" t="e">
        <f>Tabla32[[#This Row],[BN DC]]-#REF!</f>
        <v>#REF!</v>
      </c>
      <c r="P63" s="1" t="e">
        <f>Tabla32[[#This Row],[COLOR CARTA]]-#REF!</f>
        <v>#REF!</v>
      </c>
      <c r="Q63" s="1" t="e">
        <f>Tabla32[[#This Row],[COLOR OFICIO]]-#REF!</f>
        <v>#REF!</v>
      </c>
      <c r="R63" s="1" t="e">
        <f>Tabla32[[#This Row],[ENVIAR]]-#REF!</f>
        <v>#REF!</v>
      </c>
      <c r="S63" s="1" t="e">
        <f>Tabla32[[#This Row],[COPIAR]]-#REF!</f>
        <v>#REF!</v>
      </c>
    </row>
    <row r="64" spans="1:19" x14ac:dyDescent="0.25">
      <c r="A64" t="s">
        <v>10</v>
      </c>
      <c r="B64" t="s">
        <v>91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K64" t="s">
        <v>10</v>
      </c>
      <c r="L64" t="s">
        <v>91</v>
      </c>
      <c r="M64" s="1" t="e">
        <f>Tabla32[[#This Row],[BN CARTA]]-#REF!</f>
        <v>#REF!</v>
      </c>
      <c r="N64" s="1" t="e">
        <f>Tabla32[[#This Row],[BN OFICIO]]-#REF!</f>
        <v>#REF!</v>
      </c>
      <c r="O64" s="1" t="e">
        <f>Tabla32[[#This Row],[BN DC]]-#REF!</f>
        <v>#REF!</v>
      </c>
      <c r="P64" s="1" t="e">
        <f>Tabla32[[#This Row],[COLOR CARTA]]-#REF!</f>
        <v>#REF!</v>
      </c>
      <c r="Q64" s="1" t="e">
        <f>Tabla32[[#This Row],[COLOR OFICIO]]-#REF!</f>
        <v>#REF!</v>
      </c>
      <c r="R64" s="1" t="e">
        <f>Tabla32[[#This Row],[ENVIAR]]-#REF!</f>
        <v>#REF!</v>
      </c>
      <c r="S64" s="1" t="e">
        <f>Tabla32[[#This Row],[COPIAR]]-#REF!</f>
        <v>#REF!</v>
      </c>
    </row>
    <row r="65" spans="1:19" x14ac:dyDescent="0.25">
      <c r="A65" t="s">
        <v>10</v>
      </c>
      <c r="B65" t="s">
        <v>92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K65" t="s">
        <v>10</v>
      </c>
      <c r="L65" t="s">
        <v>92</v>
      </c>
      <c r="M65" s="1" t="e">
        <f>Tabla32[[#This Row],[BN CARTA]]-#REF!</f>
        <v>#REF!</v>
      </c>
      <c r="N65" s="1" t="e">
        <f>Tabla32[[#This Row],[BN OFICIO]]-#REF!</f>
        <v>#REF!</v>
      </c>
      <c r="O65" s="1" t="e">
        <f>Tabla32[[#This Row],[BN DC]]-#REF!</f>
        <v>#REF!</v>
      </c>
      <c r="P65" s="1" t="e">
        <f>Tabla32[[#This Row],[COLOR CARTA]]-#REF!</f>
        <v>#REF!</v>
      </c>
      <c r="Q65" s="1" t="e">
        <f>Tabla32[[#This Row],[COLOR OFICIO]]-#REF!</f>
        <v>#REF!</v>
      </c>
      <c r="R65" s="1" t="e">
        <f>Tabla32[[#This Row],[ENVIAR]]-#REF!</f>
        <v>#REF!</v>
      </c>
      <c r="S65" s="1" t="e">
        <f>Tabla32[[#This Row],[COPIAR]]-#REF!</f>
        <v>#REF!</v>
      </c>
    </row>
    <row r="66" spans="1:19" x14ac:dyDescent="0.25">
      <c r="A66" t="s">
        <v>10</v>
      </c>
      <c r="B66" t="s">
        <v>93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K66" t="s">
        <v>10</v>
      </c>
      <c r="L66" t="s">
        <v>93</v>
      </c>
      <c r="M66" s="1" t="e">
        <f>Tabla32[[#This Row],[BN CARTA]]-#REF!</f>
        <v>#REF!</v>
      </c>
      <c r="N66" s="1" t="e">
        <f>Tabla32[[#This Row],[BN OFICIO]]-#REF!</f>
        <v>#REF!</v>
      </c>
      <c r="O66" s="1" t="e">
        <f>Tabla32[[#This Row],[BN DC]]-#REF!</f>
        <v>#REF!</v>
      </c>
      <c r="P66" s="1" t="e">
        <f>Tabla32[[#This Row],[COLOR CARTA]]-#REF!</f>
        <v>#REF!</v>
      </c>
      <c r="Q66" s="1" t="e">
        <f>Tabla32[[#This Row],[COLOR OFICIO]]-#REF!</f>
        <v>#REF!</v>
      </c>
      <c r="R66" s="1" t="e">
        <f>Tabla32[[#This Row],[ENVIAR]]-#REF!</f>
        <v>#REF!</v>
      </c>
      <c r="S66" s="1" t="e">
        <f>Tabla32[[#This Row],[COPIAR]]-#REF!</f>
        <v>#REF!</v>
      </c>
    </row>
    <row r="67" spans="1:19" x14ac:dyDescent="0.25">
      <c r="A67" t="s">
        <v>10</v>
      </c>
      <c r="B67" t="s">
        <v>94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K67" t="s">
        <v>10</v>
      </c>
      <c r="L67" t="s">
        <v>94</v>
      </c>
      <c r="M67" s="1" t="e">
        <f>Tabla32[[#This Row],[BN CARTA]]-#REF!</f>
        <v>#REF!</v>
      </c>
      <c r="N67" s="1" t="e">
        <f>Tabla32[[#This Row],[BN OFICIO]]-#REF!</f>
        <v>#REF!</v>
      </c>
      <c r="O67" s="1" t="e">
        <f>Tabla32[[#This Row],[BN DC]]-#REF!</f>
        <v>#REF!</v>
      </c>
      <c r="P67" s="1" t="e">
        <f>Tabla32[[#This Row],[COLOR CARTA]]-#REF!</f>
        <v>#REF!</v>
      </c>
      <c r="Q67" s="1" t="e">
        <f>Tabla32[[#This Row],[COLOR OFICIO]]-#REF!</f>
        <v>#REF!</v>
      </c>
      <c r="R67" s="1" t="e">
        <f>Tabla32[[#This Row],[ENVIAR]]-#REF!</f>
        <v>#REF!</v>
      </c>
      <c r="S67" s="1" t="e">
        <f>Tabla32[[#This Row],[COPIAR]]-#REF!</f>
        <v>#REF!</v>
      </c>
    </row>
    <row r="68" spans="1:19" x14ac:dyDescent="0.25">
      <c r="A68" t="s">
        <v>10</v>
      </c>
      <c r="B68" t="s">
        <v>95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K68" t="s">
        <v>10</v>
      </c>
      <c r="L68" t="s">
        <v>95</v>
      </c>
      <c r="M68" s="1" t="e">
        <f>Tabla32[[#This Row],[BN CARTA]]-#REF!</f>
        <v>#REF!</v>
      </c>
      <c r="N68" s="1" t="e">
        <f>Tabla32[[#This Row],[BN OFICIO]]-#REF!</f>
        <v>#REF!</v>
      </c>
      <c r="O68" s="1" t="e">
        <f>Tabla32[[#This Row],[BN DC]]-#REF!</f>
        <v>#REF!</v>
      </c>
      <c r="P68" s="1" t="e">
        <f>Tabla32[[#This Row],[COLOR CARTA]]-#REF!</f>
        <v>#REF!</v>
      </c>
      <c r="Q68" s="1" t="e">
        <f>Tabla32[[#This Row],[COLOR OFICIO]]-#REF!</f>
        <v>#REF!</v>
      </c>
      <c r="R68" s="1" t="e">
        <f>Tabla32[[#This Row],[ENVIAR]]-#REF!</f>
        <v>#REF!</v>
      </c>
      <c r="S68" s="1" t="e">
        <f>Tabla32[[#This Row],[COPIAR]]-#REF!</f>
        <v>#REF!</v>
      </c>
    </row>
    <row r="69" spans="1:19" x14ac:dyDescent="0.25">
      <c r="A69" t="s">
        <v>10</v>
      </c>
      <c r="B69" t="s">
        <v>96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K69" t="s">
        <v>10</v>
      </c>
      <c r="L69" t="s">
        <v>96</v>
      </c>
      <c r="M69" s="1" t="e">
        <f>Tabla32[[#This Row],[BN CARTA]]-#REF!</f>
        <v>#REF!</v>
      </c>
      <c r="N69" s="1" t="e">
        <f>Tabla32[[#This Row],[BN OFICIO]]-#REF!</f>
        <v>#REF!</v>
      </c>
      <c r="O69" s="1" t="e">
        <f>Tabla32[[#This Row],[BN DC]]-#REF!</f>
        <v>#REF!</v>
      </c>
      <c r="P69" s="1" t="e">
        <f>Tabla32[[#This Row],[COLOR CARTA]]-#REF!</f>
        <v>#REF!</v>
      </c>
      <c r="Q69" s="1" t="e">
        <f>Tabla32[[#This Row],[COLOR OFICIO]]-#REF!</f>
        <v>#REF!</v>
      </c>
      <c r="R69" s="1" t="e">
        <f>Tabla32[[#This Row],[ENVIAR]]-#REF!</f>
        <v>#REF!</v>
      </c>
      <c r="S69" s="1" t="e">
        <f>Tabla32[[#This Row],[COPIAR]]-#REF!</f>
        <v>#REF!</v>
      </c>
    </row>
    <row r="70" spans="1:19" x14ac:dyDescent="0.25">
      <c r="A70" t="s">
        <v>97</v>
      </c>
      <c r="B70" t="s">
        <v>98</v>
      </c>
      <c r="C70">
        <v>347</v>
      </c>
      <c r="D70">
        <v>0</v>
      </c>
      <c r="E70">
        <v>0</v>
      </c>
      <c r="F70">
        <v>0</v>
      </c>
      <c r="G70">
        <v>0</v>
      </c>
      <c r="H70">
        <v>100</v>
      </c>
      <c r="I70">
        <v>140</v>
      </c>
      <c r="K70" t="s">
        <v>97</v>
      </c>
      <c r="L70" t="s">
        <v>98</v>
      </c>
      <c r="M70" s="1" t="e">
        <f>Tabla32[[#This Row],[BN CARTA]]-#REF!</f>
        <v>#REF!</v>
      </c>
      <c r="N70" s="1" t="e">
        <f>Tabla32[[#This Row],[BN OFICIO]]-#REF!</f>
        <v>#REF!</v>
      </c>
      <c r="O70" s="1" t="e">
        <f>Tabla32[[#This Row],[BN DC]]-#REF!</f>
        <v>#REF!</v>
      </c>
      <c r="P70" s="1" t="e">
        <f>Tabla32[[#This Row],[COLOR CARTA]]-#REF!</f>
        <v>#REF!</v>
      </c>
      <c r="Q70" s="1" t="e">
        <f>Tabla32[[#This Row],[COLOR OFICIO]]-#REF!</f>
        <v>#REF!</v>
      </c>
      <c r="R70" s="1" t="e">
        <f>Tabla32[[#This Row],[ENVIAR]]-#REF!</f>
        <v>#REF!</v>
      </c>
      <c r="S70" s="1" t="e">
        <f>Tabla32[[#This Row],[COPIAR]]-#REF!</f>
        <v>#REF!</v>
      </c>
    </row>
    <row r="71" spans="1:19" x14ac:dyDescent="0.25">
      <c r="A71" t="s">
        <v>99</v>
      </c>
      <c r="B71" t="s">
        <v>100</v>
      </c>
      <c r="C71">
        <v>384</v>
      </c>
      <c r="D71">
        <v>25</v>
      </c>
      <c r="E71">
        <v>0</v>
      </c>
      <c r="F71">
        <v>0</v>
      </c>
      <c r="G71">
        <v>0</v>
      </c>
      <c r="H71">
        <v>688</v>
      </c>
      <c r="I71">
        <v>93</v>
      </c>
      <c r="K71" t="s">
        <v>99</v>
      </c>
      <c r="L71" t="s">
        <v>100</v>
      </c>
      <c r="M71" s="1" t="e">
        <f>Tabla32[[#This Row],[BN CARTA]]-#REF!</f>
        <v>#REF!</v>
      </c>
      <c r="N71" s="1" t="e">
        <f>Tabla32[[#This Row],[BN OFICIO]]-#REF!</f>
        <v>#REF!</v>
      </c>
      <c r="O71" s="1" t="e">
        <f>Tabla32[[#This Row],[BN DC]]-#REF!</f>
        <v>#REF!</v>
      </c>
      <c r="P71" s="1" t="e">
        <f>Tabla32[[#This Row],[COLOR CARTA]]-#REF!</f>
        <v>#REF!</v>
      </c>
      <c r="Q71" s="1" t="e">
        <f>Tabla32[[#This Row],[COLOR OFICIO]]-#REF!</f>
        <v>#REF!</v>
      </c>
      <c r="R71" s="1" t="e">
        <f>Tabla32[[#This Row],[ENVIAR]]-#REF!</f>
        <v>#REF!</v>
      </c>
      <c r="S71" s="1" t="e">
        <f>Tabla32[[#This Row],[COPIAR]]-#REF!</f>
        <v>#REF!</v>
      </c>
    </row>
    <row r="72" spans="1:19" x14ac:dyDescent="0.25">
      <c r="A72" t="s">
        <v>101</v>
      </c>
      <c r="B72" t="s">
        <v>102</v>
      </c>
      <c r="C72">
        <v>698</v>
      </c>
      <c r="D72">
        <v>0</v>
      </c>
      <c r="E72">
        <v>0</v>
      </c>
      <c r="F72">
        <v>0</v>
      </c>
      <c r="G72">
        <v>0</v>
      </c>
      <c r="H72">
        <v>457</v>
      </c>
      <c r="I72">
        <v>103</v>
      </c>
      <c r="K72" t="s">
        <v>101</v>
      </c>
      <c r="L72" t="s">
        <v>102</v>
      </c>
      <c r="M72" s="1" t="e">
        <f>Tabla32[[#This Row],[BN CARTA]]-#REF!</f>
        <v>#REF!</v>
      </c>
      <c r="N72" s="1" t="e">
        <f>Tabla32[[#This Row],[BN OFICIO]]-#REF!</f>
        <v>#REF!</v>
      </c>
      <c r="O72" s="1" t="e">
        <f>Tabla32[[#This Row],[BN DC]]-#REF!</f>
        <v>#REF!</v>
      </c>
      <c r="P72" s="1" t="e">
        <f>Tabla32[[#This Row],[COLOR CARTA]]-#REF!</f>
        <v>#REF!</v>
      </c>
      <c r="Q72" s="1" t="e">
        <f>Tabla32[[#This Row],[COLOR OFICIO]]-#REF!</f>
        <v>#REF!</v>
      </c>
      <c r="R72" s="1" t="e">
        <f>Tabla32[[#This Row],[ENVIAR]]-#REF!</f>
        <v>#REF!</v>
      </c>
      <c r="S72" s="1" t="e">
        <f>Tabla32[[#This Row],[COPIAR]]-#REF!</f>
        <v>#REF!</v>
      </c>
    </row>
    <row r="73" spans="1:19" x14ac:dyDescent="0.25">
      <c r="A73" t="s">
        <v>10</v>
      </c>
      <c r="B73" t="s">
        <v>103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K73" t="s">
        <v>10</v>
      </c>
      <c r="L73" t="s">
        <v>103</v>
      </c>
      <c r="M73" s="1" t="e">
        <f>Tabla32[[#This Row],[BN CARTA]]-#REF!</f>
        <v>#REF!</v>
      </c>
      <c r="N73" s="1" t="e">
        <f>Tabla32[[#This Row],[BN OFICIO]]-#REF!</f>
        <v>#REF!</v>
      </c>
      <c r="O73" s="1" t="e">
        <f>Tabla32[[#This Row],[BN DC]]-#REF!</f>
        <v>#REF!</v>
      </c>
      <c r="P73" s="1" t="e">
        <f>Tabla32[[#This Row],[COLOR CARTA]]-#REF!</f>
        <v>#REF!</v>
      </c>
      <c r="Q73" s="1" t="e">
        <f>Tabla32[[#This Row],[COLOR OFICIO]]-#REF!</f>
        <v>#REF!</v>
      </c>
      <c r="R73" s="1" t="e">
        <f>Tabla32[[#This Row],[ENVIAR]]-#REF!</f>
        <v>#REF!</v>
      </c>
      <c r="S73" s="1" t="e">
        <f>Tabla32[[#This Row],[COPIAR]]-#REF!</f>
        <v>#REF!</v>
      </c>
    </row>
    <row r="74" spans="1:19" x14ac:dyDescent="0.25">
      <c r="A74" t="s">
        <v>104</v>
      </c>
      <c r="B74" t="s">
        <v>105</v>
      </c>
      <c r="C74">
        <v>305</v>
      </c>
      <c r="D74">
        <v>0</v>
      </c>
      <c r="E74">
        <v>0</v>
      </c>
      <c r="F74">
        <v>0</v>
      </c>
      <c r="G74">
        <v>0</v>
      </c>
      <c r="H74">
        <v>312</v>
      </c>
      <c r="I74">
        <v>61</v>
      </c>
      <c r="K74" t="s">
        <v>104</v>
      </c>
      <c r="L74" t="s">
        <v>105</v>
      </c>
      <c r="M74" s="1" t="e">
        <f>Tabla32[[#This Row],[BN CARTA]]-#REF!</f>
        <v>#REF!</v>
      </c>
      <c r="N74" s="1" t="e">
        <f>Tabla32[[#This Row],[BN OFICIO]]-#REF!</f>
        <v>#REF!</v>
      </c>
      <c r="O74" s="1" t="e">
        <f>Tabla32[[#This Row],[BN DC]]-#REF!</f>
        <v>#REF!</v>
      </c>
      <c r="P74" s="1" t="e">
        <f>Tabla32[[#This Row],[COLOR CARTA]]-#REF!</f>
        <v>#REF!</v>
      </c>
      <c r="Q74" s="1" t="e">
        <f>Tabla32[[#This Row],[COLOR OFICIO]]-#REF!</f>
        <v>#REF!</v>
      </c>
      <c r="R74" s="1" t="e">
        <f>Tabla32[[#This Row],[ENVIAR]]-#REF!</f>
        <v>#REF!</v>
      </c>
      <c r="S74" s="1" t="e">
        <f>Tabla32[[#This Row],[COPIAR]]-#REF!</f>
        <v>#REF!</v>
      </c>
    </row>
    <row r="75" spans="1:19" x14ac:dyDescent="0.25">
      <c r="A75" t="s">
        <v>106</v>
      </c>
      <c r="B75" t="s">
        <v>107</v>
      </c>
      <c r="C75">
        <v>1157</v>
      </c>
      <c r="D75">
        <v>0</v>
      </c>
      <c r="E75">
        <v>0</v>
      </c>
      <c r="F75">
        <v>0</v>
      </c>
      <c r="G75">
        <v>0</v>
      </c>
      <c r="H75">
        <v>813</v>
      </c>
      <c r="I75">
        <v>85</v>
      </c>
      <c r="K75" t="s">
        <v>106</v>
      </c>
      <c r="L75" t="s">
        <v>107</v>
      </c>
      <c r="M75" s="1" t="e">
        <f>Tabla32[[#This Row],[BN CARTA]]-#REF!</f>
        <v>#REF!</v>
      </c>
      <c r="N75" s="1" t="e">
        <f>Tabla32[[#This Row],[BN OFICIO]]-#REF!</f>
        <v>#REF!</v>
      </c>
      <c r="O75" s="1" t="e">
        <f>Tabla32[[#This Row],[BN DC]]-#REF!</f>
        <v>#REF!</v>
      </c>
      <c r="P75" s="1" t="e">
        <f>Tabla32[[#This Row],[COLOR CARTA]]-#REF!</f>
        <v>#REF!</v>
      </c>
      <c r="Q75" s="1" t="e">
        <f>Tabla32[[#This Row],[COLOR OFICIO]]-#REF!</f>
        <v>#REF!</v>
      </c>
      <c r="R75" s="1" t="e">
        <f>Tabla32[[#This Row],[ENVIAR]]-#REF!</f>
        <v>#REF!</v>
      </c>
      <c r="S75" s="1" t="e">
        <f>Tabla32[[#This Row],[COPIAR]]-#REF!</f>
        <v>#REF!</v>
      </c>
    </row>
    <row r="76" spans="1:19" x14ac:dyDescent="0.25">
      <c r="A76" t="s">
        <v>108</v>
      </c>
      <c r="B76" t="s">
        <v>109</v>
      </c>
      <c r="C76">
        <v>493</v>
      </c>
      <c r="D76">
        <v>0</v>
      </c>
      <c r="E76">
        <v>0</v>
      </c>
      <c r="F76">
        <v>0</v>
      </c>
      <c r="G76">
        <v>0</v>
      </c>
      <c r="H76">
        <v>413</v>
      </c>
      <c r="I76">
        <v>114</v>
      </c>
      <c r="K76" t="s">
        <v>108</v>
      </c>
      <c r="L76" t="s">
        <v>109</v>
      </c>
      <c r="M76" s="1" t="e">
        <f>Tabla32[[#This Row],[BN CARTA]]-#REF!</f>
        <v>#REF!</v>
      </c>
      <c r="N76" s="1" t="e">
        <f>Tabla32[[#This Row],[BN OFICIO]]-#REF!</f>
        <v>#REF!</v>
      </c>
      <c r="O76" s="1" t="e">
        <f>Tabla32[[#This Row],[BN DC]]-#REF!</f>
        <v>#REF!</v>
      </c>
      <c r="P76" s="1" t="e">
        <f>Tabla32[[#This Row],[COLOR CARTA]]-#REF!</f>
        <v>#REF!</v>
      </c>
      <c r="Q76" s="1" t="e">
        <f>Tabla32[[#This Row],[COLOR OFICIO]]-#REF!</f>
        <v>#REF!</v>
      </c>
      <c r="R76" s="1" t="e">
        <f>Tabla32[[#This Row],[ENVIAR]]-#REF!</f>
        <v>#REF!</v>
      </c>
      <c r="S76" s="1" t="e">
        <f>Tabla32[[#This Row],[COPIAR]]-#REF!</f>
        <v>#REF!</v>
      </c>
    </row>
    <row r="77" spans="1:19" x14ac:dyDescent="0.25">
      <c r="A77" t="s">
        <v>110</v>
      </c>
      <c r="B77" t="s">
        <v>111</v>
      </c>
      <c r="C77">
        <v>272</v>
      </c>
      <c r="D77">
        <v>0</v>
      </c>
      <c r="E77">
        <v>0</v>
      </c>
      <c r="F77">
        <v>0</v>
      </c>
      <c r="G77">
        <v>0</v>
      </c>
      <c r="H77">
        <v>179</v>
      </c>
      <c r="I77">
        <v>62</v>
      </c>
      <c r="K77" t="s">
        <v>110</v>
      </c>
      <c r="L77" t="s">
        <v>111</v>
      </c>
      <c r="M77" s="1" t="e">
        <f>Tabla32[[#This Row],[BN CARTA]]-#REF!</f>
        <v>#REF!</v>
      </c>
      <c r="N77" s="1" t="e">
        <f>Tabla32[[#This Row],[BN OFICIO]]-#REF!</f>
        <v>#REF!</v>
      </c>
      <c r="O77" s="1" t="e">
        <f>Tabla32[[#This Row],[BN DC]]-#REF!</f>
        <v>#REF!</v>
      </c>
      <c r="P77" s="1" t="e">
        <f>Tabla32[[#This Row],[COLOR CARTA]]-#REF!</f>
        <v>#REF!</v>
      </c>
      <c r="Q77" s="1" t="e">
        <f>Tabla32[[#This Row],[COLOR OFICIO]]-#REF!</f>
        <v>#REF!</v>
      </c>
      <c r="R77" s="1" t="e">
        <f>Tabla32[[#This Row],[ENVIAR]]-#REF!</f>
        <v>#REF!</v>
      </c>
      <c r="S77" s="1" t="e">
        <f>Tabla32[[#This Row],[COPIAR]]-#REF!</f>
        <v>#REF!</v>
      </c>
    </row>
    <row r="78" spans="1:19" x14ac:dyDescent="0.25">
      <c r="A78" t="s">
        <v>101</v>
      </c>
      <c r="B78" t="s">
        <v>112</v>
      </c>
      <c r="C78">
        <v>1365</v>
      </c>
      <c r="D78">
        <v>0</v>
      </c>
      <c r="E78">
        <v>0</v>
      </c>
      <c r="F78">
        <v>0</v>
      </c>
      <c r="G78">
        <v>0</v>
      </c>
      <c r="H78">
        <v>38</v>
      </c>
      <c r="I78">
        <v>9</v>
      </c>
      <c r="K78" t="s">
        <v>101</v>
      </c>
      <c r="L78" t="s">
        <v>112</v>
      </c>
      <c r="M78" s="1" t="e">
        <f>Tabla32[[#This Row],[BN CARTA]]-#REF!</f>
        <v>#REF!</v>
      </c>
      <c r="N78" s="1" t="e">
        <f>Tabla32[[#This Row],[BN OFICIO]]-#REF!</f>
        <v>#REF!</v>
      </c>
      <c r="O78" s="1" t="e">
        <f>Tabla32[[#This Row],[BN DC]]-#REF!</f>
        <v>#REF!</v>
      </c>
      <c r="P78" s="1" t="e">
        <f>Tabla32[[#This Row],[COLOR CARTA]]-#REF!</f>
        <v>#REF!</v>
      </c>
      <c r="Q78" s="1" t="e">
        <f>Tabla32[[#This Row],[COLOR OFICIO]]-#REF!</f>
        <v>#REF!</v>
      </c>
      <c r="R78" s="1" t="e">
        <f>Tabla32[[#This Row],[ENVIAR]]-#REF!</f>
        <v>#REF!</v>
      </c>
      <c r="S78" s="1" t="e">
        <f>Tabla32[[#This Row],[COPIAR]]-#REF!</f>
        <v>#REF!</v>
      </c>
    </row>
    <row r="79" spans="1:19" x14ac:dyDescent="0.25">
      <c r="A79" t="s">
        <v>113</v>
      </c>
      <c r="B79" t="s">
        <v>114</v>
      </c>
      <c r="C79">
        <v>177</v>
      </c>
      <c r="D79">
        <v>4</v>
      </c>
      <c r="E79">
        <v>0</v>
      </c>
      <c r="F79">
        <v>0</v>
      </c>
      <c r="G79">
        <v>0</v>
      </c>
      <c r="H79">
        <v>311</v>
      </c>
      <c r="I79">
        <v>121</v>
      </c>
      <c r="K79" t="s">
        <v>113</v>
      </c>
      <c r="L79" t="s">
        <v>114</v>
      </c>
      <c r="M79" s="1" t="e">
        <f>Tabla32[[#This Row],[BN CARTA]]-#REF!</f>
        <v>#REF!</v>
      </c>
      <c r="N79" s="1" t="e">
        <f>Tabla32[[#This Row],[BN OFICIO]]-#REF!</f>
        <v>#REF!</v>
      </c>
      <c r="O79" s="1" t="e">
        <f>Tabla32[[#This Row],[BN DC]]-#REF!</f>
        <v>#REF!</v>
      </c>
      <c r="P79" s="1" t="e">
        <f>Tabla32[[#This Row],[COLOR CARTA]]-#REF!</f>
        <v>#REF!</v>
      </c>
      <c r="Q79" s="1" t="e">
        <f>Tabla32[[#This Row],[COLOR OFICIO]]-#REF!</f>
        <v>#REF!</v>
      </c>
      <c r="R79" s="1" t="e">
        <f>Tabla32[[#This Row],[ENVIAR]]-#REF!</f>
        <v>#REF!</v>
      </c>
      <c r="S79" s="1" t="e">
        <f>Tabla32[[#This Row],[COPIAR]]-#REF!</f>
        <v>#REF!</v>
      </c>
    </row>
    <row r="80" spans="1:19" x14ac:dyDescent="0.25">
      <c r="A80" t="s">
        <v>115</v>
      </c>
      <c r="B80" t="s">
        <v>116</v>
      </c>
      <c r="C80">
        <v>384</v>
      </c>
      <c r="D80">
        <v>13</v>
      </c>
      <c r="E80">
        <v>0</v>
      </c>
      <c r="F80">
        <v>0</v>
      </c>
      <c r="G80">
        <v>0</v>
      </c>
      <c r="H80">
        <v>182</v>
      </c>
      <c r="I80">
        <v>78</v>
      </c>
      <c r="K80" t="s">
        <v>115</v>
      </c>
      <c r="L80" t="s">
        <v>116</v>
      </c>
      <c r="M80" s="1" t="e">
        <f>Tabla32[[#This Row],[BN CARTA]]-#REF!</f>
        <v>#REF!</v>
      </c>
      <c r="N80" s="1" t="e">
        <f>Tabla32[[#This Row],[BN OFICIO]]-#REF!</f>
        <v>#REF!</v>
      </c>
      <c r="O80" s="1" t="e">
        <f>Tabla32[[#This Row],[BN DC]]-#REF!</f>
        <v>#REF!</v>
      </c>
      <c r="P80" s="1" t="e">
        <f>Tabla32[[#This Row],[COLOR CARTA]]-#REF!</f>
        <v>#REF!</v>
      </c>
      <c r="Q80" s="1" t="e">
        <f>Tabla32[[#This Row],[COLOR OFICIO]]-#REF!</f>
        <v>#REF!</v>
      </c>
      <c r="R80" s="1" t="e">
        <f>Tabla32[[#This Row],[ENVIAR]]-#REF!</f>
        <v>#REF!</v>
      </c>
      <c r="S80" s="1" t="e">
        <f>Tabla32[[#This Row],[COPIAR]]-#REF!</f>
        <v>#REF!</v>
      </c>
    </row>
    <row r="81" spans="1:19" x14ac:dyDescent="0.25">
      <c r="A81" t="s">
        <v>10</v>
      </c>
      <c r="B81" t="s">
        <v>117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K81" t="s">
        <v>10</v>
      </c>
      <c r="L81" t="s">
        <v>117</v>
      </c>
      <c r="M81" s="1" t="e">
        <f>Tabla32[[#This Row],[BN CARTA]]-#REF!</f>
        <v>#REF!</v>
      </c>
      <c r="N81" s="1" t="e">
        <f>Tabla32[[#This Row],[BN OFICIO]]-#REF!</f>
        <v>#REF!</v>
      </c>
      <c r="O81" s="1" t="e">
        <f>Tabla32[[#This Row],[BN DC]]-#REF!</f>
        <v>#REF!</v>
      </c>
      <c r="P81" s="1" t="e">
        <f>Tabla32[[#This Row],[COLOR CARTA]]-#REF!</f>
        <v>#REF!</v>
      </c>
      <c r="Q81" s="1" t="e">
        <f>Tabla32[[#This Row],[COLOR OFICIO]]-#REF!</f>
        <v>#REF!</v>
      </c>
      <c r="R81" s="1" t="e">
        <f>Tabla32[[#This Row],[ENVIAR]]-#REF!</f>
        <v>#REF!</v>
      </c>
      <c r="S81" s="1" t="e">
        <f>Tabla32[[#This Row],[COPIAR]]-#REF!</f>
        <v>#REF!</v>
      </c>
    </row>
    <row r="82" spans="1:19" x14ac:dyDescent="0.25">
      <c r="A82" t="s">
        <v>118</v>
      </c>
      <c r="B82" t="s">
        <v>119</v>
      </c>
      <c r="C82">
        <v>916</v>
      </c>
      <c r="D82">
        <v>0</v>
      </c>
      <c r="E82">
        <v>0</v>
      </c>
      <c r="F82">
        <v>0</v>
      </c>
      <c r="G82">
        <v>0</v>
      </c>
      <c r="H82">
        <v>306</v>
      </c>
      <c r="I82">
        <v>156</v>
      </c>
      <c r="K82" t="s">
        <v>118</v>
      </c>
      <c r="L82" t="s">
        <v>119</v>
      </c>
      <c r="M82" s="1" t="e">
        <f>Tabla32[[#This Row],[BN CARTA]]-#REF!</f>
        <v>#REF!</v>
      </c>
      <c r="N82" s="1" t="e">
        <f>Tabla32[[#This Row],[BN OFICIO]]-#REF!</f>
        <v>#REF!</v>
      </c>
      <c r="O82" s="1" t="e">
        <f>Tabla32[[#This Row],[BN DC]]-#REF!</f>
        <v>#REF!</v>
      </c>
      <c r="P82" s="1" t="e">
        <f>Tabla32[[#This Row],[COLOR CARTA]]-#REF!</f>
        <v>#REF!</v>
      </c>
      <c r="Q82" s="1" t="e">
        <f>Tabla32[[#This Row],[COLOR OFICIO]]-#REF!</f>
        <v>#REF!</v>
      </c>
      <c r="R82" s="1" t="e">
        <f>Tabla32[[#This Row],[ENVIAR]]-#REF!</f>
        <v>#REF!</v>
      </c>
      <c r="S82" s="1" t="e">
        <f>Tabla32[[#This Row],[COPIAR]]-#REF!</f>
        <v>#REF!</v>
      </c>
    </row>
    <row r="83" spans="1:19" x14ac:dyDescent="0.25">
      <c r="A83" t="s">
        <v>120</v>
      </c>
      <c r="B83" t="s">
        <v>121</v>
      </c>
      <c r="C83">
        <v>25</v>
      </c>
      <c r="D83">
        <v>0</v>
      </c>
      <c r="E83">
        <v>0</v>
      </c>
      <c r="F83">
        <v>0</v>
      </c>
      <c r="G83">
        <v>0</v>
      </c>
      <c r="H83">
        <v>2</v>
      </c>
      <c r="I83">
        <v>6</v>
      </c>
      <c r="K83" t="s">
        <v>120</v>
      </c>
      <c r="L83" t="s">
        <v>121</v>
      </c>
      <c r="M83" s="1" t="e">
        <f>Tabla32[[#This Row],[BN CARTA]]-#REF!</f>
        <v>#REF!</v>
      </c>
      <c r="N83" s="1" t="e">
        <f>Tabla32[[#This Row],[BN OFICIO]]-#REF!</f>
        <v>#REF!</v>
      </c>
      <c r="O83" s="1" t="e">
        <f>Tabla32[[#This Row],[BN DC]]-#REF!</f>
        <v>#REF!</v>
      </c>
      <c r="P83" s="1" t="e">
        <f>Tabla32[[#This Row],[COLOR CARTA]]-#REF!</f>
        <v>#REF!</v>
      </c>
      <c r="Q83" s="1" t="e">
        <f>Tabla32[[#This Row],[COLOR OFICIO]]-#REF!</f>
        <v>#REF!</v>
      </c>
      <c r="R83" s="1" t="e">
        <f>Tabla32[[#This Row],[ENVIAR]]-#REF!</f>
        <v>#REF!</v>
      </c>
      <c r="S83" s="1" t="e">
        <f>Tabla32[[#This Row],[COPIAR]]-#REF!</f>
        <v>#REF!</v>
      </c>
    </row>
    <row r="84" spans="1:19" x14ac:dyDescent="0.25">
      <c r="A84" t="s">
        <v>10</v>
      </c>
      <c r="B84" t="s">
        <v>122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K84" t="s">
        <v>10</v>
      </c>
      <c r="L84" t="s">
        <v>122</v>
      </c>
      <c r="M84" s="1" t="e">
        <f>Tabla32[[#This Row],[BN CARTA]]-#REF!</f>
        <v>#REF!</v>
      </c>
      <c r="N84" s="1" t="e">
        <f>Tabla32[[#This Row],[BN OFICIO]]-#REF!</f>
        <v>#REF!</v>
      </c>
      <c r="O84" s="1" t="e">
        <f>Tabla32[[#This Row],[BN DC]]-#REF!</f>
        <v>#REF!</v>
      </c>
      <c r="P84" s="1" t="e">
        <f>Tabla32[[#This Row],[COLOR CARTA]]-#REF!</f>
        <v>#REF!</v>
      </c>
      <c r="Q84" s="1" t="e">
        <f>Tabla32[[#This Row],[COLOR OFICIO]]-#REF!</f>
        <v>#REF!</v>
      </c>
      <c r="R84" s="1" t="e">
        <f>Tabla32[[#This Row],[ENVIAR]]-#REF!</f>
        <v>#REF!</v>
      </c>
      <c r="S84" s="1" t="e">
        <f>Tabla32[[#This Row],[COPIAR]]-#REF!</f>
        <v>#REF!</v>
      </c>
    </row>
    <row r="85" spans="1:19" x14ac:dyDescent="0.25">
      <c r="A85" t="s">
        <v>123</v>
      </c>
      <c r="B85" t="s">
        <v>124</v>
      </c>
      <c r="C85">
        <v>509</v>
      </c>
      <c r="D85">
        <v>0</v>
      </c>
      <c r="E85">
        <v>0</v>
      </c>
      <c r="F85">
        <v>0</v>
      </c>
      <c r="G85">
        <v>0</v>
      </c>
      <c r="H85">
        <v>194</v>
      </c>
      <c r="I85">
        <v>108</v>
      </c>
      <c r="K85" t="s">
        <v>123</v>
      </c>
      <c r="L85" t="s">
        <v>124</v>
      </c>
      <c r="M85" s="1" t="e">
        <f>Tabla32[[#This Row],[BN CARTA]]-#REF!</f>
        <v>#REF!</v>
      </c>
      <c r="N85" s="1" t="e">
        <f>Tabla32[[#This Row],[BN OFICIO]]-#REF!</f>
        <v>#REF!</v>
      </c>
      <c r="O85" s="1" t="e">
        <f>Tabla32[[#This Row],[BN DC]]-#REF!</f>
        <v>#REF!</v>
      </c>
      <c r="P85" s="1" t="e">
        <f>Tabla32[[#This Row],[COLOR CARTA]]-#REF!</f>
        <v>#REF!</v>
      </c>
      <c r="Q85" s="1" t="e">
        <f>Tabla32[[#This Row],[COLOR OFICIO]]-#REF!</f>
        <v>#REF!</v>
      </c>
      <c r="R85" s="1" t="e">
        <f>Tabla32[[#This Row],[ENVIAR]]-#REF!</f>
        <v>#REF!</v>
      </c>
      <c r="S85" s="1" t="e">
        <f>Tabla32[[#This Row],[COPIAR]]-#REF!</f>
        <v>#REF!</v>
      </c>
    </row>
    <row r="86" spans="1:19" x14ac:dyDescent="0.25">
      <c r="A86" t="s">
        <v>10</v>
      </c>
      <c r="B86" t="s">
        <v>125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K86" t="s">
        <v>10</v>
      </c>
      <c r="L86" t="s">
        <v>125</v>
      </c>
      <c r="M86" s="1" t="e">
        <f>Tabla32[[#This Row],[BN CARTA]]-#REF!</f>
        <v>#REF!</v>
      </c>
      <c r="N86" s="1" t="e">
        <f>Tabla32[[#This Row],[BN OFICIO]]-#REF!</f>
        <v>#REF!</v>
      </c>
      <c r="O86" s="1" t="e">
        <f>Tabla32[[#This Row],[BN DC]]-#REF!</f>
        <v>#REF!</v>
      </c>
      <c r="P86" s="1" t="e">
        <f>Tabla32[[#This Row],[COLOR CARTA]]-#REF!</f>
        <v>#REF!</v>
      </c>
      <c r="Q86" s="1" t="e">
        <f>Tabla32[[#This Row],[COLOR OFICIO]]-#REF!</f>
        <v>#REF!</v>
      </c>
      <c r="R86" s="1" t="e">
        <f>Tabla32[[#This Row],[ENVIAR]]-#REF!</f>
        <v>#REF!</v>
      </c>
      <c r="S86" s="1" t="e">
        <f>Tabla32[[#This Row],[COPIAR]]-#REF!</f>
        <v>#REF!</v>
      </c>
    </row>
    <row r="87" spans="1:19" x14ac:dyDescent="0.25">
      <c r="A87" t="s">
        <v>10</v>
      </c>
      <c r="B87" t="s">
        <v>126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K87" t="s">
        <v>10</v>
      </c>
      <c r="L87" t="s">
        <v>126</v>
      </c>
      <c r="M87" s="1" t="e">
        <f>Tabla32[[#This Row],[BN CARTA]]-#REF!</f>
        <v>#REF!</v>
      </c>
      <c r="N87" s="1" t="e">
        <f>Tabla32[[#This Row],[BN OFICIO]]-#REF!</f>
        <v>#REF!</v>
      </c>
      <c r="O87" s="1" t="e">
        <f>Tabla32[[#This Row],[BN DC]]-#REF!</f>
        <v>#REF!</v>
      </c>
      <c r="P87" s="1" t="e">
        <f>Tabla32[[#This Row],[COLOR CARTA]]-#REF!</f>
        <v>#REF!</v>
      </c>
      <c r="Q87" s="1" t="e">
        <f>Tabla32[[#This Row],[COLOR OFICIO]]-#REF!</f>
        <v>#REF!</v>
      </c>
      <c r="R87" s="1" t="e">
        <f>Tabla32[[#This Row],[ENVIAR]]-#REF!</f>
        <v>#REF!</v>
      </c>
      <c r="S87" s="1" t="e">
        <f>Tabla32[[#This Row],[COPIAR]]-#REF!</f>
        <v>#REF!</v>
      </c>
    </row>
    <row r="88" spans="1:19" x14ac:dyDescent="0.25">
      <c r="A88" t="s">
        <v>10</v>
      </c>
      <c r="B88" t="s">
        <v>127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K88" t="s">
        <v>10</v>
      </c>
      <c r="L88" t="s">
        <v>127</v>
      </c>
      <c r="M88" s="1" t="e">
        <f>Tabla32[[#This Row],[BN CARTA]]-#REF!</f>
        <v>#REF!</v>
      </c>
      <c r="N88" s="1" t="e">
        <f>Tabla32[[#This Row],[BN OFICIO]]-#REF!</f>
        <v>#REF!</v>
      </c>
      <c r="O88" s="1" t="e">
        <f>Tabla32[[#This Row],[BN DC]]-#REF!</f>
        <v>#REF!</v>
      </c>
      <c r="P88" s="1" t="e">
        <f>Tabla32[[#This Row],[COLOR CARTA]]-#REF!</f>
        <v>#REF!</v>
      </c>
      <c r="Q88" s="1" t="e">
        <f>Tabla32[[#This Row],[COLOR OFICIO]]-#REF!</f>
        <v>#REF!</v>
      </c>
      <c r="R88" s="1" t="e">
        <f>Tabla32[[#This Row],[ENVIAR]]-#REF!</f>
        <v>#REF!</v>
      </c>
      <c r="S88" s="1" t="e">
        <f>Tabla32[[#This Row],[COPIAR]]-#REF!</f>
        <v>#REF!</v>
      </c>
    </row>
    <row r="89" spans="1:19" x14ac:dyDescent="0.25">
      <c r="A89" t="s">
        <v>128</v>
      </c>
      <c r="B89" t="s">
        <v>129</v>
      </c>
      <c r="C89">
        <v>1161</v>
      </c>
      <c r="D89">
        <v>0</v>
      </c>
      <c r="E89">
        <v>0</v>
      </c>
      <c r="F89">
        <v>0</v>
      </c>
      <c r="G89">
        <v>0</v>
      </c>
      <c r="H89">
        <v>602</v>
      </c>
      <c r="I89">
        <v>259</v>
      </c>
      <c r="K89" t="s">
        <v>128</v>
      </c>
      <c r="L89" t="s">
        <v>129</v>
      </c>
      <c r="M89" s="1" t="e">
        <f>Tabla32[[#This Row],[BN CARTA]]-#REF!</f>
        <v>#REF!</v>
      </c>
      <c r="N89" s="1" t="e">
        <f>Tabla32[[#This Row],[BN OFICIO]]-#REF!</f>
        <v>#REF!</v>
      </c>
      <c r="O89" s="1" t="e">
        <f>Tabla32[[#This Row],[BN DC]]-#REF!</f>
        <v>#REF!</v>
      </c>
      <c r="P89" s="1" t="e">
        <f>Tabla32[[#This Row],[COLOR CARTA]]-#REF!</f>
        <v>#REF!</v>
      </c>
      <c r="Q89" s="1" t="e">
        <f>Tabla32[[#This Row],[COLOR OFICIO]]-#REF!</f>
        <v>#REF!</v>
      </c>
      <c r="R89" s="1" t="e">
        <f>Tabla32[[#This Row],[ENVIAR]]-#REF!</f>
        <v>#REF!</v>
      </c>
      <c r="S89" s="1" t="e">
        <f>Tabla32[[#This Row],[COPIAR]]-#REF!</f>
        <v>#REF!</v>
      </c>
    </row>
    <row r="90" spans="1:19" x14ac:dyDescent="0.25">
      <c r="A90" t="s">
        <v>10</v>
      </c>
      <c r="B90" t="s">
        <v>130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K90" t="s">
        <v>10</v>
      </c>
      <c r="L90" t="s">
        <v>130</v>
      </c>
      <c r="M90" s="1" t="e">
        <f>Tabla32[[#This Row],[BN CARTA]]-#REF!</f>
        <v>#REF!</v>
      </c>
      <c r="N90" s="1" t="e">
        <f>Tabla32[[#This Row],[BN OFICIO]]-#REF!</f>
        <v>#REF!</v>
      </c>
      <c r="O90" s="1" t="e">
        <f>Tabla32[[#This Row],[BN DC]]-#REF!</f>
        <v>#REF!</v>
      </c>
      <c r="P90" s="1" t="e">
        <f>Tabla32[[#This Row],[COLOR CARTA]]-#REF!</f>
        <v>#REF!</v>
      </c>
      <c r="Q90" s="1" t="e">
        <f>Tabla32[[#This Row],[COLOR OFICIO]]-#REF!</f>
        <v>#REF!</v>
      </c>
      <c r="R90" s="1" t="e">
        <f>Tabla32[[#This Row],[ENVIAR]]-#REF!</f>
        <v>#REF!</v>
      </c>
      <c r="S90" s="1" t="e">
        <f>Tabla32[[#This Row],[COPIAR]]-#REF!</f>
        <v>#REF!</v>
      </c>
    </row>
    <row r="91" spans="1:19" x14ac:dyDescent="0.25">
      <c r="A91" t="s">
        <v>131</v>
      </c>
      <c r="B91" t="s">
        <v>132</v>
      </c>
      <c r="C91">
        <v>125</v>
      </c>
      <c r="D91">
        <v>0</v>
      </c>
      <c r="E91">
        <v>0</v>
      </c>
      <c r="F91">
        <v>0</v>
      </c>
      <c r="G91">
        <v>0</v>
      </c>
      <c r="H91">
        <v>108</v>
      </c>
      <c r="I91">
        <v>30</v>
      </c>
      <c r="K91" t="s">
        <v>131</v>
      </c>
      <c r="L91" t="s">
        <v>132</v>
      </c>
      <c r="M91" s="1" t="e">
        <f>Tabla32[[#This Row],[BN CARTA]]-#REF!</f>
        <v>#REF!</v>
      </c>
      <c r="N91" s="1" t="e">
        <f>Tabla32[[#This Row],[BN OFICIO]]-#REF!</f>
        <v>#REF!</v>
      </c>
      <c r="O91" s="1" t="e">
        <f>Tabla32[[#This Row],[BN DC]]-#REF!</f>
        <v>#REF!</v>
      </c>
      <c r="P91" s="1" t="e">
        <f>Tabla32[[#This Row],[COLOR CARTA]]-#REF!</f>
        <v>#REF!</v>
      </c>
      <c r="Q91" s="1" t="e">
        <f>Tabla32[[#This Row],[COLOR OFICIO]]-#REF!</f>
        <v>#REF!</v>
      </c>
      <c r="R91" s="1" t="e">
        <f>Tabla32[[#This Row],[ENVIAR]]-#REF!</f>
        <v>#REF!</v>
      </c>
      <c r="S91" s="1" t="e">
        <f>Tabla32[[#This Row],[COPIAR]]-#REF!</f>
        <v>#REF!</v>
      </c>
    </row>
    <row r="92" spans="1:19" x14ac:dyDescent="0.25">
      <c r="A92" t="s">
        <v>10</v>
      </c>
      <c r="B92" t="s">
        <v>133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K92" t="s">
        <v>10</v>
      </c>
      <c r="L92" t="s">
        <v>133</v>
      </c>
      <c r="M92" s="1" t="e">
        <f>Tabla32[[#This Row],[BN CARTA]]-#REF!</f>
        <v>#REF!</v>
      </c>
      <c r="N92" s="1" t="e">
        <f>Tabla32[[#This Row],[BN OFICIO]]-#REF!</f>
        <v>#REF!</v>
      </c>
      <c r="O92" s="1" t="e">
        <f>Tabla32[[#This Row],[BN DC]]-#REF!</f>
        <v>#REF!</v>
      </c>
      <c r="P92" s="1" t="e">
        <f>Tabla32[[#This Row],[COLOR CARTA]]-#REF!</f>
        <v>#REF!</v>
      </c>
      <c r="Q92" s="1" t="e">
        <f>Tabla32[[#This Row],[COLOR OFICIO]]-#REF!</f>
        <v>#REF!</v>
      </c>
      <c r="R92" s="1" t="e">
        <f>Tabla32[[#This Row],[ENVIAR]]-#REF!</f>
        <v>#REF!</v>
      </c>
      <c r="S92" s="1" t="e">
        <f>Tabla32[[#This Row],[COPIAR]]-#REF!</f>
        <v>#REF!</v>
      </c>
    </row>
    <row r="93" spans="1:19" x14ac:dyDescent="0.25">
      <c r="A93" t="s">
        <v>134</v>
      </c>
      <c r="B93" t="s">
        <v>135</v>
      </c>
      <c r="C93">
        <v>609</v>
      </c>
      <c r="D93">
        <v>0</v>
      </c>
      <c r="E93">
        <v>0</v>
      </c>
      <c r="F93">
        <v>0</v>
      </c>
      <c r="G93">
        <v>0</v>
      </c>
      <c r="H93">
        <v>741</v>
      </c>
      <c r="I93">
        <v>240</v>
      </c>
      <c r="K93" t="s">
        <v>134</v>
      </c>
      <c r="L93" t="s">
        <v>135</v>
      </c>
      <c r="M93" s="1" t="e">
        <f>Tabla32[[#This Row],[BN CARTA]]-#REF!</f>
        <v>#REF!</v>
      </c>
      <c r="N93" s="1" t="e">
        <f>Tabla32[[#This Row],[BN OFICIO]]-#REF!</f>
        <v>#REF!</v>
      </c>
      <c r="O93" s="1" t="e">
        <f>Tabla32[[#This Row],[BN DC]]-#REF!</f>
        <v>#REF!</v>
      </c>
      <c r="P93" s="1" t="e">
        <f>Tabla32[[#This Row],[COLOR CARTA]]-#REF!</f>
        <v>#REF!</v>
      </c>
      <c r="Q93" s="1" t="e">
        <f>Tabla32[[#This Row],[COLOR OFICIO]]-#REF!</f>
        <v>#REF!</v>
      </c>
      <c r="R93" s="1" t="e">
        <f>Tabla32[[#This Row],[ENVIAR]]-#REF!</f>
        <v>#REF!</v>
      </c>
      <c r="S93" s="1" t="e">
        <f>Tabla32[[#This Row],[COPIAR]]-#REF!</f>
        <v>#REF!</v>
      </c>
    </row>
    <row r="94" spans="1:19" x14ac:dyDescent="0.25">
      <c r="A94" t="s">
        <v>10</v>
      </c>
      <c r="B94" t="s">
        <v>136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K94" t="s">
        <v>10</v>
      </c>
      <c r="L94" t="s">
        <v>136</v>
      </c>
      <c r="M94" s="1" t="e">
        <f>Tabla32[[#This Row],[BN CARTA]]-#REF!</f>
        <v>#REF!</v>
      </c>
      <c r="N94" s="1" t="e">
        <f>Tabla32[[#This Row],[BN OFICIO]]-#REF!</f>
        <v>#REF!</v>
      </c>
      <c r="O94" s="1" t="e">
        <f>Tabla32[[#This Row],[BN DC]]-#REF!</f>
        <v>#REF!</v>
      </c>
      <c r="P94" s="1" t="e">
        <f>Tabla32[[#This Row],[COLOR CARTA]]-#REF!</f>
        <v>#REF!</v>
      </c>
      <c r="Q94" s="1" t="e">
        <f>Tabla32[[#This Row],[COLOR OFICIO]]-#REF!</f>
        <v>#REF!</v>
      </c>
      <c r="R94" s="1" t="e">
        <f>Tabla32[[#This Row],[ENVIAR]]-#REF!</f>
        <v>#REF!</v>
      </c>
      <c r="S94" s="1" t="e">
        <f>Tabla32[[#This Row],[COPIAR]]-#REF!</f>
        <v>#REF!</v>
      </c>
    </row>
    <row r="95" spans="1:19" x14ac:dyDescent="0.25">
      <c r="A95" t="s">
        <v>120</v>
      </c>
      <c r="B95" t="s">
        <v>137</v>
      </c>
      <c r="C95">
        <v>36</v>
      </c>
      <c r="D95">
        <v>0</v>
      </c>
      <c r="E95">
        <v>0</v>
      </c>
      <c r="F95">
        <v>0</v>
      </c>
      <c r="G95">
        <v>0</v>
      </c>
      <c r="H95">
        <v>1</v>
      </c>
      <c r="I95">
        <v>9</v>
      </c>
      <c r="K95" t="s">
        <v>120</v>
      </c>
      <c r="L95" t="s">
        <v>137</v>
      </c>
      <c r="M95" s="1" t="e">
        <f>Tabla32[[#This Row],[BN CARTA]]-#REF!</f>
        <v>#REF!</v>
      </c>
      <c r="N95" s="1" t="e">
        <f>Tabla32[[#This Row],[BN OFICIO]]-#REF!</f>
        <v>#REF!</v>
      </c>
      <c r="O95" s="1" t="e">
        <f>Tabla32[[#This Row],[BN DC]]-#REF!</f>
        <v>#REF!</v>
      </c>
      <c r="P95" s="1" t="e">
        <f>Tabla32[[#This Row],[COLOR CARTA]]-#REF!</f>
        <v>#REF!</v>
      </c>
      <c r="Q95" s="1" t="e">
        <f>Tabla32[[#This Row],[COLOR OFICIO]]-#REF!</f>
        <v>#REF!</v>
      </c>
      <c r="R95" s="1" t="e">
        <f>Tabla32[[#This Row],[ENVIAR]]-#REF!</f>
        <v>#REF!</v>
      </c>
      <c r="S95" s="1" t="e">
        <f>Tabla32[[#This Row],[COPIAR]]-#REF!</f>
        <v>#REF!</v>
      </c>
    </row>
    <row r="96" spans="1:19" x14ac:dyDescent="0.25">
      <c r="A96" t="s">
        <v>138</v>
      </c>
      <c r="B96" t="s">
        <v>139</v>
      </c>
      <c r="C96">
        <v>558</v>
      </c>
      <c r="D96">
        <v>0</v>
      </c>
      <c r="E96">
        <v>0</v>
      </c>
      <c r="F96">
        <v>0</v>
      </c>
      <c r="G96">
        <v>0</v>
      </c>
      <c r="H96">
        <v>358</v>
      </c>
      <c r="I96">
        <v>26</v>
      </c>
      <c r="K96" t="s">
        <v>138</v>
      </c>
      <c r="L96" t="s">
        <v>139</v>
      </c>
      <c r="M96" s="1" t="e">
        <f>Tabla32[[#This Row],[BN CARTA]]-#REF!</f>
        <v>#REF!</v>
      </c>
      <c r="N96" s="1" t="e">
        <f>Tabla32[[#This Row],[BN OFICIO]]-#REF!</f>
        <v>#REF!</v>
      </c>
      <c r="O96" s="1" t="e">
        <f>Tabla32[[#This Row],[BN DC]]-#REF!</f>
        <v>#REF!</v>
      </c>
      <c r="P96" s="1" t="e">
        <f>Tabla32[[#This Row],[COLOR CARTA]]-#REF!</f>
        <v>#REF!</v>
      </c>
      <c r="Q96" s="1" t="e">
        <f>Tabla32[[#This Row],[COLOR OFICIO]]-#REF!</f>
        <v>#REF!</v>
      </c>
      <c r="R96" s="1" t="e">
        <f>Tabla32[[#This Row],[ENVIAR]]-#REF!</f>
        <v>#REF!</v>
      </c>
      <c r="S96" s="1" t="e">
        <f>Tabla32[[#This Row],[COPIAR]]-#REF!</f>
        <v>#REF!</v>
      </c>
    </row>
    <row r="97" spans="1:19" x14ac:dyDescent="0.25">
      <c r="A97" t="s">
        <v>140</v>
      </c>
      <c r="B97" t="s">
        <v>141</v>
      </c>
      <c r="C97">
        <v>30</v>
      </c>
      <c r="D97">
        <v>0</v>
      </c>
      <c r="E97">
        <v>0</v>
      </c>
      <c r="F97">
        <v>0</v>
      </c>
      <c r="G97">
        <v>0</v>
      </c>
      <c r="H97">
        <v>17</v>
      </c>
      <c r="I97">
        <v>3</v>
      </c>
      <c r="K97" t="s">
        <v>140</v>
      </c>
      <c r="L97" t="s">
        <v>141</v>
      </c>
      <c r="M97" s="1" t="e">
        <f>Tabla32[[#This Row],[BN CARTA]]-#REF!</f>
        <v>#REF!</v>
      </c>
      <c r="N97" s="1" t="e">
        <f>Tabla32[[#This Row],[BN OFICIO]]-#REF!</f>
        <v>#REF!</v>
      </c>
      <c r="O97" s="1" t="e">
        <f>Tabla32[[#This Row],[BN DC]]-#REF!</f>
        <v>#REF!</v>
      </c>
      <c r="P97" s="1" t="e">
        <f>Tabla32[[#This Row],[COLOR CARTA]]-#REF!</f>
        <v>#REF!</v>
      </c>
      <c r="Q97" s="1" t="e">
        <f>Tabla32[[#This Row],[COLOR OFICIO]]-#REF!</f>
        <v>#REF!</v>
      </c>
      <c r="R97" s="1" t="e">
        <f>Tabla32[[#This Row],[ENVIAR]]-#REF!</f>
        <v>#REF!</v>
      </c>
      <c r="S97" s="1" t="e">
        <f>Tabla32[[#This Row],[COPIAR]]-#REF!</f>
        <v>#REF!</v>
      </c>
    </row>
    <row r="98" spans="1:19" x14ac:dyDescent="0.25">
      <c r="A98" t="s">
        <v>67</v>
      </c>
      <c r="B98" t="s">
        <v>142</v>
      </c>
      <c r="C98">
        <v>262</v>
      </c>
      <c r="D98">
        <v>0</v>
      </c>
      <c r="E98">
        <v>0</v>
      </c>
      <c r="F98">
        <v>0</v>
      </c>
      <c r="G98">
        <v>0</v>
      </c>
      <c r="H98">
        <v>0</v>
      </c>
      <c r="I98">
        <v>55</v>
      </c>
      <c r="K98" t="s">
        <v>67</v>
      </c>
      <c r="L98" t="s">
        <v>142</v>
      </c>
      <c r="M98" s="1" t="e">
        <f>Tabla32[[#This Row],[BN CARTA]]-#REF!</f>
        <v>#REF!</v>
      </c>
      <c r="N98" s="1" t="e">
        <f>Tabla32[[#This Row],[BN OFICIO]]-#REF!</f>
        <v>#REF!</v>
      </c>
      <c r="O98" s="1" t="e">
        <f>Tabla32[[#This Row],[BN DC]]-#REF!</f>
        <v>#REF!</v>
      </c>
      <c r="P98" s="1" t="e">
        <f>Tabla32[[#This Row],[COLOR CARTA]]-#REF!</f>
        <v>#REF!</v>
      </c>
      <c r="Q98" s="1" t="e">
        <f>Tabla32[[#This Row],[COLOR OFICIO]]-#REF!</f>
        <v>#REF!</v>
      </c>
      <c r="R98" s="1" t="e">
        <f>Tabla32[[#This Row],[ENVIAR]]-#REF!</f>
        <v>#REF!</v>
      </c>
      <c r="S98" s="1" t="e">
        <f>Tabla32[[#This Row],[COPIAR]]-#REF!</f>
        <v>#REF!</v>
      </c>
    </row>
    <row r="99" spans="1:19" x14ac:dyDescent="0.25">
      <c r="A99" t="s">
        <v>10</v>
      </c>
      <c r="B99" t="s">
        <v>143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K99" t="s">
        <v>10</v>
      </c>
      <c r="L99" t="s">
        <v>143</v>
      </c>
      <c r="M99" s="1" t="e">
        <f>Tabla32[[#This Row],[BN CARTA]]-#REF!</f>
        <v>#REF!</v>
      </c>
      <c r="N99" s="1" t="e">
        <f>Tabla32[[#This Row],[BN OFICIO]]-#REF!</f>
        <v>#REF!</v>
      </c>
      <c r="O99" s="1" t="e">
        <f>Tabla32[[#This Row],[BN DC]]-#REF!</f>
        <v>#REF!</v>
      </c>
      <c r="P99" s="1" t="e">
        <f>Tabla32[[#This Row],[COLOR CARTA]]-#REF!</f>
        <v>#REF!</v>
      </c>
      <c r="Q99" s="1" t="e">
        <f>Tabla32[[#This Row],[COLOR OFICIO]]-#REF!</f>
        <v>#REF!</v>
      </c>
      <c r="R99" s="1" t="e">
        <f>Tabla32[[#This Row],[ENVIAR]]-#REF!</f>
        <v>#REF!</v>
      </c>
      <c r="S99" s="1" t="e">
        <f>Tabla32[[#This Row],[COPIAR]]-#REF!</f>
        <v>#REF!</v>
      </c>
    </row>
    <row r="100" spans="1:19" x14ac:dyDescent="0.25">
      <c r="A100" t="s">
        <v>10</v>
      </c>
      <c r="B100" t="s">
        <v>144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K100" t="s">
        <v>10</v>
      </c>
      <c r="L100" t="s">
        <v>144</v>
      </c>
      <c r="M100" s="1" t="e">
        <f>Tabla32[[#This Row],[BN CARTA]]-#REF!</f>
        <v>#REF!</v>
      </c>
      <c r="N100" s="1" t="e">
        <f>Tabla32[[#This Row],[BN OFICIO]]-#REF!</f>
        <v>#REF!</v>
      </c>
      <c r="O100" s="1" t="e">
        <f>Tabla32[[#This Row],[BN DC]]-#REF!</f>
        <v>#REF!</v>
      </c>
      <c r="P100" s="1" t="e">
        <f>Tabla32[[#This Row],[COLOR CARTA]]-#REF!</f>
        <v>#REF!</v>
      </c>
      <c r="Q100" s="1" t="e">
        <f>Tabla32[[#This Row],[COLOR OFICIO]]-#REF!</f>
        <v>#REF!</v>
      </c>
      <c r="R100" s="1" t="e">
        <f>Tabla32[[#This Row],[ENVIAR]]-#REF!</f>
        <v>#REF!</v>
      </c>
      <c r="S100" s="1" t="e">
        <f>Tabla32[[#This Row],[COPIAR]]-#REF!</f>
        <v>#REF!</v>
      </c>
    </row>
    <row r="101" spans="1:19" x14ac:dyDescent="0.25">
      <c r="A101" t="s">
        <v>10</v>
      </c>
      <c r="B101" t="s">
        <v>145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K101" t="s">
        <v>10</v>
      </c>
      <c r="L101" t="s">
        <v>145</v>
      </c>
      <c r="M101" s="1" t="e">
        <f>Tabla32[[#This Row],[BN CARTA]]-#REF!</f>
        <v>#REF!</v>
      </c>
      <c r="N101" s="1" t="e">
        <f>Tabla32[[#This Row],[BN OFICIO]]-#REF!</f>
        <v>#REF!</v>
      </c>
      <c r="O101" s="1" t="e">
        <f>Tabla32[[#This Row],[BN DC]]-#REF!</f>
        <v>#REF!</v>
      </c>
      <c r="P101" s="1" t="e">
        <f>Tabla32[[#This Row],[COLOR CARTA]]-#REF!</f>
        <v>#REF!</v>
      </c>
      <c r="Q101" s="1" t="e">
        <f>Tabla32[[#This Row],[COLOR OFICIO]]-#REF!</f>
        <v>#REF!</v>
      </c>
      <c r="R101" s="1" t="e">
        <f>Tabla32[[#This Row],[ENVIAR]]-#REF!</f>
        <v>#REF!</v>
      </c>
      <c r="S101" s="1" t="e">
        <f>Tabla32[[#This Row],[COPIAR]]-#REF!</f>
        <v>#REF!</v>
      </c>
    </row>
    <row r="102" spans="1:19" x14ac:dyDescent="0.25">
      <c r="A102" t="s">
        <v>146</v>
      </c>
      <c r="B102" t="s">
        <v>147</v>
      </c>
      <c r="C102">
        <v>1300</v>
      </c>
      <c r="D102">
        <v>0</v>
      </c>
      <c r="E102">
        <v>0</v>
      </c>
      <c r="F102">
        <v>0</v>
      </c>
      <c r="G102">
        <v>0</v>
      </c>
      <c r="H102">
        <v>437</v>
      </c>
      <c r="I102">
        <v>734</v>
      </c>
      <c r="K102" t="s">
        <v>146</v>
      </c>
      <c r="L102" t="s">
        <v>147</v>
      </c>
      <c r="M102" s="1" t="e">
        <f>Tabla32[[#This Row],[BN CARTA]]-#REF!</f>
        <v>#REF!</v>
      </c>
      <c r="N102" s="1" t="e">
        <f>Tabla32[[#This Row],[BN OFICIO]]-#REF!</f>
        <v>#REF!</v>
      </c>
      <c r="O102" s="1" t="e">
        <f>Tabla32[[#This Row],[BN DC]]-#REF!</f>
        <v>#REF!</v>
      </c>
      <c r="P102" s="1" t="e">
        <f>Tabla32[[#This Row],[COLOR CARTA]]-#REF!</f>
        <v>#REF!</v>
      </c>
      <c r="Q102" s="1" t="e">
        <f>Tabla32[[#This Row],[COLOR OFICIO]]-#REF!</f>
        <v>#REF!</v>
      </c>
      <c r="R102" s="1" t="e">
        <f>Tabla32[[#This Row],[ENVIAR]]-#REF!</f>
        <v>#REF!</v>
      </c>
      <c r="S102" s="1" t="e">
        <f>Tabla32[[#This Row],[COPIAR]]-#REF!</f>
        <v>#REF!</v>
      </c>
    </row>
    <row r="103" spans="1:19" x14ac:dyDescent="0.25">
      <c r="A103" t="s">
        <v>69</v>
      </c>
      <c r="B103" t="s">
        <v>148</v>
      </c>
      <c r="C103">
        <v>4328</v>
      </c>
      <c r="D103">
        <v>0</v>
      </c>
      <c r="E103">
        <v>0</v>
      </c>
      <c r="F103">
        <v>0</v>
      </c>
      <c r="G103">
        <v>0</v>
      </c>
      <c r="H103">
        <v>7248</v>
      </c>
      <c r="I103">
        <v>762</v>
      </c>
      <c r="K103" t="s">
        <v>69</v>
      </c>
      <c r="L103" t="s">
        <v>148</v>
      </c>
      <c r="M103" s="1" t="e">
        <f>Tabla32[[#This Row],[BN CARTA]]-#REF!</f>
        <v>#REF!</v>
      </c>
      <c r="N103" s="1" t="e">
        <f>Tabla32[[#This Row],[BN OFICIO]]-#REF!</f>
        <v>#REF!</v>
      </c>
      <c r="O103" s="1" t="e">
        <f>Tabla32[[#This Row],[BN DC]]-#REF!</f>
        <v>#REF!</v>
      </c>
      <c r="P103" s="1" t="e">
        <f>Tabla32[[#This Row],[COLOR CARTA]]-#REF!</f>
        <v>#REF!</v>
      </c>
      <c r="Q103" s="1" t="e">
        <f>Tabla32[[#This Row],[COLOR OFICIO]]-#REF!</f>
        <v>#REF!</v>
      </c>
      <c r="R103" s="1" t="e">
        <f>Tabla32[[#This Row],[ENVIAR]]-#REF!</f>
        <v>#REF!</v>
      </c>
      <c r="S103" s="1" t="e">
        <f>Tabla32[[#This Row],[COPIAR]]-#REF!</f>
        <v>#REF!</v>
      </c>
    </row>
    <row r="104" spans="1:19" x14ac:dyDescent="0.25">
      <c r="A104" t="s">
        <v>10</v>
      </c>
      <c r="B104" t="s">
        <v>149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K104" t="s">
        <v>10</v>
      </c>
      <c r="L104" t="s">
        <v>149</v>
      </c>
      <c r="M104" s="1" t="e">
        <f>Tabla32[[#This Row],[BN CARTA]]-#REF!</f>
        <v>#REF!</v>
      </c>
      <c r="N104" s="1" t="e">
        <f>Tabla32[[#This Row],[BN OFICIO]]-#REF!</f>
        <v>#REF!</v>
      </c>
      <c r="O104" s="1" t="e">
        <f>Tabla32[[#This Row],[BN DC]]-#REF!</f>
        <v>#REF!</v>
      </c>
      <c r="P104" s="1" t="e">
        <f>Tabla32[[#This Row],[COLOR CARTA]]-#REF!</f>
        <v>#REF!</v>
      </c>
      <c r="Q104" s="1" t="e">
        <f>Tabla32[[#This Row],[COLOR OFICIO]]-#REF!</f>
        <v>#REF!</v>
      </c>
      <c r="R104" s="1" t="e">
        <f>Tabla32[[#This Row],[ENVIAR]]-#REF!</f>
        <v>#REF!</v>
      </c>
      <c r="S104" s="1" t="e">
        <f>Tabla32[[#This Row],[COPIAR]]-#REF!</f>
        <v>#REF!</v>
      </c>
    </row>
    <row r="105" spans="1:19" x14ac:dyDescent="0.25">
      <c r="A105" t="s">
        <v>150</v>
      </c>
      <c r="B105" t="s">
        <v>151</v>
      </c>
      <c r="C105">
        <v>15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K105" t="s">
        <v>150</v>
      </c>
      <c r="L105" t="s">
        <v>151</v>
      </c>
      <c r="M105" s="1" t="e">
        <f>Tabla32[[#This Row],[BN CARTA]]-#REF!</f>
        <v>#REF!</v>
      </c>
      <c r="N105" s="1" t="e">
        <f>Tabla32[[#This Row],[BN OFICIO]]-#REF!</f>
        <v>#REF!</v>
      </c>
      <c r="O105" s="1" t="e">
        <f>Tabla32[[#This Row],[BN DC]]-#REF!</f>
        <v>#REF!</v>
      </c>
      <c r="P105" s="1" t="e">
        <f>Tabla32[[#This Row],[COLOR CARTA]]-#REF!</f>
        <v>#REF!</v>
      </c>
      <c r="Q105" s="1" t="e">
        <f>Tabla32[[#This Row],[COLOR OFICIO]]-#REF!</f>
        <v>#REF!</v>
      </c>
      <c r="R105" s="1" t="e">
        <f>Tabla32[[#This Row],[ENVIAR]]-#REF!</f>
        <v>#REF!</v>
      </c>
      <c r="S105" s="1" t="e">
        <f>Tabla32[[#This Row],[COPIAR]]-#REF!</f>
        <v>#REF!</v>
      </c>
    </row>
    <row r="106" spans="1:19" x14ac:dyDescent="0.25">
      <c r="A106" t="s">
        <v>146</v>
      </c>
      <c r="B106" t="s">
        <v>152</v>
      </c>
      <c r="C106">
        <v>354</v>
      </c>
      <c r="D106">
        <v>0</v>
      </c>
      <c r="E106">
        <v>0</v>
      </c>
      <c r="F106">
        <v>0</v>
      </c>
      <c r="G106">
        <v>0</v>
      </c>
      <c r="H106">
        <v>92</v>
      </c>
      <c r="I106">
        <v>243</v>
      </c>
      <c r="K106" t="s">
        <v>146</v>
      </c>
      <c r="L106" t="s">
        <v>152</v>
      </c>
      <c r="M106" s="1" t="e">
        <f>Tabla32[[#This Row],[BN CARTA]]-#REF!</f>
        <v>#REF!</v>
      </c>
      <c r="N106" s="1" t="e">
        <f>Tabla32[[#This Row],[BN OFICIO]]-#REF!</f>
        <v>#REF!</v>
      </c>
      <c r="O106" s="1" t="e">
        <f>Tabla32[[#This Row],[BN DC]]-#REF!</f>
        <v>#REF!</v>
      </c>
      <c r="P106" s="1" t="e">
        <f>Tabla32[[#This Row],[COLOR CARTA]]-#REF!</f>
        <v>#REF!</v>
      </c>
      <c r="Q106" s="1" t="e">
        <f>Tabla32[[#This Row],[COLOR OFICIO]]-#REF!</f>
        <v>#REF!</v>
      </c>
      <c r="R106" s="1" t="e">
        <f>Tabla32[[#This Row],[ENVIAR]]-#REF!</f>
        <v>#REF!</v>
      </c>
      <c r="S106" s="1" t="e">
        <f>Tabla32[[#This Row],[COPIAR]]-#REF!</f>
        <v>#REF!</v>
      </c>
    </row>
    <row r="107" spans="1:19" x14ac:dyDescent="0.25">
      <c r="A107" t="s">
        <v>10</v>
      </c>
      <c r="B107" t="s">
        <v>153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K107" t="s">
        <v>10</v>
      </c>
      <c r="L107" t="s">
        <v>153</v>
      </c>
      <c r="M107" s="1" t="e">
        <f>Tabla32[[#This Row],[BN CARTA]]-#REF!</f>
        <v>#REF!</v>
      </c>
      <c r="N107" s="1" t="e">
        <f>Tabla32[[#This Row],[BN OFICIO]]-#REF!</f>
        <v>#REF!</v>
      </c>
      <c r="O107" s="1" t="e">
        <f>Tabla32[[#This Row],[BN DC]]-#REF!</f>
        <v>#REF!</v>
      </c>
      <c r="P107" s="1" t="e">
        <f>Tabla32[[#This Row],[COLOR CARTA]]-#REF!</f>
        <v>#REF!</v>
      </c>
      <c r="Q107" s="1" t="e">
        <f>Tabla32[[#This Row],[COLOR OFICIO]]-#REF!</f>
        <v>#REF!</v>
      </c>
      <c r="R107" s="1" t="e">
        <f>Tabla32[[#This Row],[ENVIAR]]-#REF!</f>
        <v>#REF!</v>
      </c>
      <c r="S107" s="1" t="e">
        <f>Tabla32[[#This Row],[COPIAR]]-#REF!</f>
        <v>#REF!</v>
      </c>
    </row>
    <row r="108" spans="1:19" x14ac:dyDescent="0.25">
      <c r="A108" t="s">
        <v>76</v>
      </c>
      <c r="B108" t="s">
        <v>154</v>
      </c>
      <c r="C108">
        <v>169</v>
      </c>
      <c r="D108">
        <v>0</v>
      </c>
      <c r="E108">
        <v>0</v>
      </c>
      <c r="F108">
        <v>0</v>
      </c>
      <c r="G108">
        <v>0</v>
      </c>
      <c r="H108">
        <v>8</v>
      </c>
      <c r="I108">
        <v>11</v>
      </c>
      <c r="K108" t="s">
        <v>76</v>
      </c>
      <c r="L108" t="s">
        <v>154</v>
      </c>
      <c r="M108" s="1" t="e">
        <f>Tabla32[[#This Row],[BN CARTA]]-#REF!</f>
        <v>#REF!</v>
      </c>
      <c r="N108" s="1" t="e">
        <f>Tabla32[[#This Row],[BN OFICIO]]-#REF!</f>
        <v>#REF!</v>
      </c>
      <c r="O108" s="1" t="e">
        <f>Tabla32[[#This Row],[BN DC]]-#REF!</f>
        <v>#REF!</v>
      </c>
      <c r="P108" s="1" t="e">
        <f>Tabla32[[#This Row],[COLOR CARTA]]-#REF!</f>
        <v>#REF!</v>
      </c>
      <c r="Q108" s="1" t="e">
        <f>Tabla32[[#This Row],[COLOR OFICIO]]-#REF!</f>
        <v>#REF!</v>
      </c>
      <c r="R108" s="1" t="e">
        <f>Tabla32[[#This Row],[ENVIAR]]-#REF!</f>
        <v>#REF!</v>
      </c>
      <c r="S108" s="1" t="e">
        <f>Tabla32[[#This Row],[COPIAR]]-#REF!</f>
        <v>#REF!</v>
      </c>
    </row>
    <row r="109" spans="1:19" x14ac:dyDescent="0.25">
      <c r="A109" t="s">
        <v>83</v>
      </c>
      <c r="B109" t="s">
        <v>155</v>
      </c>
      <c r="C109">
        <v>171</v>
      </c>
      <c r="D109">
        <v>0</v>
      </c>
      <c r="E109">
        <v>0</v>
      </c>
      <c r="F109">
        <v>0</v>
      </c>
      <c r="G109">
        <v>0</v>
      </c>
      <c r="H109">
        <v>580</v>
      </c>
      <c r="I109">
        <v>23</v>
      </c>
      <c r="K109" t="s">
        <v>83</v>
      </c>
      <c r="L109" t="s">
        <v>155</v>
      </c>
      <c r="M109" s="1" t="e">
        <f>Tabla32[[#This Row],[BN CARTA]]-#REF!</f>
        <v>#REF!</v>
      </c>
      <c r="N109" s="1" t="e">
        <f>Tabla32[[#This Row],[BN OFICIO]]-#REF!</f>
        <v>#REF!</v>
      </c>
      <c r="O109" s="1" t="e">
        <f>Tabla32[[#This Row],[BN DC]]-#REF!</f>
        <v>#REF!</v>
      </c>
      <c r="P109" s="1" t="e">
        <f>Tabla32[[#This Row],[COLOR CARTA]]-#REF!</f>
        <v>#REF!</v>
      </c>
      <c r="Q109" s="1" t="e">
        <f>Tabla32[[#This Row],[COLOR OFICIO]]-#REF!</f>
        <v>#REF!</v>
      </c>
      <c r="R109" s="1" t="e">
        <f>Tabla32[[#This Row],[ENVIAR]]-#REF!</f>
        <v>#REF!</v>
      </c>
      <c r="S109" s="1" t="e">
        <f>Tabla32[[#This Row],[COPIAR]]-#REF!</f>
        <v>#REF!</v>
      </c>
    </row>
    <row r="110" spans="1:19" x14ac:dyDescent="0.25">
      <c r="A110" t="s">
        <v>138</v>
      </c>
      <c r="B110" t="s">
        <v>156</v>
      </c>
      <c r="C110">
        <v>1204</v>
      </c>
      <c r="D110">
        <v>0</v>
      </c>
      <c r="E110">
        <v>0</v>
      </c>
      <c r="F110">
        <v>0</v>
      </c>
      <c r="G110">
        <v>0</v>
      </c>
      <c r="H110">
        <v>587</v>
      </c>
      <c r="I110">
        <v>136</v>
      </c>
      <c r="K110" t="s">
        <v>138</v>
      </c>
      <c r="L110" t="s">
        <v>156</v>
      </c>
      <c r="M110" s="1" t="e">
        <f>Tabla32[[#This Row],[BN CARTA]]-#REF!</f>
        <v>#REF!</v>
      </c>
      <c r="N110" s="1" t="e">
        <f>Tabla32[[#This Row],[BN OFICIO]]-#REF!</f>
        <v>#REF!</v>
      </c>
      <c r="O110" s="1" t="e">
        <f>Tabla32[[#This Row],[BN DC]]-#REF!</f>
        <v>#REF!</v>
      </c>
      <c r="P110" s="1" t="e">
        <f>Tabla32[[#This Row],[COLOR CARTA]]-#REF!</f>
        <v>#REF!</v>
      </c>
      <c r="Q110" s="1" t="e">
        <f>Tabla32[[#This Row],[COLOR OFICIO]]-#REF!</f>
        <v>#REF!</v>
      </c>
      <c r="R110" s="1" t="e">
        <f>Tabla32[[#This Row],[ENVIAR]]-#REF!</f>
        <v>#REF!</v>
      </c>
      <c r="S110" s="1" t="e">
        <f>Tabla32[[#This Row],[COPIAR]]-#REF!</f>
        <v>#REF!</v>
      </c>
    </row>
    <row r="111" spans="1:19" x14ac:dyDescent="0.25">
      <c r="A111" t="s">
        <v>150</v>
      </c>
      <c r="B111" t="s">
        <v>157</v>
      </c>
      <c r="C111">
        <v>74</v>
      </c>
      <c r="D111">
        <v>0</v>
      </c>
      <c r="E111">
        <v>0</v>
      </c>
      <c r="F111">
        <v>0</v>
      </c>
      <c r="G111">
        <v>0</v>
      </c>
      <c r="H111">
        <v>19</v>
      </c>
      <c r="I111">
        <v>28</v>
      </c>
      <c r="K111" t="s">
        <v>150</v>
      </c>
      <c r="L111" t="s">
        <v>157</v>
      </c>
      <c r="M111" s="1" t="e">
        <f>Tabla32[[#This Row],[BN CARTA]]-#REF!</f>
        <v>#REF!</v>
      </c>
      <c r="N111" s="1" t="e">
        <f>Tabla32[[#This Row],[BN OFICIO]]-#REF!</f>
        <v>#REF!</v>
      </c>
      <c r="O111" s="1" t="e">
        <f>Tabla32[[#This Row],[BN DC]]-#REF!</f>
        <v>#REF!</v>
      </c>
      <c r="P111" s="1" t="e">
        <f>Tabla32[[#This Row],[COLOR CARTA]]-#REF!</f>
        <v>#REF!</v>
      </c>
      <c r="Q111" s="1" t="e">
        <f>Tabla32[[#This Row],[COLOR OFICIO]]-#REF!</f>
        <v>#REF!</v>
      </c>
      <c r="R111" s="1" t="e">
        <f>Tabla32[[#This Row],[ENVIAR]]-#REF!</f>
        <v>#REF!</v>
      </c>
      <c r="S111" s="1" t="e">
        <f>Tabla32[[#This Row],[COPIAR]]-#REF!</f>
        <v>#REF!</v>
      </c>
    </row>
    <row r="112" spans="1:19" x14ac:dyDescent="0.25">
      <c r="A112" t="s">
        <v>10</v>
      </c>
      <c r="B112" t="s">
        <v>158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K112" t="s">
        <v>10</v>
      </c>
      <c r="L112" t="s">
        <v>158</v>
      </c>
      <c r="M112" s="1" t="e">
        <f>Tabla32[[#This Row],[BN CARTA]]-#REF!</f>
        <v>#REF!</v>
      </c>
      <c r="N112" s="1" t="e">
        <f>Tabla32[[#This Row],[BN OFICIO]]-#REF!</f>
        <v>#REF!</v>
      </c>
      <c r="O112" s="1" t="e">
        <f>Tabla32[[#This Row],[BN DC]]-#REF!</f>
        <v>#REF!</v>
      </c>
      <c r="P112" s="1" t="e">
        <f>Tabla32[[#This Row],[COLOR CARTA]]-#REF!</f>
        <v>#REF!</v>
      </c>
      <c r="Q112" s="1" t="e">
        <f>Tabla32[[#This Row],[COLOR OFICIO]]-#REF!</f>
        <v>#REF!</v>
      </c>
      <c r="R112" s="1" t="e">
        <f>Tabla32[[#This Row],[ENVIAR]]-#REF!</f>
        <v>#REF!</v>
      </c>
      <c r="S112" s="1" t="e">
        <f>Tabla32[[#This Row],[COPIAR]]-#REF!</f>
        <v>#REF!</v>
      </c>
    </row>
    <row r="113" spans="1:19" x14ac:dyDescent="0.25">
      <c r="A113" t="s">
        <v>134</v>
      </c>
      <c r="B113" t="s">
        <v>159</v>
      </c>
      <c r="C113">
        <v>60</v>
      </c>
      <c r="D113">
        <v>0</v>
      </c>
      <c r="E113">
        <v>0</v>
      </c>
      <c r="F113">
        <v>0</v>
      </c>
      <c r="G113">
        <v>0</v>
      </c>
      <c r="H113">
        <v>7</v>
      </c>
      <c r="I113">
        <v>1</v>
      </c>
      <c r="K113" t="s">
        <v>134</v>
      </c>
      <c r="L113" t="s">
        <v>159</v>
      </c>
      <c r="M113" s="1" t="e">
        <f>Tabla32[[#This Row],[BN CARTA]]-#REF!</f>
        <v>#REF!</v>
      </c>
      <c r="N113" s="1" t="e">
        <f>Tabla32[[#This Row],[BN OFICIO]]-#REF!</f>
        <v>#REF!</v>
      </c>
      <c r="O113" s="1" t="e">
        <f>Tabla32[[#This Row],[BN DC]]-#REF!</f>
        <v>#REF!</v>
      </c>
      <c r="P113" s="1" t="e">
        <f>Tabla32[[#This Row],[COLOR CARTA]]-#REF!</f>
        <v>#REF!</v>
      </c>
      <c r="Q113" s="1" t="e">
        <f>Tabla32[[#This Row],[COLOR OFICIO]]-#REF!</f>
        <v>#REF!</v>
      </c>
      <c r="R113" s="1" t="e">
        <f>Tabla32[[#This Row],[ENVIAR]]-#REF!</f>
        <v>#REF!</v>
      </c>
      <c r="S113" s="1" t="e">
        <f>Tabla32[[#This Row],[COPIAR]]-#REF!</f>
        <v>#REF!</v>
      </c>
    </row>
    <row r="114" spans="1:19" x14ac:dyDescent="0.25">
      <c r="A114" t="s">
        <v>10</v>
      </c>
      <c r="B114" t="s">
        <v>160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K114" t="s">
        <v>10</v>
      </c>
      <c r="L114" t="s">
        <v>160</v>
      </c>
      <c r="M114" s="1" t="e">
        <f>Tabla32[[#This Row],[BN CARTA]]-#REF!</f>
        <v>#REF!</v>
      </c>
      <c r="N114" s="1" t="e">
        <f>Tabla32[[#This Row],[BN OFICIO]]-#REF!</f>
        <v>#REF!</v>
      </c>
      <c r="O114" s="1" t="e">
        <f>Tabla32[[#This Row],[BN DC]]-#REF!</f>
        <v>#REF!</v>
      </c>
      <c r="P114" s="1" t="e">
        <f>Tabla32[[#This Row],[COLOR CARTA]]-#REF!</f>
        <v>#REF!</v>
      </c>
      <c r="Q114" s="1" t="e">
        <f>Tabla32[[#This Row],[COLOR OFICIO]]-#REF!</f>
        <v>#REF!</v>
      </c>
      <c r="R114" s="1" t="e">
        <f>Tabla32[[#This Row],[ENVIAR]]-#REF!</f>
        <v>#REF!</v>
      </c>
      <c r="S114" s="1" t="e">
        <f>Tabla32[[#This Row],[COPIAR]]-#REF!</f>
        <v>#REF!</v>
      </c>
    </row>
    <row r="115" spans="1:19" x14ac:dyDescent="0.25">
      <c r="A115" t="s">
        <v>10</v>
      </c>
      <c r="B115" t="s">
        <v>161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K115" t="s">
        <v>10</v>
      </c>
      <c r="L115" t="s">
        <v>161</v>
      </c>
      <c r="M115" s="1" t="e">
        <f>Tabla32[[#This Row],[BN CARTA]]-#REF!</f>
        <v>#REF!</v>
      </c>
      <c r="N115" s="1" t="e">
        <f>Tabla32[[#This Row],[BN OFICIO]]-#REF!</f>
        <v>#REF!</v>
      </c>
      <c r="O115" s="1" t="e">
        <f>Tabla32[[#This Row],[BN DC]]-#REF!</f>
        <v>#REF!</v>
      </c>
      <c r="P115" s="1" t="e">
        <f>Tabla32[[#This Row],[COLOR CARTA]]-#REF!</f>
        <v>#REF!</v>
      </c>
      <c r="Q115" s="1" t="e">
        <f>Tabla32[[#This Row],[COLOR OFICIO]]-#REF!</f>
        <v>#REF!</v>
      </c>
      <c r="R115" s="1" t="e">
        <f>Tabla32[[#This Row],[ENVIAR]]-#REF!</f>
        <v>#REF!</v>
      </c>
      <c r="S115" s="1" t="e">
        <f>Tabla32[[#This Row],[COPIAR]]-#REF!</f>
        <v>#REF!</v>
      </c>
    </row>
    <row r="116" spans="1:19" x14ac:dyDescent="0.25">
      <c r="A116" t="s">
        <v>10</v>
      </c>
      <c r="B116" t="s">
        <v>162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K116" t="s">
        <v>10</v>
      </c>
      <c r="L116" t="s">
        <v>162</v>
      </c>
      <c r="M116" s="1" t="e">
        <f>Tabla32[[#This Row],[BN CARTA]]-#REF!</f>
        <v>#REF!</v>
      </c>
      <c r="N116" s="1" t="e">
        <f>Tabla32[[#This Row],[BN OFICIO]]-#REF!</f>
        <v>#REF!</v>
      </c>
      <c r="O116" s="1" t="e">
        <f>Tabla32[[#This Row],[BN DC]]-#REF!</f>
        <v>#REF!</v>
      </c>
      <c r="P116" s="1" t="e">
        <f>Tabla32[[#This Row],[COLOR CARTA]]-#REF!</f>
        <v>#REF!</v>
      </c>
      <c r="Q116" s="1" t="e">
        <f>Tabla32[[#This Row],[COLOR OFICIO]]-#REF!</f>
        <v>#REF!</v>
      </c>
      <c r="R116" s="1" t="e">
        <f>Tabla32[[#This Row],[ENVIAR]]-#REF!</f>
        <v>#REF!</v>
      </c>
      <c r="S116" s="1" t="e">
        <f>Tabla32[[#This Row],[COPIAR]]-#REF!</f>
        <v>#REF!</v>
      </c>
    </row>
    <row r="117" spans="1:19" x14ac:dyDescent="0.25">
      <c r="A117" t="s">
        <v>10</v>
      </c>
      <c r="B117" t="s">
        <v>163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K117" t="s">
        <v>10</v>
      </c>
      <c r="L117" t="s">
        <v>163</v>
      </c>
      <c r="M117" s="1" t="e">
        <f>Tabla32[[#This Row],[BN CARTA]]-#REF!</f>
        <v>#REF!</v>
      </c>
      <c r="N117" s="1" t="e">
        <f>Tabla32[[#This Row],[BN OFICIO]]-#REF!</f>
        <v>#REF!</v>
      </c>
      <c r="O117" s="1" t="e">
        <f>Tabla32[[#This Row],[BN DC]]-#REF!</f>
        <v>#REF!</v>
      </c>
      <c r="P117" s="1" t="e">
        <f>Tabla32[[#This Row],[COLOR CARTA]]-#REF!</f>
        <v>#REF!</v>
      </c>
      <c r="Q117" s="1" t="e">
        <f>Tabla32[[#This Row],[COLOR OFICIO]]-#REF!</f>
        <v>#REF!</v>
      </c>
      <c r="R117" s="1" t="e">
        <f>Tabla32[[#This Row],[ENVIAR]]-#REF!</f>
        <v>#REF!</v>
      </c>
      <c r="S117" s="1" t="e">
        <f>Tabla32[[#This Row],[COPIAR]]-#REF!</f>
        <v>#REF!</v>
      </c>
    </row>
    <row r="118" spans="1:19" x14ac:dyDescent="0.25">
      <c r="A118" t="s">
        <v>138</v>
      </c>
      <c r="B118" t="s">
        <v>164</v>
      </c>
      <c r="C118">
        <v>646</v>
      </c>
      <c r="D118">
        <v>0</v>
      </c>
      <c r="E118">
        <v>0</v>
      </c>
      <c r="F118">
        <v>0</v>
      </c>
      <c r="G118">
        <v>0</v>
      </c>
      <c r="H118">
        <v>185</v>
      </c>
      <c r="I118">
        <v>134</v>
      </c>
      <c r="K118" t="s">
        <v>138</v>
      </c>
      <c r="L118" t="s">
        <v>164</v>
      </c>
      <c r="M118" s="1" t="e">
        <f>Tabla32[[#This Row],[BN CARTA]]-#REF!</f>
        <v>#REF!</v>
      </c>
      <c r="N118" s="1" t="e">
        <f>Tabla32[[#This Row],[BN OFICIO]]-#REF!</f>
        <v>#REF!</v>
      </c>
      <c r="O118" s="1" t="e">
        <f>Tabla32[[#This Row],[BN DC]]-#REF!</f>
        <v>#REF!</v>
      </c>
      <c r="P118" s="1" t="e">
        <f>Tabla32[[#This Row],[COLOR CARTA]]-#REF!</f>
        <v>#REF!</v>
      </c>
      <c r="Q118" s="1" t="e">
        <f>Tabla32[[#This Row],[COLOR OFICIO]]-#REF!</f>
        <v>#REF!</v>
      </c>
      <c r="R118" s="1" t="e">
        <f>Tabla32[[#This Row],[ENVIAR]]-#REF!</f>
        <v>#REF!</v>
      </c>
      <c r="S118" s="1" t="e">
        <f>Tabla32[[#This Row],[COPIAR]]-#REF!</f>
        <v>#REF!</v>
      </c>
    </row>
    <row r="119" spans="1:19" x14ac:dyDescent="0.25">
      <c r="A119" t="s">
        <v>83</v>
      </c>
      <c r="B119" t="s">
        <v>165</v>
      </c>
      <c r="C119">
        <v>66</v>
      </c>
      <c r="D119">
        <v>6</v>
      </c>
      <c r="E119">
        <v>0</v>
      </c>
      <c r="F119">
        <v>0</v>
      </c>
      <c r="G119">
        <v>0</v>
      </c>
      <c r="H119">
        <v>0</v>
      </c>
      <c r="I119">
        <v>1</v>
      </c>
      <c r="K119" t="s">
        <v>83</v>
      </c>
      <c r="L119" t="s">
        <v>165</v>
      </c>
      <c r="M119" s="1" t="e">
        <f>Tabla32[[#This Row],[BN CARTA]]-#REF!</f>
        <v>#REF!</v>
      </c>
      <c r="N119" s="1" t="e">
        <f>Tabla32[[#This Row],[BN OFICIO]]-#REF!</f>
        <v>#REF!</v>
      </c>
      <c r="O119" s="1" t="e">
        <f>Tabla32[[#This Row],[BN DC]]-#REF!</f>
        <v>#REF!</v>
      </c>
      <c r="P119" s="1" t="e">
        <f>Tabla32[[#This Row],[COLOR CARTA]]-#REF!</f>
        <v>#REF!</v>
      </c>
      <c r="Q119" s="1" t="e">
        <f>Tabla32[[#This Row],[COLOR OFICIO]]-#REF!</f>
        <v>#REF!</v>
      </c>
      <c r="R119" s="1" t="e">
        <f>Tabla32[[#This Row],[ENVIAR]]-#REF!</f>
        <v>#REF!</v>
      </c>
      <c r="S119" s="1" t="e">
        <f>Tabla32[[#This Row],[COPIAR]]-#REF!</f>
        <v>#REF!</v>
      </c>
    </row>
    <row r="120" spans="1:19" x14ac:dyDescent="0.25">
      <c r="A120" t="s">
        <v>10</v>
      </c>
      <c r="B120" t="s">
        <v>166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K120" t="s">
        <v>10</v>
      </c>
      <c r="L120" t="s">
        <v>166</v>
      </c>
      <c r="M120" s="1" t="e">
        <f>Tabla32[[#This Row],[BN CARTA]]-#REF!</f>
        <v>#REF!</v>
      </c>
      <c r="N120" s="1" t="e">
        <f>Tabla32[[#This Row],[BN OFICIO]]-#REF!</f>
        <v>#REF!</v>
      </c>
      <c r="O120" s="1" t="e">
        <f>Tabla32[[#This Row],[BN DC]]-#REF!</f>
        <v>#REF!</v>
      </c>
      <c r="P120" s="1" t="e">
        <f>Tabla32[[#This Row],[COLOR CARTA]]-#REF!</f>
        <v>#REF!</v>
      </c>
      <c r="Q120" s="1" t="e">
        <f>Tabla32[[#This Row],[COLOR OFICIO]]-#REF!</f>
        <v>#REF!</v>
      </c>
      <c r="R120" s="1" t="e">
        <f>Tabla32[[#This Row],[ENVIAR]]-#REF!</f>
        <v>#REF!</v>
      </c>
      <c r="S120" s="1" t="e">
        <f>Tabla32[[#This Row],[COPIAR]]-#REF!</f>
        <v>#REF!</v>
      </c>
    </row>
    <row r="121" spans="1:19" x14ac:dyDescent="0.25">
      <c r="A121" t="s">
        <v>10</v>
      </c>
      <c r="B121" t="s">
        <v>167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K121" t="s">
        <v>10</v>
      </c>
      <c r="L121" t="s">
        <v>167</v>
      </c>
      <c r="M121" s="1" t="e">
        <f>Tabla32[[#This Row],[BN CARTA]]-#REF!</f>
        <v>#REF!</v>
      </c>
      <c r="N121" s="1" t="e">
        <f>Tabla32[[#This Row],[BN OFICIO]]-#REF!</f>
        <v>#REF!</v>
      </c>
      <c r="O121" s="1" t="e">
        <f>Tabla32[[#This Row],[BN DC]]-#REF!</f>
        <v>#REF!</v>
      </c>
      <c r="P121" s="1" t="e">
        <f>Tabla32[[#This Row],[COLOR CARTA]]-#REF!</f>
        <v>#REF!</v>
      </c>
      <c r="Q121" s="1" t="e">
        <f>Tabla32[[#This Row],[COLOR OFICIO]]-#REF!</f>
        <v>#REF!</v>
      </c>
      <c r="R121" s="1" t="e">
        <f>Tabla32[[#This Row],[ENVIAR]]-#REF!</f>
        <v>#REF!</v>
      </c>
      <c r="S121" s="1" t="e">
        <f>Tabla32[[#This Row],[COPIAR]]-#REF!</f>
        <v>#REF!</v>
      </c>
    </row>
    <row r="122" spans="1:19" x14ac:dyDescent="0.25">
      <c r="A122" t="s">
        <v>10</v>
      </c>
      <c r="B122" t="s">
        <v>168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K122" t="s">
        <v>10</v>
      </c>
      <c r="L122" t="s">
        <v>168</v>
      </c>
      <c r="M122" s="1" t="e">
        <f>Tabla32[[#This Row],[BN CARTA]]-#REF!</f>
        <v>#REF!</v>
      </c>
      <c r="N122" s="1" t="e">
        <f>Tabla32[[#This Row],[BN OFICIO]]-#REF!</f>
        <v>#REF!</v>
      </c>
      <c r="O122" s="1" t="e">
        <f>Tabla32[[#This Row],[BN DC]]-#REF!</f>
        <v>#REF!</v>
      </c>
      <c r="P122" s="1" t="e">
        <f>Tabla32[[#This Row],[COLOR CARTA]]-#REF!</f>
        <v>#REF!</v>
      </c>
      <c r="Q122" s="1" t="e">
        <f>Tabla32[[#This Row],[COLOR OFICIO]]-#REF!</f>
        <v>#REF!</v>
      </c>
      <c r="R122" s="1" t="e">
        <f>Tabla32[[#This Row],[ENVIAR]]-#REF!</f>
        <v>#REF!</v>
      </c>
      <c r="S122" s="1" t="e">
        <f>Tabla32[[#This Row],[COPIAR]]-#REF!</f>
        <v>#REF!</v>
      </c>
    </row>
    <row r="123" spans="1:19" x14ac:dyDescent="0.25">
      <c r="A123" t="s">
        <v>10</v>
      </c>
      <c r="B123" t="s">
        <v>169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K123" t="s">
        <v>10</v>
      </c>
      <c r="L123" t="s">
        <v>169</v>
      </c>
      <c r="M123" s="1" t="e">
        <f>Tabla32[[#This Row],[BN CARTA]]-#REF!</f>
        <v>#REF!</v>
      </c>
      <c r="N123" s="1" t="e">
        <f>Tabla32[[#This Row],[BN OFICIO]]-#REF!</f>
        <v>#REF!</v>
      </c>
      <c r="O123" s="1" t="e">
        <f>Tabla32[[#This Row],[BN DC]]-#REF!</f>
        <v>#REF!</v>
      </c>
      <c r="P123" s="1" t="e">
        <f>Tabla32[[#This Row],[COLOR CARTA]]-#REF!</f>
        <v>#REF!</v>
      </c>
      <c r="Q123" s="1" t="e">
        <f>Tabla32[[#This Row],[COLOR OFICIO]]-#REF!</f>
        <v>#REF!</v>
      </c>
      <c r="R123" s="1" t="e">
        <f>Tabla32[[#This Row],[ENVIAR]]-#REF!</f>
        <v>#REF!</v>
      </c>
      <c r="S123" s="1" t="e">
        <f>Tabla32[[#This Row],[COPIAR]]-#REF!</f>
        <v>#REF!</v>
      </c>
    </row>
    <row r="124" spans="1:19" x14ac:dyDescent="0.25">
      <c r="A124" t="s">
        <v>10</v>
      </c>
      <c r="B124" t="s">
        <v>170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K124" t="s">
        <v>10</v>
      </c>
      <c r="L124" t="s">
        <v>170</v>
      </c>
      <c r="M124" s="1" t="e">
        <f>Tabla32[[#This Row],[BN CARTA]]-#REF!</f>
        <v>#REF!</v>
      </c>
      <c r="N124" s="1" t="e">
        <f>Tabla32[[#This Row],[BN OFICIO]]-#REF!</f>
        <v>#REF!</v>
      </c>
      <c r="O124" s="1" t="e">
        <f>Tabla32[[#This Row],[BN DC]]-#REF!</f>
        <v>#REF!</v>
      </c>
      <c r="P124" s="1" t="e">
        <f>Tabla32[[#This Row],[COLOR CARTA]]-#REF!</f>
        <v>#REF!</v>
      </c>
      <c r="Q124" s="1" t="e">
        <f>Tabla32[[#This Row],[COLOR OFICIO]]-#REF!</f>
        <v>#REF!</v>
      </c>
      <c r="R124" s="1" t="e">
        <f>Tabla32[[#This Row],[ENVIAR]]-#REF!</f>
        <v>#REF!</v>
      </c>
      <c r="S124" s="1" t="e">
        <f>Tabla32[[#This Row],[COPIAR]]-#REF!</f>
        <v>#REF!</v>
      </c>
    </row>
    <row r="125" spans="1:19" x14ac:dyDescent="0.25">
      <c r="A125" t="s">
        <v>10</v>
      </c>
      <c r="B125" t="s">
        <v>171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K125" t="s">
        <v>10</v>
      </c>
      <c r="L125" t="s">
        <v>171</v>
      </c>
      <c r="M125" s="1" t="e">
        <f>Tabla32[[#This Row],[BN CARTA]]-#REF!</f>
        <v>#REF!</v>
      </c>
      <c r="N125" s="1" t="e">
        <f>Tabla32[[#This Row],[BN OFICIO]]-#REF!</f>
        <v>#REF!</v>
      </c>
      <c r="O125" s="1" t="e">
        <f>Tabla32[[#This Row],[BN DC]]-#REF!</f>
        <v>#REF!</v>
      </c>
      <c r="P125" s="1" t="e">
        <f>Tabla32[[#This Row],[COLOR CARTA]]-#REF!</f>
        <v>#REF!</v>
      </c>
      <c r="Q125" s="1" t="e">
        <f>Tabla32[[#This Row],[COLOR OFICIO]]-#REF!</f>
        <v>#REF!</v>
      </c>
      <c r="R125" s="1" t="e">
        <f>Tabla32[[#This Row],[ENVIAR]]-#REF!</f>
        <v>#REF!</v>
      </c>
      <c r="S125" s="1" t="e">
        <f>Tabla32[[#This Row],[COPIAR]]-#REF!</f>
        <v>#REF!</v>
      </c>
    </row>
    <row r="126" spans="1:19" x14ac:dyDescent="0.25">
      <c r="A126" t="s">
        <v>10</v>
      </c>
      <c r="B126" t="s">
        <v>172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K126" t="s">
        <v>10</v>
      </c>
      <c r="L126" t="s">
        <v>172</v>
      </c>
      <c r="M126" s="1" t="e">
        <f>Tabla32[[#This Row],[BN CARTA]]-#REF!</f>
        <v>#REF!</v>
      </c>
      <c r="N126" s="1" t="e">
        <f>Tabla32[[#This Row],[BN OFICIO]]-#REF!</f>
        <v>#REF!</v>
      </c>
      <c r="O126" s="1" t="e">
        <f>Tabla32[[#This Row],[BN DC]]-#REF!</f>
        <v>#REF!</v>
      </c>
      <c r="P126" s="1" t="e">
        <f>Tabla32[[#This Row],[COLOR CARTA]]-#REF!</f>
        <v>#REF!</v>
      </c>
      <c r="Q126" s="1" t="e">
        <f>Tabla32[[#This Row],[COLOR OFICIO]]-#REF!</f>
        <v>#REF!</v>
      </c>
      <c r="R126" s="1" t="e">
        <f>Tabla32[[#This Row],[ENVIAR]]-#REF!</f>
        <v>#REF!</v>
      </c>
      <c r="S126" s="1" t="e">
        <f>Tabla32[[#This Row],[COPIAR]]-#REF!</f>
        <v>#REF!</v>
      </c>
    </row>
    <row r="127" spans="1:19" x14ac:dyDescent="0.25">
      <c r="A127" t="s">
        <v>10</v>
      </c>
      <c r="B127" t="s">
        <v>173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K127" t="s">
        <v>10</v>
      </c>
      <c r="L127" t="s">
        <v>173</v>
      </c>
      <c r="M127" s="1" t="e">
        <f>Tabla32[[#This Row],[BN CARTA]]-#REF!</f>
        <v>#REF!</v>
      </c>
      <c r="N127" s="1" t="e">
        <f>Tabla32[[#This Row],[BN OFICIO]]-#REF!</f>
        <v>#REF!</v>
      </c>
      <c r="O127" s="1" t="e">
        <f>Tabla32[[#This Row],[BN DC]]-#REF!</f>
        <v>#REF!</v>
      </c>
      <c r="P127" s="1" t="e">
        <f>Tabla32[[#This Row],[COLOR CARTA]]-#REF!</f>
        <v>#REF!</v>
      </c>
      <c r="Q127" s="1" t="e">
        <f>Tabla32[[#This Row],[COLOR OFICIO]]-#REF!</f>
        <v>#REF!</v>
      </c>
      <c r="R127" s="1" t="e">
        <f>Tabla32[[#This Row],[ENVIAR]]-#REF!</f>
        <v>#REF!</v>
      </c>
      <c r="S127" s="1" t="e">
        <f>Tabla32[[#This Row],[COPIAR]]-#REF!</f>
        <v>#REF!</v>
      </c>
    </row>
    <row r="128" spans="1:19" x14ac:dyDescent="0.25">
      <c r="A128" t="s">
        <v>131</v>
      </c>
      <c r="B128" t="s">
        <v>174</v>
      </c>
      <c r="C128">
        <v>14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K128" t="s">
        <v>131</v>
      </c>
      <c r="L128" t="s">
        <v>174</v>
      </c>
      <c r="M128" s="1" t="e">
        <f>Tabla32[[#This Row],[BN CARTA]]-#REF!</f>
        <v>#REF!</v>
      </c>
      <c r="N128" s="1" t="e">
        <f>Tabla32[[#This Row],[BN OFICIO]]-#REF!</f>
        <v>#REF!</v>
      </c>
      <c r="O128" s="1" t="e">
        <f>Tabla32[[#This Row],[BN DC]]-#REF!</f>
        <v>#REF!</v>
      </c>
      <c r="P128" s="1" t="e">
        <f>Tabla32[[#This Row],[COLOR CARTA]]-#REF!</f>
        <v>#REF!</v>
      </c>
      <c r="Q128" s="1" t="e">
        <f>Tabla32[[#This Row],[COLOR OFICIO]]-#REF!</f>
        <v>#REF!</v>
      </c>
      <c r="R128" s="1" t="e">
        <f>Tabla32[[#This Row],[ENVIAR]]-#REF!</f>
        <v>#REF!</v>
      </c>
      <c r="S128" s="1" t="e">
        <f>Tabla32[[#This Row],[COPIAR]]-#REF!</f>
        <v>#REF!</v>
      </c>
    </row>
    <row r="129" spans="1:19" x14ac:dyDescent="0.25">
      <c r="A129" t="s">
        <v>10</v>
      </c>
      <c r="B129" t="s">
        <v>175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K129" t="s">
        <v>10</v>
      </c>
      <c r="L129" t="s">
        <v>175</v>
      </c>
      <c r="M129" s="1" t="e">
        <f>Tabla32[[#This Row],[BN CARTA]]-#REF!</f>
        <v>#REF!</v>
      </c>
      <c r="N129" s="1" t="e">
        <f>Tabla32[[#This Row],[BN OFICIO]]-#REF!</f>
        <v>#REF!</v>
      </c>
      <c r="O129" s="1" t="e">
        <f>Tabla32[[#This Row],[BN DC]]-#REF!</f>
        <v>#REF!</v>
      </c>
      <c r="P129" s="1" t="e">
        <f>Tabla32[[#This Row],[COLOR CARTA]]-#REF!</f>
        <v>#REF!</v>
      </c>
      <c r="Q129" s="1" t="e">
        <f>Tabla32[[#This Row],[COLOR OFICIO]]-#REF!</f>
        <v>#REF!</v>
      </c>
      <c r="R129" s="1" t="e">
        <f>Tabla32[[#This Row],[ENVIAR]]-#REF!</f>
        <v>#REF!</v>
      </c>
      <c r="S129" s="1" t="e">
        <f>Tabla32[[#This Row],[COPIAR]]-#REF!</f>
        <v>#REF!</v>
      </c>
    </row>
    <row r="130" spans="1:19" x14ac:dyDescent="0.25">
      <c r="A130" t="s">
        <v>10</v>
      </c>
      <c r="B130" t="s">
        <v>176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K130" t="s">
        <v>10</v>
      </c>
      <c r="L130" t="s">
        <v>176</v>
      </c>
      <c r="M130" s="1" t="e">
        <f>Tabla32[[#This Row],[BN CARTA]]-#REF!</f>
        <v>#REF!</v>
      </c>
      <c r="N130" s="1" t="e">
        <f>Tabla32[[#This Row],[BN OFICIO]]-#REF!</f>
        <v>#REF!</v>
      </c>
      <c r="O130" s="1" t="e">
        <f>Tabla32[[#This Row],[BN DC]]-#REF!</f>
        <v>#REF!</v>
      </c>
      <c r="P130" s="1" t="e">
        <f>Tabla32[[#This Row],[COLOR CARTA]]-#REF!</f>
        <v>#REF!</v>
      </c>
      <c r="Q130" s="1" t="e">
        <f>Tabla32[[#This Row],[COLOR OFICIO]]-#REF!</f>
        <v>#REF!</v>
      </c>
      <c r="R130" s="1" t="e">
        <f>Tabla32[[#This Row],[ENVIAR]]-#REF!</f>
        <v>#REF!</v>
      </c>
      <c r="S130" s="1" t="e">
        <f>Tabla32[[#This Row],[COPIAR]]-#REF!</f>
        <v>#REF!</v>
      </c>
    </row>
    <row r="131" spans="1:19" x14ac:dyDescent="0.25">
      <c r="A131" t="s">
        <v>10</v>
      </c>
      <c r="B131" t="s">
        <v>177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K131" t="s">
        <v>10</v>
      </c>
      <c r="L131" t="s">
        <v>177</v>
      </c>
      <c r="M131" s="1" t="e">
        <f>Tabla32[[#This Row],[BN CARTA]]-#REF!</f>
        <v>#REF!</v>
      </c>
      <c r="N131" s="1" t="e">
        <f>Tabla32[[#This Row],[BN OFICIO]]-#REF!</f>
        <v>#REF!</v>
      </c>
      <c r="O131" s="1" t="e">
        <f>Tabla32[[#This Row],[BN DC]]-#REF!</f>
        <v>#REF!</v>
      </c>
      <c r="P131" s="1" t="e">
        <f>Tabla32[[#This Row],[COLOR CARTA]]-#REF!</f>
        <v>#REF!</v>
      </c>
      <c r="Q131" s="1" t="e">
        <f>Tabla32[[#This Row],[COLOR OFICIO]]-#REF!</f>
        <v>#REF!</v>
      </c>
      <c r="R131" s="1" t="e">
        <f>Tabla32[[#This Row],[ENVIAR]]-#REF!</f>
        <v>#REF!</v>
      </c>
      <c r="S131" s="1" t="e">
        <f>Tabla32[[#This Row],[COPIAR]]-#REF!</f>
        <v>#REF!</v>
      </c>
    </row>
    <row r="132" spans="1:19" x14ac:dyDescent="0.25">
      <c r="A132" t="s">
        <v>83</v>
      </c>
      <c r="B132" t="s">
        <v>178</v>
      </c>
      <c r="C132">
        <v>635</v>
      </c>
      <c r="D132">
        <v>2</v>
      </c>
      <c r="E132">
        <v>0</v>
      </c>
      <c r="F132">
        <v>0</v>
      </c>
      <c r="G132">
        <v>0</v>
      </c>
      <c r="H132">
        <v>582</v>
      </c>
      <c r="I132">
        <v>131</v>
      </c>
      <c r="K132" t="s">
        <v>83</v>
      </c>
      <c r="L132" t="s">
        <v>178</v>
      </c>
      <c r="M132" s="1" t="e">
        <f>Tabla32[[#This Row],[BN CARTA]]-#REF!</f>
        <v>#REF!</v>
      </c>
      <c r="N132" s="1" t="e">
        <f>Tabla32[[#This Row],[BN OFICIO]]-#REF!</f>
        <v>#REF!</v>
      </c>
      <c r="O132" s="1" t="e">
        <f>Tabla32[[#This Row],[BN DC]]-#REF!</f>
        <v>#REF!</v>
      </c>
      <c r="P132" s="1" t="e">
        <f>Tabla32[[#This Row],[COLOR CARTA]]-#REF!</f>
        <v>#REF!</v>
      </c>
      <c r="Q132" s="1" t="e">
        <f>Tabla32[[#This Row],[COLOR OFICIO]]-#REF!</f>
        <v>#REF!</v>
      </c>
      <c r="R132" s="1" t="e">
        <f>Tabla32[[#This Row],[ENVIAR]]-#REF!</f>
        <v>#REF!</v>
      </c>
      <c r="S132" s="1" t="e">
        <f>Tabla32[[#This Row],[COPIAR]]-#REF!</f>
        <v>#REF!</v>
      </c>
    </row>
    <row r="133" spans="1:19" x14ac:dyDescent="0.25">
      <c r="A133" t="s">
        <v>10</v>
      </c>
      <c r="B133" t="s">
        <v>179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K133" t="s">
        <v>10</v>
      </c>
      <c r="L133" t="s">
        <v>179</v>
      </c>
      <c r="M133" s="1" t="e">
        <f>Tabla32[[#This Row],[BN CARTA]]-#REF!</f>
        <v>#REF!</v>
      </c>
      <c r="N133" s="1" t="e">
        <f>Tabla32[[#This Row],[BN OFICIO]]-#REF!</f>
        <v>#REF!</v>
      </c>
      <c r="O133" s="1" t="e">
        <f>Tabla32[[#This Row],[BN DC]]-#REF!</f>
        <v>#REF!</v>
      </c>
      <c r="P133" s="1" t="e">
        <f>Tabla32[[#This Row],[COLOR CARTA]]-#REF!</f>
        <v>#REF!</v>
      </c>
      <c r="Q133" s="1" t="e">
        <f>Tabla32[[#This Row],[COLOR OFICIO]]-#REF!</f>
        <v>#REF!</v>
      </c>
      <c r="R133" s="1" t="e">
        <f>Tabla32[[#This Row],[ENVIAR]]-#REF!</f>
        <v>#REF!</v>
      </c>
      <c r="S133" s="1" t="e">
        <f>Tabla32[[#This Row],[COPIAR]]-#REF!</f>
        <v>#REF!</v>
      </c>
    </row>
    <row r="134" spans="1:19" x14ac:dyDescent="0.25">
      <c r="A134" t="s">
        <v>10</v>
      </c>
      <c r="B134" t="s">
        <v>180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K134" t="s">
        <v>10</v>
      </c>
      <c r="L134" t="s">
        <v>180</v>
      </c>
      <c r="M134" s="1" t="e">
        <f>Tabla32[[#This Row],[BN CARTA]]-#REF!</f>
        <v>#REF!</v>
      </c>
      <c r="N134" s="1" t="e">
        <f>Tabla32[[#This Row],[BN OFICIO]]-#REF!</f>
        <v>#REF!</v>
      </c>
      <c r="O134" s="1" t="e">
        <f>Tabla32[[#This Row],[BN DC]]-#REF!</f>
        <v>#REF!</v>
      </c>
      <c r="P134" s="1" t="e">
        <f>Tabla32[[#This Row],[COLOR CARTA]]-#REF!</f>
        <v>#REF!</v>
      </c>
      <c r="Q134" s="1" t="e">
        <f>Tabla32[[#This Row],[COLOR OFICIO]]-#REF!</f>
        <v>#REF!</v>
      </c>
      <c r="R134" s="1" t="e">
        <f>Tabla32[[#This Row],[ENVIAR]]-#REF!</f>
        <v>#REF!</v>
      </c>
      <c r="S134" s="1" t="e">
        <f>Tabla32[[#This Row],[COPIAR]]-#REF!</f>
        <v>#REF!</v>
      </c>
    </row>
    <row r="135" spans="1:19" x14ac:dyDescent="0.25">
      <c r="A135" t="s">
        <v>10</v>
      </c>
      <c r="B135" t="s">
        <v>181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K135" t="s">
        <v>10</v>
      </c>
      <c r="L135" t="s">
        <v>181</v>
      </c>
      <c r="M135" s="1" t="e">
        <f>Tabla32[[#This Row],[BN CARTA]]-#REF!</f>
        <v>#REF!</v>
      </c>
      <c r="N135" s="1" t="e">
        <f>Tabla32[[#This Row],[BN OFICIO]]-#REF!</f>
        <v>#REF!</v>
      </c>
      <c r="O135" s="1" t="e">
        <f>Tabla32[[#This Row],[BN DC]]-#REF!</f>
        <v>#REF!</v>
      </c>
      <c r="P135" s="1" t="e">
        <f>Tabla32[[#This Row],[COLOR CARTA]]-#REF!</f>
        <v>#REF!</v>
      </c>
      <c r="Q135" s="1" t="e">
        <f>Tabla32[[#This Row],[COLOR OFICIO]]-#REF!</f>
        <v>#REF!</v>
      </c>
      <c r="R135" s="1" t="e">
        <f>Tabla32[[#This Row],[ENVIAR]]-#REF!</f>
        <v>#REF!</v>
      </c>
      <c r="S135" s="1" t="e">
        <f>Tabla32[[#This Row],[COPIAR]]-#REF!</f>
        <v>#REF!</v>
      </c>
    </row>
    <row r="136" spans="1:19" x14ac:dyDescent="0.25">
      <c r="A136" t="s">
        <v>83</v>
      </c>
      <c r="B136" t="s">
        <v>182</v>
      </c>
      <c r="C136">
        <v>1184</v>
      </c>
      <c r="D136">
        <v>0</v>
      </c>
      <c r="E136">
        <v>0</v>
      </c>
      <c r="F136">
        <v>0</v>
      </c>
      <c r="G136">
        <v>0</v>
      </c>
      <c r="H136">
        <v>94</v>
      </c>
      <c r="I136">
        <v>136</v>
      </c>
      <c r="K136" t="s">
        <v>83</v>
      </c>
      <c r="L136" t="s">
        <v>182</v>
      </c>
      <c r="M136" s="1" t="e">
        <f>Tabla32[[#This Row],[BN CARTA]]-#REF!</f>
        <v>#REF!</v>
      </c>
      <c r="N136" s="1" t="e">
        <f>Tabla32[[#This Row],[BN OFICIO]]-#REF!</f>
        <v>#REF!</v>
      </c>
      <c r="O136" s="1" t="e">
        <f>Tabla32[[#This Row],[BN DC]]-#REF!</f>
        <v>#REF!</v>
      </c>
      <c r="P136" s="1" t="e">
        <f>Tabla32[[#This Row],[COLOR CARTA]]-#REF!</f>
        <v>#REF!</v>
      </c>
      <c r="Q136" s="1" t="e">
        <f>Tabla32[[#This Row],[COLOR OFICIO]]-#REF!</f>
        <v>#REF!</v>
      </c>
      <c r="R136" s="1" t="e">
        <f>Tabla32[[#This Row],[ENVIAR]]-#REF!</f>
        <v>#REF!</v>
      </c>
      <c r="S136" s="1" t="e">
        <f>Tabla32[[#This Row],[COPIAR]]-#REF!</f>
        <v>#REF!</v>
      </c>
    </row>
    <row r="137" spans="1:19" x14ac:dyDescent="0.25">
      <c r="A137" t="s">
        <v>10</v>
      </c>
      <c r="B137" t="s">
        <v>183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K137" t="s">
        <v>10</v>
      </c>
      <c r="L137" t="s">
        <v>183</v>
      </c>
      <c r="M137" s="1" t="e">
        <f>Tabla32[[#This Row],[BN CARTA]]-#REF!</f>
        <v>#REF!</v>
      </c>
      <c r="N137" s="1" t="e">
        <f>Tabla32[[#This Row],[BN OFICIO]]-#REF!</f>
        <v>#REF!</v>
      </c>
      <c r="O137" s="1" t="e">
        <f>Tabla32[[#This Row],[BN DC]]-#REF!</f>
        <v>#REF!</v>
      </c>
      <c r="P137" s="1" t="e">
        <f>Tabla32[[#This Row],[COLOR CARTA]]-#REF!</f>
        <v>#REF!</v>
      </c>
      <c r="Q137" s="1" t="e">
        <f>Tabla32[[#This Row],[COLOR OFICIO]]-#REF!</f>
        <v>#REF!</v>
      </c>
      <c r="R137" s="1" t="e">
        <f>Tabla32[[#This Row],[ENVIAR]]-#REF!</f>
        <v>#REF!</v>
      </c>
      <c r="S137" s="1" t="e">
        <f>Tabla32[[#This Row],[COPIAR]]-#REF!</f>
        <v>#REF!</v>
      </c>
    </row>
    <row r="138" spans="1:19" x14ac:dyDescent="0.25">
      <c r="A138" t="s">
        <v>67</v>
      </c>
      <c r="B138" t="s">
        <v>184</v>
      </c>
      <c r="C138">
        <v>199</v>
      </c>
      <c r="D138">
        <v>0</v>
      </c>
      <c r="E138">
        <v>0</v>
      </c>
      <c r="F138">
        <v>0</v>
      </c>
      <c r="G138">
        <v>0</v>
      </c>
      <c r="H138">
        <v>109</v>
      </c>
      <c r="I138">
        <v>23</v>
      </c>
      <c r="K138" t="s">
        <v>67</v>
      </c>
      <c r="L138" t="s">
        <v>184</v>
      </c>
      <c r="M138" s="1" t="e">
        <f>Tabla32[[#This Row],[BN CARTA]]-#REF!</f>
        <v>#REF!</v>
      </c>
      <c r="N138" s="1" t="e">
        <f>Tabla32[[#This Row],[BN OFICIO]]-#REF!</f>
        <v>#REF!</v>
      </c>
      <c r="O138" s="1" t="e">
        <f>Tabla32[[#This Row],[BN DC]]-#REF!</f>
        <v>#REF!</v>
      </c>
      <c r="P138" s="1" t="e">
        <f>Tabla32[[#This Row],[COLOR CARTA]]-#REF!</f>
        <v>#REF!</v>
      </c>
      <c r="Q138" s="1" t="e">
        <f>Tabla32[[#This Row],[COLOR OFICIO]]-#REF!</f>
        <v>#REF!</v>
      </c>
      <c r="R138" s="1" t="e">
        <f>Tabla32[[#This Row],[ENVIAR]]-#REF!</f>
        <v>#REF!</v>
      </c>
      <c r="S138" s="1" t="e">
        <f>Tabla32[[#This Row],[COPIAR]]-#REF!</f>
        <v>#REF!</v>
      </c>
    </row>
    <row r="139" spans="1:19" x14ac:dyDescent="0.25">
      <c r="A139" t="s">
        <v>185</v>
      </c>
      <c r="B139" t="s">
        <v>186</v>
      </c>
      <c r="C139">
        <v>1354</v>
      </c>
      <c r="D139">
        <v>0</v>
      </c>
      <c r="E139">
        <v>0</v>
      </c>
      <c r="F139">
        <v>0</v>
      </c>
      <c r="G139">
        <v>0</v>
      </c>
      <c r="H139">
        <v>651</v>
      </c>
      <c r="I139">
        <v>62</v>
      </c>
      <c r="K139" t="s">
        <v>185</v>
      </c>
      <c r="L139" t="s">
        <v>186</v>
      </c>
      <c r="M139" s="1" t="e">
        <f>Tabla32[[#This Row],[BN CARTA]]-#REF!</f>
        <v>#REF!</v>
      </c>
      <c r="N139" s="1" t="e">
        <f>Tabla32[[#This Row],[BN OFICIO]]-#REF!</f>
        <v>#REF!</v>
      </c>
      <c r="O139" s="1" t="e">
        <f>Tabla32[[#This Row],[BN DC]]-#REF!</f>
        <v>#REF!</v>
      </c>
      <c r="P139" s="1" t="e">
        <f>Tabla32[[#This Row],[COLOR CARTA]]-#REF!</f>
        <v>#REF!</v>
      </c>
      <c r="Q139" s="1" t="e">
        <f>Tabla32[[#This Row],[COLOR OFICIO]]-#REF!</f>
        <v>#REF!</v>
      </c>
      <c r="R139" s="1" t="e">
        <f>Tabla32[[#This Row],[ENVIAR]]-#REF!</f>
        <v>#REF!</v>
      </c>
      <c r="S139" s="1" t="e">
        <f>Tabla32[[#This Row],[COPIAR]]-#REF!</f>
        <v>#REF!</v>
      </c>
    </row>
    <row r="140" spans="1:19" x14ac:dyDescent="0.25">
      <c r="A140" t="s">
        <v>10</v>
      </c>
      <c r="B140" t="s">
        <v>187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K140" t="s">
        <v>10</v>
      </c>
      <c r="L140" t="s">
        <v>187</v>
      </c>
      <c r="M140" s="1" t="e">
        <f>Tabla32[[#This Row],[BN CARTA]]-#REF!</f>
        <v>#REF!</v>
      </c>
      <c r="N140" s="1" t="e">
        <f>Tabla32[[#This Row],[BN OFICIO]]-#REF!</f>
        <v>#REF!</v>
      </c>
      <c r="O140" s="1" t="e">
        <f>Tabla32[[#This Row],[BN DC]]-#REF!</f>
        <v>#REF!</v>
      </c>
      <c r="P140" s="1" t="e">
        <f>Tabla32[[#This Row],[COLOR CARTA]]-#REF!</f>
        <v>#REF!</v>
      </c>
      <c r="Q140" s="1" t="e">
        <f>Tabla32[[#This Row],[COLOR OFICIO]]-#REF!</f>
        <v>#REF!</v>
      </c>
      <c r="R140" s="1" t="e">
        <f>Tabla32[[#This Row],[ENVIAR]]-#REF!</f>
        <v>#REF!</v>
      </c>
      <c r="S140" s="1" t="e">
        <f>Tabla32[[#This Row],[COPIAR]]-#REF!</f>
        <v>#REF!</v>
      </c>
    </row>
    <row r="141" spans="1:19" x14ac:dyDescent="0.25">
      <c r="A141" t="s">
        <v>188</v>
      </c>
      <c r="B141" t="s">
        <v>189</v>
      </c>
      <c r="C141">
        <v>2463</v>
      </c>
      <c r="D141">
        <v>1</v>
      </c>
      <c r="E141">
        <v>0</v>
      </c>
      <c r="F141">
        <v>0</v>
      </c>
      <c r="G141">
        <v>0</v>
      </c>
      <c r="H141">
        <v>76</v>
      </c>
      <c r="I141">
        <v>119</v>
      </c>
      <c r="K141" t="s">
        <v>188</v>
      </c>
      <c r="L141" t="s">
        <v>189</v>
      </c>
      <c r="M141" s="1" t="e">
        <f>Tabla32[[#This Row],[BN CARTA]]-#REF!</f>
        <v>#REF!</v>
      </c>
      <c r="N141" s="1" t="e">
        <f>Tabla32[[#This Row],[BN OFICIO]]-#REF!</f>
        <v>#REF!</v>
      </c>
      <c r="O141" s="1" t="e">
        <f>Tabla32[[#This Row],[BN DC]]-#REF!</f>
        <v>#REF!</v>
      </c>
      <c r="P141" s="1" t="e">
        <f>Tabla32[[#This Row],[COLOR CARTA]]-#REF!</f>
        <v>#REF!</v>
      </c>
      <c r="Q141" s="1" t="e">
        <f>Tabla32[[#This Row],[COLOR OFICIO]]-#REF!</f>
        <v>#REF!</v>
      </c>
      <c r="R141" s="1" t="e">
        <f>Tabla32[[#This Row],[ENVIAR]]-#REF!</f>
        <v>#REF!</v>
      </c>
      <c r="S141" s="1" t="e">
        <f>Tabla32[[#This Row],[COPIAR]]-#REF!</f>
        <v>#REF!</v>
      </c>
    </row>
    <row r="142" spans="1:19" x14ac:dyDescent="0.25">
      <c r="A142" t="s">
        <v>83</v>
      </c>
      <c r="B142" t="s">
        <v>190</v>
      </c>
      <c r="C142">
        <v>824</v>
      </c>
      <c r="D142">
        <v>0</v>
      </c>
      <c r="E142">
        <v>0</v>
      </c>
      <c r="F142">
        <v>0</v>
      </c>
      <c r="G142">
        <v>0</v>
      </c>
      <c r="H142">
        <v>141</v>
      </c>
      <c r="I142">
        <v>5</v>
      </c>
      <c r="K142" t="s">
        <v>83</v>
      </c>
      <c r="L142" t="s">
        <v>190</v>
      </c>
      <c r="M142" s="1" t="e">
        <f>Tabla32[[#This Row],[BN CARTA]]-#REF!</f>
        <v>#REF!</v>
      </c>
      <c r="N142" s="1" t="e">
        <f>Tabla32[[#This Row],[BN OFICIO]]-#REF!</f>
        <v>#REF!</v>
      </c>
      <c r="O142" s="1" t="e">
        <f>Tabla32[[#This Row],[BN DC]]-#REF!</f>
        <v>#REF!</v>
      </c>
      <c r="P142" s="1" t="e">
        <f>Tabla32[[#This Row],[COLOR CARTA]]-#REF!</f>
        <v>#REF!</v>
      </c>
      <c r="Q142" s="1" t="e">
        <f>Tabla32[[#This Row],[COLOR OFICIO]]-#REF!</f>
        <v>#REF!</v>
      </c>
      <c r="R142" s="1" t="e">
        <f>Tabla32[[#This Row],[ENVIAR]]-#REF!</f>
        <v>#REF!</v>
      </c>
      <c r="S142" s="1" t="e">
        <f>Tabla32[[#This Row],[COPIAR]]-#REF!</f>
        <v>#REF!</v>
      </c>
    </row>
    <row r="143" spans="1:19" x14ac:dyDescent="0.25">
      <c r="A143" t="s">
        <v>76</v>
      </c>
      <c r="B143" t="s">
        <v>191</v>
      </c>
      <c r="C143">
        <v>2004</v>
      </c>
      <c r="D143">
        <v>0</v>
      </c>
      <c r="E143">
        <v>0</v>
      </c>
      <c r="F143">
        <v>0</v>
      </c>
      <c r="G143">
        <v>0</v>
      </c>
      <c r="H143">
        <v>14</v>
      </c>
      <c r="I143">
        <v>341</v>
      </c>
      <c r="K143" t="s">
        <v>76</v>
      </c>
      <c r="L143" t="s">
        <v>191</v>
      </c>
      <c r="M143" s="1" t="e">
        <f>Tabla32[[#This Row],[BN CARTA]]-#REF!</f>
        <v>#REF!</v>
      </c>
      <c r="N143" s="1" t="e">
        <f>Tabla32[[#This Row],[BN OFICIO]]-#REF!</f>
        <v>#REF!</v>
      </c>
      <c r="O143" s="1" t="e">
        <f>Tabla32[[#This Row],[BN DC]]-#REF!</f>
        <v>#REF!</v>
      </c>
      <c r="P143" s="1" t="e">
        <f>Tabla32[[#This Row],[COLOR CARTA]]-#REF!</f>
        <v>#REF!</v>
      </c>
      <c r="Q143" s="1" t="e">
        <f>Tabla32[[#This Row],[COLOR OFICIO]]-#REF!</f>
        <v>#REF!</v>
      </c>
      <c r="R143" s="1" t="e">
        <f>Tabla32[[#This Row],[ENVIAR]]-#REF!</f>
        <v>#REF!</v>
      </c>
      <c r="S143" s="1" t="e">
        <f>Tabla32[[#This Row],[COPIAR]]-#REF!</f>
        <v>#REF!</v>
      </c>
    </row>
    <row r="144" spans="1:19" x14ac:dyDescent="0.25">
      <c r="A144" t="s">
        <v>101</v>
      </c>
      <c r="B144" t="s">
        <v>192</v>
      </c>
      <c r="C144">
        <v>1447</v>
      </c>
      <c r="D144">
        <v>0</v>
      </c>
      <c r="E144">
        <v>0</v>
      </c>
      <c r="F144">
        <v>0</v>
      </c>
      <c r="G144">
        <v>0</v>
      </c>
      <c r="H144">
        <v>472</v>
      </c>
      <c r="I144">
        <v>175</v>
      </c>
      <c r="K144" t="s">
        <v>101</v>
      </c>
      <c r="L144" t="s">
        <v>192</v>
      </c>
      <c r="M144" s="1" t="e">
        <f>Tabla32[[#This Row],[BN CARTA]]-#REF!</f>
        <v>#REF!</v>
      </c>
      <c r="N144" s="1" t="e">
        <f>Tabla32[[#This Row],[BN OFICIO]]-#REF!</f>
        <v>#REF!</v>
      </c>
      <c r="O144" s="1" t="e">
        <f>Tabla32[[#This Row],[BN DC]]-#REF!</f>
        <v>#REF!</v>
      </c>
      <c r="P144" s="1" t="e">
        <f>Tabla32[[#This Row],[COLOR CARTA]]-#REF!</f>
        <v>#REF!</v>
      </c>
      <c r="Q144" s="1" t="e">
        <f>Tabla32[[#This Row],[COLOR OFICIO]]-#REF!</f>
        <v>#REF!</v>
      </c>
      <c r="R144" s="1" t="e">
        <f>Tabla32[[#This Row],[ENVIAR]]-#REF!</f>
        <v>#REF!</v>
      </c>
      <c r="S144" s="1" t="e">
        <f>Tabla32[[#This Row],[COPIAR]]-#REF!</f>
        <v>#REF!</v>
      </c>
    </row>
    <row r="145" spans="1:19" x14ac:dyDescent="0.25">
      <c r="A145" t="s">
        <v>10</v>
      </c>
      <c r="B145" t="s">
        <v>193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K145" t="s">
        <v>10</v>
      </c>
      <c r="L145" t="s">
        <v>193</v>
      </c>
      <c r="M145" s="1" t="e">
        <f>Tabla32[[#This Row],[BN CARTA]]-#REF!</f>
        <v>#REF!</v>
      </c>
      <c r="N145" s="1" t="e">
        <f>Tabla32[[#This Row],[BN OFICIO]]-#REF!</f>
        <v>#REF!</v>
      </c>
      <c r="O145" s="1" t="e">
        <f>Tabla32[[#This Row],[BN DC]]-#REF!</f>
        <v>#REF!</v>
      </c>
      <c r="P145" s="1" t="e">
        <f>Tabla32[[#This Row],[COLOR CARTA]]-#REF!</f>
        <v>#REF!</v>
      </c>
      <c r="Q145" s="1" t="e">
        <f>Tabla32[[#This Row],[COLOR OFICIO]]-#REF!</f>
        <v>#REF!</v>
      </c>
      <c r="R145" s="1" t="e">
        <f>Tabla32[[#This Row],[ENVIAR]]-#REF!</f>
        <v>#REF!</v>
      </c>
      <c r="S145" s="1" t="e">
        <f>Tabla32[[#This Row],[COPIAR]]-#REF!</f>
        <v>#REF!</v>
      </c>
    </row>
    <row r="146" spans="1:19" x14ac:dyDescent="0.25">
      <c r="A146" t="s">
        <v>10</v>
      </c>
      <c r="B146" t="s">
        <v>194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K146" t="s">
        <v>10</v>
      </c>
      <c r="L146" t="s">
        <v>194</v>
      </c>
      <c r="M146" s="1" t="e">
        <f>Tabla32[[#This Row],[BN CARTA]]-#REF!</f>
        <v>#REF!</v>
      </c>
      <c r="N146" s="1" t="e">
        <f>Tabla32[[#This Row],[BN OFICIO]]-#REF!</f>
        <v>#REF!</v>
      </c>
      <c r="O146" s="1" t="e">
        <f>Tabla32[[#This Row],[BN DC]]-#REF!</f>
        <v>#REF!</v>
      </c>
      <c r="P146" s="1" t="e">
        <f>Tabla32[[#This Row],[COLOR CARTA]]-#REF!</f>
        <v>#REF!</v>
      </c>
      <c r="Q146" s="1" t="e">
        <f>Tabla32[[#This Row],[COLOR OFICIO]]-#REF!</f>
        <v>#REF!</v>
      </c>
      <c r="R146" s="1" t="e">
        <f>Tabla32[[#This Row],[ENVIAR]]-#REF!</f>
        <v>#REF!</v>
      </c>
      <c r="S146" s="1" t="e">
        <f>Tabla32[[#This Row],[COPIAR]]-#REF!</f>
        <v>#REF!</v>
      </c>
    </row>
    <row r="147" spans="1:19" x14ac:dyDescent="0.25">
      <c r="A147" t="s">
        <v>76</v>
      </c>
      <c r="B147" t="s">
        <v>195</v>
      </c>
      <c r="C147">
        <v>427</v>
      </c>
      <c r="D147">
        <v>0</v>
      </c>
      <c r="E147">
        <v>0</v>
      </c>
      <c r="F147">
        <v>0</v>
      </c>
      <c r="G147">
        <v>0</v>
      </c>
      <c r="H147">
        <v>584</v>
      </c>
      <c r="I147">
        <v>151</v>
      </c>
      <c r="K147" t="s">
        <v>76</v>
      </c>
      <c r="L147" t="s">
        <v>195</v>
      </c>
      <c r="M147" s="1" t="e">
        <f>Tabla32[[#This Row],[BN CARTA]]-#REF!</f>
        <v>#REF!</v>
      </c>
      <c r="N147" s="1" t="e">
        <f>Tabla32[[#This Row],[BN OFICIO]]-#REF!</f>
        <v>#REF!</v>
      </c>
      <c r="O147" s="1" t="e">
        <f>Tabla32[[#This Row],[BN DC]]-#REF!</f>
        <v>#REF!</v>
      </c>
      <c r="P147" s="1" t="e">
        <f>Tabla32[[#This Row],[COLOR CARTA]]-#REF!</f>
        <v>#REF!</v>
      </c>
      <c r="Q147" s="1" t="e">
        <f>Tabla32[[#This Row],[COLOR OFICIO]]-#REF!</f>
        <v>#REF!</v>
      </c>
      <c r="R147" s="1" t="e">
        <f>Tabla32[[#This Row],[ENVIAR]]-#REF!</f>
        <v>#REF!</v>
      </c>
      <c r="S147" s="1" t="e">
        <f>Tabla32[[#This Row],[COPIAR]]-#REF!</f>
        <v>#REF!</v>
      </c>
    </row>
    <row r="148" spans="1:19" x14ac:dyDescent="0.25">
      <c r="A148" t="s">
        <v>10</v>
      </c>
      <c r="B148" t="s">
        <v>196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K148" t="s">
        <v>10</v>
      </c>
      <c r="L148" t="s">
        <v>196</v>
      </c>
      <c r="M148" s="1" t="e">
        <f>Tabla32[[#This Row],[BN CARTA]]-#REF!</f>
        <v>#REF!</v>
      </c>
      <c r="N148" s="1" t="e">
        <f>Tabla32[[#This Row],[BN OFICIO]]-#REF!</f>
        <v>#REF!</v>
      </c>
      <c r="O148" s="1" t="e">
        <f>Tabla32[[#This Row],[BN DC]]-#REF!</f>
        <v>#REF!</v>
      </c>
      <c r="P148" s="1" t="e">
        <f>Tabla32[[#This Row],[COLOR CARTA]]-#REF!</f>
        <v>#REF!</v>
      </c>
      <c r="Q148" s="1" t="e">
        <f>Tabla32[[#This Row],[COLOR OFICIO]]-#REF!</f>
        <v>#REF!</v>
      </c>
      <c r="R148" s="1" t="e">
        <f>Tabla32[[#This Row],[ENVIAR]]-#REF!</f>
        <v>#REF!</v>
      </c>
      <c r="S148" s="1" t="e">
        <f>Tabla32[[#This Row],[COPIAR]]-#REF!</f>
        <v>#REF!</v>
      </c>
    </row>
    <row r="149" spans="1:19" x14ac:dyDescent="0.25">
      <c r="A149" t="s">
        <v>10</v>
      </c>
      <c r="B149" t="s">
        <v>197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K149" t="s">
        <v>10</v>
      </c>
      <c r="L149" t="s">
        <v>197</v>
      </c>
      <c r="M149" s="1" t="e">
        <f>Tabla32[[#This Row],[BN CARTA]]-#REF!</f>
        <v>#REF!</v>
      </c>
      <c r="N149" s="1" t="e">
        <f>Tabla32[[#This Row],[BN OFICIO]]-#REF!</f>
        <v>#REF!</v>
      </c>
      <c r="O149" s="1" t="e">
        <f>Tabla32[[#This Row],[BN DC]]-#REF!</f>
        <v>#REF!</v>
      </c>
      <c r="P149" s="1" t="e">
        <f>Tabla32[[#This Row],[COLOR CARTA]]-#REF!</f>
        <v>#REF!</v>
      </c>
      <c r="Q149" s="1" t="e">
        <f>Tabla32[[#This Row],[COLOR OFICIO]]-#REF!</f>
        <v>#REF!</v>
      </c>
      <c r="R149" s="1" t="e">
        <f>Tabla32[[#This Row],[ENVIAR]]-#REF!</f>
        <v>#REF!</v>
      </c>
      <c r="S149" s="1" t="e">
        <f>Tabla32[[#This Row],[COPIAR]]-#REF!</f>
        <v>#REF!</v>
      </c>
    </row>
    <row r="150" spans="1:19" x14ac:dyDescent="0.25">
      <c r="A150" t="s">
        <v>10</v>
      </c>
      <c r="B150" t="s">
        <v>198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K150" t="s">
        <v>10</v>
      </c>
      <c r="L150" t="s">
        <v>198</v>
      </c>
      <c r="M150" s="1" t="e">
        <f>Tabla32[[#This Row],[BN CARTA]]-#REF!</f>
        <v>#REF!</v>
      </c>
      <c r="N150" s="1" t="e">
        <f>Tabla32[[#This Row],[BN OFICIO]]-#REF!</f>
        <v>#REF!</v>
      </c>
      <c r="O150" s="1" t="e">
        <f>Tabla32[[#This Row],[BN DC]]-#REF!</f>
        <v>#REF!</v>
      </c>
      <c r="P150" s="1" t="e">
        <f>Tabla32[[#This Row],[COLOR CARTA]]-#REF!</f>
        <v>#REF!</v>
      </c>
      <c r="Q150" s="1" t="e">
        <f>Tabla32[[#This Row],[COLOR OFICIO]]-#REF!</f>
        <v>#REF!</v>
      </c>
      <c r="R150" s="1" t="e">
        <f>Tabla32[[#This Row],[ENVIAR]]-#REF!</f>
        <v>#REF!</v>
      </c>
      <c r="S150" s="1" t="e">
        <f>Tabla32[[#This Row],[COPIAR]]-#REF!</f>
        <v>#REF!</v>
      </c>
    </row>
    <row r="151" spans="1:19" x14ac:dyDescent="0.25">
      <c r="A151" t="s">
        <v>69</v>
      </c>
      <c r="B151" t="s">
        <v>199</v>
      </c>
      <c r="C151">
        <v>1376</v>
      </c>
      <c r="D151">
        <v>0</v>
      </c>
      <c r="E151">
        <v>0</v>
      </c>
      <c r="F151">
        <v>0</v>
      </c>
      <c r="G151">
        <v>0</v>
      </c>
      <c r="H151">
        <v>3465</v>
      </c>
      <c r="I151">
        <v>358</v>
      </c>
      <c r="K151" t="s">
        <v>69</v>
      </c>
      <c r="L151" t="s">
        <v>199</v>
      </c>
      <c r="M151" s="1" t="e">
        <f>Tabla32[[#This Row],[BN CARTA]]-#REF!</f>
        <v>#REF!</v>
      </c>
      <c r="N151" s="1" t="e">
        <f>Tabla32[[#This Row],[BN OFICIO]]-#REF!</f>
        <v>#REF!</v>
      </c>
      <c r="O151" s="1" t="e">
        <f>Tabla32[[#This Row],[BN DC]]-#REF!</f>
        <v>#REF!</v>
      </c>
      <c r="P151" s="1" t="e">
        <f>Tabla32[[#This Row],[COLOR CARTA]]-#REF!</f>
        <v>#REF!</v>
      </c>
      <c r="Q151" s="1" t="e">
        <f>Tabla32[[#This Row],[COLOR OFICIO]]-#REF!</f>
        <v>#REF!</v>
      </c>
      <c r="R151" s="1" t="e">
        <f>Tabla32[[#This Row],[ENVIAR]]-#REF!</f>
        <v>#REF!</v>
      </c>
      <c r="S151" s="1" t="e">
        <f>Tabla32[[#This Row],[COPIAR]]-#REF!</f>
        <v>#REF!</v>
      </c>
    </row>
    <row r="152" spans="1:19" x14ac:dyDescent="0.25">
      <c r="A152" t="s">
        <v>76</v>
      </c>
      <c r="B152" t="s">
        <v>200</v>
      </c>
      <c r="C152">
        <v>1737</v>
      </c>
      <c r="D152">
        <v>1</v>
      </c>
      <c r="E152">
        <v>0</v>
      </c>
      <c r="F152">
        <v>0</v>
      </c>
      <c r="G152">
        <v>0</v>
      </c>
      <c r="H152">
        <v>898</v>
      </c>
      <c r="I152">
        <v>338</v>
      </c>
      <c r="K152" t="s">
        <v>76</v>
      </c>
      <c r="L152" t="s">
        <v>200</v>
      </c>
      <c r="M152" s="1" t="e">
        <f>Tabla32[[#This Row],[BN CARTA]]-#REF!</f>
        <v>#REF!</v>
      </c>
      <c r="N152" s="1" t="e">
        <f>Tabla32[[#This Row],[BN OFICIO]]-#REF!</f>
        <v>#REF!</v>
      </c>
      <c r="O152" s="1" t="e">
        <f>Tabla32[[#This Row],[BN DC]]-#REF!</f>
        <v>#REF!</v>
      </c>
      <c r="P152" s="1" t="e">
        <f>Tabla32[[#This Row],[COLOR CARTA]]-#REF!</f>
        <v>#REF!</v>
      </c>
      <c r="Q152" s="1" t="e">
        <f>Tabla32[[#This Row],[COLOR OFICIO]]-#REF!</f>
        <v>#REF!</v>
      </c>
      <c r="R152" s="1" t="e">
        <f>Tabla32[[#This Row],[ENVIAR]]-#REF!</f>
        <v>#REF!</v>
      </c>
      <c r="S152" s="1" t="e">
        <f>Tabla32[[#This Row],[COPIAR]]-#REF!</f>
        <v>#REF!</v>
      </c>
    </row>
    <row r="153" spans="1:19" x14ac:dyDescent="0.25">
      <c r="A153" t="s">
        <v>120</v>
      </c>
      <c r="B153" t="s">
        <v>201</v>
      </c>
      <c r="C153">
        <v>669</v>
      </c>
      <c r="D153">
        <v>100</v>
      </c>
      <c r="E153">
        <v>0</v>
      </c>
      <c r="F153">
        <v>0</v>
      </c>
      <c r="G153">
        <v>0</v>
      </c>
      <c r="H153">
        <v>564</v>
      </c>
      <c r="I153">
        <v>119</v>
      </c>
      <c r="K153" t="s">
        <v>120</v>
      </c>
      <c r="L153" t="s">
        <v>201</v>
      </c>
      <c r="M153" s="1" t="e">
        <f>Tabla32[[#This Row],[BN CARTA]]-#REF!</f>
        <v>#REF!</v>
      </c>
      <c r="N153" s="1" t="e">
        <f>Tabla32[[#This Row],[BN OFICIO]]-#REF!</f>
        <v>#REF!</v>
      </c>
      <c r="O153" s="1" t="e">
        <f>Tabla32[[#This Row],[BN DC]]-#REF!</f>
        <v>#REF!</v>
      </c>
      <c r="P153" s="1" t="e">
        <f>Tabla32[[#This Row],[COLOR CARTA]]-#REF!</f>
        <v>#REF!</v>
      </c>
      <c r="Q153" s="1" t="e">
        <f>Tabla32[[#This Row],[COLOR OFICIO]]-#REF!</f>
        <v>#REF!</v>
      </c>
      <c r="R153" s="1" t="e">
        <f>Tabla32[[#This Row],[ENVIAR]]-#REF!</f>
        <v>#REF!</v>
      </c>
      <c r="S153" s="1" t="e">
        <f>Tabla32[[#This Row],[COPIAR]]-#REF!</f>
        <v>#REF!</v>
      </c>
    </row>
    <row r="154" spans="1:19" x14ac:dyDescent="0.25">
      <c r="A154" t="s">
        <v>10</v>
      </c>
      <c r="B154" t="s">
        <v>202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K154" t="s">
        <v>10</v>
      </c>
      <c r="L154" t="s">
        <v>202</v>
      </c>
      <c r="M154" s="1" t="e">
        <f>Tabla32[[#This Row],[BN CARTA]]-#REF!</f>
        <v>#REF!</v>
      </c>
      <c r="N154" s="1" t="e">
        <f>Tabla32[[#This Row],[BN OFICIO]]-#REF!</f>
        <v>#REF!</v>
      </c>
      <c r="O154" s="1" t="e">
        <f>Tabla32[[#This Row],[BN DC]]-#REF!</f>
        <v>#REF!</v>
      </c>
      <c r="P154" s="1" t="e">
        <f>Tabla32[[#This Row],[COLOR CARTA]]-#REF!</f>
        <v>#REF!</v>
      </c>
      <c r="Q154" s="1" t="e">
        <f>Tabla32[[#This Row],[COLOR OFICIO]]-#REF!</f>
        <v>#REF!</v>
      </c>
      <c r="R154" s="1" t="e">
        <f>Tabla32[[#This Row],[ENVIAR]]-#REF!</f>
        <v>#REF!</v>
      </c>
      <c r="S154" s="1" t="e">
        <f>Tabla32[[#This Row],[COPIAR]]-#REF!</f>
        <v>#REF!</v>
      </c>
    </row>
    <row r="155" spans="1:19" x14ac:dyDescent="0.25">
      <c r="A155" t="s">
        <v>10</v>
      </c>
      <c r="B155" t="s">
        <v>203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K155" t="s">
        <v>10</v>
      </c>
      <c r="L155" t="s">
        <v>203</v>
      </c>
      <c r="M155" s="1" t="e">
        <f>Tabla32[[#This Row],[BN CARTA]]-#REF!</f>
        <v>#REF!</v>
      </c>
      <c r="N155" s="1" t="e">
        <f>Tabla32[[#This Row],[BN OFICIO]]-#REF!</f>
        <v>#REF!</v>
      </c>
      <c r="O155" s="1" t="e">
        <f>Tabla32[[#This Row],[BN DC]]-#REF!</f>
        <v>#REF!</v>
      </c>
      <c r="P155" s="1" t="e">
        <f>Tabla32[[#This Row],[COLOR CARTA]]-#REF!</f>
        <v>#REF!</v>
      </c>
      <c r="Q155" s="1" t="e">
        <f>Tabla32[[#This Row],[COLOR OFICIO]]-#REF!</f>
        <v>#REF!</v>
      </c>
      <c r="R155" s="1" t="e">
        <f>Tabla32[[#This Row],[ENVIAR]]-#REF!</f>
        <v>#REF!</v>
      </c>
      <c r="S155" s="1" t="e">
        <f>Tabla32[[#This Row],[COPIAR]]-#REF!</f>
        <v>#REF!</v>
      </c>
    </row>
    <row r="156" spans="1:19" x14ac:dyDescent="0.25">
      <c r="A156" t="s">
        <v>72</v>
      </c>
      <c r="B156" t="s">
        <v>204</v>
      </c>
      <c r="C156">
        <v>901</v>
      </c>
      <c r="D156">
        <v>0</v>
      </c>
      <c r="E156">
        <v>0</v>
      </c>
      <c r="F156">
        <v>0</v>
      </c>
      <c r="G156">
        <v>0</v>
      </c>
      <c r="H156">
        <v>43</v>
      </c>
      <c r="I156">
        <v>133</v>
      </c>
      <c r="K156" t="s">
        <v>72</v>
      </c>
      <c r="L156" t="s">
        <v>204</v>
      </c>
      <c r="M156" s="1" t="e">
        <f>Tabla32[[#This Row],[BN CARTA]]-#REF!</f>
        <v>#REF!</v>
      </c>
      <c r="N156" s="1" t="e">
        <f>Tabla32[[#This Row],[BN OFICIO]]-#REF!</f>
        <v>#REF!</v>
      </c>
      <c r="O156" s="1" t="e">
        <f>Tabla32[[#This Row],[BN DC]]-#REF!</f>
        <v>#REF!</v>
      </c>
      <c r="P156" s="1" t="e">
        <f>Tabla32[[#This Row],[COLOR CARTA]]-#REF!</f>
        <v>#REF!</v>
      </c>
      <c r="Q156" s="1" t="e">
        <f>Tabla32[[#This Row],[COLOR OFICIO]]-#REF!</f>
        <v>#REF!</v>
      </c>
      <c r="R156" s="1" t="e">
        <f>Tabla32[[#This Row],[ENVIAR]]-#REF!</f>
        <v>#REF!</v>
      </c>
      <c r="S156" s="1" t="e">
        <f>Tabla32[[#This Row],[COPIAR]]-#REF!</f>
        <v>#REF!</v>
      </c>
    </row>
    <row r="157" spans="1:19" x14ac:dyDescent="0.25">
      <c r="A157" t="s">
        <v>76</v>
      </c>
      <c r="B157" t="s">
        <v>205</v>
      </c>
      <c r="C157">
        <v>1172</v>
      </c>
      <c r="D157">
        <v>0</v>
      </c>
      <c r="E157">
        <v>0</v>
      </c>
      <c r="F157">
        <v>0</v>
      </c>
      <c r="G157">
        <v>0</v>
      </c>
      <c r="H157">
        <v>601</v>
      </c>
      <c r="I157">
        <v>423</v>
      </c>
      <c r="K157" t="s">
        <v>76</v>
      </c>
      <c r="L157" t="s">
        <v>205</v>
      </c>
      <c r="M157" s="1" t="e">
        <f>Tabla32[[#This Row],[BN CARTA]]-#REF!</f>
        <v>#REF!</v>
      </c>
      <c r="N157" s="1" t="e">
        <f>Tabla32[[#This Row],[BN OFICIO]]-#REF!</f>
        <v>#REF!</v>
      </c>
      <c r="O157" s="1" t="e">
        <f>Tabla32[[#This Row],[BN DC]]-#REF!</f>
        <v>#REF!</v>
      </c>
      <c r="P157" s="1" t="e">
        <f>Tabla32[[#This Row],[COLOR CARTA]]-#REF!</f>
        <v>#REF!</v>
      </c>
      <c r="Q157" s="1" t="e">
        <f>Tabla32[[#This Row],[COLOR OFICIO]]-#REF!</f>
        <v>#REF!</v>
      </c>
      <c r="R157" s="1" t="e">
        <f>Tabla32[[#This Row],[ENVIAR]]-#REF!</f>
        <v>#REF!</v>
      </c>
      <c r="S157" s="1" t="e">
        <f>Tabla32[[#This Row],[COPIAR]]-#REF!</f>
        <v>#REF!</v>
      </c>
    </row>
    <row r="158" spans="1:19" x14ac:dyDescent="0.25">
      <c r="A158" t="s">
        <v>131</v>
      </c>
      <c r="B158" t="s">
        <v>206</v>
      </c>
      <c r="C158">
        <v>92</v>
      </c>
      <c r="D158">
        <v>0</v>
      </c>
      <c r="E158">
        <v>0</v>
      </c>
      <c r="F158">
        <v>0</v>
      </c>
      <c r="G158">
        <v>0</v>
      </c>
      <c r="H158">
        <v>128</v>
      </c>
      <c r="I158">
        <v>11</v>
      </c>
      <c r="K158" t="s">
        <v>131</v>
      </c>
      <c r="L158" t="s">
        <v>206</v>
      </c>
      <c r="M158" s="1" t="e">
        <f>Tabla32[[#This Row],[BN CARTA]]-#REF!</f>
        <v>#REF!</v>
      </c>
      <c r="N158" s="1" t="e">
        <f>Tabla32[[#This Row],[BN OFICIO]]-#REF!</f>
        <v>#REF!</v>
      </c>
      <c r="O158" s="1" t="e">
        <f>Tabla32[[#This Row],[BN DC]]-#REF!</f>
        <v>#REF!</v>
      </c>
      <c r="P158" s="1" t="e">
        <f>Tabla32[[#This Row],[COLOR CARTA]]-#REF!</f>
        <v>#REF!</v>
      </c>
      <c r="Q158" s="1" t="e">
        <f>Tabla32[[#This Row],[COLOR OFICIO]]-#REF!</f>
        <v>#REF!</v>
      </c>
      <c r="R158" s="1" t="e">
        <f>Tabla32[[#This Row],[ENVIAR]]-#REF!</f>
        <v>#REF!</v>
      </c>
      <c r="S158" s="1" t="e">
        <f>Tabla32[[#This Row],[COPIAR]]-#REF!</f>
        <v>#REF!</v>
      </c>
    </row>
    <row r="159" spans="1:19" x14ac:dyDescent="0.25">
      <c r="A159" t="s">
        <v>76</v>
      </c>
      <c r="B159" t="s">
        <v>207</v>
      </c>
      <c r="C159">
        <v>3060</v>
      </c>
      <c r="D159">
        <v>0</v>
      </c>
      <c r="E159">
        <v>0</v>
      </c>
      <c r="F159">
        <v>0</v>
      </c>
      <c r="G159">
        <v>0</v>
      </c>
      <c r="H159">
        <v>93</v>
      </c>
      <c r="I159">
        <v>1230</v>
      </c>
      <c r="K159" t="s">
        <v>76</v>
      </c>
      <c r="L159" t="s">
        <v>207</v>
      </c>
      <c r="M159" s="1" t="e">
        <f>Tabla32[[#This Row],[BN CARTA]]-#REF!</f>
        <v>#REF!</v>
      </c>
      <c r="N159" s="1" t="e">
        <f>Tabla32[[#This Row],[BN OFICIO]]-#REF!</f>
        <v>#REF!</v>
      </c>
      <c r="O159" s="1" t="e">
        <f>Tabla32[[#This Row],[BN DC]]-#REF!</f>
        <v>#REF!</v>
      </c>
      <c r="P159" s="1" t="e">
        <f>Tabla32[[#This Row],[COLOR CARTA]]-#REF!</f>
        <v>#REF!</v>
      </c>
      <c r="Q159" s="1" t="e">
        <f>Tabla32[[#This Row],[COLOR OFICIO]]-#REF!</f>
        <v>#REF!</v>
      </c>
      <c r="R159" s="1" t="e">
        <f>Tabla32[[#This Row],[ENVIAR]]-#REF!</f>
        <v>#REF!</v>
      </c>
      <c r="S159" s="1" t="e">
        <f>Tabla32[[#This Row],[COPIAR]]-#REF!</f>
        <v>#REF!</v>
      </c>
    </row>
    <row r="160" spans="1:19" x14ac:dyDescent="0.25">
      <c r="A160" t="s">
        <v>10</v>
      </c>
      <c r="B160" t="s">
        <v>208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K160" t="s">
        <v>10</v>
      </c>
      <c r="L160" t="s">
        <v>208</v>
      </c>
      <c r="M160" s="1" t="e">
        <f>Tabla32[[#This Row],[BN CARTA]]-#REF!</f>
        <v>#REF!</v>
      </c>
      <c r="N160" s="1" t="e">
        <f>Tabla32[[#This Row],[BN OFICIO]]-#REF!</f>
        <v>#REF!</v>
      </c>
      <c r="O160" s="1" t="e">
        <f>Tabla32[[#This Row],[BN DC]]-#REF!</f>
        <v>#REF!</v>
      </c>
      <c r="P160" s="1" t="e">
        <f>Tabla32[[#This Row],[COLOR CARTA]]-#REF!</f>
        <v>#REF!</v>
      </c>
      <c r="Q160" s="1" t="e">
        <f>Tabla32[[#This Row],[COLOR OFICIO]]-#REF!</f>
        <v>#REF!</v>
      </c>
      <c r="R160" s="1" t="e">
        <f>Tabla32[[#This Row],[ENVIAR]]-#REF!</f>
        <v>#REF!</v>
      </c>
      <c r="S160" s="1" t="e">
        <f>Tabla32[[#This Row],[COPIAR]]-#REF!</f>
        <v>#REF!</v>
      </c>
    </row>
    <row r="161" spans="1:19" x14ac:dyDescent="0.25">
      <c r="A161" t="s">
        <v>10</v>
      </c>
      <c r="B161" t="s">
        <v>209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K161" t="s">
        <v>10</v>
      </c>
      <c r="L161" t="s">
        <v>209</v>
      </c>
      <c r="M161" s="1" t="e">
        <f>Tabla32[[#This Row],[BN CARTA]]-#REF!</f>
        <v>#REF!</v>
      </c>
      <c r="N161" s="1" t="e">
        <f>Tabla32[[#This Row],[BN OFICIO]]-#REF!</f>
        <v>#REF!</v>
      </c>
      <c r="O161" s="1" t="e">
        <f>Tabla32[[#This Row],[BN DC]]-#REF!</f>
        <v>#REF!</v>
      </c>
      <c r="P161" s="1" t="e">
        <f>Tabla32[[#This Row],[COLOR CARTA]]-#REF!</f>
        <v>#REF!</v>
      </c>
      <c r="Q161" s="1" t="e">
        <f>Tabla32[[#This Row],[COLOR OFICIO]]-#REF!</f>
        <v>#REF!</v>
      </c>
      <c r="R161" s="1" t="e">
        <f>Tabla32[[#This Row],[ENVIAR]]-#REF!</f>
        <v>#REF!</v>
      </c>
      <c r="S161" s="1" t="e">
        <f>Tabla32[[#This Row],[COPIAR]]-#REF!</f>
        <v>#REF!</v>
      </c>
    </row>
    <row r="162" spans="1:19" x14ac:dyDescent="0.25">
      <c r="A162" t="s">
        <v>72</v>
      </c>
      <c r="B162" t="s">
        <v>210</v>
      </c>
      <c r="C162">
        <v>170</v>
      </c>
      <c r="D162">
        <v>0</v>
      </c>
      <c r="E162">
        <v>0</v>
      </c>
      <c r="F162">
        <v>0</v>
      </c>
      <c r="G162">
        <v>0</v>
      </c>
      <c r="H162">
        <v>79</v>
      </c>
      <c r="I162">
        <v>63</v>
      </c>
      <c r="K162" t="s">
        <v>72</v>
      </c>
      <c r="L162" t="s">
        <v>210</v>
      </c>
      <c r="M162" s="1" t="e">
        <f>Tabla32[[#This Row],[BN CARTA]]-#REF!</f>
        <v>#REF!</v>
      </c>
      <c r="N162" s="1" t="e">
        <f>Tabla32[[#This Row],[BN OFICIO]]-#REF!</f>
        <v>#REF!</v>
      </c>
      <c r="O162" s="1" t="e">
        <f>Tabla32[[#This Row],[BN DC]]-#REF!</f>
        <v>#REF!</v>
      </c>
      <c r="P162" s="1" t="e">
        <f>Tabla32[[#This Row],[COLOR CARTA]]-#REF!</f>
        <v>#REF!</v>
      </c>
      <c r="Q162" s="1" t="e">
        <f>Tabla32[[#This Row],[COLOR OFICIO]]-#REF!</f>
        <v>#REF!</v>
      </c>
      <c r="R162" s="1" t="e">
        <f>Tabla32[[#This Row],[ENVIAR]]-#REF!</f>
        <v>#REF!</v>
      </c>
      <c r="S162" s="1" t="e">
        <f>Tabla32[[#This Row],[COPIAR]]-#REF!</f>
        <v>#REF!</v>
      </c>
    </row>
    <row r="163" spans="1:19" x14ac:dyDescent="0.25">
      <c r="A163" t="s">
        <v>10</v>
      </c>
      <c r="B163" t="s">
        <v>211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K163" t="s">
        <v>10</v>
      </c>
      <c r="L163" t="s">
        <v>211</v>
      </c>
      <c r="M163" s="1" t="e">
        <f>Tabla32[[#This Row],[BN CARTA]]-#REF!</f>
        <v>#REF!</v>
      </c>
      <c r="N163" s="1" t="e">
        <f>Tabla32[[#This Row],[BN OFICIO]]-#REF!</f>
        <v>#REF!</v>
      </c>
      <c r="O163" s="1" t="e">
        <f>Tabla32[[#This Row],[BN DC]]-#REF!</f>
        <v>#REF!</v>
      </c>
      <c r="P163" s="1" t="e">
        <f>Tabla32[[#This Row],[COLOR CARTA]]-#REF!</f>
        <v>#REF!</v>
      </c>
      <c r="Q163" s="1" t="e">
        <f>Tabla32[[#This Row],[COLOR OFICIO]]-#REF!</f>
        <v>#REF!</v>
      </c>
      <c r="R163" s="1" t="e">
        <f>Tabla32[[#This Row],[ENVIAR]]-#REF!</f>
        <v>#REF!</v>
      </c>
      <c r="S163" s="1" t="e">
        <f>Tabla32[[#This Row],[COPIAR]]-#REF!</f>
        <v>#REF!</v>
      </c>
    </row>
    <row r="164" spans="1:19" x14ac:dyDescent="0.25">
      <c r="A164" t="s">
        <v>72</v>
      </c>
      <c r="B164" t="s">
        <v>212</v>
      </c>
      <c r="C164">
        <v>215</v>
      </c>
      <c r="D164">
        <v>0</v>
      </c>
      <c r="E164">
        <v>0</v>
      </c>
      <c r="F164">
        <v>0</v>
      </c>
      <c r="G164">
        <v>0</v>
      </c>
      <c r="H164">
        <v>39</v>
      </c>
      <c r="I164">
        <v>42</v>
      </c>
      <c r="K164" t="s">
        <v>72</v>
      </c>
      <c r="L164" t="s">
        <v>212</v>
      </c>
      <c r="M164" s="1" t="e">
        <f>Tabla32[[#This Row],[BN CARTA]]-#REF!</f>
        <v>#REF!</v>
      </c>
      <c r="N164" s="1" t="e">
        <f>Tabla32[[#This Row],[BN OFICIO]]-#REF!</f>
        <v>#REF!</v>
      </c>
      <c r="O164" s="1" t="e">
        <f>Tabla32[[#This Row],[BN DC]]-#REF!</f>
        <v>#REF!</v>
      </c>
      <c r="P164" s="1" t="e">
        <f>Tabla32[[#This Row],[COLOR CARTA]]-#REF!</f>
        <v>#REF!</v>
      </c>
      <c r="Q164" s="1" t="e">
        <f>Tabla32[[#This Row],[COLOR OFICIO]]-#REF!</f>
        <v>#REF!</v>
      </c>
      <c r="R164" s="1" t="e">
        <f>Tabla32[[#This Row],[ENVIAR]]-#REF!</f>
        <v>#REF!</v>
      </c>
      <c r="S164" s="1" t="e">
        <f>Tabla32[[#This Row],[COPIAR]]-#REF!</f>
        <v>#REF!</v>
      </c>
    </row>
    <row r="165" spans="1:19" x14ac:dyDescent="0.25">
      <c r="A165" t="s">
        <v>134</v>
      </c>
      <c r="B165" t="s">
        <v>213</v>
      </c>
      <c r="C165">
        <v>119</v>
      </c>
      <c r="D165">
        <v>0</v>
      </c>
      <c r="E165">
        <v>0</v>
      </c>
      <c r="F165">
        <v>0</v>
      </c>
      <c r="G165">
        <v>0</v>
      </c>
      <c r="H165">
        <v>45</v>
      </c>
      <c r="I165">
        <v>0</v>
      </c>
      <c r="K165" t="s">
        <v>134</v>
      </c>
      <c r="L165" t="s">
        <v>213</v>
      </c>
      <c r="M165" s="1" t="e">
        <f>Tabla32[[#This Row],[BN CARTA]]-#REF!</f>
        <v>#REF!</v>
      </c>
      <c r="N165" s="1" t="e">
        <f>Tabla32[[#This Row],[BN OFICIO]]-#REF!</f>
        <v>#REF!</v>
      </c>
      <c r="O165" s="1" t="e">
        <f>Tabla32[[#This Row],[BN DC]]-#REF!</f>
        <v>#REF!</v>
      </c>
      <c r="P165" s="1" t="e">
        <f>Tabla32[[#This Row],[COLOR CARTA]]-#REF!</f>
        <v>#REF!</v>
      </c>
      <c r="Q165" s="1" t="e">
        <f>Tabla32[[#This Row],[COLOR OFICIO]]-#REF!</f>
        <v>#REF!</v>
      </c>
      <c r="R165" s="1" t="e">
        <f>Tabla32[[#This Row],[ENVIAR]]-#REF!</f>
        <v>#REF!</v>
      </c>
      <c r="S165" s="1" t="e">
        <f>Tabla32[[#This Row],[COPIAR]]-#REF!</f>
        <v>#REF!</v>
      </c>
    </row>
    <row r="166" spans="1:19" x14ac:dyDescent="0.25">
      <c r="A166" t="s">
        <v>10</v>
      </c>
      <c r="B166" t="s">
        <v>214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K166" t="s">
        <v>10</v>
      </c>
      <c r="L166" t="s">
        <v>214</v>
      </c>
      <c r="M166" s="1" t="e">
        <f>Tabla32[[#This Row],[BN CARTA]]-#REF!</f>
        <v>#REF!</v>
      </c>
      <c r="N166" s="1" t="e">
        <f>Tabla32[[#This Row],[BN OFICIO]]-#REF!</f>
        <v>#REF!</v>
      </c>
      <c r="O166" s="1" t="e">
        <f>Tabla32[[#This Row],[BN DC]]-#REF!</f>
        <v>#REF!</v>
      </c>
      <c r="P166" s="1" t="e">
        <f>Tabla32[[#This Row],[COLOR CARTA]]-#REF!</f>
        <v>#REF!</v>
      </c>
      <c r="Q166" s="1" t="e">
        <f>Tabla32[[#This Row],[COLOR OFICIO]]-#REF!</f>
        <v>#REF!</v>
      </c>
      <c r="R166" s="1" t="e">
        <f>Tabla32[[#This Row],[ENVIAR]]-#REF!</f>
        <v>#REF!</v>
      </c>
      <c r="S166" s="1" t="e">
        <f>Tabla32[[#This Row],[COPIAR]]-#REF!</f>
        <v>#REF!</v>
      </c>
    </row>
    <row r="167" spans="1:19" x14ac:dyDescent="0.25">
      <c r="A167" t="s">
        <v>146</v>
      </c>
      <c r="B167" t="s">
        <v>215</v>
      </c>
      <c r="C167">
        <v>291</v>
      </c>
      <c r="D167">
        <v>0</v>
      </c>
      <c r="E167">
        <v>0</v>
      </c>
      <c r="F167">
        <v>0</v>
      </c>
      <c r="G167">
        <v>0</v>
      </c>
      <c r="H167">
        <v>2032</v>
      </c>
      <c r="I167">
        <v>78</v>
      </c>
      <c r="K167" t="s">
        <v>146</v>
      </c>
      <c r="L167" t="s">
        <v>215</v>
      </c>
      <c r="M167" s="1" t="e">
        <f>Tabla32[[#This Row],[BN CARTA]]-#REF!</f>
        <v>#REF!</v>
      </c>
      <c r="N167" s="1" t="e">
        <f>Tabla32[[#This Row],[BN OFICIO]]-#REF!</f>
        <v>#REF!</v>
      </c>
      <c r="O167" s="1" t="e">
        <f>Tabla32[[#This Row],[BN DC]]-#REF!</f>
        <v>#REF!</v>
      </c>
      <c r="P167" s="1" t="e">
        <f>Tabla32[[#This Row],[COLOR CARTA]]-#REF!</f>
        <v>#REF!</v>
      </c>
      <c r="Q167" s="1" t="e">
        <f>Tabla32[[#This Row],[COLOR OFICIO]]-#REF!</f>
        <v>#REF!</v>
      </c>
      <c r="R167" s="1" t="e">
        <f>Tabla32[[#This Row],[ENVIAR]]-#REF!</f>
        <v>#REF!</v>
      </c>
      <c r="S167" s="1" t="e">
        <f>Tabla32[[#This Row],[COPIAR]]-#REF!</f>
        <v>#REF!</v>
      </c>
    </row>
    <row r="168" spans="1:19" x14ac:dyDescent="0.25">
      <c r="A168" t="s">
        <v>138</v>
      </c>
      <c r="B168" t="s">
        <v>216</v>
      </c>
      <c r="C168">
        <v>714</v>
      </c>
      <c r="D168">
        <v>0</v>
      </c>
      <c r="E168">
        <v>0</v>
      </c>
      <c r="F168">
        <v>0</v>
      </c>
      <c r="G168">
        <v>0</v>
      </c>
      <c r="H168">
        <v>80</v>
      </c>
      <c r="I168">
        <v>54</v>
      </c>
      <c r="K168" t="s">
        <v>138</v>
      </c>
      <c r="L168" t="s">
        <v>216</v>
      </c>
      <c r="M168" s="1" t="e">
        <f>Tabla32[[#This Row],[BN CARTA]]-#REF!</f>
        <v>#REF!</v>
      </c>
      <c r="N168" s="1" t="e">
        <f>Tabla32[[#This Row],[BN OFICIO]]-#REF!</f>
        <v>#REF!</v>
      </c>
      <c r="O168" s="1" t="e">
        <f>Tabla32[[#This Row],[BN DC]]-#REF!</f>
        <v>#REF!</v>
      </c>
      <c r="P168" s="1" t="e">
        <f>Tabla32[[#This Row],[COLOR CARTA]]-#REF!</f>
        <v>#REF!</v>
      </c>
      <c r="Q168" s="1" t="e">
        <f>Tabla32[[#This Row],[COLOR OFICIO]]-#REF!</f>
        <v>#REF!</v>
      </c>
      <c r="R168" s="1" t="e">
        <f>Tabla32[[#This Row],[ENVIAR]]-#REF!</f>
        <v>#REF!</v>
      </c>
      <c r="S168" s="1" t="e">
        <f>Tabla32[[#This Row],[COPIAR]]-#REF!</f>
        <v>#REF!</v>
      </c>
    </row>
    <row r="169" spans="1:19" x14ac:dyDescent="0.25">
      <c r="A169" t="s">
        <v>10</v>
      </c>
      <c r="B169" t="s">
        <v>217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K169" t="s">
        <v>10</v>
      </c>
      <c r="L169" t="s">
        <v>217</v>
      </c>
      <c r="M169" s="1" t="e">
        <f>Tabla32[[#This Row],[BN CARTA]]-#REF!</f>
        <v>#REF!</v>
      </c>
      <c r="N169" s="1" t="e">
        <f>Tabla32[[#This Row],[BN OFICIO]]-#REF!</f>
        <v>#REF!</v>
      </c>
      <c r="O169" s="1" t="e">
        <f>Tabla32[[#This Row],[BN DC]]-#REF!</f>
        <v>#REF!</v>
      </c>
      <c r="P169" s="1" t="e">
        <f>Tabla32[[#This Row],[COLOR CARTA]]-#REF!</f>
        <v>#REF!</v>
      </c>
      <c r="Q169" s="1" t="e">
        <f>Tabla32[[#This Row],[COLOR OFICIO]]-#REF!</f>
        <v>#REF!</v>
      </c>
      <c r="R169" s="1" t="e">
        <f>Tabla32[[#This Row],[ENVIAR]]-#REF!</f>
        <v>#REF!</v>
      </c>
      <c r="S169" s="1" t="e">
        <f>Tabla32[[#This Row],[COPIAR]]-#REF!</f>
        <v>#REF!</v>
      </c>
    </row>
    <row r="170" spans="1:19" x14ac:dyDescent="0.25">
      <c r="A170" t="s">
        <v>10</v>
      </c>
      <c r="B170" t="s">
        <v>218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K170" t="s">
        <v>10</v>
      </c>
      <c r="L170" t="s">
        <v>218</v>
      </c>
      <c r="M170" s="1" t="e">
        <f>Tabla32[[#This Row],[BN CARTA]]-#REF!</f>
        <v>#REF!</v>
      </c>
      <c r="N170" s="1" t="e">
        <f>Tabla32[[#This Row],[BN OFICIO]]-#REF!</f>
        <v>#REF!</v>
      </c>
      <c r="O170" s="1" t="e">
        <f>Tabla32[[#This Row],[BN DC]]-#REF!</f>
        <v>#REF!</v>
      </c>
      <c r="P170" s="1" t="e">
        <f>Tabla32[[#This Row],[COLOR CARTA]]-#REF!</f>
        <v>#REF!</v>
      </c>
      <c r="Q170" s="1" t="e">
        <f>Tabla32[[#This Row],[COLOR OFICIO]]-#REF!</f>
        <v>#REF!</v>
      </c>
      <c r="R170" s="1" t="e">
        <f>Tabla32[[#This Row],[ENVIAR]]-#REF!</f>
        <v>#REF!</v>
      </c>
      <c r="S170" s="1" t="e">
        <f>Tabla32[[#This Row],[COPIAR]]-#REF!</f>
        <v>#REF!</v>
      </c>
    </row>
    <row r="171" spans="1:19" x14ac:dyDescent="0.25">
      <c r="A171" t="s">
        <v>10</v>
      </c>
      <c r="B171" t="s">
        <v>219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K171" t="s">
        <v>10</v>
      </c>
      <c r="L171" t="s">
        <v>219</v>
      </c>
      <c r="M171" s="1" t="e">
        <f>Tabla32[[#This Row],[BN CARTA]]-#REF!</f>
        <v>#REF!</v>
      </c>
      <c r="N171" s="1" t="e">
        <f>Tabla32[[#This Row],[BN OFICIO]]-#REF!</f>
        <v>#REF!</v>
      </c>
      <c r="O171" s="1" t="e">
        <f>Tabla32[[#This Row],[BN DC]]-#REF!</f>
        <v>#REF!</v>
      </c>
      <c r="P171" s="1" t="e">
        <f>Tabla32[[#This Row],[COLOR CARTA]]-#REF!</f>
        <v>#REF!</v>
      </c>
      <c r="Q171" s="1" t="e">
        <f>Tabla32[[#This Row],[COLOR OFICIO]]-#REF!</f>
        <v>#REF!</v>
      </c>
      <c r="R171" s="1" t="e">
        <f>Tabla32[[#This Row],[ENVIAR]]-#REF!</f>
        <v>#REF!</v>
      </c>
      <c r="S171" s="1" t="e">
        <f>Tabla32[[#This Row],[COPIAR]]-#REF!</f>
        <v>#REF!</v>
      </c>
    </row>
    <row r="172" spans="1:19" x14ac:dyDescent="0.25">
      <c r="A172" t="s">
        <v>150</v>
      </c>
      <c r="B172" t="s">
        <v>220</v>
      </c>
      <c r="C172">
        <v>18</v>
      </c>
      <c r="D172">
        <v>0</v>
      </c>
      <c r="E172">
        <v>0</v>
      </c>
      <c r="F172">
        <v>0</v>
      </c>
      <c r="G172">
        <v>0</v>
      </c>
      <c r="H172">
        <v>12</v>
      </c>
      <c r="I172">
        <v>5</v>
      </c>
      <c r="K172" t="s">
        <v>150</v>
      </c>
      <c r="L172" t="s">
        <v>220</v>
      </c>
      <c r="M172" s="1" t="e">
        <f>Tabla32[[#This Row],[BN CARTA]]-#REF!</f>
        <v>#REF!</v>
      </c>
      <c r="N172" s="1" t="e">
        <f>Tabla32[[#This Row],[BN OFICIO]]-#REF!</f>
        <v>#REF!</v>
      </c>
      <c r="O172" s="1" t="e">
        <f>Tabla32[[#This Row],[BN DC]]-#REF!</f>
        <v>#REF!</v>
      </c>
      <c r="P172" s="1" t="e">
        <f>Tabla32[[#This Row],[COLOR CARTA]]-#REF!</f>
        <v>#REF!</v>
      </c>
      <c r="Q172" s="1" t="e">
        <f>Tabla32[[#This Row],[COLOR OFICIO]]-#REF!</f>
        <v>#REF!</v>
      </c>
      <c r="R172" s="1" t="e">
        <f>Tabla32[[#This Row],[ENVIAR]]-#REF!</f>
        <v>#REF!</v>
      </c>
      <c r="S172" s="1" t="e">
        <f>Tabla32[[#This Row],[COPIAR]]-#REF!</f>
        <v>#REF!</v>
      </c>
    </row>
    <row r="173" spans="1:19" x14ac:dyDescent="0.25">
      <c r="A173" t="s">
        <v>10</v>
      </c>
      <c r="B173" t="s">
        <v>221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K173" t="s">
        <v>10</v>
      </c>
      <c r="L173" t="s">
        <v>221</v>
      </c>
      <c r="M173" s="1" t="e">
        <f>Tabla32[[#This Row],[BN CARTA]]-#REF!</f>
        <v>#REF!</v>
      </c>
      <c r="N173" s="1" t="e">
        <f>Tabla32[[#This Row],[BN OFICIO]]-#REF!</f>
        <v>#REF!</v>
      </c>
      <c r="O173" s="1" t="e">
        <f>Tabla32[[#This Row],[BN DC]]-#REF!</f>
        <v>#REF!</v>
      </c>
      <c r="P173" s="1" t="e">
        <f>Tabla32[[#This Row],[COLOR CARTA]]-#REF!</f>
        <v>#REF!</v>
      </c>
      <c r="Q173" s="1" t="e">
        <f>Tabla32[[#This Row],[COLOR OFICIO]]-#REF!</f>
        <v>#REF!</v>
      </c>
      <c r="R173" s="1" t="e">
        <f>Tabla32[[#This Row],[ENVIAR]]-#REF!</f>
        <v>#REF!</v>
      </c>
      <c r="S173" s="1" t="e">
        <f>Tabla32[[#This Row],[COPIAR]]-#REF!</f>
        <v>#REF!</v>
      </c>
    </row>
    <row r="174" spans="1:19" x14ac:dyDescent="0.25">
      <c r="A174" t="s">
        <v>120</v>
      </c>
      <c r="B174" t="s">
        <v>222</v>
      </c>
      <c r="C174">
        <v>4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K174" t="s">
        <v>120</v>
      </c>
      <c r="L174" t="s">
        <v>222</v>
      </c>
      <c r="M174" s="1" t="e">
        <f>Tabla32[[#This Row],[BN CARTA]]-#REF!</f>
        <v>#REF!</v>
      </c>
      <c r="N174" s="1" t="e">
        <f>Tabla32[[#This Row],[BN OFICIO]]-#REF!</f>
        <v>#REF!</v>
      </c>
      <c r="O174" s="1" t="e">
        <f>Tabla32[[#This Row],[BN DC]]-#REF!</f>
        <v>#REF!</v>
      </c>
      <c r="P174" s="1" t="e">
        <f>Tabla32[[#This Row],[COLOR CARTA]]-#REF!</f>
        <v>#REF!</v>
      </c>
      <c r="Q174" s="1" t="e">
        <f>Tabla32[[#This Row],[COLOR OFICIO]]-#REF!</f>
        <v>#REF!</v>
      </c>
      <c r="R174" s="1" t="e">
        <f>Tabla32[[#This Row],[ENVIAR]]-#REF!</f>
        <v>#REF!</v>
      </c>
      <c r="S174" s="1" t="e">
        <f>Tabla32[[#This Row],[COPIAR]]-#REF!</f>
        <v>#REF!</v>
      </c>
    </row>
    <row r="175" spans="1:19" x14ac:dyDescent="0.25">
      <c r="A175" t="s">
        <v>10</v>
      </c>
      <c r="B175" t="s">
        <v>223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K175" t="s">
        <v>10</v>
      </c>
      <c r="L175" t="s">
        <v>223</v>
      </c>
      <c r="M175" s="1" t="e">
        <f>Tabla32[[#This Row],[BN CARTA]]-#REF!</f>
        <v>#REF!</v>
      </c>
      <c r="N175" s="1" t="e">
        <f>Tabla32[[#This Row],[BN OFICIO]]-#REF!</f>
        <v>#REF!</v>
      </c>
      <c r="O175" s="1" t="e">
        <f>Tabla32[[#This Row],[BN DC]]-#REF!</f>
        <v>#REF!</v>
      </c>
      <c r="P175" s="1" t="e">
        <f>Tabla32[[#This Row],[COLOR CARTA]]-#REF!</f>
        <v>#REF!</v>
      </c>
      <c r="Q175" s="1" t="e">
        <f>Tabla32[[#This Row],[COLOR OFICIO]]-#REF!</f>
        <v>#REF!</v>
      </c>
      <c r="R175" s="1" t="e">
        <f>Tabla32[[#This Row],[ENVIAR]]-#REF!</f>
        <v>#REF!</v>
      </c>
      <c r="S175" s="1" t="e">
        <f>Tabla32[[#This Row],[COPIAR]]-#REF!</f>
        <v>#REF!</v>
      </c>
    </row>
    <row r="176" spans="1:19" x14ac:dyDescent="0.25">
      <c r="A176" t="s">
        <v>10</v>
      </c>
      <c r="B176" t="s">
        <v>224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K176" t="s">
        <v>10</v>
      </c>
      <c r="L176" t="s">
        <v>224</v>
      </c>
      <c r="M176" s="1" t="e">
        <f>Tabla32[[#This Row],[BN CARTA]]-#REF!</f>
        <v>#REF!</v>
      </c>
      <c r="N176" s="1" t="e">
        <f>Tabla32[[#This Row],[BN OFICIO]]-#REF!</f>
        <v>#REF!</v>
      </c>
      <c r="O176" s="1" t="e">
        <f>Tabla32[[#This Row],[BN DC]]-#REF!</f>
        <v>#REF!</v>
      </c>
      <c r="P176" s="1" t="e">
        <f>Tabla32[[#This Row],[COLOR CARTA]]-#REF!</f>
        <v>#REF!</v>
      </c>
      <c r="Q176" s="1" t="e">
        <f>Tabla32[[#This Row],[COLOR OFICIO]]-#REF!</f>
        <v>#REF!</v>
      </c>
      <c r="R176" s="1" t="e">
        <f>Tabla32[[#This Row],[ENVIAR]]-#REF!</f>
        <v>#REF!</v>
      </c>
      <c r="S176" s="1" t="e">
        <f>Tabla32[[#This Row],[COPIAR]]-#REF!</f>
        <v>#REF!</v>
      </c>
    </row>
    <row r="177" spans="1:19" x14ac:dyDescent="0.25">
      <c r="A177" t="s">
        <v>69</v>
      </c>
      <c r="B177" t="s">
        <v>225</v>
      </c>
      <c r="C177">
        <v>3366</v>
      </c>
      <c r="D177">
        <v>0</v>
      </c>
      <c r="E177">
        <v>0</v>
      </c>
      <c r="F177">
        <v>0</v>
      </c>
      <c r="G177">
        <v>0</v>
      </c>
      <c r="H177">
        <v>4801</v>
      </c>
      <c r="I177">
        <v>1174</v>
      </c>
      <c r="K177" t="s">
        <v>69</v>
      </c>
      <c r="L177" t="s">
        <v>225</v>
      </c>
      <c r="M177" s="1" t="e">
        <f>Tabla32[[#This Row],[BN CARTA]]-#REF!</f>
        <v>#REF!</v>
      </c>
      <c r="N177" s="1" t="e">
        <f>Tabla32[[#This Row],[BN OFICIO]]-#REF!</f>
        <v>#REF!</v>
      </c>
      <c r="O177" s="1" t="e">
        <f>Tabla32[[#This Row],[BN DC]]-#REF!</f>
        <v>#REF!</v>
      </c>
      <c r="P177" s="1" t="e">
        <f>Tabla32[[#This Row],[COLOR CARTA]]-#REF!</f>
        <v>#REF!</v>
      </c>
      <c r="Q177" s="1" t="e">
        <f>Tabla32[[#This Row],[COLOR OFICIO]]-#REF!</f>
        <v>#REF!</v>
      </c>
      <c r="R177" s="1" t="e">
        <f>Tabla32[[#This Row],[ENVIAR]]-#REF!</f>
        <v>#REF!</v>
      </c>
      <c r="S177" s="1" t="e">
        <f>Tabla32[[#This Row],[COPIAR]]-#REF!</f>
        <v>#REF!</v>
      </c>
    </row>
    <row r="178" spans="1:19" x14ac:dyDescent="0.25">
      <c r="A178" t="s">
        <v>226</v>
      </c>
      <c r="B178" t="s">
        <v>227</v>
      </c>
      <c r="C178">
        <v>562</v>
      </c>
      <c r="D178">
        <v>0</v>
      </c>
      <c r="E178">
        <v>0</v>
      </c>
      <c r="F178">
        <v>0</v>
      </c>
      <c r="G178">
        <v>0</v>
      </c>
      <c r="H178">
        <v>301</v>
      </c>
      <c r="I178">
        <v>76</v>
      </c>
      <c r="K178" t="s">
        <v>226</v>
      </c>
      <c r="L178" t="s">
        <v>227</v>
      </c>
      <c r="M178" s="1" t="e">
        <f>Tabla32[[#This Row],[BN CARTA]]-#REF!</f>
        <v>#REF!</v>
      </c>
      <c r="N178" s="1" t="e">
        <f>Tabla32[[#This Row],[BN OFICIO]]-#REF!</f>
        <v>#REF!</v>
      </c>
      <c r="O178" s="1" t="e">
        <f>Tabla32[[#This Row],[BN DC]]-#REF!</f>
        <v>#REF!</v>
      </c>
      <c r="P178" s="1" t="e">
        <f>Tabla32[[#This Row],[COLOR CARTA]]-#REF!</f>
        <v>#REF!</v>
      </c>
      <c r="Q178" s="1" t="e">
        <f>Tabla32[[#This Row],[COLOR OFICIO]]-#REF!</f>
        <v>#REF!</v>
      </c>
      <c r="R178" s="1" t="e">
        <f>Tabla32[[#This Row],[ENVIAR]]-#REF!</f>
        <v>#REF!</v>
      </c>
      <c r="S178" s="1" t="e">
        <f>Tabla32[[#This Row],[COPIAR]]-#REF!</f>
        <v>#REF!</v>
      </c>
    </row>
    <row r="179" spans="1:19" x14ac:dyDescent="0.25">
      <c r="A179" t="s">
        <v>226</v>
      </c>
      <c r="B179" t="s">
        <v>228</v>
      </c>
      <c r="C179">
        <v>423</v>
      </c>
      <c r="D179">
        <v>10</v>
      </c>
      <c r="E179">
        <v>0</v>
      </c>
      <c r="F179">
        <v>0</v>
      </c>
      <c r="G179">
        <v>0</v>
      </c>
      <c r="H179">
        <v>183</v>
      </c>
      <c r="I179">
        <v>72</v>
      </c>
      <c r="K179" t="s">
        <v>226</v>
      </c>
      <c r="L179" t="s">
        <v>228</v>
      </c>
      <c r="M179" s="1" t="e">
        <f>Tabla32[[#This Row],[BN CARTA]]-#REF!</f>
        <v>#REF!</v>
      </c>
      <c r="N179" s="1" t="e">
        <f>Tabla32[[#This Row],[BN OFICIO]]-#REF!</f>
        <v>#REF!</v>
      </c>
      <c r="O179" s="1" t="e">
        <f>Tabla32[[#This Row],[BN DC]]-#REF!</f>
        <v>#REF!</v>
      </c>
      <c r="P179" s="1" t="e">
        <f>Tabla32[[#This Row],[COLOR CARTA]]-#REF!</f>
        <v>#REF!</v>
      </c>
      <c r="Q179" s="1" t="e">
        <f>Tabla32[[#This Row],[COLOR OFICIO]]-#REF!</f>
        <v>#REF!</v>
      </c>
      <c r="R179" s="1" t="e">
        <f>Tabla32[[#This Row],[ENVIAR]]-#REF!</f>
        <v>#REF!</v>
      </c>
      <c r="S179" s="1" t="e">
        <f>Tabla32[[#This Row],[COPIAR]]-#REF!</f>
        <v>#REF!</v>
      </c>
    </row>
    <row r="180" spans="1:19" x14ac:dyDescent="0.25">
      <c r="A180" t="s">
        <v>229</v>
      </c>
      <c r="B180" t="s">
        <v>230</v>
      </c>
      <c r="C180">
        <v>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K180" t="s">
        <v>229</v>
      </c>
      <c r="L180" t="s">
        <v>230</v>
      </c>
      <c r="M180" s="1" t="e">
        <f>Tabla32[[#This Row],[BN CARTA]]-#REF!</f>
        <v>#REF!</v>
      </c>
      <c r="N180" s="1" t="e">
        <f>Tabla32[[#This Row],[BN OFICIO]]-#REF!</f>
        <v>#REF!</v>
      </c>
      <c r="O180" s="1" t="e">
        <f>Tabla32[[#This Row],[BN DC]]-#REF!</f>
        <v>#REF!</v>
      </c>
      <c r="P180" s="1" t="e">
        <f>Tabla32[[#This Row],[COLOR CARTA]]-#REF!</f>
        <v>#REF!</v>
      </c>
      <c r="Q180" s="1" t="e">
        <f>Tabla32[[#This Row],[COLOR OFICIO]]-#REF!</f>
        <v>#REF!</v>
      </c>
      <c r="R180" s="1" t="e">
        <f>Tabla32[[#This Row],[ENVIAR]]-#REF!</f>
        <v>#REF!</v>
      </c>
      <c r="S180" s="1" t="e">
        <f>Tabla32[[#This Row],[COPIAR]]-#REF!</f>
        <v>#REF!</v>
      </c>
    </row>
    <row r="181" spans="1:19" x14ac:dyDescent="0.25">
      <c r="A181" t="s">
        <v>231</v>
      </c>
      <c r="B181" t="s">
        <v>232</v>
      </c>
      <c r="C181">
        <v>211</v>
      </c>
      <c r="D181">
        <v>0</v>
      </c>
      <c r="E181">
        <v>0</v>
      </c>
      <c r="F181">
        <v>0</v>
      </c>
      <c r="G181">
        <v>0</v>
      </c>
      <c r="H181">
        <v>7</v>
      </c>
      <c r="I181">
        <v>28</v>
      </c>
      <c r="K181" t="s">
        <v>231</v>
      </c>
      <c r="L181" t="s">
        <v>232</v>
      </c>
      <c r="M181" s="1" t="e">
        <f>Tabla32[[#This Row],[BN CARTA]]-#REF!</f>
        <v>#REF!</v>
      </c>
      <c r="N181" s="1" t="e">
        <f>Tabla32[[#This Row],[BN OFICIO]]-#REF!</f>
        <v>#REF!</v>
      </c>
      <c r="O181" s="1" t="e">
        <f>Tabla32[[#This Row],[BN DC]]-#REF!</f>
        <v>#REF!</v>
      </c>
      <c r="P181" s="1" t="e">
        <f>Tabla32[[#This Row],[COLOR CARTA]]-#REF!</f>
        <v>#REF!</v>
      </c>
      <c r="Q181" s="1" t="e">
        <f>Tabla32[[#This Row],[COLOR OFICIO]]-#REF!</f>
        <v>#REF!</v>
      </c>
      <c r="R181" s="1" t="e">
        <f>Tabla32[[#This Row],[ENVIAR]]-#REF!</f>
        <v>#REF!</v>
      </c>
      <c r="S181" s="1" t="e">
        <f>Tabla32[[#This Row],[COPIAR]]-#REF!</f>
        <v>#REF!</v>
      </c>
    </row>
    <row r="182" spans="1:19" x14ac:dyDescent="0.25">
      <c r="A182" t="s">
        <v>10</v>
      </c>
      <c r="B182" t="s">
        <v>233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K182" t="s">
        <v>10</v>
      </c>
      <c r="L182" t="s">
        <v>233</v>
      </c>
      <c r="M182" s="1" t="e">
        <f>Tabla32[[#This Row],[BN CARTA]]-#REF!</f>
        <v>#REF!</v>
      </c>
      <c r="N182" s="1" t="e">
        <f>Tabla32[[#This Row],[BN OFICIO]]-#REF!</f>
        <v>#REF!</v>
      </c>
      <c r="O182" s="1" t="e">
        <f>Tabla32[[#This Row],[BN DC]]-#REF!</f>
        <v>#REF!</v>
      </c>
      <c r="P182" s="1" t="e">
        <f>Tabla32[[#This Row],[COLOR CARTA]]-#REF!</f>
        <v>#REF!</v>
      </c>
      <c r="Q182" s="1" t="e">
        <f>Tabla32[[#This Row],[COLOR OFICIO]]-#REF!</f>
        <v>#REF!</v>
      </c>
      <c r="R182" s="1" t="e">
        <f>Tabla32[[#This Row],[ENVIAR]]-#REF!</f>
        <v>#REF!</v>
      </c>
      <c r="S182" s="1" t="e">
        <f>Tabla32[[#This Row],[COPIAR]]-#REF!</f>
        <v>#REF!</v>
      </c>
    </row>
    <row r="183" spans="1:19" x14ac:dyDescent="0.25">
      <c r="A183" t="s">
        <v>69</v>
      </c>
      <c r="B183" t="s">
        <v>234</v>
      </c>
      <c r="C183">
        <v>6698</v>
      </c>
      <c r="D183">
        <v>17</v>
      </c>
      <c r="E183">
        <v>0</v>
      </c>
      <c r="F183">
        <v>0</v>
      </c>
      <c r="G183">
        <v>0</v>
      </c>
      <c r="H183">
        <v>6847</v>
      </c>
      <c r="I183">
        <v>1028</v>
      </c>
      <c r="K183" t="s">
        <v>69</v>
      </c>
      <c r="L183" t="s">
        <v>234</v>
      </c>
      <c r="M183" s="1" t="e">
        <f>Tabla32[[#This Row],[BN CARTA]]-#REF!</f>
        <v>#REF!</v>
      </c>
      <c r="N183" s="1" t="e">
        <f>Tabla32[[#This Row],[BN OFICIO]]-#REF!</f>
        <v>#REF!</v>
      </c>
      <c r="O183" s="1" t="e">
        <f>Tabla32[[#This Row],[BN DC]]-#REF!</f>
        <v>#REF!</v>
      </c>
      <c r="P183" s="1" t="e">
        <f>Tabla32[[#This Row],[COLOR CARTA]]-#REF!</f>
        <v>#REF!</v>
      </c>
      <c r="Q183" s="1" t="e">
        <f>Tabla32[[#This Row],[COLOR OFICIO]]-#REF!</f>
        <v>#REF!</v>
      </c>
      <c r="R183" s="1" t="e">
        <f>Tabla32[[#This Row],[ENVIAR]]-#REF!</f>
        <v>#REF!</v>
      </c>
      <c r="S183" s="1" t="e">
        <f>Tabla32[[#This Row],[COPIAR]]-#REF!</f>
        <v>#REF!</v>
      </c>
    </row>
    <row r="184" spans="1:19" x14ac:dyDescent="0.25">
      <c r="A184" t="s">
        <v>10</v>
      </c>
      <c r="B184" t="s">
        <v>235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K184" t="s">
        <v>10</v>
      </c>
      <c r="L184" t="s">
        <v>235</v>
      </c>
      <c r="M184" s="1" t="e">
        <f>Tabla32[[#This Row],[BN CARTA]]-#REF!</f>
        <v>#REF!</v>
      </c>
      <c r="N184" s="1" t="e">
        <f>Tabla32[[#This Row],[BN OFICIO]]-#REF!</f>
        <v>#REF!</v>
      </c>
      <c r="O184" s="1" t="e">
        <f>Tabla32[[#This Row],[BN DC]]-#REF!</f>
        <v>#REF!</v>
      </c>
      <c r="P184" s="1" t="e">
        <f>Tabla32[[#This Row],[COLOR CARTA]]-#REF!</f>
        <v>#REF!</v>
      </c>
      <c r="Q184" s="1" t="e">
        <f>Tabla32[[#This Row],[COLOR OFICIO]]-#REF!</f>
        <v>#REF!</v>
      </c>
      <c r="R184" s="1" t="e">
        <f>Tabla32[[#This Row],[ENVIAR]]-#REF!</f>
        <v>#REF!</v>
      </c>
      <c r="S184" s="1" t="e">
        <f>Tabla32[[#This Row],[COPIAR]]-#REF!</f>
        <v>#REF!</v>
      </c>
    </row>
    <row r="185" spans="1:19" x14ac:dyDescent="0.25">
      <c r="A185" t="s">
        <v>10</v>
      </c>
      <c r="B185" t="s">
        <v>236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K185" t="s">
        <v>10</v>
      </c>
      <c r="L185" t="s">
        <v>236</v>
      </c>
      <c r="M185" s="1" t="e">
        <f>Tabla32[[#This Row],[BN CARTA]]-#REF!</f>
        <v>#REF!</v>
      </c>
      <c r="N185" s="1" t="e">
        <f>Tabla32[[#This Row],[BN OFICIO]]-#REF!</f>
        <v>#REF!</v>
      </c>
      <c r="O185" s="1" t="e">
        <f>Tabla32[[#This Row],[BN DC]]-#REF!</f>
        <v>#REF!</v>
      </c>
      <c r="P185" s="1" t="e">
        <f>Tabla32[[#This Row],[COLOR CARTA]]-#REF!</f>
        <v>#REF!</v>
      </c>
      <c r="Q185" s="1" t="e">
        <f>Tabla32[[#This Row],[COLOR OFICIO]]-#REF!</f>
        <v>#REF!</v>
      </c>
      <c r="R185" s="1" t="e">
        <f>Tabla32[[#This Row],[ENVIAR]]-#REF!</f>
        <v>#REF!</v>
      </c>
      <c r="S185" s="1" t="e">
        <f>Tabla32[[#This Row],[COPIAR]]-#REF!</f>
        <v>#REF!</v>
      </c>
    </row>
    <row r="186" spans="1:19" x14ac:dyDescent="0.25">
      <c r="A186" t="s">
        <v>10</v>
      </c>
      <c r="B186" t="s">
        <v>237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K186" t="s">
        <v>10</v>
      </c>
      <c r="L186" t="s">
        <v>237</v>
      </c>
      <c r="M186" s="1" t="e">
        <f>Tabla32[[#This Row],[BN CARTA]]-#REF!</f>
        <v>#REF!</v>
      </c>
      <c r="N186" s="1" t="e">
        <f>Tabla32[[#This Row],[BN OFICIO]]-#REF!</f>
        <v>#REF!</v>
      </c>
      <c r="O186" s="1" t="e">
        <f>Tabla32[[#This Row],[BN DC]]-#REF!</f>
        <v>#REF!</v>
      </c>
      <c r="P186" s="1" t="e">
        <f>Tabla32[[#This Row],[COLOR CARTA]]-#REF!</f>
        <v>#REF!</v>
      </c>
      <c r="Q186" s="1" t="e">
        <f>Tabla32[[#This Row],[COLOR OFICIO]]-#REF!</f>
        <v>#REF!</v>
      </c>
      <c r="R186" s="1" t="e">
        <f>Tabla32[[#This Row],[ENVIAR]]-#REF!</f>
        <v>#REF!</v>
      </c>
      <c r="S186" s="1" t="e">
        <f>Tabla32[[#This Row],[COPIAR]]-#REF!</f>
        <v>#REF!</v>
      </c>
    </row>
    <row r="187" spans="1:19" x14ac:dyDescent="0.25">
      <c r="A187" t="s">
        <v>10</v>
      </c>
      <c r="B187" t="s">
        <v>238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K187" t="s">
        <v>10</v>
      </c>
      <c r="L187" t="s">
        <v>238</v>
      </c>
      <c r="M187" s="1" t="e">
        <f>Tabla32[[#This Row],[BN CARTA]]-#REF!</f>
        <v>#REF!</v>
      </c>
      <c r="N187" s="1" t="e">
        <f>Tabla32[[#This Row],[BN OFICIO]]-#REF!</f>
        <v>#REF!</v>
      </c>
      <c r="O187" s="1" t="e">
        <f>Tabla32[[#This Row],[BN DC]]-#REF!</f>
        <v>#REF!</v>
      </c>
      <c r="P187" s="1" t="e">
        <f>Tabla32[[#This Row],[COLOR CARTA]]-#REF!</f>
        <v>#REF!</v>
      </c>
      <c r="Q187" s="1" t="e">
        <f>Tabla32[[#This Row],[COLOR OFICIO]]-#REF!</f>
        <v>#REF!</v>
      </c>
      <c r="R187" s="1" t="e">
        <f>Tabla32[[#This Row],[ENVIAR]]-#REF!</f>
        <v>#REF!</v>
      </c>
      <c r="S187" s="1" t="e">
        <f>Tabla32[[#This Row],[COPIAR]]-#REF!</f>
        <v>#REF!</v>
      </c>
    </row>
    <row r="188" spans="1:19" x14ac:dyDescent="0.25">
      <c r="A188" t="s">
        <v>10</v>
      </c>
      <c r="B188" t="s">
        <v>239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K188" t="s">
        <v>10</v>
      </c>
      <c r="L188" t="s">
        <v>239</v>
      </c>
      <c r="M188" s="1" t="e">
        <f>Tabla32[[#This Row],[BN CARTA]]-#REF!</f>
        <v>#REF!</v>
      </c>
      <c r="N188" s="1" t="e">
        <f>Tabla32[[#This Row],[BN OFICIO]]-#REF!</f>
        <v>#REF!</v>
      </c>
      <c r="O188" s="1" t="e">
        <f>Tabla32[[#This Row],[BN DC]]-#REF!</f>
        <v>#REF!</v>
      </c>
      <c r="P188" s="1" t="e">
        <f>Tabla32[[#This Row],[COLOR CARTA]]-#REF!</f>
        <v>#REF!</v>
      </c>
      <c r="Q188" s="1" t="e">
        <f>Tabla32[[#This Row],[COLOR OFICIO]]-#REF!</f>
        <v>#REF!</v>
      </c>
      <c r="R188" s="1" t="e">
        <f>Tabla32[[#This Row],[ENVIAR]]-#REF!</f>
        <v>#REF!</v>
      </c>
      <c r="S188" s="1" t="e">
        <f>Tabla32[[#This Row],[COPIAR]]-#REF!</f>
        <v>#REF!</v>
      </c>
    </row>
    <row r="189" spans="1:19" x14ac:dyDescent="0.25">
      <c r="A189" t="s">
        <v>10</v>
      </c>
      <c r="B189" t="s">
        <v>240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K189" t="s">
        <v>10</v>
      </c>
      <c r="L189" t="s">
        <v>240</v>
      </c>
      <c r="M189" s="1" t="e">
        <f>Tabla32[[#This Row],[BN CARTA]]-#REF!</f>
        <v>#REF!</v>
      </c>
      <c r="N189" s="1" t="e">
        <f>Tabla32[[#This Row],[BN OFICIO]]-#REF!</f>
        <v>#REF!</v>
      </c>
      <c r="O189" s="1" t="e">
        <f>Tabla32[[#This Row],[BN DC]]-#REF!</f>
        <v>#REF!</v>
      </c>
      <c r="P189" s="1" t="e">
        <f>Tabla32[[#This Row],[COLOR CARTA]]-#REF!</f>
        <v>#REF!</v>
      </c>
      <c r="Q189" s="1" t="e">
        <f>Tabla32[[#This Row],[COLOR OFICIO]]-#REF!</f>
        <v>#REF!</v>
      </c>
      <c r="R189" s="1" t="e">
        <f>Tabla32[[#This Row],[ENVIAR]]-#REF!</f>
        <v>#REF!</v>
      </c>
      <c r="S189" s="1" t="e">
        <f>Tabla32[[#This Row],[COPIAR]]-#REF!</f>
        <v>#REF!</v>
      </c>
    </row>
    <row r="190" spans="1:19" x14ac:dyDescent="0.25">
      <c r="A190" t="s">
        <v>10</v>
      </c>
      <c r="B190" t="s">
        <v>241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K190" t="s">
        <v>10</v>
      </c>
      <c r="L190" t="s">
        <v>241</v>
      </c>
      <c r="M190" s="1" t="e">
        <f>Tabla32[[#This Row],[BN CARTA]]-#REF!</f>
        <v>#REF!</v>
      </c>
      <c r="N190" s="1" t="e">
        <f>Tabla32[[#This Row],[BN OFICIO]]-#REF!</f>
        <v>#REF!</v>
      </c>
      <c r="O190" s="1" t="e">
        <f>Tabla32[[#This Row],[BN DC]]-#REF!</f>
        <v>#REF!</v>
      </c>
      <c r="P190" s="1" t="e">
        <f>Tabla32[[#This Row],[COLOR CARTA]]-#REF!</f>
        <v>#REF!</v>
      </c>
      <c r="Q190" s="1" t="e">
        <f>Tabla32[[#This Row],[COLOR OFICIO]]-#REF!</f>
        <v>#REF!</v>
      </c>
      <c r="R190" s="1" t="e">
        <f>Tabla32[[#This Row],[ENVIAR]]-#REF!</f>
        <v>#REF!</v>
      </c>
      <c r="S190" s="1" t="e">
        <f>Tabla32[[#This Row],[COPIAR]]-#REF!</f>
        <v>#REF!</v>
      </c>
    </row>
    <row r="191" spans="1:19" x14ac:dyDescent="0.25">
      <c r="A191" t="s">
        <v>138</v>
      </c>
      <c r="B191" t="s">
        <v>242</v>
      </c>
      <c r="C191">
        <v>2468</v>
      </c>
      <c r="D191">
        <v>0</v>
      </c>
      <c r="E191">
        <v>0</v>
      </c>
      <c r="F191">
        <v>0</v>
      </c>
      <c r="G191">
        <v>0</v>
      </c>
      <c r="H191">
        <v>1140</v>
      </c>
      <c r="I191">
        <v>326</v>
      </c>
      <c r="K191" t="s">
        <v>138</v>
      </c>
      <c r="L191" t="s">
        <v>242</v>
      </c>
      <c r="M191" s="1" t="e">
        <f>Tabla32[[#This Row],[BN CARTA]]-#REF!</f>
        <v>#REF!</v>
      </c>
      <c r="N191" s="1" t="e">
        <f>Tabla32[[#This Row],[BN OFICIO]]-#REF!</f>
        <v>#REF!</v>
      </c>
      <c r="O191" s="1" t="e">
        <f>Tabla32[[#This Row],[BN DC]]-#REF!</f>
        <v>#REF!</v>
      </c>
      <c r="P191" s="1" t="e">
        <f>Tabla32[[#This Row],[COLOR CARTA]]-#REF!</f>
        <v>#REF!</v>
      </c>
      <c r="Q191" s="1" t="e">
        <f>Tabla32[[#This Row],[COLOR OFICIO]]-#REF!</f>
        <v>#REF!</v>
      </c>
      <c r="R191" s="1" t="e">
        <f>Tabla32[[#This Row],[ENVIAR]]-#REF!</f>
        <v>#REF!</v>
      </c>
      <c r="S191" s="1" t="e">
        <f>Tabla32[[#This Row],[COPIAR]]-#REF!</f>
        <v>#REF!</v>
      </c>
    </row>
    <row r="192" spans="1:19" x14ac:dyDescent="0.25">
      <c r="A192" t="s">
        <v>10</v>
      </c>
      <c r="B192" t="s">
        <v>243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K192" t="s">
        <v>10</v>
      </c>
      <c r="L192" t="s">
        <v>243</v>
      </c>
      <c r="M192" s="1" t="e">
        <f>Tabla32[[#This Row],[BN CARTA]]-#REF!</f>
        <v>#REF!</v>
      </c>
      <c r="N192" s="1" t="e">
        <f>Tabla32[[#This Row],[BN OFICIO]]-#REF!</f>
        <v>#REF!</v>
      </c>
      <c r="O192" s="1" t="e">
        <f>Tabla32[[#This Row],[BN DC]]-#REF!</f>
        <v>#REF!</v>
      </c>
      <c r="P192" s="1" t="e">
        <f>Tabla32[[#This Row],[COLOR CARTA]]-#REF!</f>
        <v>#REF!</v>
      </c>
      <c r="Q192" s="1" t="e">
        <f>Tabla32[[#This Row],[COLOR OFICIO]]-#REF!</f>
        <v>#REF!</v>
      </c>
      <c r="R192" s="1" t="e">
        <f>Tabla32[[#This Row],[ENVIAR]]-#REF!</f>
        <v>#REF!</v>
      </c>
      <c r="S192" s="1" t="e">
        <f>Tabla32[[#This Row],[COPIAR]]-#REF!</f>
        <v>#REF!</v>
      </c>
    </row>
    <row r="193" spans="1:19" x14ac:dyDescent="0.25">
      <c r="A193" t="s">
        <v>10</v>
      </c>
      <c r="B193" t="s">
        <v>244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K193" t="s">
        <v>10</v>
      </c>
      <c r="L193" t="s">
        <v>244</v>
      </c>
      <c r="M193" s="1" t="e">
        <f>Tabla32[[#This Row],[BN CARTA]]-#REF!</f>
        <v>#REF!</v>
      </c>
      <c r="N193" s="1" t="e">
        <f>Tabla32[[#This Row],[BN OFICIO]]-#REF!</f>
        <v>#REF!</v>
      </c>
      <c r="O193" s="1" t="e">
        <f>Tabla32[[#This Row],[BN DC]]-#REF!</f>
        <v>#REF!</v>
      </c>
      <c r="P193" s="1" t="e">
        <f>Tabla32[[#This Row],[COLOR CARTA]]-#REF!</f>
        <v>#REF!</v>
      </c>
      <c r="Q193" s="1" t="e">
        <f>Tabla32[[#This Row],[COLOR OFICIO]]-#REF!</f>
        <v>#REF!</v>
      </c>
      <c r="R193" s="1" t="e">
        <f>Tabla32[[#This Row],[ENVIAR]]-#REF!</f>
        <v>#REF!</v>
      </c>
      <c r="S193" s="1" t="e">
        <f>Tabla32[[#This Row],[COPIAR]]-#REF!</f>
        <v>#REF!</v>
      </c>
    </row>
    <row r="194" spans="1:19" x14ac:dyDescent="0.25">
      <c r="A194" t="s">
        <v>146</v>
      </c>
      <c r="B194" t="s">
        <v>245</v>
      </c>
      <c r="C194">
        <v>222</v>
      </c>
      <c r="D194">
        <v>0</v>
      </c>
      <c r="E194">
        <v>0</v>
      </c>
      <c r="F194">
        <v>0</v>
      </c>
      <c r="G194">
        <v>0</v>
      </c>
      <c r="H194">
        <v>143</v>
      </c>
      <c r="I194">
        <v>23</v>
      </c>
      <c r="K194" t="s">
        <v>146</v>
      </c>
      <c r="L194" t="s">
        <v>245</v>
      </c>
      <c r="M194" s="1" t="e">
        <f>Tabla32[[#This Row],[BN CARTA]]-#REF!</f>
        <v>#REF!</v>
      </c>
      <c r="N194" s="1" t="e">
        <f>Tabla32[[#This Row],[BN OFICIO]]-#REF!</f>
        <v>#REF!</v>
      </c>
      <c r="O194" s="1" t="e">
        <f>Tabla32[[#This Row],[BN DC]]-#REF!</f>
        <v>#REF!</v>
      </c>
      <c r="P194" s="1" t="e">
        <f>Tabla32[[#This Row],[COLOR CARTA]]-#REF!</f>
        <v>#REF!</v>
      </c>
      <c r="Q194" s="1" t="e">
        <f>Tabla32[[#This Row],[COLOR OFICIO]]-#REF!</f>
        <v>#REF!</v>
      </c>
      <c r="R194" s="1" t="e">
        <f>Tabla32[[#This Row],[ENVIAR]]-#REF!</f>
        <v>#REF!</v>
      </c>
      <c r="S194" s="1" t="e">
        <f>Tabla32[[#This Row],[COPIAR]]-#REF!</f>
        <v>#REF!</v>
      </c>
    </row>
    <row r="195" spans="1:19" x14ac:dyDescent="0.25">
      <c r="A195" t="s">
        <v>150</v>
      </c>
      <c r="B195" t="s">
        <v>246</v>
      </c>
      <c r="C195">
        <v>11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K195" t="s">
        <v>150</v>
      </c>
      <c r="L195" t="s">
        <v>246</v>
      </c>
      <c r="M195" s="1" t="e">
        <f>Tabla32[[#This Row],[BN CARTA]]-#REF!</f>
        <v>#REF!</v>
      </c>
      <c r="N195" s="1" t="e">
        <f>Tabla32[[#This Row],[BN OFICIO]]-#REF!</f>
        <v>#REF!</v>
      </c>
      <c r="O195" s="1" t="e">
        <f>Tabla32[[#This Row],[BN DC]]-#REF!</f>
        <v>#REF!</v>
      </c>
      <c r="P195" s="1" t="e">
        <f>Tabla32[[#This Row],[COLOR CARTA]]-#REF!</f>
        <v>#REF!</v>
      </c>
      <c r="Q195" s="1" t="e">
        <f>Tabla32[[#This Row],[COLOR OFICIO]]-#REF!</f>
        <v>#REF!</v>
      </c>
      <c r="R195" s="1" t="e">
        <f>Tabla32[[#This Row],[ENVIAR]]-#REF!</f>
        <v>#REF!</v>
      </c>
      <c r="S195" s="1" t="e">
        <f>Tabla32[[#This Row],[COPIAR]]-#REF!</f>
        <v>#REF!</v>
      </c>
    </row>
    <row r="196" spans="1:19" x14ac:dyDescent="0.25">
      <c r="A196" t="s">
        <v>10</v>
      </c>
      <c r="B196" t="s">
        <v>247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K196" t="s">
        <v>10</v>
      </c>
      <c r="L196" t="s">
        <v>247</v>
      </c>
      <c r="M196" s="1" t="e">
        <f>Tabla32[[#This Row],[BN CARTA]]-#REF!</f>
        <v>#REF!</v>
      </c>
      <c r="N196" s="1" t="e">
        <f>Tabla32[[#This Row],[BN OFICIO]]-#REF!</f>
        <v>#REF!</v>
      </c>
      <c r="O196" s="1" t="e">
        <f>Tabla32[[#This Row],[BN DC]]-#REF!</f>
        <v>#REF!</v>
      </c>
      <c r="P196" s="1" t="e">
        <f>Tabla32[[#This Row],[COLOR CARTA]]-#REF!</f>
        <v>#REF!</v>
      </c>
      <c r="Q196" s="1" t="e">
        <f>Tabla32[[#This Row],[COLOR OFICIO]]-#REF!</f>
        <v>#REF!</v>
      </c>
      <c r="R196" s="1" t="e">
        <f>Tabla32[[#This Row],[ENVIAR]]-#REF!</f>
        <v>#REF!</v>
      </c>
      <c r="S196" s="1" t="e">
        <f>Tabla32[[#This Row],[COPIAR]]-#REF!</f>
        <v>#REF!</v>
      </c>
    </row>
    <row r="197" spans="1:19" x14ac:dyDescent="0.25">
      <c r="A197" t="s">
        <v>248</v>
      </c>
      <c r="B197" t="s">
        <v>249</v>
      </c>
      <c r="C197">
        <v>1717</v>
      </c>
      <c r="D197">
        <v>0</v>
      </c>
      <c r="E197">
        <v>0</v>
      </c>
      <c r="F197">
        <v>0</v>
      </c>
      <c r="G197">
        <v>0</v>
      </c>
      <c r="H197">
        <v>1728</v>
      </c>
      <c r="I197">
        <v>192</v>
      </c>
      <c r="K197" t="s">
        <v>248</v>
      </c>
      <c r="L197" t="s">
        <v>249</v>
      </c>
      <c r="M197" s="1" t="e">
        <f>Tabla32[[#This Row],[BN CARTA]]-#REF!</f>
        <v>#REF!</v>
      </c>
      <c r="N197" s="1" t="e">
        <f>Tabla32[[#This Row],[BN OFICIO]]-#REF!</f>
        <v>#REF!</v>
      </c>
      <c r="O197" s="1" t="e">
        <f>Tabla32[[#This Row],[BN DC]]-#REF!</f>
        <v>#REF!</v>
      </c>
      <c r="P197" s="1" t="e">
        <f>Tabla32[[#This Row],[COLOR CARTA]]-#REF!</f>
        <v>#REF!</v>
      </c>
      <c r="Q197" s="1" t="e">
        <f>Tabla32[[#This Row],[COLOR OFICIO]]-#REF!</f>
        <v>#REF!</v>
      </c>
      <c r="R197" s="1" t="e">
        <f>Tabla32[[#This Row],[ENVIAR]]-#REF!</f>
        <v>#REF!</v>
      </c>
      <c r="S197" s="1" t="e">
        <f>Tabla32[[#This Row],[COPIAR]]-#REF!</f>
        <v>#REF!</v>
      </c>
    </row>
    <row r="198" spans="1:19" x14ac:dyDescent="0.25">
      <c r="A198" t="s">
        <v>185</v>
      </c>
      <c r="B198" t="s">
        <v>250</v>
      </c>
      <c r="C198">
        <v>31</v>
      </c>
      <c r="D198">
        <v>0</v>
      </c>
      <c r="E198">
        <v>0</v>
      </c>
      <c r="F198">
        <v>0</v>
      </c>
      <c r="G198">
        <v>0</v>
      </c>
      <c r="H198">
        <v>19</v>
      </c>
      <c r="I198">
        <v>6</v>
      </c>
      <c r="K198" t="s">
        <v>185</v>
      </c>
      <c r="L198" t="s">
        <v>250</v>
      </c>
      <c r="M198" s="1" t="e">
        <f>Tabla32[[#This Row],[BN CARTA]]-#REF!</f>
        <v>#REF!</v>
      </c>
      <c r="N198" s="1" t="e">
        <f>Tabla32[[#This Row],[BN OFICIO]]-#REF!</f>
        <v>#REF!</v>
      </c>
      <c r="O198" s="1" t="e">
        <f>Tabla32[[#This Row],[BN DC]]-#REF!</f>
        <v>#REF!</v>
      </c>
      <c r="P198" s="1" t="e">
        <f>Tabla32[[#This Row],[COLOR CARTA]]-#REF!</f>
        <v>#REF!</v>
      </c>
      <c r="Q198" s="1" t="e">
        <f>Tabla32[[#This Row],[COLOR OFICIO]]-#REF!</f>
        <v>#REF!</v>
      </c>
      <c r="R198" s="1" t="e">
        <f>Tabla32[[#This Row],[ENVIAR]]-#REF!</f>
        <v>#REF!</v>
      </c>
      <c r="S198" s="1" t="e">
        <f>Tabla32[[#This Row],[COPIAR]]-#REF!</f>
        <v>#REF!</v>
      </c>
    </row>
    <row r="199" spans="1:19" x14ac:dyDescent="0.25">
      <c r="A199" t="s">
        <v>10</v>
      </c>
      <c r="B199" t="s">
        <v>251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K199" t="s">
        <v>10</v>
      </c>
      <c r="L199" t="s">
        <v>251</v>
      </c>
      <c r="M199" s="1" t="e">
        <f>Tabla32[[#This Row],[BN CARTA]]-#REF!</f>
        <v>#REF!</v>
      </c>
      <c r="N199" s="1" t="e">
        <f>Tabla32[[#This Row],[BN OFICIO]]-#REF!</f>
        <v>#REF!</v>
      </c>
      <c r="O199" s="1" t="e">
        <f>Tabla32[[#This Row],[BN DC]]-#REF!</f>
        <v>#REF!</v>
      </c>
      <c r="P199" s="1" t="e">
        <f>Tabla32[[#This Row],[COLOR CARTA]]-#REF!</f>
        <v>#REF!</v>
      </c>
      <c r="Q199" s="1" t="e">
        <f>Tabla32[[#This Row],[COLOR OFICIO]]-#REF!</f>
        <v>#REF!</v>
      </c>
      <c r="R199" s="1" t="e">
        <f>Tabla32[[#This Row],[ENVIAR]]-#REF!</f>
        <v>#REF!</v>
      </c>
      <c r="S199" s="1" t="e">
        <f>Tabla32[[#This Row],[COPIAR]]-#REF!</f>
        <v>#REF!</v>
      </c>
    </row>
    <row r="200" spans="1:19" x14ac:dyDescent="0.25">
      <c r="A200" t="s">
        <v>10</v>
      </c>
      <c r="B200" t="s">
        <v>252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K200" t="s">
        <v>10</v>
      </c>
      <c r="L200" t="s">
        <v>252</v>
      </c>
      <c r="M200" s="1" t="e">
        <f>Tabla32[[#This Row],[BN CARTA]]-#REF!</f>
        <v>#REF!</v>
      </c>
      <c r="N200" s="1" t="e">
        <f>Tabla32[[#This Row],[BN OFICIO]]-#REF!</f>
        <v>#REF!</v>
      </c>
      <c r="O200" s="1" t="e">
        <f>Tabla32[[#This Row],[BN DC]]-#REF!</f>
        <v>#REF!</v>
      </c>
      <c r="P200" s="1" t="e">
        <f>Tabla32[[#This Row],[COLOR CARTA]]-#REF!</f>
        <v>#REF!</v>
      </c>
      <c r="Q200" s="1" t="e">
        <f>Tabla32[[#This Row],[COLOR OFICIO]]-#REF!</f>
        <v>#REF!</v>
      </c>
      <c r="R200" s="1" t="e">
        <f>Tabla32[[#This Row],[ENVIAR]]-#REF!</f>
        <v>#REF!</v>
      </c>
      <c r="S200" s="1" t="e">
        <f>Tabla32[[#This Row],[COPIAR]]-#REF!</f>
        <v>#REF!</v>
      </c>
    </row>
    <row r="201" spans="1:19" x14ac:dyDescent="0.25">
      <c r="A201" t="s">
        <v>10</v>
      </c>
      <c r="B201" t="s">
        <v>253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K201" t="s">
        <v>10</v>
      </c>
      <c r="L201" t="s">
        <v>253</v>
      </c>
      <c r="M201" s="1" t="e">
        <f>Tabla32[[#This Row],[BN CARTA]]-#REF!</f>
        <v>#REF!</v>
      </c>
      <c r="N201" s="1" t="e">
        <f>Tabla32[[#This Row],[BN OFICIO]]-#REF!</f>
        <v>#REF!</v>
      </c>
      <c r="O201" s="1" t="e">
        <f>Tabla32[[#This Row],[BN DC]]-#REF!</f>
        <v>#REF!</v>
      </c>
      <c r="P201" s="1" t="e">
        <f>Tabla32[[#This Row],[COLOR CARTA]]-#REF!</f>
        <v>#REF!</v>
      </c>
      <c r="Q201" s="1" t="e">
        <f>Tabla32[[#This Row],[COLOR OFICIO]]-#REF!</f>
        <v>#REF!</v>
      </c>
      <c r="R201" s="1" t="e">
        <f>Tabla32[[#This Row],[ENVIAR]]-#REF!</f>
        <v>#REF!</v>
      </c>
      <c r="S201" s="1" t="e">
        <f>Tabla32[[#This Row],[COPIAR]]-#REF!</f>
        <v>#REF!</v>
      </c>
    </row>
    <row r="202" spans="1:19" x14ac:dyDescent="0.25">
      <c r="A202" t="s">
        <v>10</v>
      </c>
      <c r="B202" t="s">
        <v>254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K202" t="s">
        <v>10</v>
      </c>
      <c r="L202" t="s">
        <v>254</v>
      </c>
      <c r="M202" s="1" t="e">
        <f>Tabla32[[#This Row],[BN CARTA]]-#REF!</f>
        <v>#REF!</v>
      </c>
      <c r="N202" s="1" t="e">
        <f>Tabla32[[#This Row],[BN OFICIO]]-#REF!</f>
        <v>#REF!</v>
      </c>
      <c r="O202" s="1" t="e">
        <f>Tabla32[[#This Row],[BN DC]]-#REF!</f>
        <v>#REF!</v>
      </c>
      <c r="P202" s="1" t="e">
        <f>Tabla32[[#This Row],[COLOR CARTA]]-#REF!</f>
        <v>#REF!</v>
      </c>
      <c r="Q202" s="1" t="e">
        <f>Tabla32[[#This Row],[COLOR OFICIO]]-#REF!</f>
        <v>#REF!</v>
      </c>
      <c r="R202" s="1" t="e">
        <f>Tabla32[[#This Row],[ENVIAR]]-#REF!</f>
        <v>#REF!</v>
      </c>
      <c r="S202" s="1" t="e">
        <f>Tabla32[[#This Row],[COPIAR]]-#REF!</f>
        <v>#REF!</v>
      </c>
    </row>
    <row r="203" spans="1:19" x14ac:dyDescent="0.25">
      <c r="A203" t="s">
        <v>67</v>
      </c>
      <c r="B203" t="s">
        <v>255</v>
      </c>
      <c r="C203">
        <v>780</v>
      </c>
      <c r="D203">
        <v>0</v>
      </c>
      <c r="E203">
        <v>0</v>
      </c>
      <c r="F203">
        <v>0</v>
      </c>
      <c r="G203">
        <v>0</v>
      </c>
      <c r="H203">
        <v>42</v>
      </c>
      <c r="I203">
        <v>158</v>
      </c>
      <c r="K203" t="s">
        <v>67</v>
      </c>
      <c r="L203" t="s">
        <v>255</v>
      </c>
      <c r="M203" s="1" t="e">
        <f>Tabla32[[#This Row],[BN CARTA]]-#REF!</f>
        <v>#REF!</v>
      </c>
      <c r="N203" s="1" t="e">
        <f>Tabla32[[#This Row],[BN OFICIO]]-#REF!</f>
        <v>#REF!</v>
      </c>
      <c r="O203" s="1" t="e">
        <f>Tabla32[[#This Row],[BN DC]]-#REF!</f>
        <v>#REF!</v>
      </c>
      <c r="P203" s="1" t="e">
        <f>Tabla32[[#This Row],[COLOR CARTA]]-#REF!</f>
        <v>#REF!</v>
      </c>
      <c r="Q203" s="1" t="e">
        <f>Tabla32[[#This Row],[COLOR OFICIO]]-#REF!</f>
        <v>#REF!</v>
      </c>
      <c r="R203" s="1" t="e">
        <f>Tabla32[[#This Row],[ENVIAR]]-#REF!</f>
        <v>#REF!</v>
      </c>
      <c r="S203" s="1" t="e">
        <f>Tabla32[[#This Row],[COPIAR]]-#REF!</f>
        <v>#REF!</v>
      </c>
    </row>
    <row r="204" spans="1:19" x14ac:dyDescent="0.25">
      <c r="A204" t="s">
        <v>72</v>
      </c>
      <c r="B204" t="s">
        <v>256</v>
      </c>
      <c r="C204">
        <v>736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3</v>
      </c>
      <c r="K204" t="s">
        <v>72</v>
      </c>
      <c r="L204" t="s">
        <v>256</v>
      </c>
      <c r="M204" s="1" t="e">
        <f>Tabla32[[#This Row],[BN CARTA]]-#REF!</f>
        <v>#REF!</v>
      </c>
      <c r="N204" s="1" t="e">
        <f>Tabla32[[#This Row],[BN OFICIO]]-#REF!</f>
        <v>#REF!</v>
      </c>
      <c r="O204" s="1" t="e">
        <f>Tabla32[[#This Row],[BN DC]]-#REF!</f>
        <v>#REF!</v>
      </c>
      <c r="P204" s="1" t="e">
        <f>Tabla32[[#This Row],[COLOR CARTA]]-#REF!</f>
        <v>#REF!</v>
      </c>
      <c r="Q204" s="1" t="e">
        <f>Tabla32[[#This Row],[COLOR OFICIO]]-#REF!</f>
        <v>#REF!</v>
      </c>
      <c r="R204" s="1" t="e">
        <f>Tabla32[[#This Row],[ENVIAR]]-#REF!</f>
        <v>#REF!</v>
      </c>
      <c r="S204" s="1" t="e">
        <f>Tabla32[[#This Row],[COPIAR]]-#REF!</f>
        <v>#REF!</v>
      </c>
    </row>
    <row r="205" spans="1:19" x14ac:dyDescent="0.25">
      <c r="A205" t="s">
        <v>138</v>
      </c>
      <c r="B205" t="s">
        <v>257</v>
      </c>
      <c r="C205">
        <v>2480</v>
      </c>
      <c r="D205">
        <v>15</v>
      </c>
      <c r="E205">
        <v>0</v>
      </c>
      <c r="F205">
        <v>0</v>
      </c>
      <c r="G205">
        <v>0</v>
      </c>
      <c r="H205">
        <v>16</v>
      </c>
      <c r="I205">
        <v>192</v>
      </c>
      <c r="K205" t="s">
        <v>138</v>
      </c>
      <c r="L205" t="s">
        <v>257</v>
      </c>
      <c r="M205" s="1" t="e">
        <f>Tabla32[[#This Row],[BN CARTA]]-#REF!</f>
        <v>#REF!</v>
      </c>
      <c r="N205" s="1" t="e">
        <f>Tabla32[[#This Row],[BN OFICIO]]-#REF!</f>
        <v>#REF!</v>
      </c>
      <c r="O205" s="1" t="e">
        <f>Tabla32[[#This Row],[BN DC]]-#REF!</f>
        <v>#REF!</v>
      </c>
      <c r="P205" s="1" t="e">
        <f>Tabla32[[#This Row],[COLOR CARTA]]-#REF!</f>
        <v>#REF!</v>
      </c>
      <c r="Q205" s="1" t="e">
        <f>Tabla32[[#This Row],[COLOR OFICIO]]-#REF!</f>
        <v>#REF!</v>
      </c>
      <c r="R205" s="1" t="e">
        <f>Tabla32[[#This Row],[ENVIAR]]-#REF!</f>
        <v>#REF!</v>
      </c>
      <c r="S205" s="1" t="e">
        <f>Tabla32[[#This Row],[COPIAR]]-#REF!</f>
        <v>#REF!</v>
      </c>
    </row>
    <row r="206" spans="1:19" x14ac:dyDescent="0.25">
      <c r="A206" t="s">
        <v>10</v>
      </c>
      <c r="B206" t="s">
        <v>258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K206" t="s">
        <v>10</v>
      </c>
      <c r="L206" t="s">
        <v>258</v>
      </c>
      <c r="M206" s="1" t="e">
        <f>Tabla32[[#This Row],[BN CARTA]]-#REF!</f>
        <v>#REF!</v>
      </c>
      <c r="N206" s="1" t="e">
        <f>Tabla32[[#This Row],[BN OFICIO]]-#REF!</f>
        <v>#REF!</v>
      </c>
      <c r="O206" s="1" t="e">
        <f>Tabla32[[#This Row],[BN DC]]-#REF!</f>
        <v>#REF!</v>
      </c>
      <c r="P206" s="1" t="e">
        <f>Tabla32[[#This Row],[COLOR CARTA]]-#REF!</f>
        <v>#REF!</v>
      </c>
      <c r="Q206" s="1" t="e">
        <f>Tabla32[[#This Row],[COLOR OFICIO]]-#REF!</f>
        <v>#REF!</v>
      </c>
      <c r="R206" s="1" t="e">
        <f>Tabla32[[#This Row],[ENVIAR]]-#REF!</f>
        <v>#REF!</v>
      </c>
      <c r="S206" s="1" t="e">
        <f>Tabla32[[#This Row],[COPIAR]]-#REF!</f>
        <v>#REF!</v>
      </c>
    </row>
    <row r="207" spans="1:19" x14ac:dyDescent="0.25">
      <c r="A207" t="s">
        <v>10</v>
      </c>
      <c r="B207" t="s">
        <v>259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K207" t="s">
        <v>10</v>
      </c>
      <c r="L207" t="s">
        <v>259</v>
      </c>
      <c r="M207" s="1" t="e">
        <f>Tabla32[[#This Row],[BN CARTA]]-#REF!</f>
        <v>#REF!</v>
      </c>
      <c r="N207" s="1" t="e">
        <f>Tabla32[[#This Row],[BN OFICIO]]-#REF!</f>
        <v>#REF!</v>
      </c>
      <c r="O207" s="1" t="e">
        <f>Tabla32[[#This Row],[BN DC]]-#REF!</f>
        <v>#REF!</v>
      </c>
      <c r="P207" s="1" t="e">
        <f>Tabla32[[#This Row],[COLOR CARTA]]-#REF!</f>
        <v>#REF!</v>
      </c>
      <c r="Q207" s="1" t="e">
        <f>Tabla32[[#This Row],[COLOR OFICIO]]-#REF!</f>
        <v>#REF!</v>
      </c>
      <c r="R207" s="1" t="e">
        <f>Tabla32[[#This Row],[ENVIAR]]-#REF!</f>
        <v>#REF!</v>
      </c>
      <c r="S207" s="1" t="e">
        <f>Tabla32[[#This Row],[COPIAR]]-#REF!</f>
        <v>#REF!</v>
      </c>
    </row>
    <row r="208" spans="1:19" x14ac:dyDescent="0.25">
      <c r="A208" t="s">
        <v>131</v>
      </c>
      <c r="B208" t="s">
        <v>260</v>
      </c>
      <c r="C208">
        <v>36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9</v>
      </c>
      <c r="K208" t="s">
        <v>131</v>
      </c>
      <c r="L208" t="s">
        <v>260</v>
      </c>
      <c r="M208" s="1" t="e">
        <f>Tabla32[[#This Row],[BN CARTA]]-#REF!</f>
        <v>#REF!</v>
      </c>
      <c r="N208" s="1" t="e">
        <f>Tabla32[[#This Row],[BN OFICIO]]-#REF!</f>
        <v>#REF!</v>
      </c>
      <c r="O208" s="1" t="e">
        <f>Tabla32[[#This Row],[BN DC]]-#REF!</f>
        <v>#REF!</v>
      </c>
      <c r="P208" s="1" t="e">
        <f>Tabla32[[#This Row],[COLOR CARTA]]-#REF!</f>
        <v>#REF!</v>
      </c>
      <c r="Q208" s="1" t="e">
        <f>Tabla32[[#This Row],[COLOR OFICIO]]-#REF!</f>
        <v>#REF!</v>
      </c>
      <c r="R208" s="1" t="e">
        <f>Tabla32[[#This Row],[ENVIAR]]-#REF!</f>
        <v>#REF!</v>
      </c>
      <c r="S208" s="1" t="e">
        <f>Tabla32[[#This Row],[COPIAR]]-#REF!</f>
        <v>#REF!</v>
      </c>
    </row>
    <row r="209" spans="1:19" x14ac:dyDescent="0.25">
      <c r="A209" t="s">
        <v>10</v>
      </c>
      <c r="B209" t="s">
        <v>261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K209" t="s">
        <v>10</v>
      </c>
      <c r="L209" t="s">
        <v>261</v>
      </c>
      <c r="M209" s="1" t="e">
        <f>Tabla32[[#This Row],[BN CARTA]]-#REF!</f>
        <v>#REF!</v>
      </c>
      <c r="N209" s="1" t="e">
        <f>Tabla32[[#This Row],[BN OFICIO]]-#REF!</f>
        <v>#REF!</v>
      </c>
      <c r="O209" s="1" t="e">
        <f>Tabla32[[#This Row],[BN DC]]-#REF!</f>
        <v>#REF!</v>
      </c>
      <c r="P209" s="1" t="e">
        <f>Tabla32[[#This Row],[COLOR CARTA]]-#REF!</f>
        <v>#REF!</v>
      </c>
      <c r="Q209" s="1" t="e">
        <f>Tabla32[[#This Row],[COLOR OFICIO]]-#REF!</f>
        <v>#REF!</v>
      </c>
      <c r="R209" s="1" t="e">
        <f>Tabla32[[#This Row],[ENVIAR]]-#REF!</f>
        <v>#REF!</v>
      </c>
      <c r="S209" s="1" t="e">
        <f>Tabla32[[#This Row],[COPIAR]]-#REF!</f>
        <v>#REF!</v>
      </c>
    </row>
    <row r="210" spans="1:19" x14ac:dyDescent="0.25">
      <c r="A210" t="s">
        <v>10</v>
      </c>
      <c r="B210" t="s">
        <v>262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K210" t="s">
        <v>10</v>
      </c>
      <c r="L210" t="s">
        <v>262</v>
      </c>
      <c r="M210" s="1" t="e">
        <f>Tabla32[[#This Row],[BN CARTA]]-#REF!</f>
        <v>#REF!</v>
      </c>
      <c r="N210" s="1" t="e">
        <f>Tabla32[[#This Row],[BN OFICIO]]-#REF!</f>
        <v>#REF!</v>
      </c>
      <c r="O210" s="1" t="e">
        <f>Tabla32[[#This Row],[BN DC]]-#REF!</f>
        <v>#REF!</v>
      </c>
      <c r="P210" s="1" t="e">
        <f>Tabla32[[#This Row],[COLOR CARTA]]-#REF!</f>
        <v>#REF!</v>
      </c>
      <c r="Q210" s="1" t="e">
        <f>Tabla32[[#This Row],[COLOR OFICIO]]-#REF!</f>
        <v>#REF!</v>
      </c>
      <c r="R210" s="1" t="e">
        <f>Tabla32[[#This Row],[ENVIAR]]-#REF!</f>
        <v>#REF!</v>
      </c>
      <c r="S210" s="1" t="e">
        <f>Tabla32[[#This Row],[COPIAR]]-#REF!</f>
        <v>#REF!</v>
      </c>
    </row>
    <row r="211" spans="1:19" x14ac:dyDescent="0.25">
      <c r="A211" t="s">
        <v>120</v>
      </c>
      <c r="B211" t="s">
        <v>263</v>
      </c>
      <c r="C211">
        <v>4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K211" t="s">
        <v>120</v>
      </c>
      <c r="L211" t="s">
        <v>263</v>
      </c>
      <c r="M211" s="1" t="e">
        <f>Tabla32[[#This Row],[BN CARTA]]-#REF!</f>
        <v>#REF!</v>
      </c>
      <c r="N211" s="1" t="e">
        <f>Tabla32[[#This Row],[BN OFICIO]]-#REF!</f>
        <v>#REF!</v>
      </c>
      <c r="O211" s="1" t="e">
        <f>Tabla32[[#This Row],[BN DC]]-#REF!</f>
        <v>#REF!</v>
      </c>
      <c r="P211" s="1" t="e">
        <f>Tabla32[[#This Row],[COLOR CARTA]]-#REF!</f>
        <v>#REF!</v>
      </c>
      <c r="Q211" s="1" t="e">
        <f>Tabla32[[#This Row],[COLOR OFICIO]]-#REF!</f>
        <v>#REF!</v>
      </c>
      <c r="R211" s="1" t="e">
        <f>Tabla32[[#This Row],[ENVIAR]]-#REF!</f>
        <v>#REF!</v>
      </c>
      <c r="S211" s="1" t="e">
        <f>Tabla32[[#This Row],[COPIAR]]-#REF!</f>
        <v>#REF!</v>
      </c>
    </row>
    <row r="212" spans="1:19" x14ac:dyDescent="0.25">
      <c r="A212" t="s">
        <v>140</v>
      </c>
      <c r="B212" t="s">
        <v>264</v>
      </c>
      <c r="C212">
        <v>225</v>
      </c>
      <c r="D212">
        <v>0</v>
      </c>
      <c r="E212">
        <v>0</v>
      </c>
      <c r="F212">
        <v>0</v>
      </c>
      <c r="G212">
        <v>0</v>
      </c>
      <c r="H212">
        <v>52</v>
      </c>
      <c r="I212">
        <v>39</v>
      </c>
      <c r="K212" t="s">
        <v>140</v>
      </c>
      <c r="L212" t="s">
        <v>264</v>
      </c>
      <c r="M212" s="1" t="e">
        <f>Tabla32[[#This Row],[BN CARTA]]-#REF!</f>
        <v>#REF!</v>
      </c>
      <c r="N212" s="1" t="e">
        <f>Tabla32[[#This Row],[BN OFICIO]]-#REF!</f>
        <v>#REF!</v>
      </c>
      <c r="O212" s="1" t="e">
        <f>Tabla32[[#This Row],[BN DC]]-#REF!</f>
        <v>#REF!</v>
      </c>
      <c r="P212" s="1" t="e">
        <f>Tabla32[[#This Row],[COLOR CARTA]]-#REF!</f>
        <v>#REF!</v>
      </c>
      <c r="Q212" s="1" t="e">
        <f>Tabla32[[#This Row],[COLOR OFICIO]]-#REF!</f>
        <v>#REF!</v>
      </c>
      <c r="R212" s="1" t="e">
        <f>Tabla32[[#This Row],[ENVIAR]]-#REF!</f>
        <v>#REF!</v>
      </c>
      <c r="S212" s="1" t="e">
        <f>Tabla32[[#This Row],[COPIAR]]-#REF!</f>
        <v>#REF!</v>
      </c>
    </row>
    <row r="213" spans="1:19" x14ac:dyDescent="0.25">
      <c r="A213" t="s">
        <v>265</v>
      </c>
      <c r="B213" t="s">
        <v>266</v>
      </c>
      <c r="C213">
        <v>1241</v>
      </c>
      <c r="D213">
        <v>0</v>
      </c>
      <c r="E213">
        <v>0</v>
      </c>
      <c r="F213">
        <v>0</v>
      </c>
      <c r="G213">
        <v>0</v>
      </c>
      <c r="H213">
        <v>394</v>
      </c>
      <c r="I213">
        <v>406</v>
      </c>
      <c r="K213" t="s">
        <v>265</v>
      </c>
      <c r="L213" t="s">
        <v>266</v>
      </c>
      <c r="M213" s="1" t="e">
        <f>Tabla32[[#This Row],[BN CARTA]]-#REF!</f>
        <v>#REF!</v>
      </c>
      <c r="N213" s="1" t="e">
        <f>Tabla32[[#This Row],[BN OFICIO]]-#REF!</f>
        <v>#REF!</v>
      </c>
      <c r="O213" s="1" t="e">
        <f>Tabla32[[#This Row],[BN DC]]-#REF!</f>
        <v>#REF!</v>
      </c>
      <c r="P213" s="1" t="e">
        <f>Tabla32[[#This Row],[COLOR CARTA]]-#REF!</f>
        <v>#REF!</v>
      </c>
      <c r="Q213" s="1" t="e">
        <f>Tabla32[[#This Row],[COLOR OFICIO]]-#REF!</f>
        <v>#REF!</v>
      </c>
      <c r="R213" s="1" t="e">
        <f>Tabla32[[#This Row],[ENVIAR]]-#REF!</f>
        <v>#REF!</v>
      </c>
      <c r="S213" s="1" t="e">
        <f>Tabla32[[#This Row],[COPIAR]]-#REF!</f>
        <v>#REF!</v>
      </c>
    </row>
    <row r="214" spans="1:19" x14ac:dyDescent="0.25">
      <c r="A214" t="s">
        <v>10</v>
      </c>
      <c r="B214" t="s">
        <v>267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K214" t="s">
        <v>10</v>
      </c>
      <c r="L214" t="s">
        <v>267</v>
      </c>
      <c r="M214" s="1" t="e">
        <f>Tabla32[[#This Row],[BN CARTA]]-#REF!</f>
        <v>#REF!</v>
      </c>
      <c r="N214" s="1" t="e">
        <f>Tabla32[[#This Row],[BN OFICIO]]-#REF!</f>
        <v>#REF!</v>
      </c>
      <c r="O214" s="1" t="e">
        <f>Tabla32[[#This Row],[BN DC]]-#REF!</f>
        <v>#REF!</v>
      </c>
      <c r="P214" s="1" t="e">
        <f>Tabla32[[#This Row],[COLOR CARTA]]-#REF!</f>
        <v>#REF!</v>
      </c>
      <c r="Q214" s="1" t="e">
        <f>Tabla32[[#This Row],[COLOR OFICIO]]-#REF!</f>
        <v>#REF!</v>
      </c>
      <c r="R214" s="1" t="e">
        <f>Tabla32[[#This Row],[ENVIAR]]-#REF!</f>
        <v>#REF!</v>
      </c>
      <c r="S214" s="1" t="e">
        <f>Tabla32[[#This Row],[COPIAR]]-#REF!</f>
        <v>#REF!</v>
      </c>
    </row>
    <row r="215" spans="1:19" x14ac:dyDescent="0.25">
      <c r="A215" t="s">
        <v>150</v>
      </c>
      <c r="B215" t="s">
        <v>268</v>
      </c>
      <c r="C215">
        <v>40</v>
      </c>
      <c r="D215">
        <v>0</v>
      </c>
      <c r="E215">
        <v>0</v>
      </c>
      <c r="F215">
        <v>0</v>
      </c>
      <c r="G215">
        <v>0</v>
      </c>
      <c r="H215">
        <v>2</v>
      </c>
      <c r="I215">
        <v>7</v>
      </c>
      <c r="K215" t="s">
        <v>150</v>
      </c>
      <c r="L215" t="s">
        <v>268</v>
      </c>
      <c r="M215" s="1" t="e">
        <f>Tabla32[[#This Row],[BN CARTA]]-#REF!</f>
        <v>#REF!</v>
      </c>
      <c r="N215" s="1" t="e">
        <f>Tabla32[[#This Row],[BN OFICIO]]-#REF!</f>
        <v>#REF!</v>
      </c>
      <c r="O215" s="1" t="e">
        <f>Tabla32[[#This Row],[BN DC]]-#REF!</f>
        <v>#REF!</v>
      </c>
      <c r="P215" s="1" t="e">
        <f>Tabla32[[#This Row],[COLOR CARTA]]-#REF!</f>
        <v>#REF!</v>
      </c>
      <c r="Q215" s="1" t="e">
        <f>Tabla32[[#This Row],[COLOR OFICIO]]-#REF!</f>
        <v>#REF!</v>
      </c>
      <c r="R215" s="1" t="e">
        <f>Tabla32[[#This Row],[ENVIAR]]-#REF!</f>
        <v>#REF!</v>
      </c>
      <c r="S215" s="1" t="e">
        <f>Tabla32[[#This Row],[COPIAR]]-#REF!</f>
        <v>#REF!</v>
      </c>
    </row>
    <row r="216" spans="1:19" x14ac:dyDescent="0.25">
      <c r="A216" t="s">
        <v>10</v>
      </c>
      <c r="B216" t="s">
        <v>269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K216" t="s">
        <v>10</v>
      </c>
      <c r="L216" t="s">
        <v>269</v>
      </c>
      <c r="M216" s="1" t="e">
        <f>Tabla32[[#This Row],[BN CARTA]]-#REF!</f>
        <v>#REF!</v>
      </c>
      <c r="N216" s="1" t="e">
        <f>Tabla32[[#This Row],[BN OFICIO]]-#REF!</f>
        <v>#REF!</v>
      </c>
      <c r="O216" s="1" t="e">
        <f>Tabla32[[#This Row],[BN DC]]-#REF!</f>
        <v>#REF!</v>
      </c>
      <c r="P216" s="1" t="e">
        <f>Tabla32[[#This Row],[COLOR CARTA]]-#REF!</f>
        <v>#REF!</v>
      </c>
      <c r="Q216" s="1" t="e">
        <f>Tabla32[[#This Row],[COLOR OFICIO]]-#REF!</f>
        <v>#REF!</v>
      </c>
      <c r="R216" s="1" t="e">
        <f>Tabla32[[#This Row],[ENVIAR]]-#REF!</f>
        <v>#REF!</v>
      </c>
      <c r="S216" s="1" t="e">
        <f>Tabla32[[#This Row],[COPIAR]]-#REF!</f>
        <v>#REF!</v>
      </c>
    </row>
    <row r="217" spans="1:19" x14ac:dyDescent="0.25">
      <c r="A217" t="s">
        <v>10</v>
      </c>
      <c r="B217" t="s">
        <v>270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K217" t="s">
        <v>10</v>
      </c>
      <c r="L217" t="s">
        <v>270</v>
      </c>
      <c r="M217" s="1" t="e">
        <f>Tabla32[[#This Row],[BN CARTA]]-#REF!</f>
        <v>#REF!</v>
      </c>
      <c r="N217" s="1" t="e">
        <f>Tabla32[[#This Row],[BN OFICIO]]-#REF!</f>
        <v>#REF!</v>
      </c>
      <c r="O217" s="1" t="e">
        <f>Tabla32[[#This Row],[BN DC]]-#REF!</f>
        <v>#REF!</v>
      </c>
      <c r="P217" s="1" t="e">
        <f>Tabla32[[#This Row],[COLOR CARTA]]-#REF!</f>
        <v>#REF!</v>
      </c>
      <c r="Q217" s="1" t="e">
        <f>Tabla32[[#This Row],[COLOR OFICIO]]-#REF!</f>
        <v>#REF!</v>
      </c>
      <c r="R217" s="1" t="e">
        <f>Tabla32[[#This Row],[ENVIAR]]-#REF!</f>
        <v>#REF!</v>
      </c>
      <c r="S217" s="1" t="e">
        <f>Tabla32[[#This Row],[COPIAR]]-#REF!</f>
        <v>#REF!</v>
      </c>
    </row>
    <row r="218" spans="1:19" x14ac:dyDescent="0.25">
      <c r="A218" t="s">
        <v>248</v>
      </c>
      <c r="B218" t="s">
        <v>271</v>
      </c>
      <c r="C218">
        <v>1097</v>
      </c>
      <c r="D218">
        <v>0</v>
      </c>
      <c r="E218">
        <v>0</v>
      </c>
      <c r="F218">
        <v>0</v>
      </c>
      <c r="G218">
        <v>0</v>
      </c>
      <c r="H218">
        <v>7426</v>
      </c>
      <c r="I218">
        <v>162</v>
      </c>
      <c r="K218" t="s">
        <v>248</v>
      </c>
      <c r="L218" t="s">
        <v>271</v>
      </c>
      <c r="M218" s="1" t="e">
        <f>Tabla32[[#This Row],[BN CARTA]]-#REF!</f>
        <v>#REF!</v>
      </c>
      <c r="N218" s="1" t="e">
        <f>Tabla32[[#This Row],[BN OFICIO]]-#REF!</f>
        <v>#REF!</v>
      </c>
      <c r="O218" s="1" t="e">
        <f>Tabla32[[#This Row],[BN DC]]-#REF!</f>
        <v>#REF!</v>
      </c>
      <c r="P218" s="1" t="e">
        <f>Tabla32[[#This Row],[COLOR CARTA]]-#REF!</f>
        <v>#REF!</v>
      </c>
      <c r="Q218" s="1" t="e">
        <f>Tabla32[[#This Row],[COLOR OFICIO]]-#REF!</f>
        <v>#REF!</v>
      </c>
      <c r="R218" s="1" t="e">
        <f>Tabla32[[#This Row],[ENVIAR]]-#REF!</f>
        <v>#REF!</v>
      </c>
      <c r="S218" s="1" t="e">
        <f>Tabla32[[#This Row],[COPIAR]]-#REF!</f>
        <v>#REF!</v>
      </c>
    </row>
    <row r="219" spans="1:19" x14ac:dyDescent="0.25">
      <c r="A219" t="s">
        <v>10</v>
      </c>
      <c r="B219" t="s">
        <v>272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K219" t="s">
        <v>10</v>
      </c>
      <c r="L219" t="s">
        <v>272</v>
      </c>
      <c r="M219" s="1" t="e">
        <f>Tabla32[[#This Row],[BN CARTA]]-#REF!</f>
        <v>#REF!</v>
      </c>
      <c r="N219" s="1" t="e">
        <f>Tabla32[[#This Row],[BN OFICIO]]-#REF!</f>
        <v>#REF!</v>
      </c>
      <c r="O219" s="1" t="e">
        <f>Tabla32[[#This Row],[BN DC]]-#REF!</f>
        <v>#REF!</v>
      </c>
      <c r="P219" s="1" t="e">
        <f>Tabla32[[#This Row],[COLOR CARTA]]-#REF!</f>
        <v>#REF!</v>
      </c>
      <c r="Q219" s="1" t="e">
        <f>Tabla32[[#This Row],[COLOR OFICIO]]-#REF!</f>
        <v>#REF!</v>
      </c>
      <c r="R219" s="1" t="e">
        <f>Tabla32[[#This Row],[ENVIAR]]-#REF!</f>
        <v>#REF!</v>
      </c>
      <c r="S219" s="1" t="e">
        <f>Tabla32[[#This Row],[COPIAR]]-#REF!</f>
        <v>#REF!</v>
      </c>
    </row>
    <row r="220" spans="1:19" x14ac:dyDescent="0.25">
      <c r="A220" t="s">
        <v>146</v>
      </c>
      <c r="B220" t="s">
        <v>273</v>
      </c>
      <c r="C220">
        <v>424</v>
      </c>
      <c r="D220">
        <v>0</v>
      </c>
      <c r="E220">
        <v>0</v>
      </c>
      <c r="F220">
        <v>0</v>
      </c>
      <c r="G220">
        <v>0</v>
      </c>
      <c r="H220">
        <v>80</v>
      </c>
      <c r="I220">
        <v>225</v>
      </c>
      <c r="K220" t="s">
        <v>146</v>
      </c>
      <c r="L220" t="s">
        <v>273</v>
      </c>
      <c r="M220" s="1" t="e">
        <f>Tabla32[[#This Row],[BN CARTA]]-#REF!</f>
        <v>#REF!</v>
      </c>
      <c r="N220" s="1" t="e">
        <f>Tabla32[[#This Row],[BN OFICIO]]-#REF!</f>
        <v>#REF!</v>
      </c>
      <c r="O220" s="1" t="e">
        <f>Tabla32[[#This Row],[BN DC]]-#REF!</f>
        <v>#REF!</v>
      </c>
      <c r="P220" s="1" t="e">
        <f>Tabla32[[#This Row],[COLOR CARTA]]-#REF!</f>
        <v>#REF!</v>
      </c>
      <c r="Q220" s="1" t="e">
        <f>Tabla32[[#This Row],[COLOR OFICIO]]-#REF!</f>
        <v>#REF!</v>
      </c>
      <c r="R220" s="1" t="e">
        <f>Tabla32[[#This Row],[ENVIAR]]-#REF!</f>
        <v>#REF!</v>
      </c>
      <c r="S220" s="1" t="e">
        <f>Tabla32[[#This Row],[COPIAR]]-#REF!</f>
        <v>#REF!</v>
      </c>
    </row>
    <row r="221" spans="1:19" x14ac:dyDescent="0.25">
      <c r="A221" t="s">
        <v>10</v>
      </c>
      <c r="B221" t="s">
        <v>274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K221" t="s">
        <v>10</v>
      </c>
      <c r="L221" t="s">
        <v>274</v>
      </c>
      <c r="M221" s="1" t="e">
        <f>Tabla32[[#This Row],[BN CARTA]]-#REF!</f>
        <v>#REF!</v>
      </c>
      <c r="N221" s="1" t="e">
        <f>Tabla32[[#This Row],[BN OFICIO]]-#REF!</f>
        <v>#REF!</v>
      </c>
      <c r="O221" s="1" t="e">
        <f>Tabla32[[#This Row],[BN DC]]-#REF!</f>
        <v>#REF!</v>
      </c>
      <c r="P221" s="1" t="e">
        <f>Tabla32[[#This Row],[COLOR CARTA]]-#REF!</f>
        <v>#REF!</v>
      </c>
      <c r="Q221" s="1" t="e">
        <f>Tabla32[[#This Row],[COLOR OFICIO]]-#REF!</f>
        <v>#REF!</v>
      </c>
      <c r="R221" s="1" t="e">
        <f>Tabla32[[#This Row],[ENVIAR]]-#REF!</f>
        <v>#REF!</v>
      </c>
      <c r="S221" s="1" t="e">
        <f>Tabla32[[#This Row],[COPIAR]]-#REF!</f>
        <v>#REF!</v>
      </c>
    </row>
    <row r="222" spans="1:19" x14ac:dyDescent="0.25">
      <c r="A222" t="s">
        <v>10</v>
      </c>
      <c r="B222" t="s">
        <v>275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K222" t="s">
        <v>10</v>
      </c>
      <c r="L222" t="s">
        <v>275</v>
      </c>
      <c r="M222" s="1" t="e">
        <f>Tabla32[[#This Row],[BN CARTA]]-#REF!</f>
        <v>#REF!</v>
      </c>
      <c r="N222" s="1" t="e">
        <f>Tabla32[[#This Row],[BN OFICIO]]-#REF!</f>
        <v>#REF!</v>
      </c>
      <c r="O222" s="1" t="e">
        <f>Tabla32[[#This Row],[BN DC]]-#REF!</f>
        <v>#REF!</v>
      </c>
      <c r="P222" s="1" t="e">
        <f>Tabla32[[#This Row],[COLOR CARTA]]-#REF!</f>
        <v>#REF!</v>
      </c>
      <c r="Q222" s="1" t="e">
        <f>Tabla32[[#This Row],[COLOR OFICIO]]-#REF!</f>
        <v>#REF!</v>
      </c>
      <c r="R222" s="1" t="e">
        <f>Tabla32[[#This Row],[ENVIAR]]-#REF!</f>
        <v>#REF!</v>
      </c>
      <c r="S222" s="1" t="e">
        <f>Tabla32[[#This Row],[COPIAR]]-#REF!</f>
        <v>#REF!</v>
      </c>
    </row>
    <row r="223" spans="1:19" x14ac:dyDescent="0.25">
      <c r="A223" t="s">
        <v>10</v>
      </c>
      <c r="B223" t="s">
        <v>276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K223" t="s">
        <v>10</v>
      </c>
      <c r="L223" t="s">
        <v>276</v>
      </c>
      <c r="M223" s="1" t="e">
        <f>Tabla32[[#This Row],[BN CARTA]]-#REF!</f>
        <v>#REF!</v>
      </c>
      <c r="N223" s="1" t="e">
        <f>Tabla32[[#This Row],[BN OFICIO]]-#REF!</f>
        <v>#REF!</v>
      </c>
      <c r="O223" s="1" t="e">
        <f>Tabla32[[#This Row],[BN DC]]-#REF!</f>
        <v>#REF!</v>
      </c>
      <c r="P223" s="1" t="e">
        <f>Tabla32[[#This Row],[COLOR CARTA]]-#REF!</f>
        <v>#REF!</v>
      </c>
      <c r="Q223" s="1" t="e">
        <f>Tabla32[[#This Row],[COLOR OFICIO]]-#REF!</f>
        <v>#REF!</v>
      </c>
      <c r="R223" s="1" t="e">
        <f>Tabla32[[#This Row],[ENVIAR]]-#REF!</f>
        <v>#REF!</v>
      </c>
      <c r="S223" s="1" t="e">
        <f>Tabla32[[#This Row],[COPIAR]]-#REF!</f>
        <v>#REF!</v>
      </c>
    </row>
    <row r="224" spans="1:19" x14ac:dyDescent="0.25">
      <c r="A224" t="s">
        <v>76</v>
      </c>
      <c r="B224" t="s">
        <v>277</v>
      </c>
      <c r="C224">
        <v>4488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K224" t="s">
        <v>76</v>
      </c>
      <c r="L224" t="s">
        <v>277</v>
      </c>
      <c r="M224" s="1" t="e">
        <f>Tabla32[[#This Row],[BN CARTA]]-#REF!</f>
        <v>#REF!</v>
      </c>
      <c r="N224" s="1" t="e">
        <f>Tabla32[[#This Row],[BN OFICIO]]-#REF!</f>
        <v>#REF!</v>
      </c>
      <c r="O224" s="1" t="e">
        <f>Tabla32[[#This Row],[BN DC]]-#REF!</f>
        <v>#REF!</v>
      </c>
      <c r="P224" s="1" t="e">
        <f>Tabla32[[#This Row],[COLOR CARTA]]-#REF!</f>
        <v>#REF!</v>
      </c>
      <c r="Q224" s="1" t="e">
        <f>Tabla32[[#This Row],[COLOR OFICIO]]-#REF!</f>
        <v>#REF!</v>
      </c>
      <c r="R224" s="1" t="e">
        <f>Tabla32[[#This Row],[ENVIAR]]-#REF!</f>
        <v>#REF!</v>
      </c>
      <c r="S224" s="1" t="e">
        <f>Tabla32[[#This Row],[COPIAR]]-#REF!</f>
        <v>#REF!</v>
      </c>
    </row>
    <row r="225" spans="1:19" x14ac:dyDescent="0.25">
      <c r="A225" t="s">
        <v>10</v>
      </c>
      <c r="B225" t="s">
        <v>278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K225" t="s">
        <v>10</v>
      </c>
      <c r="L225" t="s">
        <v>278</v>
      </c>
      <c r="M225" s="1" t="e">
        <f>Tabla32[[#This Row],[BN CARTA]]-#REF!</f>
        <v>#REF!</v>
      </c>
      <c r="N225" s="1" t="e">
        <f>Tabla32[[#This Row],[BN OFICIO]]-#REF!</f>
        <v>#REF!</v>
      </c>
      <c r="O225" s="1" t="e">
        <f>Tabla32[[#This Row],[BN DC]]-#REF!</f>
        <v>#REF!</v>
      </c>
      <c r="P225" s="1" t="e">
        <f>Tabla32[[#This Row],[COLOR CARTA]]-#REF!</f>
        <v>#REF!</v>
      </c>
      <c r="Q225" s="1" t="e">
        <f>Tabla32[[#This Row],[COLOR OFICIO]]-#REF!</f>
        <v>#REF!</v>
      </c>
      <c r="R225" s="1" t="e">
        <f>Tabla32[[#This Row],[ENVIAR]]-#REF!</f>
        <v>#REF!</v>
      </c>
      <c r="S225" s="1" t="e">
        <f>Tabla32[[#This Row],[COPIAR]]-#REF!</f>
        <v>#REF!</v>
      </c>
    </row>
    <row r="226" spans="1:19" x14ac:dyDescent="0.25">
      <c r="A226" t="s">
        <v>10</v>
      </c>
      <c r="B226" t="s">
        <v>279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K226" t="s">
        <v>10</v>
      </c>
      <c r="L226" t="s">
        <v>279</v>
      </c>
      <c r="M226" s="1" t="e">
        <f>Tabla32[[#This Row],[BN CARTA]]-#REF!</f>
        <v>#REF!</v>
      </c>
      <c r="N226" s="1" t="e">
        <f>Tabla32[[#This Row],[BN OFICIO]]-#REF!</f>
        <v>#REF!</v>
      </c>
      <c r="O226" s="1" t="e">
        <f>Tabla32[[#This Row],[BN DC]]-#REF!</f>
        <v>#REF!</v>
      </c>
      <c r="P226" s="1" t="e">
        <f>Tabla32[[#This Row],[COLOR CARTA]]-#REF!</f>
        <v>#REF!</v>
      </c>
      <c r="Q226" s="1" t="e">
        <f>Tabla32[[#This Row],[COLOR OFICIO]]-#REF!</f>
        <v>#REF!</v>
      </c>
      <c r="R226" s="1" t="e">
        <f>Tabla32[[#This Row],[ENVIAR]]-#REF!</f>
        <v>#REF!</v>
      </c>
      <c r="S226" s="1" t="e">
        <f>Tabla32[[#This Row],[COPIAR]]-#REF!</f>
        <v>#REF!</v>
      </c>
    </row>
    <row r="227" spans="1:19" x14ac:dyDescent="0.25">
      <c r="A227" t="s">
        <v>10</v>
      </c>
      <c r="B227" t="s">
        <v>280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K227" t="s">
        <v>10</v>
      </c>
      <c r="L227" t="s">
        <v>280</v>
      </c>
      <c r="M227" s="1" t="e">
        <f>Tabla32[[#This Row],[BN CARTA]]-#REF!</f>
        <v>#REF!</v>
      </c>
      <c r="N227" s="1" t="e">
        <f>Tabla32[[#This Row],[BN OFICIO]]-#REF!</f>
        <v>#REF!</v>
      </c>
      <c r="O227" s="1" t="e">
        <f>Tabla32[[#This Row],[BN DC]]-#REF!</f>
        <v>#REF!</v>
      </c>
      <c r="P227" s="1" t="e">
        <f>Tabla32[[#This Row],[COLOR CARTA]]-#REF!</f>
        <v>#REF!</v>
      </c>
      <c r="Q227" s="1" t="e">
        <f>Tabla32[[#This Row],[COLOR OFICIO]]-#REF!</f>
        <v>#REF!</v>
      </c>
      <c r="R227" s="1" t="e">
        <f>Tabla32[[#This Row],[ENVIAR]]-#REF!</f>
        <v>#REF!</v>
      </c>
      <c r="S227" s="1" t="e">
        <f>Tabla32[[#This Row],[COPIAR]]-#REF!</f>
        <v>#REF!</v>
      </c>
    </row>
    <row r="228" spans="1:19" x14ac:dyDescent="0.25">
      <c r="A228" t="s">
        <v>10</v>
      </c>
      <c r="B228" t="s">
        <v>281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K228" t="s">
        <v>10</v>
      </c>
      <c r="L228" t="s">
        <v>281</v>
      </c>
      <c r="M228" s="1" t="e">
        <f>Tabla32[[#This Row],[BN CARTA]]-#REF!</f>
        <v>#REF!</v>
      </c>
      <c r="N228" s="1" t="e">
        <f>Tabla32[[#This Row],[BN OFICIO]]-#REF!</f>
        <v>#REF!</v>
      </c>
      <c r="O228" s="1" t="e">
        <f>Tabla32[[#This Row],[BN DC]]-#REF!</f>
        <v>#REF!</v>
      </c>
      <c r="P228" s="1" t="e">
        <f>Tabla32[[#This Row],[COLOR CARTA]]-#REF!</f>
        <v>#REF!</v>
      </c>
      <c r="Q228" s="1" t="e">
        <f>Tabla32[[#This Row],[COLOR OFICIO]]-#REF!</f>
        <v>#REF!</v>
      </c>
      <c r="R228" s="1" t="e">
        <f>Tabla32[[#This Row],[ENVIAR]]-#REF!</f>
        <v>#REF!</v>
      </c>
      <c r="S228" s="1" t="e">
        <f>Tabla32[[#This Row],[COPIAR]]-#REF!</f>
        <v>#REF!</v>
      </c>
    </row>
    <row r="229" spans="1:19" x14ac:dyDescent="0.25">
      <c r="A229" t="s">
        <v>10</v>
      </c>
      <c r="B229" t="s">
        <v>282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K229" t="s">
        <v>10</v>
      </c>
      <c r="L229" t="s">
        <v>282</v>
      </c>
      <c r="M229" s="1" t="e">
        <f>Tabla32[[#This Row],[BN CARTA]]-#REF!</f>
        <v>#REF!</v>
      </c>
      <c r="N229" s="1" t="e">
        <f>Tabla32[[#This Row],[BN OFICIO]]-#REF!</f>
        <v>#REF!</v>
      </c>
      <c r="O229" s="1" t="e">
        <f>Tabla32[[#This Row],[BN DC]]-#REF!</f>
        <v>#REF!</v>
      </c>
      <c r="P229" s="1" t="e">
        <f>Tabla32[[#This Row],[COLOR CARTA]]-#REF!</f>
        <v>#REF!</v>
      </c>
      <c r="Q229" s="1" t="e">
        <f>Tabla32[[#This Row],[COLOR OFICIO]]-#REF!</f>
        <v>#REF!</v>
      </c>
      <c r="R229" s="1" t="e">
        <f>Tabla32[[#This Row],[ENVIAR]]-#REF!</f>
        <v>#REF!</v>
      </c>
      <c r="S229" s="1" t="e">
        <f>Tabla32[[#This Row],[COPIAR]]-#REF!</f>
        <v>#REF!</v>
      </c>
    </row>
    <row r="230" spans="1:19" x14ac:dyDescent="0.25">
      <c r="A230" t="s">
        <v>10</v>
      </c>
      <c r="B230" t="s">
        <v>283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K230" t="s">
        <v>10</v>
      </c>
      <c r="L230" t="s">
        <v>283</v>
      </c>
      <c r="M230" s="1" t="e">
        <f>Tabla32[[#This Row],[BN CARTA]]-#REF!</f>
        <v>#REF!</v>
      </c>
      <c r="N230" s="1" t="e">
        <f>Tabla32[[#This Row],[BN OFICIO]]-#REF!</f>
        <v>#REF!</v>
      </c>
      <c r="O230" s="1" t="e">
        <f>Tabla32[[#This Row],[BN DC]]-#REF!</f>
        <v>#REF!</v>
      </c>
      <c r="P230" s="1" t="e">
        <f>Tabla32[[#This Row],[COLOR CARTA]]-#REF!</f>
        <v>#REF!</v>
      </c>
      <c r="Q230" s="1" t="e">
        <f>Tabla32[[#This Row],[COLOR OFICIO]]-#REF!</f>
        <v>#REF!</v>
      </c>
      <c r="R230" s="1" t="e">
        <f>Tabla32[[#This Row],[ENVIAR]]-#REF!</f>
        <v>#REF!</v>
      </c>
      <c r="S230" s="1" t="e">
        <f>Tabla32[[#This Row],[COPIAR]]-#REF!</f>
        <v>#REF!</v>
      </c>
    </row>
    <row r="231" spans="1:19" x14ac:dyDescent="0.25">
      <c r="A231" t="s">
        <v>10</v>
      </c>
      <c r="B231" t="s">
        <v>284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K231" t="s">
        <v>10</v>
      </c>
      <c r="L231" t="s">
        <v>284</v>
      </c>
      <c r="M231" s="1" t="e">
        <f>Tabla32[[#This Row],[BN CARTA]]-#REF!</f>
        <v>#REF!</v>
      </c>
      <c r="N231" s="1" t="e">
        <f>Tabla32[[#This Row],[BN OFICIO]]-#REF!</f>
        <v>#REF!</v>
      </c>
      <c r="O231" s="1" t="e">
        <f>Tabla32[[#This Row],[BN DC]]-#REF!</f>
        <v>#REF!</v>
      </c>
      <c r="P231" s="1" t="e">
        <f>Tabla32[[#This Row],[COLOR CARTA]]-#REF!</f>
        <v>#REF!</v>
      </c>
      <c r="Q231" s="1" t="e">
        <f>Tabla32[[#This Row],[COLOR OFICIO]]-#REF!</f>
        <v>#REF!</v>
      </c>
      <c r="R231" s="1" t="e">
        <f>Tabla32[[#This Row],[ENVIAR]]-#REF!</f>
        <v>#REF!</v>
      </c>
      <c r="S231" s="1" t="e">
        <f>Tabla32[[#This Row],[COPIAR]]-#REF!</f>
        <v>#REF!</v>
      </c>
    </row>
    <row r="232" spans="1:19" x14ac:dyDescent="0.25">
      <c r="A232" t="s">
        <v>120</v>
      </c>
      <c r="B232" t="s">
        <v>285</v>
      </c>
      <c r="C232">
        <v>421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K232" t="s">
        <v>120</v>
      </c>
      <c r="L232" t="s">
        <v>285</v>
      </c>
      <c r="M232" s="1" t="e">
        <f>Tabla32[[#This Row],[BN CARTA]]-#REF!</f>
        <v>#REF!</v>
      </c>
      <c r="N232" s="1" t="e">
        <f>Tabla32[[#This Row],[BN OFICIO]]-#REF!</f>
        <v>#REF!</v>
      </c>
      <c r="O232" s="1" t="e">
        <f>Tabla32[[#This Row],[BN DC]]-#REF!</f>
        <v>#REF!</v>
      </c>
      <c r="P232" s="1" t="e">
        <f>Tabla32[[#This Row],[COLOR CARTA]]-#REF!</f>
        <v>#REF!</v>
      </c>
      <c r="Q232" s="1" t="e">
        <f>Tabla32[[#This Row],[COLOR OFICIO]]-#REF!</f>
        <v>#REF!</v>
      </c>
      <c r="R232" s="1" t="e">
        <f>Tabla32[[#This Row],[ENVIAR]]-#REF!</f>
        <v>#REF!</v>
      </c>
      <c r="S232" s="1" t="e">
        <f>Tabla32[[#This Row],[COPIAR]]-#REF!</f>
        <v>#REF!</v>
      </c>
    </row>
    <row r="233" spans="1:19" x14ac:dyDescent="0.25">
      <c r="A233" t="s">
        <v>101</v>
      </c>
      <c r="B233" t="s">
        <v>286</v>
      </c>
      <c r="C233">
        <v>880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K233" t="s">
        <v>101</v>
      </c>
      <c r="L233" t="s">
        <v>286</v>
      </c>
      <c r="M233" s="1" t="e">
        <f>Tabla32[[#This Row],[BN CARTA]]-#REF!</f>
        <v>#REF!</v>
      </c>
      <c r="N233" s="1" t="e">
        <f>Tabla32[[#This Row],[BN OFICIO]]-#REF!</f>
        <v>#REF!</v>
      </c>
      <c r="O233" s="1" t="e">
        <f>Tabla32[[#This Row],[BN DC]]-#REF!</f>
        <v>#REF!</v>
      </c>
      <c r="P233" s="1" t="e">
        <f>Tabla32[[#This Row],[COLOR CARTA]]-#REF!</f>
        <v>#REF!</v>
      </c>
      <c r="Q233" s="1" t="e">
        <f>Tabla32[[#This Row],[COLOR OFICIO]]-#REF!</f>
        <v>#REF!</v>
      </c>
      <c r="R233" s="1" t="e">
        <f>Tabla32[[#This Row],[ENVIAR]]-#REF!</f>
        <v>#REF!</v>
      </c>
      <c r="S233" s="1" t="e">
        <f>Tabla32[[#This Row],[COPIAR]]-#REF!</f>
        <v>#REF!</v>
      </c>
    </row>
    <row r="234" spans="1:19" x14ac:dyDescent="0.25">
      <c r="A234" t="s">
        <v>226</v>
      </c>
      <c r="B234" t="s">
        <v>287</v>
      </c>
      <c r="C234">
        <v>14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K234" t="s">
        <v>226</v>
      </c>
      <c r="L234" t="s">
        <v>287</v>
      </c>
      <c r="M234" s="1" t="e">
        <f>Tabla32[[#This Row],[BN CARTA]]-#REF!</f>
        <v>#REF!</v>
      </c>
      <c r="N234" s="1" t="e">
        <f>Tabla32[[#This Row],[BN OFICIO]]-#REF!</f>
        <v>#REF!</v>
      </c>
      <c r="O234" s="1" t="e">
        <f>Tabla32[[#This Row],[BN DC]]-#REF!</f>
        <v>#REF!</v>
      </c>
      <c r="P234" s="1" t="e">
        <f>Tabla32[[#This Row],[COLOR CARTA]]-#REF!</f>
        <v>#REF!</v>
      </c>
      <c r="Q234" s="1" t="e">
        <f>Tabla32[[#This Row],[COLOR OFICIO]]-#REF!</f>
        <v>#REF!</v>
      </c>
      <c r="R234" s="1" t="e">
        <f>Tabla32[[#This Row],[ENVIAR]]-#REF!</f>
        <v>#REF!</v>
      </c>
      <c r="S234" s="1" t="e">
        <f>Tabla32[[#This Row],[COPIAR]]-#REF!</f>
        <v>#REF!</v>
      </c>
    </row>
    <row r="235" spans="1:19" x14ac:dyDescent="0.25">
      <c r="A235" t="s">
        <v>10</v>
      </c>
      <c r="B235" t="s">
        <v>288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K235" t="s">
        <v>10</v>
      </c>
      <c r="L235" t="s">
        <v>288</v>
      </c>
      <c r="M235" s="1" t="e">
        <f>Tabla32[[#This Row],[BN CARTA]]-#REF!</f>
        <v>#REF!</v>
      </c>
      <c r="N235" s="1" t="e">
        <f>Tabla32[[#This Row],[BN OFICIO]]-#REF!</f>
        <v>#REF!</v>
      </c>
      <c r="O235" s="1" t="e">
        <f>Tabla32[[#This Row],[BN DC]]-#REF!</f>
        <v>#REF!</v>
      </c>
      <c r="P235" s="1" t="e">
        <f>Tabla32[[#This Row],[COLOR CARTA]]-#REF!</f>
        <v>#REF!</v>
      </c>
      <c r="Q235" s="1" t="e">
        <f>Tabla32[[#This Row],[COLOR OFICIO]]-#REF!</f>
        <v>#REF!</v>
      </c>
      <c r="R235" s="1" t="e">
        <f>Tabla32[[#This Row],[ENVIAR]]-#REF!</f>
        <v>#REF!</v>
      </c>
      <c r="S235" s="1" t="e">
        <f>Tabla32[[#This Row],[COPIAR]]-#REF!</f>
        <v>#REF!</v>
      </c>
    </row>
    <row r="236" spans="1:19" x14ac:dyDescent="0.25">
      <c r="A236" t="s">
        <v>10</v>
      </c>
      <c r="B236" t="s">
        <v>289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K236" t="s">
        <v>10</v>
      </c>
      <c r="L236" t="s">
        <v>289</v>
      </c>
      <c r="M236" s="1" t="e">
        <f>Tabla32[[#This Row],[BN CARTA]]-#REF!</f>
        <v>#REF!</v>
      </c>
      <c r="N236" s="1" t="e">
        <f>Tabla32[[#This Row],[BN OFICIO]]-#REF!</f>
        <v>#REF!</v>
      </c>
      <c r="O236" s="1" t="e">
        <f>Tabla32[[#This Row],[BN DC]]-#REF!</f>
        <v>#REF!</v>
      </c>
      <c r="P236" s="1" t="e">
        <f>Tabla32[[#This Row],[COLOR CARTA]]-#REF!</f>
        <v>#REF!</v>
      </c>
      <c r="Q236" s="1" t="e">
        <f>Tabla32[[#This Row],[COLOR OFICIO]]-#REF!</f>
        <v>#REF!</v>
      </c>
      <c r="R236" s="1" t="e">
        <f>Tabla32[[#This Row],[ENVIAR]]-#REF!</f>
        <v>#REF!</v>
      </c>
      <c r="S236" s="1" t="e">
        <f>Tabla32[[#This Row],[COPIAR]]-#REF!</f>
        <v>#REF!</v>
      </c>
    </row>
    <row r="237" spans="1:19" x14ac:dyDescent="0.25">
      <c r="A237" t="s">
        <v>10</v>
      </c>
      <c r="B237" t="s">
        <v>290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K237" t="s">
        <v>10</v>
      </c>
      <c r="L237" t="s">
        <v>290</v>
      </c>
      <c r="M237" s="1" t="e">
        <f>Tabla32[[#This Row],[BN CARTA]]-#REF!</f>
        <v>#REF!</v>
      </c>
      <c r="N237" s="1" t="e">
        <f>Tabla32[[#This Row],[BN OFICIO]]-#REF!</f>
        <v>#REF!</v>
      </c>
      <c r="O237" s="1" t="e">
        <f>Tabla32[[#This Row],[BN DC]]-#REF!</f>
        <v>#REF!</v>
      </c>
      <c r="P237" s="1" t="e">
        <f>Tabla32[[#This Row],[COLOR CARTA]]-#REF!</f>
        <v>#REF!</v>
      </c>
      <c r="Q237" s="1" t="e">
        <f>Tabla32[[#This Row],[COLOR OFICIO]]-#REF!</f>
        <v>#REF!</v>
      </c>
      <c r="R237" s="1" t="e">
        <f>Tabla32[[#This Row],[ENVIAR]]-#REF!</f>
        <v>#REF!</v>
      </c>
      <c r="S237" s="1" t="e">
        <f>Tabla32[[#This Row],[COPIAR]]-#REF!</f>
        <v>#REF!</v>
      </c>
    </row>
    <row r="238" spans="1:19" x14ac:dyDescent="0.25">
      <c r="A238" t="s">
        <v>10</v>
      </c>
      <c r="B238" t="s">
        <v>291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K238" t="s">
        <v>10</v>
      </c>
      <c r="L238" t="s">
        <v>291</v>
      </c>
      <c r="M238" s="1" t="e">
        <f>Tabla32[[#This Row],[BN CARTA]]-#REF!</f>
        <v>#REF!</v>
      </c>
      <c r="N238" s="1" t="e">
        <f>Tabla32[[#This Row],[BN OFICIO]]-#REF!</f>
        <v>#REF!</v>
      </c>
      <c r="O238" s="1" t="e">
        <f>Tabla32[[#This Row],[BN DC]]-#REF!</f>
        <v>#REF!</v>
      </c>
      <c r="P238" s="1" t="e">
        <f>Tabla32[[#This Row],[COLOR CARTA]]-#REF!</f>
        <v>#REF!</v>
      </c>
      <c r="Q238" s="1" t="e">
        <f>Tabla32[[#This Row],[COLOR OFICIO]]-#REF!</f>
        <v>#REF!</v>
      </c>
      <c r="R238" s="1" t="e">
        <f>Tabla32[[#This Row],[ENVIAR]]-#REF!</f>
        <v>#REF!</v>
      </c>
      <c r="S238" s="1" t="e">
        <f>Tabla32[[#This Row],[COPIAR]]-#REF!</f>
        <v>#REF!</v>
      </c>
    </row>
    <row r="239" spans="1:19" x14ac:dyDescent="0.25">
      <c r="A239" t="s">
        <v>10</v>
      </c>
      <c r="B239" t="s">
        <v>292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K239" t="s">
        <v>10</v>
      </c>
      <c r="L239" t="s">
        <v>292</v>
      </c>
      <c r="M239" s="1" t="e">
        <f>Tabla32[[#This Row],[BN CARTA]]-#REF!</f>
        <v>#REF!</v>
      </c>
      <c r="N239" s="1" t="e">
        <f>Tabla32[[#This Row],[BN OFICIO]]-#REF!</f>
        <v>#REF!</v>
      </c>
      <c r="O239" s="1" t="e">
        <f>Tabla32[[#This Row],[BN DC]]-#REF!</f>
        <v>#REF!</v>
      </c>
      <c r="P239" s="1" t="e">
        <f>Tabla32[[#This Row],[COLOR CARTA]]-#REF!</f>
        <v>#REF!</v>
      </c>
      <c r="Q239" s="1" t="e">
        <f>Tabla32[[#This Row],[COLOR OFICIO]]-#REF!</f>
        <v>#REF!</v>
      </c>
      <c r="R239" s="1" t="e">
        <f>Tabla32[[#This Row],[ENVIAR]]-#REF!</f>
        <v>#REF!</v>
      </c>
      <c r="S239" s="1" t="e">
        <f>Tabla32[[#This Row],[COPIAR]]-#REF!</f>
        <v>#REF!</v>
      </c>
    </row>
    <row r="240" spans="1:19" x14ac:dyDescent="0.25">
      <c r="A240" t="s">
        <v>10</v>
      </c>
      <c r="B240" t="s">
        <v>293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K240" t="s">
        <v>10</v>
      </c>
      <c r="L240" t="s">
        <v>293</v>
      </c>
      <c r="M240" s="1" t="e">
        <f>Tabla32[[#This Row],[BN CARTA]]-#REF!</f>
        <v>#REF!</v>
      </c>
      <c r="N240" s="1" t="e">
        <f>Tabla32[[#This Row],[BN OFICIO]]-#REF!</f>
        <v>#REF!</v>
      </c>
      <c r="O240" s="1" t="e">
        <f>Tabla32[[#This Row],[BN DC]]-#REF!</f>
        <v>#REF!</v>
      </c>
      <c r="P240" s="1" t="e">
        <f>Tabla32[[#This Row],[COLOR CARTA]]-#REF!</f>
        <v>#REF!</v>
      </c>
      <c r="Q240" s="1" t="e">
        <f>Tabla32[[#This Row],[COLOR OFICIO]]-#REF!</f>
        <v>#REF!</v>
      </c>
      <c r="R240" s="1" t="e">
        <f>Tabla32[[#This Row],[ENVIAR]]-#REF!</f>
        <v>#REF!</v>
      </c>
      <c r="S240" s="1" t="e">
        <f>Tabla32[[#This Row],[COPIAR]]-#REF!</f>
        <v>#REF!</v>
      </c>
    </row>
    <row r="241" spans="1:19" x14ac:dyDescent="0.25">
      <c r="A241" t="s">
        <v>10</v>
      </c>
      <c r="B241" t="s">
        <v>294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K241" t="s">
        <v>10</v>
      </c>
      <c r="L241" t="s">
        <v>294</v>
      </c>
      <c r="M241" s="1" t="e">
        <f>Tabla32[[#This Row],[BN CARTA]]-#REF!</f>
        <v>#REF!</v>
      </c>
      <c r="N241" s="1" t="e">
        <f>Tabla32[[#This Row],[BN OFICIO]]-#REF!</f>
        <v>#REF!</v>
      </c>
      <c r="O241" s="1" t="e">
        <f>Tabla32[[#This Row],[BN DC]]-#REF!</f>
        <v>#REF!</v>
      </c>
      <c r="P241" s="1" t="e">
        <f>Tabla32[[#This Row],[COLOR CARTA]]-#REF!</f>
        <v>#REF!</v>
      </c>
      <c r="Q241" s="1" t="e">
        <f>Tabla32[[#This Row],[COLOR OFICIO]]-#REF!</f>
        <v>#REF!</v>
      </c>
      <c r="R241" s="1" t="e">
        <f>Tabla32[[#This Row],[ENVIAR]]-#REF!</f>
        <v>#REF!</v>
      </c>
      <c r="S241" s="1" t="e">
        <f>Tabla32[[#This Row],[COPIAR]]-#REF!</f>
        <v>#REF!</v>
      </c>
    </row>
    <row r="242" spans="1:19" x14ac:dyDescent="0.25">
      <c r="A242" t="s">
        <v>185</v>
      </c>
      <c r="B242" t="s">
        <v>295</v>
      </c>
      <c r="C242">
        <v>8</v>
      </c>
      <c r="D242">
        <v>0</v>
      </c>
      <c r="E242">
        <v>0</v>
      </c>
      <c r="F242">
        <v>99</v>
      </c>
      <c r="G242">
        <v>0</v>
      </c>
      <c r="H242">
        <v>0</v>
      </c>
      <c r="I242">
        <v>0</v>
      </c>
      <c r="K242" t="s">
        <v>185</v>
      </c>
      <c r="L242" t="s">
        <v>295</v>
      </c>
      <c r="M242" s="1" t="e">
        <f>Tabla32[[#This Row],[BN CARTA]]-#REF!</f>
        <v>#REF!</v>
      </c>
      <c r="N242" s="1" t="e">
        <f>Tabla32[[#This Row],[BN OFICIO]]-#REF!</f>
        <v>#REF!</v>
      </c>
      <c r="O242" s="1" t="e">
        <f>Tabla32[[#This Row],[BN DC]]-#REF!</f>
        <v>#REF!</v>
      </c>
      <c r="P242" s="1" t="e">
        <f>Tabla32[[#This Row],[COLOR CARTA]]-#REF!</f>
        <v>#REF!</v>
      </c>
      <c r="Q242" s="1" t="e">
        <f>Tabla32[[#This Row],[COLOR OFICIO]]-#REF!</f>
        <v>#REF!</v>
      </c>
      <c r="R242" s="1" t="e">
        <f>Tabla32[[#This Row],[ENVIAR]]-#REF!</f>
        <v>#REF!</v>
      </c>
      <c r="S242" s="1" t="e">
        <f>Tabla32[[#This Row],[COPIAR]]-#REF!</f>
        <v>#REF!</v>
      </c>
    </row>
    <row r="243" spans="1:19" x14ac:dyDescent="0.25">
      <c r="A243" t="s">
        <v>150</v>
      </c>
      <c r="B243" t="s">
        <v>296</v>
      </c>
      <c r="C243">
        <v>3</v>
      </c>
      <c r="D243">
        <v>0</v>
      </c>
      <c r="E243">
        <v>0</v>
      </c>
      <c r="F243">
        <v>8</v>
      </c>
      <c r="G243">
        <v>0</v>
      </c>
      <c r="H243">
        <v>0</v>
      </c>
      <c r="I243">
        <v>0</v>
      </c>
      <c r="K243" t="s">
        <v>150</v>
      </c>
      <c r="L243" t="s">
        <v>296</v>
      </c>
      <c r="M243" s="1" t="e">
        <f>Tabla32[[#This Row],[BN CARTA]]-#REF!</f>
        <v>#REF!</v>
      </c>
      <c r="N243" s="1" t="e">
        <f>Tabla32[[#This Row],[BN OFICIO]]-#REF!</f>
        <v>#REF!</v>
      </c>
      <c r="O243" s="1" t="e">
        <f>Tabla32[[#This Row],[BN DC]]-#REF!</f>
        <v>#REF!</v>
      </c>
      <c r="P243" s="1" t="e">
        <f>Tabla32[[#This Row],[COLOR CARTA]]-#REF!</f>
        <v>#REF!</v>
      </c>
      <c r="Q243" s="1" t="e">
        <f>Tabla32[[#This Row],[COLOR OFICIO]]-#REF!</f>
        <v>#REF!</v>
      </c>
      <c r="R243" s="1" t="e">
        <f>Tabla32[[#This Row],[ENVIAR]]-#REF!</f>
        <v>#REF!</v>
      </c>
      <c r="S243" s="1" t="e">
        <f>Tabla32[[#This Row],[COPIAR]]-#REF!</f>
        <v>#REF!</v>
      </c>
    </row>
    <row r="244" spans="1:19" x14ac:dyDescent="0.25">
      <c r="A244" t="s">
        <v>10</v>
      </c>
      <c r="B244" t="s">
        <v>297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K244" t="s">
        <v>10</v>
      </c>
      <c r="L244" t="s">
        <v>297</v>
      </c>
      <c r="M244" s="1" t="e">
        <f>Tabla32[[#This Row],[BN CARTA]]-#REF!</f>
        <v>#REF!</v>
      </c>
      <c r="N244" s="1" t="e">
        <f>Tabla32[[#This Row],[BN OFICIO]]-#REF!</f>
        <v>#REF!</v>
      </c>
      <c r="O244" s="1" t="e">
        <f>Tabla32[[#This Row],[BN DC]]-#REF!</f>
        <v>#REF!</v>
      </c>
      <c r="P244" s="1" t="e">
        <f>Tabla32[[#This Row],[COLOR CARTA]]-#REF!</f>
        <v>#REF!</v>
      </c>
      <c r="Q244" s="1" t="e">
        <f>Tabla32[[#This Row],[COLOR OFICIO]]-#REF!</f>
        <v>#REF!</v>
      </c>
      <c r="R244" s="1" t="e">
        <f>Tabla32[[#This Row],[ENVIAR]]-#REF!</f>
        <v>#REF!</v>
      </c>
      <c r="S244" s="1" t="e">
        <f>Tabla32[[#This Row],[COPIAR]]-#REF!</f>
        <v>#REF!</v>
      </c>
    </row>
    <row r="245" spans="1:19" x14ac:dyDescent="0.25">
      <c r="A245" t="s">
        <v>10</v>
      </c>
      <c r="B245" t="s">
        <v>298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K245" t="s">
        <v>10</v>
      </c>
      <c r="L245" t="s">
        <v>298</v>
      </c>
      <c r="M245" s="1" t="e">
        <f>Tabla32[[#This Row],[BN CARTA]]-#REF!</f>
        <v>#REF!</v>
      </c>
      <c r="N245" s="1" t="e">
        <f>Tabla32[[#This Row],[BN OFICIO]]-#REF!</f>
        <v>#REF!</v>
      </c>
      <c r="O245" s="1" t="e">
        <f>Tabla32[[#This Row],[BN DC]]-#REF!</f>
        <v>#REF!</v>
      </c>
      <c r="P245" s="1" t="e">
        <f>Tabla32[[#This Row],[COLOR CARTA]]-#REF!</f>
        <v>#REF!</v>
      </c>
      <c r="Q245" s="1" t="e">
        <f>Tabla32[[#This Row],[COLOR OFICIO]]-#REF!</f>
        <v>#REF!</v>
      </c>
      <c r="R245" s="1" t="e">
        <f>Tabla32[[#This Row],[ENVIAR]]-#REF!</f>
        <v>#REF!</v>
      </c>
      <c r="S245" s="1" t="e">
        <f>Tabla32[[#This Row],[COPIAR]]-#REF!</f>
        <v>#REF!</v>
      </c>
    </row>
    <row r="246" spans="1:19" x14ac:dyDescent="0.25">
      <c r="A246" t="s">
        <v>72</v>
      </c>
      <c r="B246" t="s">
        <v>299</v>
      </c>
      <c r="C246">
        <v>18</v>
      </c>
      <c r="D246">
        <v>0</v>
      </c>
      <c r="E246">
        <v>0</v>
      </c>
      <c r="F246">
        <v>405</v>
      </c>
      <c r="G246">
        <v>0</v>
      </c>
      <c r="H246">
        <v>0</v>
      </c>
      <c r="I246">
        <v>0</v>
      </c>
      <c r="K246" t="s">
        <v>72</v>
      </c>
      <c r="L246" t="s">
        <v>299</v>
      </c>
      <c r="M246" s="1" t="e">
        <f>Tabla32[[#This Row],[BN CARTA]]-#REF!</f>
        <v>#REF!</v>
      </c>
      <c r="N246" s="1" t="e">
        <f>Tabla32[[#This Row],[BN OFICIO]]-#REF!</f>
        <v>#REF!</v>
      </c>
      <c r="O246" s="1" t="e">
        <f>Tabla32[[#This Row],[BN DC]]-#REF!</f>
        <v>#REF!</v>
      </c>
      <c r="P246" s="1" t="e">
        <f>Tabla32[[#This Row],[COLOR CARTA]]-#REF!</f>
        <v>#REF!</v>
      </c>
      <c r="Q246" s="1" t="e">
        <f>Tabla32[[#This Row],[COLOR OFICIO]]-#REF!</f>
        <v>#REF!</v>
      </c>
      <c r="R246" s="1" t="e">
        <f>Tabla32[[#This Row],[ENVIAR]]-#REF!</f>
        <v>#REF!</v>
      </c>
      <c r="S246" s="1" t="e">
        <f>Tabla32[[#This Row],[COPIAR]]-#REF!</f>
        <v>#REF!</v>
      </c>
    </row>
    <row r="247" spans="1:19" x14ac:dyDescent="0.25">
      <c r="A247" t="s">
        <v>10</v>
      </c>
      <c r="B247" t="s">
        <v>300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K247" t="s">
        <v>10</v>
      </c>
      <c r="L247" t="s">
        <v>300</v>
      </c>
      <c r="M247" s="1" t="e">
        <f>Tabla32[[#This Row],[BN CARTA]]-#REF!</f>
        <v>#REF!</v>
      </c>
      <c r="N247" s="1" t="e">
        <f>Tabla32[[#This Row],[BN OFICIO]]-#REF!</f>
        <v>#REF!</v>
      </c>
      <c r="O247" s="1" t="e">
        <f>Tabla32[[#This Row],[BN DC]]-#REF!</f>
        <v>#REF!</v>
      </c>
      <c r="P247" s="1" t="e">
        <f>Tabla32[[#This Row],[COLOR CARTA]]-#REF!</f>
        <v>#REF!</v>
      </c>
      <c r="Q247" s="1" t="e">
        <f>Tabla32[[#This Row],[COLOR OFICIO]]-#REF!</f>
        <v>#REF!</v>
      </c>
      <c r="R247" s="1" t="e">
        <f>Tabla32[[#This Row],[ENVIAR]]-#REF!</f>
        <v>#REF!</v>
      </c>
      <c r="S247" s="1" t="e">
        <f>Tabla32[[#This Row],[COPIAR]]-#REF!</f>
        <v>#REF!</v>
      </c>
    </row>
    <row r="248" spans="1:19" x14ac:dyDescent="0.25">
      <c r="A248" t="s">
        <v>10</v>
      </c>
      <c r="B248" t="s">
        <v>301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K248" t="s">
        <v>10</v>
      </c>
      <c r="L248" t="s">
        <v>301</v>
      </c>
      <c r="M248" s="1" t="e">
        <f>Tabla32[[#This Row],[BN CARTA]]-#REF!</f>
        <v>#REF!</v>
      </c>
      <c r="N248" s="1" t="e">
        <f>Tabla32[[#This Row],[BN OFICIO]]-#REF!</f>
        <v>#REF!</v>
      </c>
      <c r="O248" s="1" t="e">
        <f>Tabla32[[#This Row],[BN DC]]-#REF!</f>
        <v>#REF!</v>
      </c>
      <c r="P248" s="1" t="e">
        <f>Tabla32[[#This Row],[COLOR CARTA]]-#REF!</f>
        <v>#REF!</v>
      </c>
      <c r="Q248" s="1" t="e">
        <f>Tabla32[[#This Row],[COLOR OFICIO]]-#REF!</f>
        <v>#REF!</v>
      </c>
      <c r="R248" s="1" t="e">
        <f>Tabla32[[#This Row],[ENVIAR]]-#REF!</f>
        <v>#REF!</v>
      </c>
      <c r="S248" s="1" t="e">
        <f>Tabla32[[#This Row],[COPIAR]]-#REF!</f>
        <v>#REF!</v>
      </c>
    </row>
    <row r="249" spans="1:19" x14ac:dyDescent="0.25">
      <c r="A249" t="s">
        <v>10</v>
      </c>
      <c r="B249" t="s">
        <v>302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K249" t="s">
        <v>10</v>
      </c>
      <c r="L249" t="s">
        <v>302</v>
      </c>
      <c r="M249" s="1" t="e">
        <f>Tabla32[[#This Row],[BN CARTA]]-#REF!</f>
        <v>#REF!</v>
      </c>
      <c r="N249" s="1" t="e">
        <f>Tabla32[[#This Row],[BN OFICIO]]-#REF!</f>
        <v>#REF!</v>
      </c>
      <c r="O249" s="1" t="e">
        <f>Tabla32[[#This Row],[BN DC]]-#REF!</f>
        <v>#REF!</v>
      </c>
      <c r="P249" s="1" t="e">
        <f>Tabla32[[#This Row],[COLOR CARTA]]-#REF!</f>
        <v>#REF!</v>
      </c>
      <c r="Q249" s="1" t="e">
        <f>Tabla32[[#This Row],[COLOR OFICIO]]-#REF!</f>
        <v>#REF!</v>
      </c>
      <c r="R249" s="1" t="e">
        <f>Tabla32[[#This Row],[ENVIAR]]-#REF!</f>
        <v>#REF!</v>
      </c>
      <c r="S249" s="1" t="e">
        <f>Tabla32[[#This Row],[COPIAR]]-#REF!</f>
        <v>#REF!</v>
      </c>
    </row>
    <row r="250" spans="1:19" x14ac:dyDescent="0.25">
      <c r="A250" t="s">
        <v>10</v>
      </c>
      <c r="B250" t="s">
        <v>303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K250" t="s">
        <v>10</v>
      </c>
      <c r="L250" t="s">
        <v>303</v>
      </c>
      <c r="M250" s="1" t="e">
        <f>Tabla32[[#This Row],[BN CARTA]]-#REF!</f>
        <v>#REF!</v>
      </c>
      <c r="N250" s="1" t="e">
        <f>Tabla32[[#This Row],[BN OFICIO]]-#REF!</f>
        <v>#REF!</v>
      </c>
      <c r="O250" s="1" t="e">
        <f>Tabla32[[#This Row],[BN DC]]-#REF!</f>
        <v>#REF!</v>
      </c>
      <c r="P250" s="1" t="e">
        <f>Tabla32[[#This Row],[COLOR CARTA]]-#REF!</f>
        <v>#REF!</v>
      </c>
      <c r="Q250" s="1" t="e">
        <f>Tabla32[[#This Row],[COLOR OFICIO]]-#REF!</f>
        <v>#REF!</v>
      </c>
      <c r="R250" s="1" t="e">
        <f>Tabla32[[#This Row],[ENVIAR]]-#REF!</f>
        <v>#REF!</v>
      </c>
      <c r="S250" s="1" t="e">
        <f>Tabla32[[#This Row],[COPIAR]]-#REF!</f>
        <v>#REF!</v>
      </c>
    </row>
    <row r="251" spans="1:19" x14ac:dyDescent="0.25">
      <c r="A251" t="s">
        <v>226</v>
      </c>
      <c r="B251" t="s">
        <v>304</v>
      </c>
      <c r="C251">
        <v>15</v>
      </c>
      <c r="D251">
        <v>0</v>
      </c>
      <c r="E251">
        <v>0</v>
      </c>
      <c r="F251">
        <v>685</v>
      </c>
      <c r="G251">
        <v>0</v>
      </c>
      <c r="H251">
        <v>0</v>
      </c>
      <c r="I251">
        <v>0</v>
      </c>
      <c r="K251" t="s">
        <v>226</v>
      </c>
      <c r="L251" t="s">
        <v>304</v>
      </c>
      <c r="M251" s="1" t="e">
        <f>Tabla32[[#This Row],[BN CARTA]]-#REF!</f>
        <v>#REF!</v>
      </c>
      <c r="N251" s="1" t="e">
        <f>Tabla32[[#This Row],[BN OFICIO]]-#REF!</f>
        <v>#REF!</v>
      </c>
      <c r="O251" s="1" t="e">
        <f>Tabla32[[#This Row],[BN DC]]-#REF!</f>
        <v>#REF!</v>
      </c>
      <c r="P251" s="1" t="e">
        <f>Tabla32[[#This Row],[COLOR CARTA]]-#REF!</f>
        <v>#REF!</v>
      </c>
      <c r="Q251" s="1" t="e">
        <f>Tabla32[[#This Row],[COLOR OFICIO]]-#REF!</f>
        <v>#REF!</v>
      </c>
      <c r="R251" s="1" t="e">
        <f>Tabla32[[#This Row],[ENVIAR]]-#REF!</f>
        <v>#REF!</v>
      </c>
      <c r="S251" s="1" t="e">
        <f>Tabla32[[#This Row],[COPIAR]]-#REF!</f>
        <v>#REF!</v>
      </c>
    </row>
    <row r="252" spans="1:19" x14ac:dyDescent="0.25">
      <c r="A252" t="s">
        <v>305</v>
      </c>
      <c r="B252" t="s">
        <v>306</v>
      </c>
      <c r="C252">
        <v>14</v>
      </c>
      <c r="D252">
        <v>0</v>
      </c>
      <c r="E252">
        <v>0</v>
      </c>
      <c r="F252">
        <v>59</v>
      </c>
      <c r="G252">
        <v>0</v>
      </c>
      <c r="H252">
        <v>0</v>
      </c>
      <c r="I252">
        <v>0</v>
      </c>
      <c r="K252" t="s">
        <v>305</v>
      </c>
      <c r="L252" t="s">
        <v>306</v>
      </c>
      <c r="M252" s="1" t="e">
        <f>Tabla32[[#This Row],[BN CARTA]]-#REF!</f>
        <v>#REF!</v>
      </c>
      <c r="N252" s="1" t="e">
        <f>Tabla32[[#This Row],[BN OFICIO]]-#REF!</f>
        <v>#REF!</v>
      </c>
      <c r="O252" s="1" t="e">
        <f>Tabla32[[#This Row],[BN DC]]-#REF!</f>
        <v>#REF!</v>
      </c>
      <c r="P252" s="1" t="e">
        <f>Tabla32[[#This Row],[COLOR CARTA]]-#REF!</f>
        <v>#REF!</v>
      </c>
      <c r="Q252" s="1" t="e">
        <f>Tabla32[[#This Row],[COLOR OFICIO]]-#REF!</f>
        <v>#REF!</v>
      </c>
      <c r="R252" s="1" t="e">
        <f>Tabla32[[#This Row],[ENVIAR]]-#REF!</f>
        <v>#REF!</v>
      </c>
      <c r="S252" s="1" t="e">
        <f>Tabla32[[#This Row],[COPIAR]]-#REF!</f>
        <v>#REF!</v>
      </c>
    </row>
    <row r="253" spans="1:19" x14ac:dyDescent="0.25">
      <c r="A253" t="s">
        <v>10</v>
      </c>
      <c r="B253" t="s">
        <v>307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K253" t="s">
        <v>10</v>
      </c>
      <c r="L253" t="s">
        <v>307</v>
      </c>
      <c r="M253" s="1" t="e">
        <f>Tabla32[[#This Row],[BN CARTA]]-#REF!</f>
        <v>#REF!</v>
      </c>
      <c r="N253" s="1" t="e">
        <f>Tabla32[[#This Row],[BN OFICIO]]-#REF!</f>
        <v>#REF!</v>
      </c>
      <c r="O253" s="1" t="e">
        <f>Tabla32[[#This Row],[BN DC]]-#REF!</f>
        <v>#REF!</v>
      </c>
      <c r="P253" s="1" t="e">
        <f>Tabla32[[#This Row],[COLOR CARTA]]-#REF!</f>
        <v>#REF!</v>
      </c>
      <c r="Q253" s="1" t="e">
        <f>Tabla32[[#This Row],[COLOR OFICIO]]-#REF!</f>
        <v>#REF!</v>
      </c>
      <c r="R253" s="1" t="e">
        <f>Tabla32[[#This Row],[ENVIAR]]-#REF!</f>
        <v>#REF!</v>
      </c>
      <c r="S253" s="1" t="e">
        <f>Tabla32[[#This Row],[COPIAR]]-#REF!</f>
        <v>#REF!</v>
      </c>
    </row>
    <row r="254" spans="1:19" x14ac:dyDescent="0.25">
      <c r="A254" t="s">
        <v>10</v>
      </c>
      <c r="B254" t="s">
        <v>308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K254" t="s">
        <v>10</v>
      </c>
      <c r="L254" t="s">
        <v>308</v>
      </c>
      <c r="M254" s="1" t="e">
        <f>Tabla32[[#This Row],[BN CARTA]]-#REF!</f>
        <v>#REF!</v>
      </c>
      <c r="N254" s="1" t="e">
        <f>Tabla32[[#This Row],[BN OFICIO]]-#REF!</f>
        <v>#REF!</v>
      </c>
      <c r="O254" s="1" t="e">
        <f>Tabla32[[#This Row],[BN DC]]-#REF!</f>
        <v>#REF!</v>
      </c>
      <c r="P254" s="1" t="e">
        <f>Tabla32[[#This Row],[COLOR CARTA]]-#REF!</f>
        <v>#REF!</v>
      </c>
      <c r="Q254" s="1" t="e">
        <f>Tabla32[[#This Row],[COLOR OFICIO]]-#REF!</f>
        <v>#REF!</v>
      </c>
      <c r="R254" s="1" t="e">
        <f>Tabla32[[#This Row],[ENVIAR]]-#REF!</f>
        <v>#REF!</v>
      </c>
      <c r="S254" s="1" t="e">
        <f>Tabla32[[#This Row],[COPIAR]]-#REF!</f>
        <v>#REF!</v>
      </c>
    </row>
    <row r="255" spans="1:19" x14ac:dyDescent="0.25">
      <c r="A255" t="s">
        <v>52</v>
      </c>
      <c r="B255" t="s">
        <v>309</v>
      </c>
      <c r="C255">
        <v>80</v>
      </c>
      <c r="D255">
        <v>0</v>
      </c>
      <c r="E255">
        <v>0</v>
      </c>
      <c r="F255">
        <v>1261</v>
      </c>
      <c r="G255">
        <v>0</v>
      </c>
      <c r="H255">
        <v>0</v>
      </c>
      <c r="I255">
        <v>0</v>
      </c>
      <c r="K255" t="s">
        <v>52</v>
      </c>
      <c r="L255" t="s">
        <v>309</v>
      </c>
      <c r="M255" s="1" t="e">
        <f>Tabla32[[#This Row],[BN CARTA]]-#REF!</f>
        <v>#REF!</v>
      </c>
      <c r="N255" s="1" t="e">
        <f>Tabla32[[#This Row],[BN OFICIO]]-#REF!</f>
        <v>#REF!</v>
      </c>
      <c r="O255" s="1" t="e">
        <f>Tabla32[[#This Row],[BN DC]]-#REF!</f>
        <v>#REF!</v>
      </c>
      <c r="P255" s="1" t="e">
        <f>Tabla32[[#This Row],[COLOR CARTA]]-#REF!</f>
        <v>#REF!</v>
      </c>
      <c r="Q255" s="1" t="e">
        <f>Tabla32[[#This Row],[COLOR OFICIO]]-#REF!</f>
        <v>#REF!</v>
      </c>
      <c r="R255" s="1" t="e">
        <f>Tabla32[[#This Row],[ENVIAR]]-#REF!</f>
        <v>#REF!</v>
      </c>
      <c r="S255" s="1" t="e">
        <f>Tabla32[[#This Row],[COPIAR]]-#REF!</f>
        <v>#REF!</v>
      </c>
    </row>
    <row r="256" spans="1:19" x14ac:dyDescent="0.25">
      <c r="A256" t="s">
        <v>10</v>
      </c>
      <c r="B256" t="s">
        <v>310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K256" t="s">
        <v>10</v>
      </c>
      <c r="L256" t="s">
        <v>310</v>
      </c>
      <c r="M256" s="1" t="e">
        <f>Tabla32[[#This Row],[BN CARTA]]-#REF!</f>
        <v>#REF!</v>
      </c>
      <c r="N256" s="1" t="e">
        <f>Tabla32[[#This Row],[BN OFICIO]]-#REF!</f>
        <v>#REF!</v>
      </c>
      <c r="O256" s="1" t="e">
        <f>Tabla32[[#This Row],[BN DC]]-#REF!</f>
        <v>#REF!</v>
      </c>
      <c r="P256" s="1" t="e">
        <f>Tabla32[[#This Row],[COLOR CARTA]]-#REF!</f>
        <v>#REF!</v>
      </c>
      <c r="Q256" s="1" t="e">
        <f>Tabla32[[#This Row],[COLOR OFICIO]]-#REF!</f>
        <v>#REF!</v>
      </c>
      <c r="R256" s="1" t="e">
        <f>Tabla32[[#This Row],[ENVIAR]]-#REF!</f>
        <v>#REF!</v>
      </c>
      <c r="S256" s="1" t="e">
        <f>Tabla32[[#This Row],[COPIAR]]-#REF!</f>
        <v>#REF!</v>
      </c>
    </row>
    <row r="257" spans="1:19" x14ac:dyDescent="0.25">
      <c r="A257" t="s">
        <v>131</v>
      </c>
      <c r="B257" t="s">
        <v>311</v>
      </c>
      <c r="C257">
        <v>9</v>
      </c>
      <c r="D257">
        <v>0</v>
      </c>
      <c r="E257">
        <v>0</v>
      </c>
      <c r="F257">
        <v>7</v>
      </c>
      <c r="G257">
        <v>0</v>
      </c>
      <c r="H257">
        <v>0</v>
      </c>
      <c r="I257">
        <v>0</v>
      </c>
      <c r="K257" t="s">
        <v>131</v>
      </c>
      <c r="L257" t="s">
        <v>311</v>
      </c>
      <c r="M257" s="1" t="e">
        <f>Tabla32[[#This Row],[BN CARTA]]-#REF!</f>
        <v>#REF!</v>
      </c>
      <c r="N257" s="1" t="e">
        <f>Tabla32[[#This Row],[BN OFICIO]]-#REF!</f>
        <v>#REF!</v>
      </c>
      <c r="O257" s="1" t="e">
        <f>Tabla32[[#This Row],[BN DC]]-#REF!</f>
        <v>#REF!</v>
      </c>
      <c r="P257" s="1" t="e">
        <f>Tabla32[[#This Row],[COLOR CARTA]]-#REF!</f>
        <v>#REF!</v>
      </c>
      <c r="Q257" s="1" t="e">
        <f>Tabla32[[#This Row],[COLOR OFICIO]]-#REF!</f>
        <v>#REF!</v>
      </c>
      <c r="R257" s="1" t="e">
        <f>Tabla32[[#This Row],[ENVIAR]]-#REF!</f>
        <v>#REF!</v>
      </c>
      <c r="S257" s="1" t="e">
        <f>Tabla32[[#This Row],[COPIAR]]-#REF!</f>
        <v>#REF!</v>
      </c>
    </row>
    <row r="258" spans="1:19" x14ac:dyDescent="0.25">
      <c r="A258" t="s">
        <v>47</v>
      </c>
      <c r="B258" t="s">
        <v>312</v>
      </c>
      <c r="C258">
        <v>459</v>
      </c>
      <c r="D258">
        <v>0</v>
      </c>
      <c r="E258">
        <v>0</v>
      </c>
      <c r="F258">
        <v>33</v>
      </c>
      <c r="G258">
        <v>0</v>
      </c>
      <c r="H258">
        <v>0</v>
      </c>
      <c r="I258">
        <v>0</v>
      </c>
      <c r="K258" t="s">
        <v>47</v>
      </c>
      <c r="L258" t="s">
        <v>312</v>
      </c>
      <c r="M258" s="1" t="e">
        <f>Tabla32[[#This Row],[BN CARTA]]-#REF!</f>
        <v>#REF!</v>
      </c>
      <c r="N258" s="1" t="e">
        <f>Tabla32[[#This Row],[BN OFICIO]]-#REF!</f>
        <v>#REF!</v>
      </c>
      <c r="O258" s="1" t="e">
        <f>Tabla32[[#This Row],[BN DC]]-#REF!</f>
        <v>#REF!</v>
      </c>
      <c r="P258" s="1" t="e">
        <f>Tabla32[[#This Row],[COLOR CARTA]]-#REF!</f>
        <v>#REF!</v>
      </c>
      <c r="Q258" s="1" t="e">
        <f>Tabla32[[#This Row],[COLOR OFICIO]]-#REF!</f>
        <v>#REF!</v>
      </c>
      <c r="R258" s="1" t="e">
        <f>Tabla32[[#This Row],[ENVIAR]]-#REF!</f>
        <v>#REF!</v>
      </c>
      <c r="S258" s="1" t="e">
        <f>Tabla32[[#This Row],[COPIAR]]-#REF!</f>
        <v>#REF!</v>
      </c>
    </row>
    <row r="259" spans="1:19" x14ac:dyDescent="0.25">
      <c r="A259" t="s">
        <v>10</v>
      </c>
      <c r="B259" t="s">
        <v>313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K259" t="s">
        <v>10</v>
      </c>
      <c r="L259" t="s">
        <v>313</v>
      </c>
      <c r="M259" s="1" t="e">
        <f>Tabla32[[#This Row],[BN CARTA]]-#REF!</f>
        <v>#REF!</v>
      </c>
      <c r="N259" s="1" t="e">
        <f>Tabla32[[#This Row],[BN OFICIO]]-#REF!</f>
        <v>#REF!</v>
      </c>
      <c r="O259" s="1" t="e">
        <f>Tabla32[[#This Row],[BN DC]]-#REF!</f>
        <v>#REF!</v>
      </c>
      <c r="P259" s="1" t="e">
        <f>Tabla32[[#This Row],[COLOR CARTA]]-#REF!</f>
        <v>#REF!</v>
      </c>
      <c r="Q259" s="1" t="e">
        <f>Tabla32[[#This Row],[COLOR OFICIO]]-#REF!</f>
        <v>#REF!</v>
      </c>
      <c r="R259" s="1" t="e">
        <f>Tabla32[[#This Row],[ENVIAR]]-#REF!</f>
        <v>#REF!</v>
      </c>
      <c r="S259" s="1" t="e">
        <f>Tabla32[[#This Row],[COPIAR]]-#REF!</f>
        <v>#REF!</v>
      </c>
    </row>
    <row r="260" spans="1:19" x14ac:dyDescent="0.25">
      <c r="A260" t="s">
        <v>33</v>
      </c>
      <c r="B260" t="s">
        <v>314</v>
      </c>
      <c r="C260">
        <v>6</v>
      </c>
      <c r="D260">
        <v>0</v>
      </c>
      <c r="E260">
        <v>0</v>
      </c>
      <c r="F260">
        <v>10</v>
      </c>
      <c r="G260">
        <v>0</v>
      </c>
      <c r="H260">
        <v>0</v>
      </c>
      <c r="I260">
        <v>0</v>
      </c>
      <c r="K260" t="s">
        <v>33</v>
      </c>
      <c r="L260" t="s">
        <v>314</v>
      </c>
      <c r="M260" s="1" t="e">
        <f>Tabla32[[#This Row],[BN CARTA]]-#REF!</f>
        <v>#REF!</v>
      </c>
      <c r="N260" s="1" t="e">
        <f>Tabla32[[#This Row],[BN OFICIO]]-#REF!</f>
        <v>#REF!</v>
      </c>
      <c r="O260" s="1" t="e">
        <f>Tabla32[[#This Row],[BN DC]]-#REF!</f>
        <v>#REF!</v>
      </c>
      <c r="P260" s="1" t="e">
        <f>Tabla32[[#This Row],[COLOR CARTA]]-#REF!</f>
        <v>#REF!</v>
      </c>
      <c r="Q260" s="1" t="e">
        <f>Tabla32[[#This Row],[COLOR OFICIO]]-#REF!</f>
        <v>#REF!</v>
      </c>
      <c r="R260" s="1" t="e">
        <f>Tabla32[[#This Row],[ENVIAR]]-#REF!</f>
        <v>#REF!</v>
      </c>
      <c r="S260" s="1" t="e">
        <f>Tabla32[[#This Row],[COPIAR]]-#REF!</f>
        <v>#REF!</v>
      </c>
    </row>
    <row r="261" spans="1:19" x14ac:dyDescent="0.25">
      <c r="A261" t="s">
        <v>61</v>
      </c>
      <c r="B261" t="s">
        <v>315</v>
      </c>
      <c r="C261">
        <v>8</v>
      </c>
      <c r="D261">
        <v>0</v>
      </c>
      <c r="E261">
        <v>0</v>
      </c>
      <c r="F261">
        <v>14</v>
      </c>
      <c r="G261">
        <v>0</v>
      </c>
      <c r="H261">
        <v>0</v>
      </c>
      <c r="I261">
        <v>0</v>
      </c>
      <c r="K261" t="s">
        <v>61</v>
      </c>
      <c r="L261" t="s">
        <v>315</v>
      </c>
      <c r="M261" s="1" t="e">
        <f>Tabla32[[#This Row],[BN CARTA]]-#REF!</f>
        <v>#REF!</v>
      </c>
      <c r="N261" s="1" t="e">
        <f>Tabla32[[#This Row],[BN OFICIO]]-#REF!</f>
        <v>#REF!</v>
      </c>
      <c r="O261" s="1" t="e">
        <f>Tabla32[[#This Row],[BN DC]]-#REF!</f>
        <v>#REF!</v>
      </c>
      <c r="P261" s="1" t="e">
        <f>Tabla32[[#This Row],[COLOR CARTA]]-#REF!</f>
        <v>#REF!</v>
      </c>
      <c r="Q261" s="1" t="e">
        <f>Tabla32[[#This Row],[COLOR OFICIO]]-#REF!</f>
        <v>#REF!</v>
      </c>
      <c r="R261" s="1" t="e">
        <f>Tabla32[[#This Row],[ENVIAR]]-#REF!</f>
        <v>#REF!</v>
      </c>
      <c r="S261" s="1" t="e">
        <f>Tabla32[[#This Row],[COPIAR]]-#REF!</f>
        <v>#REF!</v>
      </c>
    </row>
    <row r="262" spans="1:19" x14ac:dyDescent="0.25">
      <c r="A262" t="s">
        <v>43</v>
      </c>
      <c r="B262" t="s">
        <v>316</v>
      </c>
      <c r="C262">
        <v>55</v>
      </c>
      <c r="D262">
        <v>0</v>
      </c>
      <c r="E262">
        <v>0</v>
      </c>
      <c r="F262">
        <v>261</v>
      </c>
      <c r="G262">
        <v>0</v>
      </c>
      <c r="H262">
        <v>0</v>
      </c>
      <c r="I262">
        <v>0</v>
      </c>
      <c r="K262" t="s">
        <v>43</v>
      </c>
      <c r="L262" t="s">
        <v>316</v>
      </c>
      <c r="M262" s="1" t="e">
        <f>Tabla32[[#This Row],[BN CARTA]]-#REF!</f>
        <v>#REF!</v>
      </c>
      <c r="N262" s="1" t="e">
        <f>Tabla32[[#This Row],[BN OFICIO]]-#REF!</f>
        <v>#REF!</v>
      </c>
      <c r="O262" s="1" t="e">
        <f>Tabla32[[#This Row],[BN DC]]-#REF!</f>
        <v>#REF!</v>
      </c>
      <c r="P262" s="1" t="e">
        <f>Tabla32[[#This Row],[COLOR CARTA]]-#REF!</f>
        <v>#REF!</v>
      </c>
      <c r="Q262" s="1" t="e">
        <f>Tabla32[[#This Row],[COLOR OFICIO]]-#REF!</f>
        <v>#REF!</v>
      </c>
      <c r="R262" s="1" t="e">
        <f>Tabla32[[#This Row],[ENVIAR]]-#REF!</f>
        <v>#REF!</v>
      </c>
      <c r="S262" s="1" t="e">
        <f>Tabla32[[#This Row],[COPIAR]]-#REF!</f>
        <v>#REF!</v>
      </c>
    </row>
    <row r="263" spans="1:19" x14ac:dyDescent="0.25">
      <c r="A263" t="s">
        <v>10</v>
      </c>
      <c r="B263" t="s">
        <v>317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K263" t="s">
        <v>10</v>
      </c>
      <c r="L263" t="s">
        <v>317</v>
      </c>
      <c r="M263" s="1" t="e">
        <f>Tabla32[[#This Row],[BN CARTA]]-#REF!</f>
        <v>#REF!</v>
      </c>
      <c r="N263" s="1" t="e">
        <f>Tabla32[[#This Row],[BN OFICIO]]-#REF!</f>
        <v>#REF!</v>
      </c>
      <c r="O263" s="1" t="e">
        <f>Tabla32[[#This Row],[BN DC]]-#REF!</f>
        <v>#REF!</v>
      </c>
      <c r="P263" s="1" t="e">
        <f>Tabla32[[#This Row],[COLOR CARTA]]-#REF!</f>
        <v>#REF!</v>
      </c>
      <c r="Q263" s="1" t="e">
        <f>Tabla32[[#This Row],[COLOR OFICIO]]-#REF!</f>
        <v>#REF!</v>
      </c>
      <c r="R263" s="1" t="e">
        <f>Tabla32[[#This Row],[ENVIAR]]-#REF!</f>
        <v>#REF!</v>
      </c>
      <c r="S263" s="1" t="e">
        <f>Tabla32[[#This Row],[COPIAR]]-#REF!</f>
        <v>#REF!</v>
      </c>
    </row>
    <row r="264" spans="1:19" x14ac:dyDescent="0.25">
      <c r="A264" t="s">
        <v>10</v>
      </c>
      <c r="B264" t="s">
        <v>318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K264" t="s">
        <v>10</v>
      </c>
      <c r="L264" t="s">
        <v>318</v>
      </c>
      <c r="M264" s="1" t="e">
        <f>Tabla32[[#This Row],[BN CARTA]]-#REF!</f>
        <v>#REF!</v>
      </c>
      <c r="N264" s="1" t="e">
        <f>Tabla32[[#This Row],[BN OFICIO]]-#REF!</f>
        <v>#REF!</v>
      </c>
      <c r="O264" s="1" t="e">
        <f>Tabla32[[#This Row],[BN DC]]-#REF!</f>
        <v>#REF!</v>
      </c>
      <c r="P264" s="1" t="e">
        <f>Tabla32[[#This Row],[COLOR CARTA]]-#REF!</f>
        <v>#REF!</v>
      </c>
      <c r="Q264" s="1" t="e">
        <f>Tabla32[[#This Row],[COLOR OFICIO]]-#REF!</f>
        <v>#REF!</v>
      </c>
      <c r="R264" s="1" t="e">
        <f>Tabla32[[#This Row],[ENVIAR]]-#REF!</f>
        <v>#REF!</v>
      </c>
      <c r="S264" s="1" t="e">
        <f>Tabla32[[#This Row],[COPIAR]]-#REF!</f>
        <v>#REF!</v>
      </c>
    </row>
    <row r="265" spans="1:19" x14ac:dyDescent="0.25">
      <c r="A265" t="s">
        <v>10</v>
      </c>
      <c r="B265" t="s">
        <v>319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K265" t="s">
        <v>10</v>
      </c>
      <c r="L265" t="s">
        <v>319</v>
      </c>
      <c r="M265" s="1" t="e">
        <f>Tabla32[[#This Row],[BN CARTA]]-#REF!</f>
        <v>#REF!</v>
      </c>
      <c r="N265" s="1" t="e">
        <f>Tabla32[[#This Row],[BN OFICIO]]-#REF!</f>
        <v>#REF!</v>
      </c>
      <c r="O265" s="1" t="e">
        <f>Tabla32[[#This Row],[BN DC]]-#REF!</f>
        <v>#REF!</v>
      </c>
      <c r="P265" s="1" t="e">
        <f>Tabla32[[#This Row],[COLOR CARTA]]-#REF!</f>
        <v>#REF!</v>
      </c>
      <c r="Q265" s="1" t="e">
        <f>Tabla32[[#This Row],[COLOR OFICIO]]-#REF!</f>
        <v>#REF!</v>
      </c>
      <c r="R265" s="1" t="e">
        <f>Tabla32[[#This Row],[ENVIAR]]-#REF!</f>
        <v>#REF!</v>
      </c>
      <c r="S265" s="1" t="e">
        <f>Tabla32[[#This Row],[COPIAR]]-#REF!</f>
        <v>#REF!</v>
      </c>
    </row>
    <row r="266" spans="1:19" x14ac:dyDescent="0.25">
      <c r="A266" t="s">
        <v>10</v>
      </c>
      <c r="B266" t="s">
        <v>320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K266" t="s">
        <v>10</v>
      </c>
      <c r="L266" t="s">
        <v>320</v>
      </c>
      <c r="M266" s="1" t="e">
        <f>Tabla32[[#This Row],[BN CARTA]]-#REF!</f>
        <v>#REF!</v>
      </c>
      <c r="N266" s="1" t="e">
        <f>Tabla32[[#This Row],[BN OFICIO]]-#REF!</f>
        <v>#REF!</v>
      </c>
      <c r="O266" s="1" t="e">
        <f>Tabla32[[#This Row],[BN DC]]-#REF!</f>
        <v>#REF!</v>
      </c>
      <c r="P266" s="1" t="e">
        <f>Tabla32[[#This Row],[COLOR CARTA]]-#REF!</f>
        <v>#REF!</v>
      </c>
      <c r="Q266" s="1" t="e">
        <f>Tabla32[[#This Row],[COLOR OFICIO]]-#REF!</f>
        <v>#REF!</v>
      </c>
      <c r="R266" s="1" t="e">
        <f>Tabla32[[#This Row],[ENVIAR]]-#REF!</f>
        <v>#REF!</v>
      </c>
      <c r="S266" s="1" t="e">
        <f>Tabla32[[#This Row],[COPIAR]]-#REF!</f>
        <v>#REF!</v>
      </c>
    </row>
    <row r="267" spans="1:19" x14ac:dyDescent="0.25">
      <c r="A267" t="s">
        <v>10</v>
      </c>
      <c r="B267" t="s">
        <v>321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K267" t="s">
        <v>10</v>
      </c>
      <c r="L267" t="s">
        <v>321</v>
      </c>
      <c r="M267" s="1" t="e">
        <f>Tabla32[[#This Row],[BN CARTA]]-#REF!</f>
        <v>#REF!</v>
      </c>
      <c r="N267" s="1" t="e">
        <f>Tabla32[[#This Row],[BN OFICIO]]-#REF!</f>
        <v>#REF!</v>
      </c>
      <c r="O267" s="1" t="e">
        <f>Tabla32[[#This Row],[BN DC]]-#REF!</f>
        <v>#REF!</v>
      </c>
      <c r="P267" s="1" t="e">
        <f>Tabla32[[#This Row],[COLOR CARTA]]-#REF!</f>
        <v>#REF!</v>
      </c>
      <c r="Q267" s="1" t="e">
        <f>Tabla32[[#This Row],[COLOR OFICIO]]-#REF!</f>
        <v>#REF!</v>
      </c>
      <c r="R267" s="1" t="e">
        <f>Tabla32[[#This Row],[ENVIAR]]-#REF!</f>
        <v>#REF!</v>
      </c>
      <c r="S267" s="1" t="e">
        <f>Tabla32[[#This Row],[COPIAR]]-#REF!</f>
        <v>#REF!</v>
      </c>
    </row>
    <row r="268" spans="1:19" x14ac:dyDescent="0.25">
      <c r="A268" t="s">
        <v>138</v>
      </c>
      <c r="B268" t="s">
        <v>322</v>
      </c>
      <c r="C268">
        <v>262</v>
      </c>
      <c r="D268">
        <v>9</v>
      </c>
      <c r="E268">
        <v>0</v>
      </c>
      <c r="F268">
        <v>4401</v>
      </c>
      <c r="G268">
        <v>6</v>
      </c>
      <c r="I268">
        <v>0</v>
      </c>
      <c r="K268" t="s">
        <v>138</v>
      </c>
      <c r="L268" t="s">
        <v>322</v>
      </c>
      <c r="M268" s="1" t="e">
        <f>Tabla32[[#This Row],[BN CARTA]]-#REF!</f>
        <v>#REF!</v>
      </c>
      <c r="N268" s="1" t="e">
        <f>Tabla32[[#This Row],[BN OFICIO]]-#REF!</f>
        <v>#REF!</v>
      </c>
      <c r="O268" s="1" t="e">
        <f>Tabla32[[#This Row],[BN DC]]-#REF!</f>
        <v>#REF!</v>
      </c>
      <c r="P268" s="1" t="e">
        <f>Tabla32[[#This Row],[COLOR CARTA]]-#REF!</f>
        <v>#REF!</v>
      </c>
      <c r="Q268" s="1" t="e">
        <f>Tabla32[[#This Row],[COLOR OFICIO]]-#REF!</f>
        <v>#REF!</v>
      </c>
      <c r="R268" s="1" t="e">
        <f>Tabla32[[#This Row],[ENVIAR]]-#REF!</f>
        <v>#REF!</v>
      </c>
      <c r="S268" s="1" t="e">
        <f>Tabla32[[#This Row],[COPIAR]]-#REF!</f>
        <v>#REF!</v>
      </c>
    </row>
    <row r="269" spans="1:19" x14ac:dyDescent="0.25">
      <c r="A269" t="s">
        <v>10</v>
      </c>
      <c r="B269" t="s">
        <v>323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K269" t="s">
        <v>10</v>
      </c>
      <c r="L269" t="s">
        <v>323</v>
      </c>
      <c r="M269" s="1" t="e">
        <f>Tabla32[[#This Row],[BN CARTA]]-#REF!</f>
        <v>#REF!</v>
      </c>
      <c r="N269" s="1" t="e">
        <f>Tabla32[[#This Row],[BN OFICIO]]-#REF!</f>
        <v>#REF!</v>
      </c>
      <c r="O269" s="1" t="e">
        <f>Tabla32[[#This Row],[BN DC]]-#REF!</f>
        <v>#REF!</v>
      </c>
      <c r="P269" s="1" t="e">
        <f>Tabla32[[#This Row],[COLOR CARTA]]-#REF!</f>
        <v>#REF!</v>
      </c>
      <c r="Q269" s="1" t="e">
        <f>Tabla32[[#This Row],[COLOR OFICIO]]-#REF!</f>
        <v>#REF!</v>
      </c>
      <c r="R269" s="1" t="e">
        <f>Tabla32[[#This Row],[ENVIAR]]-#REF!</f>
        <v>#REF!</v>
      </c>
      <c r="S269" s="1" t="e">
        <f>Tabla32[[#This Row],[COPIAR]]-#REF!</f>
        <v>#REF!</v>
      </c>
    </row>
    <row r="270" spans="1:19" x14ac:dyDescent="0.25">
      <c r="A270" t="s">
        <v>10</v>
      </c>
      <c r="B270" t="s">
        <v>324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K270" t="s">
        <v>10</v>
      </c>
      <c r="L270" t="s">
        <v>324</v>
      </c>
      <c r="M270" s="1" t="e">
        <f>Tabla32[[#This Row],[BN CARTA]]-#REF!</f>
        <v>#REF!</v>
      </c>
      <c r="N270" s="1" t="e">
        <f>Tabla32[[#This Row],[BN OFICIO]]-#REF!</f>
        <v>#REF!</v>
      </c>
      <c r="O270" s="1" t="e">
        <f>Tabla32[[#This Row],[BN DC]]-#REF!</f>
        <v>#REF!</v>
      </c>
      <c r="P270" s="1" t="e">
        <f>Tabla32[[#This Row],[COLOR CARTA]]-#REF!</f>
        <v>#REF!</v>
      </c>
      <c r="Q270" s="1" t="e">
        <f>Tabla32[[#This Row],[COLOR OFICIO]]-#REF!</f>
        <v>#REF!</v>
      </c>
      <c r="R270" s="1" t="e">
        <f>Tabla32[[#This Row],[ENVIAR]]-#REF!</f>
        <v>#REF!</v>
      </c>
      <c r="S270" s="1" t="e">
        <f>Tabla32[[#This Row],[COPIAR]]-#REF!</f>
        <v>#REF!</v>
      </c>
    </row>
    <row r="271" spans="1:19" x14ac:dyDescent="0.25">
      <c r="A271" t="s">
        <v>10</v>
      </c>
      <c r="B271" t="s">
        <v>325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K271" t="s">
        <v>10</v>
      </c>
      <c r="L271" t="s">
        <v>325</v>
      </c>
      <c r="M271" s="1" t="e">
        <f>Tabla32[[#This Row],[BN CARTA]]-#REF!</f>
        <v>#REF!</v>
      </c>
      <c r="N271" s="1" t="e">
        <f>Tabla32[[#This Row],[BN OFICIO]]-#REF!</f>
        <v>#REF!</v>
      </c>
      <c r="O271" s="1" t="e">
        <f>Tabla32[[#This Row],[BN DC]]-#REF!</f>
        <v>#REF!</v>
      </c>
      <c r="P271" s="1" t="e">
        <f>Tabla32[[#This Row],[COLOR CARTA]]-#REF!</f>
        <v>#REF!</v>
      </c>
      <c r="Q271" s="1" t="e">
        <f>Tabla32[[#This Row],[COLOR OFICIO]]-#REF!</f>
        <v>#REF!</v>
      </c>
      <c r="R271" s="1" t="e">
        <f>Tabla32[[#This Row],[ENVIAR]]-#REF!</f>
        <v>#REF!</v>
      </c>
      <c r="S271" s="1" t="e">
        <f>Tabla32[[#This Row],[COPIAR]]-#REF!</f>
        <v>#REF!</v>
      </c>
    </row>
    <row r="272" spans="1:19" x14ac:dyDescent="0.25">
      <c r="A272" t="s">
        <v>10</v>
      </c>
      <c r="B272" t="s">
        <v>326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K272" t="s">
        <v>10</v>
      </c>
      <c r="L272" t="s">
        <v>326</v>
      </c>
      <c r="M272" s="1" t="e">
        <f>Tabla32[[#This Row],[BN CARTA]]-#REF!</f>
        <v>#REF!</v>
      </c>
      <c r="N272" s="1" t="e">
        <f>Tabla32[[#This Row],[BN OFICIO]]-#REF!</f>
        <v>#REF!</v>
      </c>
      <c r="O272" s="1" t="e">
        <f>Tabla32[[#This Row],[BN DC]]-#REF!</f>
        <v>#REF!</v>
      </c>
      <c r="P272" s="1" t="e">
        <f>Tabla32[[#This Row],[COLOR CARTA]]-#REF!</f>
        <v>#REF!</v>
      </c>
      <c r="Q272" s="1" t="e">
        <f>Tabla32[[#This Row],[COLOR OFICIO]]-#REF!</f>
        <v>#REF!</v>
      </c>
      <c r="R272" s="1" t="e">
        <f>Tabla32[[#This Row],[ENVIAR]]-#REF!</f>
        <v>#REF!</v>
      </c>
      <c r="S272" s="1" t="e">
        <f>Tabla32[[#This Row],[COPIAR]]-#REF!</f>
        <v>#REF!</v>
      </c>
    </row>
    <row r="273" spans="1:19" x14ac:dyDescent="0.25">
      <c r="A273" t="s">
        <v>10</v>
      </c>
      <c r="B273" t="s">
        <v>327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K273" t="s">
        <v>10</v>
      </c>
      <c r="L273" t="s">
        <v>327</v>
      </c>
      <c r="M273" s="1" t="e">
        <f>Tabla32[[#This Row],[BN CARTA]]-#REF!</f>
        <v>#REF!</v>
      </c>
      <c r="N273" s="1" t="e">
        <f>Tabla32[[#This Row],[BN OFICIO]]-#REF!</f>
        <v>#REF!</v>
      </c>
      <c r="O273" s="1" t="e">
        <f>Tabla32[[#This Row],[BN DC]]-#REF!</f>
        <v>#REF!</v>
      </c>
      <c r="P273" s="1" t="e">
        <f>Tabla32[[#This Row],[COLOR CARTA]]-#REF!</f>
        <v>#REF!</v>
      </c>
      <c r="Q273" s="1" t="e">
        <f>Tabla32[[#This Row],[COLOR OFICIO]]-#REF!</f>
        <v>#REF!</v>
      </c>
      <c r="R273" s="1" t="e">
        <f>Tabla32[[#This Row],[ENVIAR]]-#REF!</f>
        <v>#REF!</v>
      </c>
      <c r="S273" s="1" t="e">
        <f>Tabla32[[#This Row],[COPIAR]]-#REF!</f>
        <v>#REF!</v>
      </c>
    </row>
    <row r="274" spans="1:19" x14ac:dyDescent="0.25">
      <c r="A274" t="s">
        <v>328</v>
      </c>
      <c r="B274" t="s">
        <v>329</v>
      </c>
      <c r="C274">
        <v>81</v>
      </c>
      <c r="D274">
        <v>0</v>
      </c>
      <c r="E274">
        <v>0</v>
      </c>
      <c r="F274">
        <v>439</v>
      </c>
      <c r="G274">
        <v>0</v>
      </c>
      <c r="H274">
        <v>0</v>
      </c>
      <c r="I274">
        <v>0</v>
      </c>
      <c r="K274" t="s">
        <v>328</v>
      </c>
      <c r="L274" t="s">
        <v>329</v>
      </c>
      <c r="M274" s="1" t="e">
        <f>Tabla32[[#This Row],[BN CARTA]]-#REF!</f>
        <v>#REF!</v>
      </c>
      <c r="N274" s="1" t="e">
        <f>Tabla32[[#This Row],[BN OFICIO]]-#REF!</f>
        <v>#REF!</v>
      </c>
      <c r="O274" s="1" t="e">
        <f>Tabla32[[#This Row],[BN DC]]-#REF!</f>
        <v>#REF!</v>
      </c>
      <c r="P274" s="1" t="e">
        <f>Tabla32[[#This Row],[COLOR CARTA]]-#REF!</f>
        <v>#REF!</v>
      </c>
      <c r="Q274" s="1" t="e">
        <f>Tabla32[[#This Row],[COLOR OFICIO]]-#REF!</f>
        <v>#REF!</v>
      </c>
      <c r="R274" s="1" t="e">
        <f>Tabla32[[#This Row],[ENVIAR]]-#REF!</f>
        <v>#REF!</v>
      </c>
      <c r="S274" s="1" t="e">
        <f>Tabla32[[#This Row],[COPIAR]]-#REF!</f>
        <v>#REF!</v>
      </c>
    </row>
    <row r="275" spans="1:19" x14ac:dyDescent="0.25">
      <c r="A275" t="s">
        <v>10</v>
      </c>
      <c r="B275" t="s">
        <v>330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K275" t="s">
        <v>10</v>
      </c>
      <c r="L275" t="s">
        <v>330</v>
      </c>
      <c r="M275" s="1" t="e">
        <f>Tabla32[[#This Row],[BN CARTA]]-#REF!</f>
        <v>#REF!</v>
      </c>
      <c r="N275" s="1" t="e">
        <f>Tabla32[[#This Row],[BN OFICIO]]-#REF!</f>
        <v>#REF!</v>
      </c>
      <c r="O275" s="1" t="e">
        <f>Tabla32[[#This Row],[BN DC]]-#REF!</f>
        <v>#REF!</v>
      </c>
      <c r="P275" s="1" t="e">
        <f>Tabla32[[#This Row],[COLOR CARTA]]-#REF!</f>
        <v>#REF!</v>
      </c>
      <c r="Q275" s="1" t="e">
        <f>Tabla32[[#This Row],[COLOR OFICIO]]-#REF!</f>
        <v>#REF!</v>
      </c>
      <c r="R275" s="1" t="e">
        <f>Tabla32[[#This Row],[ENVIAR]]-#REF!</f>
        <v>#REF!</v>
      </c>
      <c r="S275" s="1" t="e">
        <f>Tabla32[[#This Row],[COPIAR]]-#REF!</f>
        <v>#REF!</v>
      </c>
    </row>
    <row r="276" spans="1:19" x14ac:dyDescent="0.25">
      <c r="A276" t="s">
        <v>10</v>
      </c>
      <c r="B276" t="s">
        <v>331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K276" t="s">
        <v>10</v>
      </c>
      <c r="L276" t="s">
        <v>331</v>
      </c>
      <c r="M276" s="1" t="e">
        <f>Tabla32[[#This Row],[BN CARTA]]-#REF!</f>
        <v>#REF!</v>
      </c>
      <c r="N276" s="1" t="e">
        <f>Tabla32[[#This Row],[BN OFICIO]]-#REF!</f>
        <v>#REF!</v>
      </c>
      <c r="O276" s="1" t="e">
        <f>Tabla32[[#This Row],[BN DC]]-#REF!</f>
        <v>#REF!</v>
      </c>
      <c r="P276" s="1" t="e">
        <f>Tabla32[[#This Row],[COLOR CARTA]]-#REF!</f>
        <v>#REF!</v>
      </c>
      <c r="Q276" s="1" t="e">
        <f>Tabla32[[#This Row],[COLOR OFICIO]]-#REF!</f>
        <v>#REF!</v>
      </c>
      <c r="R276" s="1" t="e">
        <f>Tabla32[[#This Row],[ENVIAR]]-#REF!</f>
        <v>#REF!</v>
      </c>
      <c r="S276" s="1" t="e">
        <f>Tabla32[[#This Row],[COPIAR]]-#REF!</f>
        <v>#REF!</v>
      </c>
    </row>
    <row r="277" spans="1:19" x14ac:dyDescent="0.25">
      <c r="A277" t="s">
        <v>10</v>
      </c>
      <c r="B277" t="s">
        <v>332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K277" t="s">
        <v>10</v>
      </c>
      <c r="L277" t="s">
        <v>332</v>
      </c>
      <c r="M277" s="1" t="e">
        <f>Tabla32[[#This Row],[BN CARTA]]-#REF!</f>
        <v>#REF!</v>
      </c>
      <c r="N277" s="1" t="e">
        <f>Tabla32[[#This Row],[BN OFICIO]]-#REF!</f>
        <v>#REF!</v>
      </c>
      <c r="O277" s="1" t="e">
        <f>Tabla32[[#This Row],[BN DC]]-#REF!</f>
        <v>#REF!</v>
      </c>
      <c r="P277" s="1" t="e">
        <f>Tabla32[[#This Row],[COLOR CARTA]]-#REF!</f>
        <v>#REF!</v>
      </c>
      <c r="Q277" s="1" t="e">
        <f>Tabla32[[#This Row],[COLOR OFICIO]]-#REF!</f>
        <v>#REF!</v>
      </c>
      <c r="R277" s="1" t="e">
        <f>Tabla32[[#This Row],[ENVIAR]]-#REF!</f>
        <v>#REF!</v>
      </c>
      <c r="S277" s="1" t="e">
        <f>Tabla32[[#This Row],[COPIAR]]-#REF!</f>
        <v>#REF!</v>
      </c>
    </row>
    <row r="278" spans="1:19" x14ac:dyDescent="0.25">
      <c r="A278" t="s">
        <v>10</v>
      </c>
      <c r="B278" t="s">
        <v>333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K278" t="s">
        <v>10</v>
      </c>
      <c r="L278" t="s">
        <v>333</v>
      </c>
      <c r="M278" s="1" t="e">
        <f>Tabla32[[#This Row],[BN CARTA]]-#REF!</f>
        <v>#REF!</v>
      </c>
      <c r="N278" s="1" t="e">
        <f>Tabla32[[#This Row],[BN OFICIO]]-#REF!</f>
        <v>#REF!</v>
      </c>
      <c r="O278" s="1" t="e">
        <f>Tabla32[[#This Row],[BN DC]]-#REF!</f>
        <v>#REF!</v>
      </c>
      <c r="P278" s="1" t="e">
        <f>Tabla32[[#This Row],[COLOR CARTA]]-#REF!</f>
        <v>#REF!</v>
      </c>
      <c r="Q278" s="1" t="e">
        <f>Tabla32[[#This Row],[COLOR OFICIO]]-#REF!</f>
        <v>#REF!</v>
      </c>
      <c r="R278" s="1" t="e">
        <f>Tabla32[[#This Row],[ENVIAR]]-#REF!</f>
        <v>#REF!</v>
      </c>
      <c r="S278" s="1" t="e">
        <f>Tabla32[[#This Row],[COPIAR]]-#REF!</f>
        <v>#REF!</v>
      </c>
    </row>
    <row r="279" spans="1:19" x14ac:dyDescent="0.25">
      <c r="A279" t="s">
        <v>115</v>
      </c>
      <c r="B279" t="s">
        <v>334</v>
      </c>
      <c r="C279">
        <v>13</v>
      </c>
      <c r="D279">
        <v>0</v>
      </c>
      <c r="E279">
        <v>0</v>
      </c>
      <c r="F279">
        <v>167</v>
      </c>
      <c r="G279">
        <v>0</v>
      </c>
      <c r="H279">
        <v>0</v>
      </c>
      <c r="I279">
        <v>0</v>
      </c>
      <c r="K279" t="s">
        <v>115</v>
      </c>
      <c r="L279" t="s">
        <v>334</v>
      </c>
      <c r="M279" s="1" t="e">
        <f>Tabla32[[#This Row],[BN CARTA]]-#REF!</f>
        <v>#REF!</v>
      </c>
      <c r="N279" s="1" t="e">
        <f>Tabla32[[#This Row],[BN OFICIO]]-#REF!</f>
        <v>#REF!</v>
      </c>
      <c r="O279" s="1" t="e">
        <f>Tabla32[[#This Row],[BN DC]]-#REF!</f>
        <v>#REF!</v>
      </c>
      <c r="P279" s="1" t="e">
        <f>Tabla32[[#This Row],[COLOR CARTA]]-#REF!</f>
        <v>#REF!</v>
      </c>
      <c r="Q279" s="1" t="e">
        <f>Tabla32[[#This Row],[COLOR OFICIO]]-#REF!</f>
        <v>#REF!</v>
      </c>
      <c r="R279" s="1" t="e">
        <f>Tabla32[[#This Row],[ENVIAR]]-#REF!</f>
        <v>#REF!</v>
      </c>
      <c r="S279" s="1" t="e">
        <f>Tabla32[[#This Row],[COPIAR]]-#REF!</f>
        <v>#REF!</v>
      </c>
    </row>
    <row r="280" spans="1:19" x14ac:dyDescent="0.25">
      <c r="A280" t="s">
        <v>265</v>
      </c>
      <c r="B280" t="s">
        <v>335</v>
      </c>
      <c r="C280">
        <v>45</v>
      </c>
      <c r="D280">
        <v>0</v>
      </c>
      <c r="E280">
        <v>0</v>
      </c>
      <c r="F280">
        <v>336</v>
      </c>
      <c r="G280">
        <v>0</v>
      </c>
      <c r="H280">
        <v>0</v>
      </c>
      <c r="I280">
        <v>0</v>
      </c>
      <c r="K280" t="s">
        <v>265</v>
      </c>
      <c r="L280" t="s">
        <v>335</v>
      </c>
      <c r="M280" s="1" t="e">
        <f>Tabla32[[#This Row],[BN CARTA]]-#REF!</f>
        <v>#REF!</v>
      </c>
      <c r="N280" s="1" t="e">
        <f>Tabla32[[#This Row],[BN OFICIO]]-#REF!</f>
        <v>#REF!</v>
      </c>
      <c r="O280" s="1" t="e">
        <f>Tabla32[[#This Row],[BN DC]]-#REF!</f>
        <v>#REF!</v>
      </c>
      <c r="P280" s="1" t="e">
        <f>Tabla32[[#This Row],[COLOR CARTA]]-#REF!</f>
        <v>#REF!</v>
      </c>
      <c r="Q280" s="1" t="e">
        <f>Tabla32[[#This Row],[COLOR OFICIO]]-#REF!</f>
        <v>#REF!</v>
      </c>
      <c r="R280" s="1" t="e">
        <f>Tabla32[[#This Row],[ENVIAR]]-#REF!</f>
        <v>#REF!</v>
      </c>
      <c r="S280" s="1" t="e">
        <f>Tabla32[[#This Row],[COPIAR]]-#REF!</f>
        <v>#REF!</v>
      </c>
    </row>
    <row r="281" spans="1:19" x14ac:dyDescent="0.25">
      <c r="A281" t="s">
        <v>110</v>
      </c>
      <c r="B281" t="s">
        <v>336</v>
      </c>
      <c r="C281">
        <v>16</v>
      </c>
      <c r="D281">
        <v>0</v>
      </c>
      <c r="E281">
        <v>0</v>
      </c>
      <c r="F281">
        <v>192</v>
      </c>
      <c r="G281">
        <v>0</v>
      </c>
      <c r="H281">
        <v>0</v>
      </c>
      <c r="I281">
        <v>0</v>
      </c>
      <c r="K281" t="s">
        <v>110</v>
      </c>
      <c r="L281" t="s">
        <v>336</v>
      </c>
      <c r="M281" s="1" t="e">
        <f>Tabla32[[#This Row],[BN CARTA]]-#REF!</f>
        <v>#REF!</v>
      </c>
      <c r="N281" s="1" t="e">
        <f>Tabla32[[#This Row],[BN OFICIO]]-#REF!</f>
        <v>#REF!</v>
      </c>
      <c r="O281" s="1" t="e">
        <f>Tabla32[[#This Row],[BN DC]]-#REF!</f>
        <v>#REF!</v>
      </c>
      <c r="P281" s="1" t="e">
        <f>Tabla32[[#This Row],[COLOR CARTA]]-#REF!</f>
        <v>#REF!</v>
      </c>
      <c r="Q281" s="1" t="e">
        <f>Tabla32[[#This Row],[COLOR OFICIO]]-#REF!</f>
        <v>#REF!</v>
      </c>
      <c r="R281" s="1" t="e">
        <f>Tabla32[[#This Row],[ENVIAR]]-#REF!</f>
        <v>#REF!</v>
      </c>
      <c r="S281" s="1" t="e">
        <f>Tabla32[[#This Row],[COPIAR]]-#REF!</f>
        <v>#REF!</v>
      </c>
    </row>
    <row r="282" spans="1:19" x14ac:dyDescent="0.25">
      <c r="A282" t="s">
        <v>140</v>
      </c>
      <c r="B282" t="s">
        <v>337</v>
      </c>
      <c r="C282">
        <v>194</v>
      </c>
      <c r="D282">
        <v>0</v>
      </c>
      <c r="E282">
        <v>0</v>
      </c>
      <c r="F282">
        <v>653</v>
      </c>
      <c r="G282">
        <v>0</v>
      </c>
      <c r="H282">
        <v>0</v>
      </c>
      <c r="I282">
        <v>0</v>
      </c>
      <c r="K282" t="s">
        <v>140</v>
      </c>
      <c r="L282" t="s">
        <v>337</v>
      </c>
      <c r="M282" s="1" t="e">
        <f>Tabla32[[#This Row],[BN CARTA]]-#REF!</f>
        <v>#REF!</v>
      </c>
      <c r="N282" s="1" t="e">
        <f>Tabla32[[#This Row],[BN OFICIO]]-#REF!</f>
        <v>#REF!</v>
      </c>
      <c r="O282" s="1" t="e">
        <f>Tabla32[[#This Row],[BN DC]]-#REF!</f>
        <v>#REF!</v>
      </c>
      <c r="P282" s="1" t="e">
        <f>Tabla32[[#This Row],[COLOR CARTA]]-#REF!</f>
        <v>#REF!</v>
      </c>
      <c r="Q282" s="1" t="e">
        <f>Tabla32[[#This Row],[COLOR OFICIO]]-#REF!</f>
        <v>#REF!</v>
      </c>
      <c r="R282" s="1" t="e">
        <f>Tabla32[[#This Row],[ENVIAR]]-#REF!</f>
        <v>#REF!</v>
      </c>
      <c r="S282" s="1" t="e">
        <f>Tabla32[[#This Row],[COPIAR]]-#REF!</f>
        <v>#REF!</v>
      </c>
    </row>
    <row r="283" spans="1:19" x14ac:dyDescent="0.25">
      <c r="A283" t="s">
        <v>104</v>
      </c>
      <c r="B283" t="s">
        <v>338</v>
      </c>
      <c r="C283">
        <v>29</v>
      </c>
      <c r="D283">
        <v>0</v>
      </c>
      <c r="E283">
        <v>0</v>
      </c>
      <c r="F283">
        <v>321</v>
      </c>
      <c r="G283">
        <v>0</v>
      </c>
      <c r="H283">
        <v>0</v>
      </c>
      <c r="I283">
        <v>0</v>
      </c>
      <c r="K283" t="s">
        <v>104</v>
      </c>
      <c r="L283" t="s">
        <v>338</v>
      </c>
      <c r="M283" s="1" t="e">
        <f>Tabla32[[#This Row],[BN CARTA]]-#REF!</f>
        <v>#REF!</v>
      </c>
      <c r="N283" s="1" t="e">
        <f>Tabla32[[#This Row],[BN OFICIO]]-#REF!</f>
        <v>#REF!</v>
      </c>
      <c r="O283" s="1" t="e">
        <f>Tabla32[[#This Row],[BN DC]]-#REF!</f>
        <v>#REF!</v>
      </c>
      <c r="P283" s="1" t="e">
        <f>Tabla32[[#This Row],[COLOR CARTA]]-#REF!</f>
        <v>#REF!</v>
      </c>
      <c r="Q283" s="1" t="e">
        <f>Tabla32[[#This Row],[COLOR OFICIO]]-#REF!</f>
        <v>#REF!</v>
      </c>
      <c r="R283" s="1" t="e">
        <f>Tabla32[[#This Row],[ENVIAR]]-#REF!</f>
        <v>#REF!</v>
      </c>
      <c r="S283" s="1" t="e">
        <f>Tabla32[[#This Row],[COPIAR]]-#REF!</f>
        <v>#REF!</v>
      </c>
    </row>
    <row r="284" spans="1:19" x14ac:dyDescent="0.25">
      <c r="A284" t="s">
        <v>10</v>
      </c>
      <c r="B284" t="s">
        <v>339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K284" t="s">
        <v>10</v>
      </c>
      <c r="L284" t="s">
        <v>339</v>
      </c>
      <c r="M284" s="1" t="e">
        <f>Tabla32[[#This Row],[BN CARTA]]-#REF!</f>
        <v>#REF!</v>
      </c>
      <c r="N284" s="1" t="e">
        <f>Tabla32[[#This Row],[BN OFICIO]]-#REF!</f>
        <v>#REF!</v>
      </c>
      <c r="O284" s="1" t="e">
        <f>Tabla32[[#This Row],[BN DC]]-#REF!</f>
        <v>#REF!</v>
      </c>
      <c r="P284" s="1" t="e">
        <f>Tabla32[[#This Row],[COLOR CARTA]]-#REF!</f>
        <v>#REF!</v>
      </c>
      <c r="Q284" s="1" t="e">
        <f>Tabla32[[#This Row],[COLOR OFICIO]]-#REF!</f>
        <v>#REF!</v>
      </c>
      <c r="R284" s="1" t="e">
        <f>Tabla32[[#This Row],[ENVIAR]]-#REF!</f>
        <v>#REF!</v>
      </c>
      <c r="S284" s="1" t="e">
        <f>Tabla32[[#This Row],[COPIAR]]-#REF!</f>
        <v>#REF!</v>
      </c>
    </row>
    <row r="285" spans="1:19" x14ac:dyDescent="0.25">
      <c r="A285" t="s">
        <v>123</v>
      </c>
      <c r="B285" t="s">
        <v>340</v>
      </c>
      <c r="C285">
        <v>13</v>
      </c>
      <c r="D285">
        <v>0</v>
      </c>
      <c r="E285">
        <v>0</v>
      </c>
      <c r="F285">
        <v>45</v>
      </c>
      <c r="G285">
        <v>0</v>
      </c>
      <c r="H285">
        <v>0</v>
      </c>
      <c r="I285">
        <v>0</v>
      </c>
      <c r="K285" t="s">
        <v>123</v>
      </c>
      <c r="L285" t="s">
        <v>340</v>
      </c>
      <c r="M285" s="1" t="e">
        <f>Tabla32[[#This Row],[BN CARTA]]-#REF!</f>
        <v>#REF!</v>
      </c>
      <c r="N285" s="1" t="e">
        <f>Tabla32[[#This Row],[BN OFICIO]]-#REF!</f>
        <v>#REF!</v>
      </c>
      <c r="O285" s="1" t="e">
        <f>Tabla32[[#This Row],[BN DC]]-#REF!</f>
        <v>#REF!</v>
      </c>
      <c r="P285" s="1" t="e">
        <f>Tabla32[[#This Row],[COLOR CARTA]]-#REF!</f>
        <v>#REF!</v>
      </c>
      <c r="Q285" s="1" t="e">
        <f>Tabla32[[#This Row],[COLOR OFICIO]]-#REF!</f>
        <v>#REF!</v>
      </c>
      <c r="R285" s="1" t="e">
        <f>Tabla32[[#This Row],[ENVIAR]]-#REF!</f>
        <v>#REF!</v>
      </c>
      <c r="S285" s="1" t="e">
        <f>Tabla32[[#This Row],[COPIAR]]-#REF!</f>
        <v>#REF!</v>
      </c>
    </row>
    <row r="286" spans="1:19" x14ac:dyDescent="0.25">
      <c r="A286" t="s">
        <v>40</v>
      </c>
      <c r="B286" t="s">
        <v>341</v>
      </c>
      <c r="C286">
        <v>15</v>
      </c>
      <c r="D286">
        <v>0</v>
      </c>
      <c r="E286">
        <v>0</v>
      </c>
      <c r="F286">
        <v>130</v>
      </c>
      <c r="G286">
        <v>0</v>
      </c>
      <c r="H286">
        <v>0</v>
      </c>
      <c r="I286">
        <v>0</v>
      </c>
      <c r="K286" t="s">
        <v>40</v>
      </c>
      <c r="L286" t="s">
        <v>341</v>
      </c>
      <c r="M286" s="1" t="e">
        <f>Tabla32[[#This Row],[BN CARTA]]-#REF!</f>
        <v>#REF!</v>
      </c>
      <c r="N286" s="1" t="e">
        <f>Tabla32[[#This Row],[BN OFICIO]]-#REF!</f>
        <v>#REF!</v>
      </c>
      <c r="O286" s="1" t="e">
        <f>Tabla32[[#This Row],[BN DC]]-#REF!</f>
        <v>#REF!</v>
      </c>
      <c r="P286" s="1" t="e">
        <f>Tabla32[[#This Row],[COLOR CARTA]]-#REF!</f>
        <v>#REF!</v>
      </c>
      <c r="Q286" s="1" t="e">
        <f>Tabla32[[#This Row],[COLOR OFICIO]]-#REF!</f>
        <v>#REF!</v>
      </c>
      <c r="R286" s="1" t="e">
        <f>Tabla32[[#This Row],[ENVIAR]]-#REF!</f>
        <v>#REF!</v>
      </c>
      <c r="S286" s="1" t="e">
        <f>Tabla32[[#This Row],[COPIAR]]-#REF!</f>
        <v>#REF!</v>
      </c>
    </row>
    <row r="287" spans="1:19" x14ac:dyDescent="0.25">
      <c r="A287" t="s">
        <v>97</v>
      </c>
      <c r="B287" t="s">
        <v>342</v>
      </c>
      <c r="C287">
        <v>24</v>
      </c>
      <c r="D287">
        <v>0</v>
      </c>
      <c r="E287">
        <v>0</v>
      </c>
      <c r="F287">
        <v>30</v>
      </c>
      <c r="G287">
        <v>0</v>
      </c>
      <c r="H287">
        <v>0</v>
      </c>
      <c r="I287">
        <v>0</v>
      </c>
      <c r="K287" t="s">
        <v>97</v>
      </c>
      <c r="L287" t="s">
        <v>342</v>
      </c>
      <c r="M287" s="1" t="e">
        <f>Tabla32[[#This Row],[BN CARTA]]-#REF!</f>
        <v>#REF!</v>
      </c>
      <c r="N287" s="1" t="e">
        <f>Tabla32[[#This Row],[BN OFICIO]]-#REF!</f>
        <v>#REF!</v>
      </c>
      <c r="O287" s="1" t="e">
        <f>Tabla32[[#This Row],[BN DC]]-#REF!</f>
        <v>#REF!</v>
      </c>
      <c r="P287" s="1" t="e">
        <f>Tabla32[[#This Row],[COLOR CARTA]]-#REF!</f>
        <v>#REF!</v>
      </c>
      <c r="Q287" s="1" t="e">
        <f>Tabla32[[#This Row],[COLOR OFICIO]]-#REF!</f>
        <v>#REF!</v>
      </c>
      <c r="R287" s="1" t="e">
        <f>Tabla32[[#This Row],[ENVIAR]]-#REF!</f>
        <v>#REF!</v>
      </c>
      <c r="S287" s="1" t="e">
        <f>Tabla32[[#This Row],[COPIAR]]-#REF!</f>
        <v>#REF!</v>
      </c>
    </row>
    <row r="288" spans="1:19" x14ac:dyDescent="0.25">
      <c r="A288" t="s">
        <v>10</v>
      </c>
      <c r="B288" t="s">
        <v>343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K288" t="s">
        <v>10</v>
      </c>
      <c r="L288" t="s">
        <v>343</v>
      </c>
      <c r="M288" s="1" t="e">
        <f>Tabla32[[#This Row],[BN CARTA]]-#REF!</f>
        <v>#REF!</v>
      </c>
      <c r="N288" s="1" t="e">
        <f>Tabla32[[#This Row],[BN OFICIO]]-#REF!</f>
        <v>#REF!</v>
      </c>
      <c r="O288" s="1" t="e">
        <f>Tabla32[[#This Row],[BN DC]]-#REF!</f>
        <v>#REF!</v>
      </c>
      <c r="P288" s="1" t="e">
        <f>Tabla32[[#This Row],[COLOR CARTA]]-#REF!</f>
        <v>#REF!</v>
      </c>
      <c r="Q288" s="1" t="e">
        <f>Tabla32[[#This Row],[COLOR OFICIO]]-#REF!</f>
        <v>#REF!</v>
      </c>
      <c r="R288" s="1" t="e">
        <f>Tabla32[[#This Row],[ENVIAR]]-#REF!</f>
        <v>#REF!</v>
      </c>
      <c r="S288" s="1" t="e">
        <f>Tabla32[[#This Row],[COPIAR]]-#REF!</f>
        <v>#REF!</v>
      </c>
    </row>
    <row r="289" spans="1:19" x14ac:dyDescent="0.25">
      <c r="A289" t="s">
        <v>138</v>
      </c>
      <c r="B289" t="s">
        <v>344</v>
      </c>
      <c r="C289">
        <v>97</v>
      </c>
      <c r="D289">
        <v>0</v>
      </c>
      <c r="E289">
        <v>0</v>
      </c>
      <c r="F289">
        <v>1307</v>
      </c>
      <c r="G289">
        <v>0</v>
      </c>
      <c r="H289">
        <v>0</v>
      </c>
      <c r="I289">
        <v>0</v>
      </c>
      <c r="K289" t="s">
        <v>138</v>
      </c>
      <c r="L289" t="s">
        <v>344</v>
      </c>
      <c r="M289" s="1" t="e">
        <f>Tabla32[[#This Row],[BN CARTA]]-#REF!</f>
        <v>#REF!</v>
      </c>
      <c r="N289" s="1" t="e">
        <f>Tabla32[[#This Row],[BN OFICIO]]-#REF!</f>
        <v>#REF!</v>
      </c>
      <c r="O289" s="1" t="e">
        <f>Tabla32[[#This Row],[BN DC]]-#REF!</f>
        <v>#REF!</v>
      </c>
      <c r="P289" s="1" t="e">
        <f>Tabla32[[#This Row],[COLOR CARTA]]-#REF!</f>
        <v>#REF!</v>
      </c>
      <c r="Q289" s="1" t="e">
        <f>Tabla32[[#This Row],[COLOR OFICIO]]-#REF!</f>
        <v>#REF!</v>
      </c>
      <c r="R289" s="1" t="e">
        <f>Tabla32[[#This Row],[ENVIAR]]-#REF!</f>
        <v>#REF!</v>
      </c>
      <c r="S289" s="1" t="e">
        <f>Tabla32[[#This Row],[COPIAR]]-#REF!</f>
        <v>#REF!</v>
      </c>
    </row>
    <row r="290" spans="1:19" x14ac:dyDescent="0.25">
      <c r="A290" t="s">
        <v>140</v>
      </c>
      <c r="B290" t="s">
        <v>345</v>
      </c>
      <c r="C290">
        <v>14</v>
      </c>
      <c r="D290">
        <v>0</v>
      </c>
      <c r="E290">
        <v>0</v>
      </c>
      <c r="F290">
        <v>46</v>
      </c>
      <c r="G290">
        <v>0</v>
      </c>
      <c r="H290">
        <v>0</v>
      </c>
      <c r="I290">
        <v>0</v>
      </c>
      <c r="K290" t="s">
        <v>140</v>
      </c>
      <c r="L290" t="s">
        <v>345</v>
      </c>
      <c r="M290" s="1" t="e">
        <f>Tabla32[[#This Row],[BN CARTA]]-#REF!</f>
        <v>#REF!</v>
      </c>
      <c r="N290" s="1" t="e">
        <f>Tabla32[[#This Row],[BN OFICIO]]-#REF!</f>
        <v>#REF!</v>
      </c>
      <c r="O290" s="1" t="e">
        <f>Tabla32[[#This Row],[BN DC]]-#REF!</f>
        <v>#REF!</v>
      </c>
      <c r="P290" s="1" t="e">
        <f>Tabla32[[#This Row],[COLOR CARTA]]-#REF!</f>
        <v>#REF!</v>
      </c>
      <c r="Q290" s="1" t="e">
        <f>Tabla32[[#This Row],[COLOR OFICIO]]-#REF!</f>
        <v>#REF!</v>
      </c>
      <c r="R290" s="1" t="e">
        <f>Tabla32[[#This Row],[ENVIAR]]-#REF!</f>
        <v>#REF!</v>
      </c>
      <c r="S290" s="1" t="e">
        <f>Tabla32[[#This Row],[COPIAR]]-#REF!</f>
        <v>#REF!</v>
      </c>
    </row>
    <row r="291" spans="1:19" x14ac:dyDescent="0.25">
      <c r="A291" t="s">
        <v>69</v>
      </c>
      <c r="B291" t="s">
        <v>346</v>
      </c>
      <c r="C291">
        <v>316</v>
      </c>
      <c r="D291">
        <v>0</v>
      </c>
      <c r="E291">
        <v>0</v>
      </c>
      <c r="F291">
        <v>1069</v>
      </c>
      <c r="G291">
        <v>0</v>
      </c>
      <c r="H291">
        <v>0</v>
      </c>
      <c r="I291">
        <v>0</v>
      </c>
      <c r="K291" t="s">
        <v>69</v>
      </c>
      <c r="L291" t="s">
        <v>346</v>
      </c>
      <c r="M291" s="1" t="e">
        <f>Tabla32[[#This Row],[BN CARTA]]-#REF!</f>
        <v>#REF!</v>
      </c>
      <c r="N291" s="1" t="e">
        <f>Tabla32[[#This Row],[BN OFICIO]]-#REF!</f>
        <v>#REF!</v>
      </c>
      <c r="O291" s="1" t="e">
        <f>Tabla32[[#This Row],[BN DC]]-#REF!</f>
        <v>#REF!</v>
      </c>
      <c r="P291" s="1" t="e">
        <f>Tabla32[[#This Row],[COLOR CARTA]]-#REF!</f>
        <v>#REF!</v>
      </c>
      <c r="Q291" s="1" t="e">
        <f>Tabla32[[#This Row],[COLOR OFICIO]]-#REF!</f>
        <v>#REF!</v>
      </c>
      <c r="R291" s="1" t="e">
        <f>Tabla32[[#This Row],[ENVIAR]]-#REF!</f>
        <v>#REF!</v>
      </c>
      <c r="S291" s="1" t="e">
        <f>Tabla32[[#This Row],[COPIAR]]-#REF!</f>
        <v>#REF!</v>
      </c>
    </row>
    <row r="292" spans="1:19" x14ac:dyDescent="0.25">
      <c r="A292" t="s">
        <v>10</v>
      </c>
      <c r="B292" t="s">
        <v>347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K292" t="s">
        <v>10</v>
      </c>
      <c r="L292" t="s">
        <v>347</v>
      </c>
      <c r="M292" s="1" t="e">
        <f>Tabla32[[#This Row],[BN CARTA]]-#REF!</f>
        <v>#REF!</v>
      </c>
      <c r="N292" s="1" t="e">
        <f>Tabla32[[#This Row],[BN OFICIO]]-#REF!</f>
        <v>#REF!</v>
      </c>
      <c r="O292" s="1" t="e">
        <f>Tabla32[[#This Row],[BN DC]]-#REF!</f>
        <v>#REF!</v>
      </c>
      <c r="P292" s="1" t="e">
        <f>Tabla32[[#This Row],[COLOR CARTA]]-#REF!</f>
        <v>#REF!</v>
      </c>
      <c r="Q292" s="1" t="e">
        <f>Tabla32[[#This Row],[COLOR OFICIO]]-#REF!</f>
        <v>#REF!</v>
      </c>
      <c r="R292" s="1" t="e">
        <f>Tabla32[[#This Row],[ENVIAR]]-#REF!</f>
        <v>#REF!</v>
      </c>
      <c r="S292" s="1" t="e">
        <f>Tabla32[[#This Row],[COPIAR]]-#REF!</f>
        <v>#REF!</v>
      </c>
    </row>
    <row r="293" spans="1:19" x14ac:dyDescent="0.25">
      <c r="A293" t="s">
        <v>101</v>
      </c>
      <c r="B293" t="s">
        <v>348</v>
      </c>
      <c r="C293">
        <v>14</v>
      </c>
      <c r="D293">
        <v>0</v>
      </c>
      <c r="E293">
        <v>0</v>
      </c>
      <c r="F293">
        <v>530</v>
      </c>
      <c r="G293">
        <v>0</v>
      </c>
      <c r="H293">
        <v>0</v>
      </c>
      <c r="I293">
        <v>0</v>
      </c>
      <c r="K293" t="s">
        <v>101</v>
      </c>
      <c r="L293" t="s">
        <v>348</v>
      </c>
      <c r="M293" s="1" t="e">
        <f>Tabla32[[#This Row],[BN CARTA]]-#REF!</f>
        <v>#REF!</v>
      </c>
      <c r="N293" s="1" t="e">
        <f>Tabla32[[#This Row],[BN OFICIO]]-#REF!</f>
        <v>#REF!</v>
      </c>
      <c r="O293" s="1" t="e">
        <f>Tabla32[[#This Row],[BN DC]]-#REF!</f>
        <v>#REF!</v>
      </c>
      <c r="P293" s="1" t="e">
        <f>Tabla32[[#This Row],[COLOR CARTA]]-#REF!</f>
        <v>#REF!</v>
      </c>
      <c r="Q293" s="1" t="e">
        <f>Tabla32[[#This Row],[COLOR OFICIO]]-#REF!</f>
        <v>#REF!</v>
      </c>
      <c r="R293" s="1" t="e">
        <f>Tabla32[[#This Row],[ENVIAR]]-#REF!</f>
        <v>#REF!</v>
      </c>
      <c r="S293" s="1" t="e">
        <f>Tabla32[[#This Row],[COPIAR]]-#REF!</f>
        <v>#REF!</v>
      </c>
    </row>
    <row r="294" spans="1:19" x14ac:dyDescent="0.25">
      <c r="A294" t="s">
        <v>10</v>
      </c>
      <c r="B294" t="s">
        <v>349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K294" t="s">
        <v>10</v>
      </c>
      <c r="L294" t="s">
        <v>349</v>
      </c>
      <c r="M294" s="1" t="e">
        <f>Tabla32[[#This Row],[BN CARTA]]-#REF!</f>
        <v>#REF!</v>
      </c>
      <c r="N294" s="1" t="e">
        <f>Tabla32[[#This Row],[BN OFICIO]]-#REF!</f>
        <v>#REF!</v>
      </c>
      <c r="O294" s="1" t="e">
        <f>Tabla32[[#This Row],[BN DC]]-#REF!</f>
        <v>#REF!</v>
      </c>
      <c r="P294" s="1" t="e">
        <f>Tabla32[[#This Row],[COLOR CARTA]]-#REF!</f>
        <v>#REF!</v>
      </c>
      <c r="Q294" s="1" t="e">
        <f>Tabla32[[#This Row],[COLOR OFICIO]]-#REF!</f>
        <v>#REF!</v>
      </c>
      <c r="R294" s="1" t="e">
        <f>Tabla32[[#This Row],[ENVIAR]]-#REF!</f>
        <v>#REF!</v>
      </c>
      <c r="S294" s="1" t="e">
        <f>Tabla32[[#This Row],[COPIAR]]-#REF!</f>
        <v>#REF!</v>
      </c>
    </row>
    <row r="295" spans="1:19" x14ac:dyDescent="0.25">
      <c r="A295" t="s">
        <v>10</v>
      </c>
      <c r="B295" t="s">
        <v>350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K295" t="s">
        <v>10</v>
      </c>
      <c r="L295" t="s">
        <v>350</v>
      </c>
      <c r="M295" s="1" t="e">
        <f>Tabla32[[#This Row],[BN CARTA]]-#REF!</f>
        <v>#REF!</v>
      </c>
      <c r="N295" s="1" t="e">
        <f>Tabla32[[#This Row],[BN OFICIO]]-#REF!</f>
        <v>#REF!</v>
      </c>
      <c r="O295" s="1" t="e">
        <f>Tabla32[[#This Row],[BN DC]]-#REF!</f>
        <v>#REF!</v>
      </c>
      <c r="P295" s="1" t="e">
        <f>Tabla32[[#This Row],[COLOR CARTA]]-#REF!</f>
        <v>#REF!</v>
      </c>
      <c r="Q295" s="1" t="e">
        <f>Tabla32[[#This Row],[COLOR OFICIO]]-#REF!</f>
        <v>#REF!</v>
      </c>
      <c r="R295" s="1" t="e">
        <f>Tabla32[[#This Row],[ENVIAR]]-#REF!</f>
        <v>#REF!</v>
      </c>
      <c r="S295" s="1" t="e">
        <f>Tabla32[[#This Row],[COPIAR]]-#REF!</f>
        <v>#REF!</v>
      </c>
    </row>
    <row r="296" spans="1:19" x14ac:dyDescent="0.25">
      <c r="A296" t="s">
        <v>45</v>
      </c>
      <c r="B296" t="s">
        <v>351</v>
      </c>
      <c r="C296">
        <v>8</v>
      </c>
      <c r="D296">
        <v>0</v>
      </c>
      <c r="E296">
        <v>0</v>
      </c>
      <c r="F296">
        <v>22</v>
      </c>
      <c r="G296">
        <v>0</v>
      </c>
      <c r="H296">
        <v>0</v>
      </c>
      <c r="I296">
        <v>0</v>
      </c>
      <c r="K296" t="s">
        <v>45</v>
      </c>
      <c r="L296" t="s">
        <v>351</v>
      </c>
      <c r="M296" s="1" t="e">
        <f>Tabla32[[#This Row],[BN CARTA]]-#REF!</f>
        <v>#REF!</v>
      </c>
      <c r="N296" s="1" t="e">
        <f>Tabla32[[#This Row],[BN OFICIO]]-#REF!</f>
        <v>#REF!</v>
      </c>
      <c r="O296" s="1" t="e">
        <f>Tabla32[[#This Row],[BN DC]]-#REF!</f>
        <v>#REF!</v>
      </c>
      <c r="P296" s="1" t="e">
        <f>Tabla32[[#This Row],[COLOR CARTA]]-#REF!</f>
        <v>#REF!</v>
      </c>
      <c r="Q296" s="1" t="e">
        <f>Tabla32[[#This Row],[COLOR OFICIO]]-#REF!</f>
        <v>#REF!</v>
      </c>
      <c r="R296" s="1" t="e">
        <f>Tabla32[[#This Row],[ENVIAR]]-#REF!</f>
        <v>#REF!</v>
      </c>
      <c r="S296" s="1" t="e">
        <f>Tabla32[[#This Row],[COPIAR]]-#REF!</f>
        <v>#REF!</v>
      </c>
    </row>
    <row r="297" spans="1:19" x14ac:dyDescent="0.25">
      <c r="A297" t="s">
        <v>10</v>
      </c>
      <c r="B297" t="s">
        <v>352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K297" t="s">
        <v>10</v>
      </c>
      <c r="L297" t="s">
        <v>352</v>
      </c>
      <c r="M297" s="1" t="e">
        <f>Tabla32[[#This Row],[BN CARTA]]-#REF!</f>
        <v>#REF!</v>
      </c>
      <c r="N297" s="1" t="e">
        <f>Tabla32[[#This Row],[BN OFICIO]]-#REF!</f>
        <v>#REF!</v>
      </c>
      <c r="O297" s="1" t="e">
        <f>Tabla32[[#This Row],[BN DC]]-#REF!</f>
        <v>#REF!</v>
      </c>
      <c r="P297" s="1" t="e">
        <f>Tabla32[[#This Row],[COLOR CARTA]]-#REF!</f>
        <v>#REF!</v>
      </c>
      <c r="Q297" s="1" t="e">
        <f>Tabla32[[#This Row],[COLOR OFICIO]]-#REF!</f>
        <v>#REF!</v>
      </c>
      <c r="R297" s="1" t="e">
        <f>Tabla32[[#This Row],[ENVIAR]]-#REF!</f>
        <v>#REF!</v>
      </c>
      <c r="S297" s="1" t="e">
        <f>Tabla32[[#This Row],[COPIAR]]-#REF!</f>
        <v>#REF!</v>
      </c>
    </row>
    <row r="298" spans="1:19" x14ac:dyDescent="0.25">
      <c r="A298" t="s">
        <v>31</v>
      </c>
      <c r="B298" t="s">
        <v>353</v>
      </c>
      <c r="C298">
        <v>2551</v>
      </c>
      <c r="D298">
        <v>0</v>
      </c>
      <c r="E298">
        <v>0</v>
      </c>
      <c r="F298">
        <v>167</v>
      </c>
      <c r="G298">
        <v>1</v>
      </c>
      <c r="H298">
        <v>0</v>
      </c>
      <c r="I298">
        <v>0</v>
      </c>
      <c r="K298" t="s">
        <v>31</v>
      </c>
      <c r="L298" t="s">
        <v>353</v>
      </c>
      <c r="M298" s="1" t="e">
        <f>Tabla32[[#This Row],[BN CARTA]]-#REF!</f>
        <v>#REF!</v>
      </c>
      <c r="N298" s="1" t="e">
        <f>Tabla32[[#This Row],[BN OFICIO]]-#REF!</f>
        <v>#REF!</v>
      </c>
      <c r="O298" s="1" t="e">
        <f>Tabla32[[#This Row],[BN DC]]-#REF!</f>
        <v>#REF!</v>
      </c>
      <c r="P298" s="1" t="e">
        <f>Tabla32[[#This Row],[COLOR CARTA]]-#REF!</f>
        <v>#REF!</v>
      </c>
      <c r="Q298" s="1" t="e">
        <f>Tabla32[[#This Row],[COLOR OFICIO]]-#REF!</f>
        <v>#REF!</v>
      </c>
      <c r="R298" s="1" t="e">
        <f>Tabla32[[#This Row],[ENVIAR]]-#REF!</f>
        <v>#REF!</v>
      </c>
      <c r="S298" s="1" t="e">
        <f>Tabla32[[#This Row],[COPIAR]]-#REF!</f>
        <v>#REF!</v>
      </c>
    </row>
    <row r="299" spans="1:19" x14ac:dyDescent="0.25">
      <c r="A299" t="s">
        <v>36</v>
      </c>
      <c r="B299" t="s">
        <v>354</v>
      </c>
      <c r="C299">
        <v>16</v>
      </c>
      <c r="D299">
        <v>0</v>
      </c>
      <c r="E299">
        <v>0</v>
      </c>
      <c r="F299">
        <v>78</v>
      </c>
      <c r="G299">
        <v>0</v>
      </c>
      <c r="H299">
        <v>0</v>
      </c>
      <c r="I299">
        <v>0</v>
      </c>
      <c r="K299" t="s">
        <v>36</v>
      </c>
      <c r="L299" t="s">
        <v>354</v>
      </c>
      <c r="M299" s="1" t="e">
        <f>Tabla32[[#This Row],[BN CARTA]]-#REF!</f>
        <v>#REF!</v>
      </c>
      <c r="N299" s="1" t="e">
        <f>Tabla32[[#This Row],[BN OFICIO]]-#REF!</f>
        <v>#REF!</v>
      </c>
      <c r="O299" s="1" t="e">
        <f>Tabla32[[#This Row],[BN DC]]-#REF!</f>
        <v>#REF!</v>
      </c>
      <c r="P299" s="1" t="e">
        <f>Tabla32[[#This Row],[COLOR CARTA]]-#REF!</f>
        <v>#REF!</v>
      </c>
      <c r="Q299" s="1" t="e">
        <f>Tabla32[[#This Row],[COLOR OFICIO]]-#REF!</f>
        <v>#REF!</v>
      </c>
      <c r="R299" s="1" t="e">
        <f>Tabla32[[#This Row],[ENVIAR]]-#REF!</f>
        <v>#REF!</v>
      </c>
      <c r="S299" s="1" t="e">
        <f>Tabla32[[#This Row],[COPIAR]]-#REF!</f>
        <v>#REF!</v>
      </c>
    </row>
    <row r="300" spans="1:19" x14ac:dyDescent="0.25">
      <c r="A300" t="s">
        <v>38</v>
      </c>
      <c r="B300" t="s">
        <v>355</v>
      </c>
      <c r="C300">
        <v>86</v>
      </c>
      <c r="D300">
        <v>0</v>
      </c>
      <c r="E300">
        <v>0</v>
      </c>
      <c r="F300">
        <v>284</v>
      </c>
      <c r="G300">
        <v>0</v>
      </c>
      <c r="H300">
        <v>0</v>
      </c>
      <c r="I300">
        <v>0</v>
      </c>
      <c r="K300" t="s">
        <v>38</v>
      </c>
      <c r="L300" t="s">
        <v>355</v>
      </c>
      <c r="M300" s="1" t="e">
        <f>Tabla32[[#This Row],[BN CARTA]]-#REF!</f>
        <v>#REF!</v>
      </c>
      <c r="N300" s="1" t="e">
        <f>Tabla32[[#This Row],[BN OFICIO]]-#REF!</f>
        <v>#REF!</v>
      </c>
      <c r="O300" s="1" t="e">
        <f>Tabla32[[#This Row],[BN DC]]-#REF!</f>
        <v>#REF!</v>
      </c>
      <c r="P300" s="1" t="e">
        <f>Tabla32[[#This Row],[COLOR CARTA]]-#REF!</f>
        <v>#REF!</v>
      </c>
      <c r="Q300" s="1" t="e">
        <f>Tabla32[[#This Row],[COLOR OFICIO]]-#REF!</f>
        <v>#REF!</v>
      </c>
      <c r="R300" s="1" t="e">
        <f>Tabla32[[#This Row],[ENVIAR]]-#REF!</f>
        <v>#REF!</v>
      </c>
      <c r="S300" s="1" t="e">
        <f>Tabla32[[#This Row],[COPIAR]]-#REF!</f>
        <v>#REF!</v>
      </c>
    </row>
    <row r="301" spans="1:19" x14ac:dyDescent="0.25">
      <c r="A301" t="s">
        <v>50</v>
      </c>
      <c r="B301" t="s">
        <v>356</v>
      </c>
      <c r="C301">
        <v>33</v>
      </c>
      <c r="D301">
        <v>0</v>
      </c>
      <c r="E301">
        <v>0</v>
      </c>
      <c r="F301">
        <v>139</v>
      </c>
      <c r="G301">
        <v>0</v>
      </c>
      <c r="H301">
        <v>0</v>
      </c>
      <c r="I301">
        <v>0</v>
      </c>
      <c r="K301" t="s">
        <v>50</v>
      </c>
      <c r="L301" t="s">
        <v>356</v>
      </c>
      <c r="M301" s="1" t="e">
        <f>Tabla32[[#This Row],[BN CARTA]]-#REF!</f>
        <v>#REF!</v>
      </c>
      <c r="N301" s="1" t="e">
        <f>Tabla32[[#This Row],[BN OFICIO]]-#REF!</f>
        <v>#REF!</v>
      </c>
      <c r="O301" s="1" t="e">
        <f>Tabla32[[#This Row],[BN DC]]-#REF!</f>
        <v>#REF!</v>
      </c>
      <c r="P301" s="1" t="e">
        <f>Tabla32[[#This Row],[COLOR CARTA]]-#REF!</f>
        <v>#REF!</v>
      </c>
      <c r="Q301" s="1" t="e">
        <f>Tabla32[[#This Row],[COLOR OFICIO]]-#REF!</f>
        <v>#REF!</v>
      </c>
      <c r="R301" s="1" t="e">
        <f>Tabla32[[#This Row],[ENVIAR]]-#REF!</f>
        <v>#REF!</v>
      </c>
      <c r="S301" s="1" t="e">
        <f>Tabla32[[#This Row],[COPIAR]]-#REF!</f>
        <v>#REF!</v>
      </c>
    </row>
    <row r="302" spans="1:19" x14ac:dyDescent="0.25">
      <c r="A302" t="s">
        <v>59</v>
      </c>
      <c r="B302" t="s">
        <v>357</v>
      </c>
      <c r="C302">
        <v>229</v>
      </c>
      <c r="D302">
        <v>0</v>
      </c>
      <c r="E302">
        <v>0</v>
      </c>
      <c r="F302">
        <v>38</v>
      </c>
      <c r="G302">
        <v>0</v>
      </c>
      <c r="H302">
        <v>0</v>
      </c>
      <c r="I302">
        <v>0</v>
      </c>
      <c r="K302" t="s">
        <v>59</v>
      </c>
      <c r="L302" t="s">
        <v>357</v>
      </c>
      <c r="M302" s="1" t="e">
        <f>Tabla32[[#This Row],[BN CARTA]]-#REF!</f>
        <v>#REF!</v>
      </c>
      <c r="N302" s="1" t="e">
        <f>Tabla32[[#This Row],[BN OFICIO]]-#REF!</f>
        <v>#REF!</v>
      </c>
      <c r="O302" s="1" t="e">
        <f>Tabla32[[#This Row],[BN DC]]-#REF!</f>
        <v>#REF!</v>
      </c>
      <c r="P302" s="1" t="e">
        <f>Tabla32[[#This Row],[COLOR CARTA]]-#REF!</f>
        <v>#REF!</v>
      </c>
      <c r="Q302" s="1" t="e">
        <f>Tabla32[[#This Row],[COLOR OFICIO]]-#REF!</f>
        <v>#REF!</v>
      </c>
      <c r="R302" s="1" t="e">
        <f>Tabla32[[#This Row],[ENVIAR]]-#REF!</f>
        <v>#REF!</v>
      </c>
      <c r="S302" s="1" t="e">
        <f>Tabla32[[#This Row],[COPIAR]]-#REF!</f>
        <v>#REF!</v>
      </c>
    </row>
    <row r="303" spans="1:19" x14ac:dyDescent="0.25">
      <c r="A303" t="s">
        <v>10</v>
      </c>
      <c r="B303" t="s">
        <v>358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K303" t="s">
        <v>10</v>
      </c>
      <c r="L303" t="s">
        <v>358</v>
      </c>
      <c r="M303" s="1" t="e">
        <f>Tabla32[[#This Row],[BN CARTA]]-#REF!</f>
        <v>#REF!</v>
      </c>
      <c r="N303" s="1" t="e">
        <f>Tabla32[[#This Row],[BN OFICIO]]-#REF!</f>
        <v>#REF!</v>
      </c>
      <c r="O303" s="1" t="e">
        <f>Tabla32[[#This Row],[BN DC]]-#REF!</f>
        <v>#REF!</v>
      </c>
      <c r="P303" s="1" t="e">
        <f>Tabla32[[#This Row],[COLOR CARTA]]-#REF!</f>
        <v>#REF!</v>
      </c>
      <c r="Q303" s="1" t="e">
        <f>Tabla32[[#This Row],[COLOR OFICIO]]-#REF!</f>
        <v>#REF!</v>
      </c>
      <c r="R303" s="1" t="e">
        <f>Tabla32[[#This Row],[ENVIAR]]-#REF!</f>
        <v>#REF!</v>
      </c>
      <c r="S303" s="1" t="e">
        <f>Tabla32[[#This Row],[COPIAR]]-#REF!</f>
        <v>#REF!</v>
      </c>
    </row>
    <row r="304" spans="1:19" x14ac:dyDescent="0.25">
      <c r="A304" t="s">
        <v>54</v>
      </c>
      <c r="B304" t="s">
        <v>359</v>
      </c>
      <c r="C304">
        <v>376</v>
      </c>
      <c r="D304">
        <v>0</v>
      </c>
      <c r="E304">
        <v>0</v>
      </c>
      <c r="F304">
        <v>719</v>
      </c>
      <c r="G304">
        <v>0</v>
      </c>
      <c r="H304">
        <v>0</v>
      </c>
      <c r="I304">
        <v>0</v>
      </c>
      <c r="K304" t="s">
        <v>54</v>
      </c>
      <c r="L304" t="s">
        <v>359</v>
      </c>
      <c r="M304" s="1" t="e">
        <f>Tabla32[[#This Row],[BN CARTA]]-#REF!</f>
        <v>#REF!</v>
      </c>
      <c r="N304" s="1" t="e">
        <f>Tabla32[[#This Row],[BN OFICIO]]-#REF!</f>
        <v>#REF!</v>
      </c>
      <c r="O304" s="1" t="e">
        <f>Tabla32[[#This Row],[BN DC]]-#REF!</f>
        <v>#REF!</v>
      </c>
      <c r="P304" s="1" t="e">
        <f>Tabla32[[#This Row],[COLOR CARTA]]-#REF!</f>
        <v>#REF!</v>
      </c>
      <c r="Q304" s="1" t="e">
        <f>Tabla32[[#This Row],[COLOR OFICIO]]-#REF!</f>
        <v>#REF!</v>
      </c>
      <c r="R304" s="1" t="e">
        <f>Tabla32[[#This Row],[ENVIAR]]-#REF!</f>
        <v>#REF!</v>
      </c>
      <c r="S304" s="1" t="e">
        <f>Tabla32[[#This Row],[COPIAR]]-#REF!</f>
        <v>#REF!</v>
      </c>
    </row>
    <row r="305" spans="1:19" x14ac:dyDescent="0.25">
      <c r="A305" t="s">
        <v>10</v>
      </c>
      <c r="B305" t="s">
        <v>360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K305" t="s">
        <v>10</v>
      </c>
      <c r="L305" t="s">
        <v>360</v>
      </c>
      <c r="M305" s="1" t="e">
        <f>Tabla32[[#This Row],[BN CARTA]]-#REF!</f>
        <v>#REF!</v>
      </c>
      <c r="N305" s="1" t="e">
        <f>Tabla32[[#This Row],[BN OFICIO]]-#REF!</f>
        <v>#REF!</v>
      </c>
      <c r="O305" s="1" t="e">
        <f>Tabla32[[#This Row],[BN DC]]-#REF!</f>
        <v>#REF!</v>
      </c>
      <c r="P305" s="1" t="e">
        <f>Tabla32[[#This Row],[COLOR CARTA]]-#REF!</f>
        <v>#REF!</v>
      </c>
      <c r="Q305" s="1" t="e">
        <f>Tabla32[[#This Row],[COLOR OFICIO]]-#REF!</f>
        <v>#REF!</v>
      </c>
      <c r="R305" s="1" t="e">
        <f>Tabla32[[#This Row],[ENVIAR]]-#REF!</f>
        <v>#REF!</v>
      </c>
      <c r="S305" s="1" t="e">
        <f>Tabla32[[#This Row],[COPIAR]]-#REF!</f>
        <v>#REF!</v>
      </c>
    </row>
    <row r="306" spans="1:19" x14ac:dyDescent="0.25">
      <c r="A306" t="s">
        <v>10</v>
      </c>
      <c r="B306" t="s">
        <v>361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K306" t="s">
        <v>10</v>
      </c>
      <c r="L306" t="s">
        <v>361</v>
      </c>
      <c r="M306" s="1" t="e">
        <f>Tabla32[[#This Row],[BN CARTA]]-#REF!</f>
        <v>#REF!</v>
      </c>
      <c r="N306" s="1" t="e">
        <f>Tabla32[[#This Row],[BN OFICIO]]-#REF!</f>
        <v>#REF!</v>
      </c>
      <c r="O306" s="1" t="e">
        <f>Tabla32[[#This Row],[BN DC]]-#REF!</f>
        <v>#REF!</v>
      </c>
      <c r="P306" s="1" t="e">
        <f>Tabla32[[#This Row],[COLOR CARTA]]-#REF!</f>
        <v>#REF!</v>
      </c>
      <c r="Q306" s="1" t="e">
        <f>Tabla32[[#This Row],[COLOR OFICIO]]-#REF!</f>
        <v>#REF!</v>
      </c>
      <c r="R306" s="1" t="e">
        <f>Tabla32[[#This Row],[ENVIAR]]-#REF!</f>
        <v>#REF!</v>
      </c>
      <c r="S306" s="1" t="e">
        <f>Tabla32[[#This Row],[COPIAR]]-#REF!</f>
        <v>#REF!</v>
      </c>
    </row>
    <row r="307" spans="1:19" x14ac:dyDescent="0.25">
      <c r="A307" t="s">
        <v>67</v>
      </c>
      <c r="B307" t="s">
        <v>362</v>
      </c>
      <c r="C307">
        <v>12</v>
      </c>
      <c r="D307">
        <v>0</v>
      </c>
      <c r="E307">
        <v>0</v>
      </c>
      <c r="F307">
        <v>150</v>
      </c>
      <c r="G307">
        <v>0</v>
      </c>
      <c r="H307">
        <v>0</v>
      </c>
      <c r="I307">
        <v>0</v>
      </c>
      <c r="K307" t="s">
        <v>67</v>
      </c>
      <c r="L307" t="s">
        <v>362</v>
      </c>
      <c r="M307" s="1" t="e">
        <f>Tabla32[[#This Row],[BN CARTA]]-#REF!</f>
        <v>#REF!</v>
      </c>
      <c r="N307" s="1" t="e">
        <f>Tabla32[[#This Row],[BN OFICIO]]-#REF!</f>
        <v>#REF!</v>
      </c>
      <c r="O307" s="1" t="e">
        <f>Tabla32[[#This Row],[BN DC]]-#REF!</f>
        <v>#REF!</v>
      </c>
      <c r="P307" s="1" t="e">
        <f>Tabla32[[#This Row],[COLOR CARTA]]-#REF!</f>
        <v>#REF!</v>
      </c>
      <c r="Q307" s="1" t="e">
        <f>Tabla32[[#This Row],[COLOR OFICIO]]-#REF!</f>
        <v>#REF!</v>
      </c>
      <c r="R307" s="1" t="e">
        <f>Tabla32[[#This Row],[ENVIAR]]-#REF!</f>
        <v>#REF!</v>
      </c>
      <c r="S307" s="1" t="e">
        <f>Tabla32[[#This Row],[COPIAR]]-#REF!</f>
        <v>#REF!</v>
      </c>
    </row>
    <row r="308" spans="1:19" x14ac:dyDescent="0.25">
      <c r="A308" t="s">
        <v>10</v>
      </c>
      <c r="B308" t="s">
        <v>363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K308" t="s">
        <v>10</v>
      </c>
      <c r="L308" t="s">
        <v>363</v>
      </c>
      <c r="M308" s="1" t="e">
        <f>Tabla32[[#This Row],[BN CARTA]]-#REF!</f>
        <v>#REF!</v>
      </c>
      <c r="N308" s="1" t="e">
        <f>Tabla32[[#This Row],[BN OFICIO]]-#REF!</f>
        <v>#REF!</v>
      </c>
      <c r="O308" s="1" t="e">
        <f>Tabla32[[#This Row],[BN DC]]-#REF!</f>
        <v>#REF!</v>
      </c>
      <c r="P308" s="1" t="e">
        <f>Tabla32[[#This Row],[COLOR CARTA]]-#REF!</f>
        <v>#REF!</v>
      </c>
      <c r="Q308" s="1" t="e">
        <f>Tabla32[[#This Row],[COLOR OFICIO]]-#REF!</f>
        <v>#REF!</v>
      </c>
      <c r="R308" s="1" t="e">
        <f>Tabla32[[#This Row],[ENVIAR]]-#REF!</f>
        <v>#REF!</v>
      </c>
      <c r="S308" s="1" t="e">
        <f>Tabla32[[#This Row],[COPIAR]]-#REF!</f>
        <v>#REF!</v>
      </c>
    </row>
    <row r="309" spans="1:19" x14ac:dyDescent="0.25">
      <c r="A309" t="s">
        <v>10</v>
      </c>
      <c r="B309" t="s">
        <v>364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K309" t="s">
        <v>10</v>
      </c>
      <c r="L309" t="s">
        <v>364</v>
      </c>
      <c r="M309" s="1" t="e">
        <f>Tabla32[[#This Row],[BN CARTA]]-#REF!</f>
        <v>#REF!</v>
      </c>
      <c r="N309" s="1" t="e">
        <f>Tabla32[[#This Row],[BN OFICIO]]-#REF!</f>
        <v>#REF!</v>
      </c>
      <c r="O309" s="1" t="e">
        <f>Tabla32[[#This Row],[BN DC]]-#REF!</f>
        <v>#REF!</v>
      </c>
      <c r="P309" s="1" t="e">
        <f>Tabla32[[#This Row],[COLOR CARTA]]-#REF!</f>
        <v>#REF!</v>
      </c>
      <c r="Q309" s="1" t="e">
        <f>Tabla32[[#This Row],[COLOR OFICIO]]-#REF!</f>
        <v>#REF!</v>
      </c>
      <c r="R309" s="1" t="e">
        <f>Tabla32[[#This Row],[ENVIAR]]-#REF!</f>
        <v>#REF!</v>
      </c>
      <c r="S309" s="1" t="e">
        <f>Tabla32[[#This Row],[COPIAR]]-#REF!</f>
        <v>#REF!</v>
      </c>
    </row>
    <row r="310" spans="1:19" x14ac:dyDescent="0.25">
      <c r="A310" t="s">
        <v>10</v>
      </c>
      <c r="B310" t="s">
        <v>365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K310" t="s">
        <v>10</v>
      </c>
      <c r="L310" t="s">
        <v>365</v>
      </c>
      <c r="M310" s="1" t="e">
        <f>Tabla32[[#This Row],[BN CARTA]]-#REF!</f>
        <v>#REF!</v>
      </c>
      <c r="N310" s="1" t="e">
        <f>Tabla32[[#This Row],[BN OFICIO]]-#REF!</f>
        <v>#REF!</v>
      </c>
      <c r="O310" s="1" t="e">
        <f>Tabla32[[#This Row],[BN DC]]-#REF!</f>
        <v>#REF!</v>
      </c>
      <c r="P310" s="1" t="e">
        <f>Tabla32[[#This Row],[COLOR CARTA]]-#REF!</f>
        <v>#REF!</v>
      </c>
      <c r="Q310" s="1" t="e">
        <f>Tabla32[[#This Row],[COLOR OFICIO]]-#REF!</f>
        <v>#REF!</v>
      </c>
      <c r="R310" s="1" t="e">
        <f>Tabla32[[#This Row],[ENVIAR]]-#REF!</f>
        <v>#REF!</v>
      </c>
      <c r="S310" s="1" t="e">
        <f>Tabla32[[#This Row],[COPIAR]]-#REF!</f>
        <v>#REF!</v>
      </c>
    </row>
    <row r="311" spans="1:19" x14ac:dyDescent="0.25">
      <c r="A311" t="s">
        <v>10</v>
      </c>
      <c r="B311" t="s">
        <v>366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K311" t="s">
        <v>10</v>
      </c>
      <c r="L311" t="s">
        <v>366</v>
      </c>
      <c r="M311" s="1" t="e">
        <f>Tabla32[[#This Row],[BN CARTA]]-#REF!</f>
        <v>#REF!</v>
      </c>
      <c r="N311" s="1" t="e">
        <f>Tabla32[[#This Row],[BN OFICIO]]-#REF!</f>
        <v>#REF!</v>
      </c>
      <c r="O311" s="1" t="e">
        <f>Tabla32[[#This Row],[BN DC]]-#REF!</f>
        <v>#REF!</v>
      </c>
      <c r="P311" s="1" t="e">
        <f>Tabla32[[#This Row],[COLOR CARTA]]-#REF!</f>
        <v>#REF!</v>
      </c>
      <c r="Q311" s="1" t="e">
        <f>Tabla32[[#This Row],[COLOR OFICIO]]-#REF!</f>
        <v>#REF!</v>
      </c>
      <c r="R311" s="1" t="e">
        <f>Tabla32[[#This Row],[ENVIAR]]-#REF!</f>
        <v>#REF!</v>
      </c>
      <c r="S311" s="1" t="e">
        <f>Tabla32[[#This Row],[COPIAR]]-#REF!</f>
        <v>#REF!</v>
      </c>
    </row>
    <row r="312" spans="1:19" x14ac:dyDescent="0.25">
      <c r="A312" t="s">
        <v>120</v>
      </c>
      <c r="B312" t="s">
        <v>367</v>
      </c>
      <c r="C312">
        <v>25</v>
      </c>
      <c r="D312">
        <v>0</v>
      </c>
      <c r="E312">
        <v>0</v>
      </c>
      <c r="F312">
        <v>1138</v>
      </c>
      <c r="G312">
        <v>0</v>
      </c>
      <c r="H312">
        <v>0</v>
      </c>
      <c r="I312">
        <v>0</v>
      </c>
      <c r="K312" t="s">
        <v>120</v>
      </c>
      <c r="L312" t="s">
        <v>367</v>
      </c>
      <c r="M312" s="1" t="e">
        <f>Tabla32[[#This Row],[BN CARTA]]-#REF!</f>
        <v>#REF!</v>
      </c>
      <c r="N312" s="1" t="e">
        <f>Tabla32[[#This Row],[BN OFICIO]]-#REF!</f>
        <v>#REF!</v>
      </c>
      <c r="O312" s="1" t="e">
        <f>Tabla32[[#This Row],[BN DC]]-#REF!</f>
        <v>#REF!</v>
      </c>
      <c r="P312" s="1" t="e">
        <f>Tabla32[[#This Row],[COLOR CARTA]]-#REF!</f>
        <v>#REF!</v>
      </c>
      <c r="Q312" s="1" t="e">
        <f>Tabla32[[#This Row],[COLOR OFICIO]]-#REF!</f>
        <v>#REF!</v>
      </c>
      <c r="R312" s="1" t="e">
        <f>Tabla32[[#This Row],[ENVIAR]]-#REF!</f>
        <v>#REF!</v>
      </c>
      <c r="S312" s="1" t="e">
        <f>Tabla32[[#This Row],[COPIAR]]-#REF!</f>
        <v>#REF!</v>
      </c>
    </row>
    <row r="313" spans="1:19" x14ac:dyDescent="0.25">
      <c r="A313" t="s">
        <v>188</v>
      </c>
      <c r="B313" t="s">
        <v>368</v>
      </c>
      <c r="C313">
        <v>35</v>
      </c>
      <c r="D313">
        <v>0</v>
      </c>
      <c r="E313">
        <v>0</v>
      </c>
      <c r="F313">
        <v>570</v>
      </c>
      <c r="G313">
        <v>0</v>
      </c>
      <c r="H313">
        <v>0</v>
      </c>
      <c r="I313">
        <v>0</v>
      </c>
      <c r="K313" t="s">
        <v>188</v>
      </c>
      <c r="L313" t="s">
        <v>368</v>
      </c>
      <c r="M313" s="1" t="e">
        <f>Tabla32[[#This Row],[BN CARTA]]-#REF!</f>
        <v>#REF!</v>
      </c>
      <c r="N313" s="1" t="e">
        <f>Tabla32[[#This Row],[BN OFICIO]]-#REF!</f>
        <v>#REF!</v>
      </c>
      <c r="O313" s="1" t="e">
        <f>Tabla32[[#This Row],[BN DC]]-#REF!</f>
        <v>#REF!</v>
      </c>
      <c r="P313" s="1" t="e">
        <f>Tabla32[[#This Row],[COLOR CARTA]]-#REF!</f>
        <v>#REF!</v>
      </c>
      <c r="Q313" s="1" t="e">
        <f>Tabla32[[#This Row],[COLOR OFICIO]]-#REF!</f>
        <v>#REF!</v>
      </c>
      <c r="R313" s="1" t="e">
        <f>Tabla32[[#This Row],[ENVIAR]]-#REF!</f>
        <v>#REF!</v>
      </c>
      <c r="S313" s="1" t="e">
        <f>Tabla32[[#This Row],[COPIAR]]-#REF!</f>
        <v>#REF!</v>
      </c>
    </row>
    <row r="314" spans="1:19" x14ac:dyDescent="0.25">
      <c r="A314" t="s">
        <v>10</v>
      </c>
      <c r="B314" t="s">
        <v>369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K314" t="s">
        <v>10</v>
      </c>
      <c r="L314" t="s">
        <v>369</v>
      </c>
      <c r="M314" s="1" t="e">
        <f>Tabla32[[#This Row],[BN CARTA]]-#REF!</f>
        <v>#REF!</v>
      </c>
      <c r="N314" s="1" t="e">
        <f>Tabla32[[#This Row],[BN OFICIO]]-#REF!</f>
        <v>#REF!</v>
      </c>
      <c r="O314" s="1" t="e">
        <f>Tabla32[[#This Row],[BN DC]]-#REF!</f>
        <v>#REF!</v>
      </c>
      <c r="P314" s="1" t="e">
        <f>Tabla32[[#This Row],[COLOR CARTA]]-#REF!</f>
        <v>#REF!</v>
      </c>
      <c r="Q314" s="1" t="e">
        <f>Tabla32[[#This Row],[COLOR OFICIO]]-#REF!</f>
        <v>#REF!</v>
      </c>
      <c r="R314" s="1" t="e">
        <f>Tabla32[[#This Row],[ENVIAR]]-#REF!</f>
        <v>#REF!</v>
      </c>
      <c r="S314" s="1" t="e">
        <f>Tabla32[[#This Row],[COPIAR]]-#REF!</f>
        <v>#REF!</v>
      </c>
    </row>
    <row r="315" spans="1:19" x14ac:dyDescent="0.25">
      <c r="A315" t="s">
        <v>10</v>
      </c>
      <c r="B315" t="s">
        <v>370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K315" t="s">
        <v>10</v>
      </c>
      <c r="L315" t="s">
        <v>370</v>
      </c>
      <c r="M315" s="1" t="e">
        <f>Tabla32[[#This Row],[BN CARTA]]-#REF!</f>
        <v>#REF!</v>
      </c>
      <c r="N315" s="1" t="e">
        <f>Tabla32[[#This Row],[BN OFICIO]]-#REF!</f>
        <v>#REF!</v>
      </c>
      <c r="O315" s="1" t="e">
        <f>Tabla32[[#This Row],[BN DC]]-#REF!</f>
        <v>#REF!</v>
      </c>
      <c r="P315" s="1" t="e">
        <f>Tabla32[[#This Row],[COLOR CARTA]]-#REF!</f>
        <v>#REF!</v>
      </c>
      <c r="Q315" s="1" t="e">
        <f>Tabla32[[#This Row],[COLOR OFICIO]]-#REF!</f>
        <v>#REF!</v>
      </c>
      <c r="R315" s="1" t="e">
        <f>Tabla32[[#This Row],[ENVIAR]]-#REF!</f>
        <v>#REF!</v>
      </c>
      <c r="S315" s="1" t="e">
        <f>Tabla32[[#This Row],[COPIAR]]-#REF!</f>
        <v>#REF!</v>
      </c>
    </row>
    <row r="316" spans="1:19" x14ac:dyDescent="0.25">
      <c r="A316" t="s">
        <v>10</v>
      </c>
      <c r="B316" t="s">
        <v>371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K316" t="s">
        <v>10</v>
      </c>
      <c r="L316" t="s">
        <v>371</v>
      </c>
      <c r="M316" s="1" t="e">
        <f>Tabla32[[#This Row],[BN CARTA]]-#REF!</f>
        <v>#REF!</v>
      </c>
      <c r="N316" s="1" t="e">
        <f>Tabla32[[#This Row],[BN OFICIO]]-#REF!</f>
        <v>#REF!</v>
      </c>
      <c r="O316" s="1" t="e">
        <f>Tabla32[[#This Row],[BN DC]]-#REF!</f>
        <v>#REF!</v>
      </c>
      <c r="P316" s="1" t="e">
        <f>Tabla32[[#This Row],[COLOR CARTA]]-#REF!</f>
        <v>#REF!</v>
      </c>
      <c r="Q316" s="1" t="e">
        <f>Tabla32[[#This Row],[COLOR OFICIO]]-#REF!</f>
        <v>#REF!</v>
      </c>
      <c r="R316" s="1" t="e">
        <f>Tabla32[[#This Row],[ENVIAR]]-#REF!</f>
        <v>#REF!</v>
      </c>
      <c r="S316" s="1" t="e">
        <f>Tabla32[[#This Row],[COPIAR]]-#REF!</f>
        <v>#REF!</v>
      </c>
    </row>
    <row r="317" spans="1:19" x14ac:dyDescent="0.25">
      <c r="A317" t="s">
        <v>10</v>
      </c>
      <c r="B317" t="s">
        <v>372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K317" t="s">
        <v>10</v>
      </c>
      <c r="L317" t="s">
        <v>372</v>
      </c>
      <c r="M317" s="1" t="e">
        <f>Tabla32[[#This Row],[BN CARTA]]-#REF!</f>
        <v>#REF!</v>
      </c>
      <c r="N317" s="1" t="e">
        <f>Tabla32[[#This Row],[BN OFICIO]]-#REF!</f>
        <v>#REF!</v>
      </c>
      <c r="O317" s="1" t="e">
        <f>Tabla32[[#This Row],[BN DC]]-#REF!</f>
        <v>#REF!</v>
      </c>
      <c r="P317" s="1" t="e">
        <f>Tabla32[[#This Row],[COLOR CARTA]]-#REF!</f>
        <v>#REF!</v>
      </c>
      <c r="Q317" s="1" t="e">
        <f>Tabla32[[#This Row],[COLOR OFICIO]]-#REF!</f>
        <v>#REF!</v>
      </c>
      <c r="R317" s="1" t="e">
        <f>Tabla32[[#This Row],[ENVIAR]]-#REF!</f>
        <v>#REF!</v>
      </c>
      <c r="S317" s="1" t="e">
        <f>Tabla32[[#This Row],[COPIAR]]-#REF!</f>
        <v>#REF!</v>
      </c>
    </row>
    <row r="318" spans="1:19" x14ac:dyDescent="0.25">
      <c r="A318" t="s">
        <v>10</v>
      </c>
      <c r="B318" t="s">
        <v>373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K318" t="s">
        <v>10</v>
      </c>
      <c r="L318" t="s">
        <v>373</v>
      </c>
      <c r="M318" s="1" t="e">
        <f>Tabla32[[#This Row],[BN CARTA]]-#REF!</f>
        <v>#REF!</v>
      </c>
      <c r="N318" s="1" t="e">
        <f>Tabla32[[#This Row],[BN OFICIO]]-#REF!</f>
        <v>#REF!</v>
      </c>
      <c r="O318" s="1" t="e">
        <f>Tabla32[[#This Row],[BN DC]]-#REF!</f>
        <v>#REF!</v>
      </c>
      <c r="P318" s="1" t="e">
        <f>Tabla32[[#This Row],[COLOR CARTA]]-#REF!</f>
        <v>#REF!</v>
      </c>
      <c r="Q318" s="1" t="e">
        <f>Tabla32[[#This Row],[COLOR OFICIO]]-#REF!</f>
        <v>#REF!</v>
      </c>
      <c r="R318" s="1" t="e">
        <f>Tabla32[[#This Row],[ENVIAR]]-#REF!</f>
        <v>#REF!</v>
      </c>
      <c r="S318" s="1" t="e">
        <f>Tabla32[[#This Row],[COPIAR]]-#REF!</f>
        <v>#REF!</v>
      </c>
    </row>
    <row r="319" spans="1:19" x14ac:dyDescent="0.25">
      <c r="A319" t="s">
        <v>10</v>
      </c>
      <c r="B319" t="s">
        <v>374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K319" t="s">
        <v>10</v>
      </c>
      <c r="L319" t="s">
        <v>374</v>
      </c>
      <c r="M319" s="1" t="e">
        <f>Tabla32[[#This Row],[BN CARTA]]-#REF!</f>
        <v>#REF!</v>
      </c>
      <c r="N319" s="1" t="e">
        <f>Tabla32[[#This Row],[BN OFICIO]]-#REF!</f>
        <v>#REF!</v>
      </c>
      <c r="O319" s="1" t="e">
        <f>Tabla32[[#This Row],[BN DC]]-#REF!</f>
        <v>#REF!</v>
      </c>
      <c r="P319" s="1" t="e">
        <f>Tabla32[[#This Row],[COLOR CARTA]]-#REF!</f>
        <v>#REF!</v>
      </c>
      <c r="Q319" s="1" t="e">
        <f>Tabla32[[#This Row],[COLOR OFICIO]]-#REF!</f>
        <v>#REF!</v>
      </c>
      <c r="R319" s="1" t="e">
        <f>Tabla32[[#This Row],[ENVIAR]]-#REF!</f>
        <v>#REF!</v>
      </c>
      <c r="S319" s="1" t="e">
        <f>Tabla32[[#This Row],[COPIAR]]-#REF!</f>
        <v>#REF!</v>
      </c>
    </row>
    <row r="320" spans="1:19" x14ac:dyDescent="0.25">
      <c r="A320" t="s">
        <v>10</v>
      </c>
      <c r="B320" t="s">
        <v>375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K320" t="s">
        <v>10</v>
      </c>
      <c r="L320" t="s">
        <v>375</v>
      </c>
      <c r="M320" s="1" t="e">
        <f>Tabla32[[#This Row],[BN CARTA]]-#REF!</f>
        <v>#REF!</v>
      </c>
      <c r="N320" s="1" t="e">
        <f>Tabla32[[#This Row],[BN OFICIO]]-#REF!</f>
        <v>#REF!</v>
      </c>
      <c r="O320" s="1" t="e">
        <f>Tabla32[[#This Row],[BN DC]]-#REF!</f>
        <v>#REF!</v>
      </c>
      <c r="P320" s="1" t="e">
        <f>Tabla32[[#This Row],[COLOR CARTA]]-#REF!</f>
        <v>#REF!</v>
      </c>
      <c r="Q320" s="1" t="e">
        <f>Tabla32[[#This Row],[COLOR OFICIO]]-#REF!</f>
        <v>#REF!</v>
      </c>
      <c r="R320" s="1" t="e">
        <f>Tabla32[[#This Row],[ENVIAR]]-#REF!</f>
        <v>#REF!</v>
      </c>
      <c r="S320" s="1" t="e">
        <f>Tabla32[[#This Row],[COPIAR]]-#REF!</f>
        <v>#REF!</v>
      </c>
    </row>
    <row r="321" spans="1:19" x14ac:dyDescent="0.25">
      <c r="A321" t="s">
        <v>10</v>
      </c>
      <c r="B321" t="s">
        <v>376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K321" t="s">
        <v>10</v>
      </c>
      <c r="L321" t="s">
        <v>376</v>
      </c>
      <c r="M321" s="1" t="e">
        <f>Tabla32[[#This Row],[BN CARTA]]-#REF!</f>
        <v>#REF!</v>
      </c>
      <c r="N321" s="1" t="e">
        <f>Tabla32[[#This Row],[BN OFICIO]]-#REF!</f>
        <v>#REF!</v>
      </c>
      <c r="O321" s="1" t="e">
        <f>Tabla32[[#This Row],[BN DC]]-#REF!</f>
        <v>#REF!</v>
      </c>
      <c r="P321" s="1" t="e">
        <f>Tabla32[[#This Row],[COLOR CARTA]]-#REF!</f>
        <v>#REF!</v>
      </c>
      <c r="Q321" s="1" t="e">
        <f>Tabla32[[#This Row],[COLOR OFICIO]]-#REF!</f>
        <v>#REF!</v>
      </c>
      <c r="R321" s="1" t="e">
        <f>Tabla32[[#This Row],[ENVIAR]]-#REF!</f>
        <v>#REF!</v>
      </c>
      <c r="S321" s="1" t="e">
        <f>Tabla32[[#This Row],[COPIAR]]-#REF!</f>
        <v>#REF!</v>
      </c>
    </row>
    <row r="322" spans="1:19" x14ac:dyDescent="0.25">
      <c r="A322" t="s">
        <v>10</v>
      </c>
      <c r="B322" t="s">
        <v>377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K322" t="s">
        <v>10</v>
      </c>
      <c r="L322" t="s">
        <v>377</v>
      </c>
      <c r="M322" s="1" t="e">
        <f>Tabla32[[#This Row],[BN CARTA]]-#REF!</f>
        <v>#REF!</v>
      </c>
      <c r="N322" s="1" t="e">
        <f>Tabla32[[#This Row],[BN OFICIO]]-#REF!</f>
        <v>#REF!</v>
      </c>
      <c r="O322" s="1" t="e">
        <f>Tabla32[[#This Row],[BN DC]]-#REF!</f>
        <v>#REF!</v>
      </c>
      <c r="P322" s="1" t="e">
        <f>Tabla32[[#This Row],[COLOR CARTA]]-#REF!</f>
        <v>#REF!</v>
      </c>
      <c r="Q322" s="1" t="e">
        <f>Tabla32[[#This Row],[COLOR OFICIO]]-#REF!</f>
        <v>#REF!</v>
      </c>
      <c r="R322" s="1" t="e">
        <f>Tabla32[[#This Row],[ENVIAR]]-#REF!</f>
        <v>#REF!</v>
      </c>
      <c r="S322" s="1" t="e">
        <f>Tabla32[[#This Row],[COPIAR]]-#REF!</f>
        <v>#REF!</v>
      </c>
    </row>
    <row r="323" spans="1:19" x14ac:dyDescent="0.25">
      <c r="A323" t="s">
        <v>10</v>
      </c>
      <c r="B323" t="s">
        <v>378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K323" t="s">
        <v>10</v>
      </c>
      <c r="L323" t="s">
        <v>378</v>
      </c>
      <c r="M323" s="1" t="e">
        <f>Tabla32[[#This Row],[BN CARTA]]-#REF!</f>
        <v>#REF!</v>
      </c>
      <c r="N323" s="1" t="e">
        <f>Tabla32[[#This Row],[BN OFICIO]]-#REF!</f>
        <v>#REF!</v>
      </c>
      <c r="O323" s="1" t="e">
        <f>Tabla32[[#This Row],[BN DC]]-#REF!</f>
        <v>#REF!</v>
      </c>
      <c r="P323" s="1" t="e">
        <f>Tabla32[[#This Row],[COLOR CARTA]]-#REF!</f>
        <v>#REF!</v>
      </c>
      <c r="Q323" s="1" t="e">
        <f>Tabla32[[#This Row],[COLOR OFICIO]]-#REF!</f>
        <v>#REF!</v>
      </c>
      <c r="R323" s="1" t="e">
        <f>Tabla32[[#This Row],[ENVIAR]]-#REF!</f>
        <v>#REF!</v>
      </c>
      <c r="S323" s="1" t="e">
        <f>Tabla32[[#This Row],[COPIAR]]-#REF!</f>
        <v>#REF!</v>
      </c>
    </row>
    <row r="324" spans="1:19" x14ac:dyDescent="0.25">
      <c r="A324" t="s">
        <v>118</v>
      </c>
      <c r="B324" t="s">
        <v>379</v>
      </c>
      <c r="C324">
        <v>66</v>
      </c>
      <c r="D324">
        <v>0</v>
      </c>
      <c r="E324">
        <v>0</v>
      </c>
      <c r="F324">
        <v>17</v>
      </c>
      <c r="G324">
        <v>0</v>
      </c>
      <c r="H324">
        <v>0</v>
      </c>
      <c r="I324">
        <v>0</v>
      </c>
      <c r="K324" t="s">
        <v>118</v>
      </c>
      <c r="L324" t="s">
        <v>379</v>
      </c>
      <c r="M324" s="1" t="e">
        <f>Tabla32[[#This Row],[BN CARTA]]-#REF!</f>
        <v>#REF!</v>
      </c>
      <c r="N324" s="1" t="e">
        <f>Tabla32[[#This Row],[BN OFICIO]]-#REF!</f>
        <v>#REF!</v>
      </c>
      <c r="O324" s="1" t="e">
        <f>Tabla32[[#This Row],[BN DC]]-#REF!</f>
        <v>#REF!</v>
      </c>
      <c r="P324" s="1" t="e">
        <f>Tabla32[[#This Row],[COLOR CARTA]]-#REF!</f>
        <v>#REF!</v>
      </c>
      <c r="Q324" s="1" t="e">
        <f>Tabla32[[#This Row],[COLOR OFICIO]]-#REF!</f>
        <v>#REF!</v>
      </c>
      <c r="R324" s="1" t="e">
        <f>Tabla32[[#This Row],[ENVIAR]]-#REF!</f>
        <v>#REF!</v>
      </c>
      <c r="S324" s="1" t="e">
        <f>Tabla32[[#This Row],[COPIAR]]-#REF!</f>
        <v>#REF!</v>
      </c>
    </row>
    <row r="325" spans="1:19" x14ac:dyDescent="0.25">
      <c r="A325" t="s">
        <v>10</v>
      </c>
      <c r="B325" t="s">
        <v>380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K325" t="s">
        <v>10</v>
      </c>
      <c r="L325" t="s">
        <v>380</v>
      </c>
      <c r="M325" s="1" t="e">
        <f>Tabla32[[#This Row],[BN CARTA]]-#REF!</f>
        <v>#REF!</v>
      </c>
      <c r="N325" s="1" t="e">
        <f>Tabla32[[#This Row],[BN OFICIO]]-#REF!</f>
        <v>#REF!</v>
      </c>
      <c r="O325" s="1" t="e">
        <f>Tabla32[[#This Row],[BN DC]]-#REF!</f>
        <v>#REF!</v>
      </c>
      <c r="P325" s="1" t="e">
        <f>Tabla32[[#This Row],[COLOR CARTA]]-#REF!</f>
        <v>#REF!</v>
      </c>
      <c r="Q325" s="1" t="e">
        <f>Tabla32[[#This Row],[COLOR OFICIO]]-#REF!</f>
        <v>#REF!</v>
      </c>
      <c r="R325" s="1" t="e">
        <f>Tabla32[[#This Row],[ENVIAR]]-#REF!</f>
        <v>#REF!</v>
      </c>
      <c r="S325" s="1" t="e">
        <f>Tabla32[[#This Row],[COPIAR]]-#REF!</f>
        <v>#REF!</v>
      </c>
    </row>
    <row r="326" spans="1:19" x14ac:dyDescent="0.25">
      <c r="A326" t="s">
        <v>128</v>
      </c>
      <c r="B326" t="s">
        <v>381</v>
      </c>
      <c r="C326">
        <v>43</v>
      </c>
      <c r="D326">
        <v>0</v>
      </c>
      <c r="E326">
        <v>0</v>
      </c>
      <c r="F326">
        <v>254</v>
      </c>
      <c r="G326">
        <v>0</v>
      </c>
      <c r="H326">
        <v>0</v>
      </c>
      <c r="I326">
        <v>0</v>
      </c>
      <c r="K326" t="s">
        <v>128</v>
      </c>
      <c r="L326" t="s">
        <v>381</v>
      </c>
      <c r="M326" s="1" t="e">
        <f>Tabla32[[#This Row],[BN CARTA]]-#REF!</f>
        <v>#REF!</v>
      </c>
      <c r="N326" s="1" t="e">
        <f>Tabla32[[#This Row],[BN OFICIO]]-#REF!</f>
        <v>#REF!</v>
      </c>
      <c r="O326" s="1" t="e">
        <f>Tabla32[[#This Row],[BN DC]]-#REF!</f>
        <v>#REF!</v>
      </c>
      <c r="P326" s="1" t="e">
        <f>Tabla32[[#This Row],[COLOR CARTA]]-#REF!</f>
        <v>#REF!</v>
      </c>
      <c r="Q326" s="1" t="e">
        <f>Tabla32[[#This Row],[COLOR OFICIO]]-#REF!</f>
        <v>#REF!</v>
      </c>
      <c r="R326" s="1" t="e">
        <f>Tabla32[[#This Row],[ENVIAR]]-#REF!</f>
        <v>#REF!</v>
      </c>
      <c r="S326" s="1" t="e">
        <f>Tabla32[[#This Row],[COPIAR]]-#REF!</f>
        <v>#REF!</v>
      </c>
    </row>
    <row r="327" spans="1:19" x14ac:dyDescent="0.25">
      <c r="A327" t="s">
        <v>108</v>
      </c>
      <c r="B327" t="s">
        <v>382</v>
      </c>
      <c r="C327">
        <v>110</v>
      </c>
      <c r="D327">
        <v>0</v>
      </c>
      <c r="E327">
        <v>0</v>
      </c>
      <c r="F327">
        <v>6</v>
      </c>
      <c r="G327">
        <v>0</v>
      </c>
      <c r="H327">
        <v>0</v>
      </c>
      <c r="I327">
        <v>0</v>
      </c>
      <c r="K327" t="s">
        <v>108</v>
      </c>
      <c r="L327" t="s">
        <v>382</v>
      </c>
      <c r="M327" s="1" t="e">
        <f>Tabla32[[#This Row],[BN CARTA]]-#REF!</f>
        <v>#REF!</v>
      </c>
      <c r="N327" s="1" t="e">
        <f>Tabla32[[#This Row],[BN OFICIO]]-#REF!</f>
        <v>#REF!</v>
      </c>
      <c r="O327" s="1" t="e">
        <f>Tabla32[[#This Row],[BN DC]]-#REF!</f>
        <v>#REF!</v>
      </c>
      <c r="P327" s="1" t="e">
        <f>Tabla32[[#This Row],[COLOR CARTA]]-#REF!</f>
        <v>#REF!</v>
      </c>
      <c r="Q327" s="1" t="e">
        <f>Tabla32[[#This Row],[COLOR OFICIO]]-#REF!</f>
        <v>#REF!</v>
      </c>
      <c r="R327" s="1" t="e">
        <f>Tabla32[[#This Row],[ENVIAR]]-#REF!</f>
        <v>#REF!</v>
      </c>
      <c r="S327" s="1" t="e">
        <f>Tabla32[[#This Row],[COPIAR]]-#REF!</f>
        <v>#REF!</v>
      </c>
    </row>
    <row r="328" spans="1:19" x14ac:dyDescent="0.25">
      <c r="A328" t="s">
        <v>106</v>
      </c>
      <c r="B328" t="s">
        <v>383</v>
      </c>
      <c r="C328">
        <v>117</v>
      </c>
      <c r="D328">
        <v>0</v>
      </c>
      <c r="E328">
        <v>0</v>
      </c>
      <c r="F328">
        <v>619</v>
      </c>
      <c r="G328">
        <v>15</v>
      </c>
      <c r="H328">
        <v>0</v>
      </c>
      <c r="I328">
        <v>0</v>
      </c>
      <c r="K328" t="s">
        <v>106</v>
      </c>
      <c r="L328" t="s">
        <v>383</v>
      </c>
      <c r="M328" s="1" t="e">
        <f>Tabla32[[#This Row],[BN CARTA]]-#REF!</f>
        <v>#REF!</v>
      </c>
      <c r="N328" s="1" t="e">
        <f>Tabla32[[#This Row],[BN OFICIO]]-#REF!</f>
        <v>#REF!</v>
      </c>
      <c r="O328" s="1" t="e">
        <f>Tabla32[[#This Row],[BN DC]]-#REF!</f>
        <v>#REF!</v>
      </c>
      <c r="P328" s="1" t="e">
        <f>Tabla32[[#This Row],[COLOR CARTA]]-#REF!</f>
        <v>#REF!</v>
      </c>
      <c r="Q328" s="1" t="e">
        <f>Tabla32[[#This Row],[COLOR OFICIO]]-#REF!</f>
        <v>#REF!</v>
      </c>
      <c r="R328" s="1" t="e">
        <f>Tabla32[[#This Row],[ENVIAR]]-#REF!</f>
        <v>#REF!</v>
      </c>
      <c r="S328" s="1" t="e">
        <f>Tabla32[[#This Row],[COPIAR]]-#REF!</f>
        <v>#REF!</v>
      </c>
    </row>
    <row r="329" spans="1:19" x14ac:dyDescent="0.25">
      <c r="A329" t="s">
        <v>99</v>
      </c>
      <c r="B329" t="s">
        <v>384</v>
      </c>
      <c r="C329">
        <v>28</v>
      </c>
      <c r="D329">
        <v>0</v>
      </c>
      <c r="E329">
        <v>0</v>
      </c>
      <c r="F329">
        <v>45</v>
      </c>
      <c r="G329">
        <v>0</v>
      </c>
      <c r="H329">
        <v>0</v>
      </c>
      <c r="I329">
        <v>0</v>
      </c>
      <c r="K329" t="s">
        <v>99</v>
      </c>
      <c r="L329" t="s">
        <v>384</v>
      </c>
      <c r="M329" s="1" t="e">
        <f>Tabla32[[#This Row],[BN CARTA]]-#REF!</f>
        <v>#REF!</v>
      </c>
      <c r="N329" s="1" t="e">
        <f>Tabla32[[#This Row],[BN OFICIO]]-#REF!</f>
        <v>#REF!</v>
      </c>
      <c r="O329" s="1" t="e">
        <f>Tabla32[[#This Row],[BN DC]]-#REF!</f>
        <v>#REF!</v>
      </c>
      <c r="P329" s="1" t="e">
        <f>Tabla32[[#This Row],[COLOR CARTA]]-#REF!</f>
        <v>#REF!</v>
      </c>
      <c r="Q329" s="1" t="e">
        <f>Tabla32[[#This Row],[COLOR OFICIO]]-#REF!</f>
        <v>#REF!</v>
      </c>
      <c r="R329" s="1" t="e">
        <f>Tabla32[[#This Row],[ENVIAR]]-#REF!</f>
        <v>#REF!</v>
      </c>
      <c r="S329" s="1" t="e">
        <f>Tabla32[[#This Row],[COPIAR]]-#REF!</f>
        <v>#REF!</v>
      </c>
    </row>
    <row r="330" spans="1:19" x14ac:dyDescent="0.25">
      <c r="A330" t="s">
        <v>113</v>
      </c>
      <c r="B330" t="s">
        <v>385</v>
      </c>
      <c r="C330">
        <v>205</v>
      </c>
      <c r="D330">
        <v>0</v>
      </c>
      <c r="E330">
        <v>0</v>
      </c>
      <c r="F330">
        <v>142</v>
      </c>
      <c r="G330">
        <v>0</v>
      </c>
      <c r="H330">
        <v>0</v>
      </c>
      <c r="I330">
        <v>0</v>
      </c>
      <c r="K330" t="s">
        <v>113</v>
      </c>
      <c r="L330" t="s">
        <v>385</v>
      </c>
      <c r="M330" s="1" t="e">
        <f>Tabla32[[#This Row],[BN CARTA]]-#REF!</f>
        <v>#REF!</v>
      </c>
      <c r="N330" s="1" t="e">
        <f>Tabla32[[#This Row],[BN OFICIO]]-#REF!</f>
        <v>#REF!</v>
      </c>
      <c r="O330" s="1" t="e">
        <f>Tabla32[[#This Row],[BN DC]]-#REF!</f>
        <v>#REF!</v>
      </c>
      <c r="P330" s="1" t="e">
        <f>Tabla32[[#This Row],[COLOR CARTA]]-#REF!</f>
        <v>#REF!</v>
      </c>
      <c r="Q330" s="1" t="e">
        <f>Tabla32[[#This Row],[COLOR OFICIO]]-#REF!</f>
        <v>#REF!</v>
      </c>
      <c r="R330" s="1" t="e">
        <f>Tabla32[[#This Row],[ENVIAR]]-#REF!</f>
        <v>#REF!</v>
      </c>
      <c r="S330" s="1" t="e">
        <f>Tabla32[[#This Row],[COPIAR]]-#REF!</f>
        <v>#REF!</v>
      </c>
    </row>
    <row r="331" spans="1:19" x14ac:dyDescent="0.25">
      <c r="A331" t="s">
        <v>10</v>
      </c>
      <c r="B331" t="s">
        <v>386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K331" t="s">
        <v>10</v>
      </c>
      <c r="L331" t="s">
        <v>386</v>
      </c>
      <c r="M331" s="1" t="e">
        <f>Tabla32[[#This Row],[BN CARTA]]-#REF!</f>
        <v>#REF!</v>
      </c>
      <c r="N331" s="1" t="e">
        <f>Tabla32[[#This Row],[BN OFICIO]]-#REF!</f>
        <v>#REF!</v>
      </c>
      <c r="O331" s="1" t="e">
        <f>Tabla32[[#This Row],[BN DC]]-#REF!</f>
        <v>#REF!</v>
      </c>
      <c r="P331" s="1" t="e">
        <f>Tabla32[[#This Row],[COLOR CARTA]]-#REF!</f>
        <v>#REF!</v>
      </c>
      <c r="Q331" s="1" t="e">
        <f>Tabla32[[#This Row],[COLOR OFICIO]]-#REF!</f>
        <v>#REF!</v>
      </c>
      <c r="R331" s="1" t="e">
        <f>Tabla32[[#This Row],[ENVIAR]]-#REF!</f>
        <v>#REF!</v>
      </c>
      <c r="S331" s="1" t="e">
        <f>Tabla32[[#This Row],[COPIAR]]-#REF!</f>
        <v>#REF!</v>
      </c>
    </row>
    <row r="332" spans="1:19" x14ac:dyDescent="0.25">
      <c r="A332" t="s">
        <v>10</v>
      </c>
      <c r="B332" t="s">
        <v>387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K332" t="s">
        <v>10</v>
      </c>
      <c r="L332" t="s">
        <v>387</v>
      </c>
      <c r="M332" s="1" t="e">
        <f>Tabla32[[#This Row],[BN CARTA]]-#REF!</f>
        <v>#REF!</v>
      </c>
      <c r="N332" s="1" t="e">
        <f>Tabla32[[#This Row],[BN OFICIO]]-#REF!</f>
        <v>#REF!</v>
      </c>
      <c r="O332" s="1" t="e">
        <f>Tabla32[[#This Row],[BN DC]]-#REF!</f>
        <v>#REF!</v>
      </c>
      <c r="P332" s="1" t="e">
        <f>Tabla32[[#This Row],[COLOR CARTA]]-#REF!</f>
        <v>#REF!</v>
      </c>
      <c r="Q332" s="1" t="e">
        <f>Tabla32[[#This Row],[COLOR OFICIO]]-#REF!</f>
        <v>#REF!</v>
      </c>
      <c r="R332" s="1" t="e">
        <f>Tabla32[[#This Row],[ENVIAR]]-#REF!</f>
        <v>#REF!</v>
      </c>
      <c r="S332" s="1" t="e">
        <f>Tabla32[[#This Row],[COPIAR]]-#REF!</f>
        <v>#REF!</v>
      </c>
    </row>
    <row r="333" spans="1:19" x14ac:dyDescent="0.25">
      <c r="A333" t="s">
        <v>10</v>
      </c>
      <c r="B333" t="s">
        <v>388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K333" t="s">
        <v>10</v>
      </c>
      <c r="L333" t="s">
        <v>388</v>
      </c>
      <c r="M333" s="1" t="e">
        <f>Tabla32[[#This Row],[BN CARTA]]-#REF!</f>
        <v>#REF!</v>
      </c>
      <c r="N333" s="1" t="e">
        <f>Tabla32[[#This Row],[BN OFICIO]]-#REF!</f>
        <v>#REF!</v>
      </c>
      <c r="O333" s="1" t="e">
        <f>Tabla32[[#This Row],[BN DC]]-#REF!</f>
        <v>#REF!</v>
      </c>
      <c r="P333" s="1" t="e">
        <f>Tabla32[[#This Row],[COLOR CARTA]]-#REF!</f>
        <v>#REF!</v>
      </c>
      <c r="Q333" s="1" t="e">
        <f>Tabla32[[#This Row],[COLOR OFICIO]]-#REF!</f>
        <v>#REF!</v>
      </c>
      <c r="R333" s="1" t="e">
        <f>Tabla32[[#This Row],[ENVIAR]]-#REF!</f>
        <v>#REF!</v>
      </c>
      <c r="S333" s="1" t="e">
        <f>Tabla32[[#This Row],[COPIAR]]-#REF!</f>
        <v>#REF!</v>
      </c>
    </row>
    <row r="334" spans="1:19" x14ac:dyDescent="0.25">
      <c r="A334" t="s">
        <v>10</v>
      </c>
      <c r="B334" t="s">
        <v>389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K334" t="s">
        <v>10</v>
      </c>
      <c r="L334" t="s">
        <v>389</v>
      </c>
      <c r="M334" s="1" t="e">
        <f>Tabla32[[#This Row],[BN CARTA]]-#REF!</f>
        <v>#REF!</v>
      </c>
      <c r="N334" s="1" t="e">
        <f>Tabla32[[#This Row],[BN OFICIO]]-#REF!</f>
        <v>#REF!</v>
      </c>
      <c r="O334" s="1" t="e">
        <f>Tabla32[[#This Row],[BN DC]]-#REF!</f>
        <v>#REF!</v>
      </c>
      <c r="P334" s="1" t="e">
        <f>Tabla32[[#This Row],[COLOR CARTA]]-#REF!</f>
        <v>#REF!</v>
      </c>
      <c r="Q334" s="1" t="e">
        <f>Tabla32[[#This Row],[COLOR OFICIO]]-#REF!</f>
        <v>#REF!</v>
      </c>
      <c r="R334" s="1" t="e">
        <f>Tabla32[[#This Row],[ENVIAR]]-#REF!</f>
        <v>#REF!</v>
      </c>
      <c r="S334" s="1" t="e">
        <f>Tabla32[[#This Row],[COPIAR]]-#REF!</f>
        <v>#REF!</v>
      </c>
    </row>
    <row r="335" spans="1:19" x14ac:dyDescent="0.25">
      <c r="A335" t="s">
        <v>10</v>
      </c>
      <c r="B335" t="s">
        <v>390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K335" t="s">
        <v>10</v>
      </c>
      <c r="L335" t="s">
        <v>390</v>
      </c>
      <c r="M335" s="1" t="e">
        <f>Tabla32[[#This Row],[BN CARTA]]-#REF!</f>
        <v>#REF!</v>
      </c>
      <c r="N335" s="1" t="e">
        <f>Tabla32[[#This Row],[BN OFICIO]]-#REF!</f>
        <v>#REF!</v>
      </c>
      <c r="O335" s="1" t="e">
        <f>Tabla32[[#This Row],[BN DC]]-#REF!</f>
        <v>#REF!</v>
      </c>
      <c r="P335" s="1" t="e">
        <f>Tabla32[[#This Row],[COLOR CARTA]]-#REF!</f>
        <v>#REF!</v>
      </c>
      <c r="Q335" s="1" t="e">
        <f>Tabla32[[#This Row],[COLOR OFICIO]]-#REF!</f>
        <v>#REF!</v>
      </c>
      <c r="R335" s="1" t="e">
        <f>Tabla32[[#This Row],[ENVIAR]]-#REF!</f>
        <v>#REF!</v>
      </c>
      <c r="S335" s="1" t="e">
        <f>Tabla32[[#This Row],[COPIAR]]-#REF!</f>
        <v>#REF!</v>
      </c>
    </row>
    <row r="336" spans="1:19" x14ac:dyDescent="0.25">
      <c r="A336" t="s">
        <v>10</v>
      </c>
      <c r="B336" t="s">
        <v>391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K336" t="s">
        <v>10</v>
      </c>
      <c r="L336" t="s">
        <v>391</v>
      </c>
      <c r="M336" s="1" t="e">
        <f>Tabla32[[#This Row],[BN CARTA]]-#REF!</f>
        <v>#REF!</v>
      </c>
      <c r="N336" s="1" t="e">
        <f>Tabla32[[#This Row],[BN OFICIO]]-#REF!</f>
        <v>#REF!</v>
      </c>
      <c r="O336" s="1" t="e">
        <f>Tabla32[[#This Row],[BN DC]]-#REF!</f>
        <v>#REF!</v>
      </c>
      <c r="P336" s="1" t="e">
        <f>Tabla32[[#This Row],[COLOR CARTA]]-#REF!</f>
        <v>#REF!</v>
      </c>
      <c r="Q336" s="1" t="e">
        <f>Tabla32[[#This Row],[COLOR OFICIO]]-#REF!</f>
        <v>#REF!</v>
      </c>
      <c r="R336" s="1" t="e">
        <f>Tabla32[[#This Row],[ENVIAR]]-#REF!</f>
        <v>#REF!</v>
      </c>
      <c r="S336" s="1" t="e">
        <f>Tabla32[[#This Row],[COPIAR]]-#REF!</f>
        <v>#REF!</v>
      </c>
    </row>
    <row r="337" spans="1:19" x14ac:dyDescent="0.25">
      <c r="A337" t="s">
        <v>10</v>
      </c>
      <c r="B337" t="s">
        <v>392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K337" t="s">
        <v>10</v>
      </c>
      <c r="L337" t="s">
        <v>392</v>
      </c>
      <c r="M337" s="1" t="e">
        <f>Tabla32[[#This Row],[BN CARTA]]-#REF!</f>
        <v>#REF!</v>
      </c>
      <c r="N337" s="1" t="e">
        <f>Tabla32[[#This Row],[BN OFICIO]]-#REF!</f>
        <v>#REF!</v>
      </c>
      <c r="O337" s="1" t="e">
        <f>Tabla32[[#This Row],[BN DC]]-#REF!</f>
        <v>#REF!</v>
      </c>
      <c r="P337" s="1" t="e">
        <f>Tabla32[[#This Row],[COLOR CARTA]]-#REF!</f>
        <v>#REF!</v>
      </c>
      <c r="Q337" s="1" t="e">
        <f>Tabla32[[#This Row],[COLOR OFICIO]]-#REF!</f>
        <v>#REF!</v>
      </c>
      <c r="R337" s="1" t="e">
        <f>Tabla32[[#This Row],[ENVIAR]]-#REF!</f>
        <v>#REF!</v>
      </c>
      <c r="S337" s="1" t="e">
        <f>Tabla32[[#This Row],[COPIAR]]-#REF!</f>
        <v>#REF!</v>
      </c>
    </row>
    <row r="338" spans="1:19" x14ac:dyDescent="0.25">
      <c r="A338" t="s">
        <v>10</v>
      </c>
      <c r="B338" t="s">
        <v>393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K338" t="s">
        <v>10</v>
      </c>
      <c r="L338" t="s">
        <v>393</v>
      </c>
      <c r="M338" s="1" t="e">
        <f>Tabla32[[#This Row],[BN CARTA]]-#REF!</f>
        <v>#REF!</v>
      </c>
      <c r="N338" s="1" t="e">
        <f>Tabla32[[#This Row],[BN OFICIO]]-#REF!</f>
        <v>#REF!</v>
      </c>
      <c r="O338" s="1" t="e">
        <f>Tabla32[[#This Row],[BN DC]]-#REF!</f>
        <v>#REF!</v>
      </c>
      <c r="P338" s="1" t="e">
        <f>Tabla32[[#This Row],[COLOR CARTA]]-#REF!</f>
        <v>#REF!</v>
      </c>
      <c r="Q338" s="1" t="e">
        <f>Tabla32[[#This Row],[COLOR OFICIO]]-#REF!</f>
        <v>#REF!</v>
      </c>
      <c r="R338" s="1" t="e">
        <f>Tabla32[[#This Row],[ENVIAR]]-#REF!</f>
        <v>#REF!</v>
      </c>
      <c r="S338" s="1" t="e">
        <f>Tabla32[[#This Row],[COPIAR]]-#REF!</f>
        <v>#REF!</v>
      </c>
    </row>
    <row r="339" spans="1:19" x14ac:dyDescent="0.25">
      <c r="A339" t="s">
        <v>10</v>
      </c>
      <c r="B339" t="s">
        <v>394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K339" t="s">
        <v>10</v>
      </c>
      <c r="L339" t="s">
        <v>394</v>
      </c>
      <c r="M339" s="1" t="e">
        <f>Tabla32[[#This Row],[BN CARTA]]-#REF!</f>
        <v>#REF!</v>
      </c>
      <c r="N339" s="1" t="e">
        <f>Tabla32[[#This Row],[BN OFICIO]]-#REF!</f>
        <v>#REF!</v>
      </c>
      <c r="O339" s="1" t="e">
        <f>Tabla32[[#This Row],[BN DC]]-#REF!</f>
        <v>#REF!</v>
      </c>
      <c r="P339" s="1" t="e">
        <f>Tabla32[[#This Row],[COLOR CARTA]]-#REF!</f>
        <v>#REF!</v>
      </c>
      <c r="Q339" s="1" t="e">
        <f>Tabla32[[#This Row],[COLOR OFICIO]]-#REF!</f>
        <v>#REF!</v>
      </c>
      <c r="R339" s="1" t="e">
        <f>Tabla32[[#This Row],[ENVIAR]]-#REF!</f>
        <v>#REF!</v>
      </c>
      <c r="S339" s="1" t="e">
        <f>Tabla32[[#This Row],[COPIAR]]-#REF!</f>
        <v>#REF!</v>
      </c>
    </row>
    <row r="340" spans="1:19" x14ac:dyDescent="0.25">
      <c r="A340" t="s">
        <v>10</v>
      </c>
      <c r="B340" t="s">
        <v>395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K340" t="s">
        <v>10</v>
      </c>
      <c r="L340" t="s">
        <v>395</v>
      </c>
      <c r="M340" s="1" t="e">
        <f>Tabla32[[#This Row],[BN CARTA]]-#REF!</f>
        <v>#REF!</v>
      </c>
      <c r="N340" s="1" t="e">
        <f>Tabla32[[#This Row],[BN OFICIO]]-#REF!</f>
        <v>#REF!</v>
      </c>
      <c r="O340" s="1" t="e">
        <f>Tabla32[[#This Row],[BN DC]]-#REF!</f>
        <v>#REF!</v>
      </c>
      <c r="P340" s="1" t="e">
        <f>Tabla32[[#This Row],[COLOR CARTA]]-#REF!</f>
        <v>#REF!</v>
      </c>
      <c r="Q340" s="1" t="e">
        <f>Tabla32[[#This Row],[COLOR OFICIO]]-#REF!</f>
        <v>#REF!</v>
      </c>
      <c r="R340" s="1" t="e">
        <f>Tabla32[[#This Row],[ENVIAR]]-#REF!</f>
        <v>#REF!</v>
      </c>
      <c r="S340" s="1" t="e">
        <f>Tabla32[[#This Row],[COPIAR]]-#REF!</f>
        <v>#REF!</v>
      </c>
    </row>
    <row r="341" spans="1:19" x14ac:dyDescent="0.25">
      <c r="A341" t="s">
        <v>10</v>
      </c>
      <c r="B341" t="s">
        <v>396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K341" t="s">
        <v>10</v>
      </c>
      <c r="L341" t="s">
        <v>396</v>
      </c>
      <c r="M341" s="1" t="e">
        <f>Tabla32[[#This Row],[BN CARTA]]-#REF!</f>
        <v>#REF!</v>
      </c>
      <c r="N341" s="1" t="e">
        <f>Tabla32[[#This Row],[BN OFICIO]]-#REF!</f>
        <v>#REF!</v>
      </c>
      <c r="O341" s="1" t="e">
        <f>Tabla32[[#This Row],[BN DC]]-#REF!</f>
        <v>#REF!</v>
      </c>
      <c r="P341" s="1" t="e">
        <f>Tabla32[[#This Row],[COLOR CARTA]]-#REF!</f>
        <v>#REF!</v>
      </c>
      <c r="Q341" s="1" t="e">
        <f>Tabla32[[#This Row],[COLOR OFICIO]]-#REF!</f>
        <v>#REF!</v>
      </c>
      <c r="R341" s="1" t="e">
        <f>Tabla32[[#This Row],[ENVIAR]]-#REF!</f>
        <v>#REF!</v>
      </c>
      <c r="S341" s="1" t="e">
        <f>Tabla32[[#This Row],[COPIAR]]-#REF!</f>
        <v>#REF!</v>
      </c>
    </row>
    <row r="342" spans="1:19" x14ac:dyDescent="0.25">
      <c r="A342" t="s">
        <v>10</v>
      </c>
      <c r="B342" t="s">
        <v>397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K342" t="s">
        <v>10</v>
      </c>
      <c r="L342" t="s">
        <v>397</v>
      </c>
      <c r="M342" s="1" t="e">
        <f>Tabla32[[#This Row],[BN CARTA]]-#REF!</f>
        <v>#REF!</v>
      </c>
      <c r="N342" s="1" t="e">
        <f>Tabla32[[#This Row],[BN OFICIO]]-#REF!</f>
        <v>#REF!</v>
      </c>
      <c r="O342" s="1" t="e">
        <f>Tabla32[[#This Row],[BN DC]]-#REF!</f>
        <v>#REF!</v>
      </c>
      <c r="P342" s="1" t="e">
        <f>Tabla32[[#This Row],[COLOR CARTA]]-#REF!</f>
        <v>#REF!</v>
      </c>
      <c r="Q342" s="1" t="e">
        <f>Tabla32[[#This Row],[COLOR OFICIO]]-#REF!</f>
        <v>#REF!</v>
      </c>
      <c r="R342" s="1" t="e">
        <f>Tabla32[[#This Row],[ENVIAR]]-#REF!</f>
        <v>#REF!</v>
      </c>
      <c r="S342" s="1" t="e">
        <f>Tabla32[[#This Row],[COPIAR]]-#REF!</f>
        <v>#REF!</v>
      </c>
    </row>
    <row r="343" spans="1:19" x14ac:dyDescent="0.25">
      <c r="A343" t="s">
        <v>10</v>
      </c>
      <c r="B343" t="s">
        <v>398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K343" t="s">
        <v>10</v>
      </c>
      <c r="L343" t="s">
        <v>398</v>
      </c>
      <c r="M343" s="1" t="e">
        <f>Tabla32[[#This Row],[BN CARTA]]-#REF!</f>
        <v>#REF!</v>
      </c>
      <c r="N343" s="1" t="e">
        <f>Tabla32[[#This Row],[BN OFICIO]]-#REF!</f>
        <v>#REF!</v>
      </c>
      <c r="O343" s="1" t="e">
        <f>Tabla32[[#This Row],[BN DC]]-#REF!</f>
        <v>#REF!</v>
      </c>
      <c r="P343" s="1" t="e">
        <f>Tabla32[[#This Row],[COLOR CARTA]]-#REF!</f>
        <v>#REF!</v>
      </c>
      <c r="Q343" s="1" t="e">
        <f>Tabla32[[#This Row],[COLOR OFICIO]]-#REF!</f>
        <v>#REF!</v>
      </c>
      <c r="R343" s="1" t="e">
        <f>Tabla32[[#This Row],[ENVIAR]]-#REF!</f>
        <v>#REF!</v>
      </c>
      <c r="S343" s="1" t="e">
        <f>Tabla32[[#This Row],[COPIAR]]-#REF!</f>
        <v>#REF!</v>
      </c>
    </row>
    <row r="344" spans="1:19" x14ac:dyDescent="0.25">
      <c r="A344" t="s">
        <v>10</v>
      </c>
      <c r="B344" t="s">
        <v>399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K344" t="s">
        <v>10</v>
      </c>
      <c r="L344" t="s">
        <v>399</v>
      </c>
      <c r="M344" s="1" t="e">
        <f>Tabla32[[#This Row],[BN CARTA]]-#REF!</f>
        <v>#REF!</v>
      </c>
      <c r="N344" s="1" t="e">
        <f>Tabla32[[#This Row],[BN OFICIO]]-#REF!</f>
        <v>#REF!</v>
      </c>
      <c r="O344" s="1" t="e">
        <f>Tabla32[[#This Row],[BN DC]]-#REF!</f>
        <v>#REF!</v>
      </c>
      <c r="P344" s="1" t="e">
        <f>Tabla32[[#This Row],[COLOR CARTA]]-#REF!</f>
        <v>#REF!</v>
      </c>
      <c r="Q344" s="1" t="e">
        <f>Tabla32[[#This Row],[COLOR OFICIO]]-#REF!</f>
        <v>#REF!</v>
      </c>
      <c r="R344" s="1" t="e">
        <f>Tabla32[[#This Row],[ENVIAR]]-#REF!</f>
        <v>#REF!</v>
      </c>
      <c r="S344" s="1" t="e">
        <f>Tabla32[[#This Row],[COPIAR]]-#REF!</f>
        <v>#REF!</v>
      </c>
    </row>
    <row r="345" spans="1:19" x14ac:dyDescent="0.25">
      <c r="A345" t="s">
        <v>10</v>
      </c>
      <c r="B345" t="s">
        <v>400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K345" t="s">
        <v>10</v>
      </c>
      <c r="L345" t="s">
        <v>400</v>
      </c>
      <c r="M345" s="1" t="e">
        <f>Tabla32[[#This Row],[BN CARTA]]-#REF!</f>
        <v>#REF!</v>
      </c>
      <c r="N345" s="1" t="e">
        <f>Tabla32[[#This Row],[BN OFICIO]]-#REF!</f>
        <v>#REF!</v>
      </c>
      <c r="O345" s="1" t="e">
        <f>Tabla32[[#This Row],[BN DC]]-#REF!</f>
        <v>#REF!</v>
      </c>
      <c r="P345" s="1" t="e">
        <f>Tabla32[[#This Row],[COLOR CARTA]]-#REF!</f>
        <v>#REF!</v>
      </c>
      <c r="Q345" s="1" t="e">
        <f>Tabla32[[#This Row],[COLOR OFICIO]]-#REF!</f>
        <v>#REF!</v>
      </c>
      <c r="R345" s="1" t="e">
        <f>Tabla32[[#This Row],[ENVIAR]]-#REF!</f>
        <v>#REF!</v>
      </c>
      <c r="S345" s="1" t="e">
        <f>Tabla32[[#This Row],[COPIAR]]-#REF!</f>
        <v>#REF!</v>
      </c>
    </row>
    <row r="346" spans="1:19" x14ac:dyDescent="0.25">
      <c r="A346" t="s">
        <v>10</v>
      </c>
      <c r="B346" t="s">
        <v>401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K346" t="s">
        <v>10</v>
      </c>
      <c r="L346" t="s">
        <v>401</v>
      </c>
      <c r="M346" s="1" t="e">
        <f>Tabla32[[#This Row],[BN CARTA]]-#REF!</f>
        <v>#REF!</v>
      </c>
      <c r="N346" s="1" t="e">
        <f>Tabla32[[#This Row],[BN OFICIO]]-#REF!</f>
        <v>#REF!</v>
      </c>
      <c r="O346" s="1" t="e">
        <f>Tabla32[[#This Row],[BN DC]]-#REF!</f>
        <v>#REF!</v>
      </c>
      <c r="P346" s="1" t="e">
        <f>Tabla32[[#This Row],[COLOR CARTA]]-#REF!</f>
        <v>#REF!</v>
      </c>
      <c r="Q346" s="1" t="e">
        <f>Tabla32[[#This Row],[COLOR OFICIO]]-#REF!</f>
        <v>#REF!</v>
      </c>
      <c r="R346" s="1" t="e">
        <f>Tabla32[[#This Row],[ENVIAR]]-#REF!</f>
        <v>#REF!</v>
      </c>
      <c r="S346" s="1" t="e">
        <f>Tabla32[[#This Row],[COPIAR]]-#REF!</f>
        <v>#REF!</v>
      </c>
    </row>
    <row r="347" spans="1:19" x14ac:dyDescent="0.25">
      <c r="A347" t="s">
        <v>10</v>
      </c>
      <c r="B347" t="s">
        <v>402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K347" t="s">
        <v>10</v>
      </c>
      <c r="L347" t="s">
        <v>402</v>
      </c>
      <c r="M347" s="1" t="e">
        <f>Tabla32[[#This Row],[BN CARTA]]-#REF!</f>
        <v>#REF!</v>
      </c>
      <c r="N347" s="1" t="e">
        <f>Tabla32[[#This Row],[BN OFICIO]]-#REF!</f>
        <v>#REF!</v>
      </c>
      <c r="O347" s="1" t="e">
        <f>Tabla32[[#This Row],[BN DC]]-#REF!</f>
        <v>#REF!</v>
      </c>
      <c r="P347" s="1" t="e">
        <f>Tabla32[[#This Row],[COLOR CARTA]]-#REF!</f>
        <v>#REF!</v>
      </c>
      <c r="Q347" s="1" t="e">
        <f>Tabla32[[#This Row],[COLOR OFICIO]]-#REF!</f>
        <v>#REF!</v>
      </c>
      <c r="R347" s="1" t="e">
        <f>Tabla32[[#This Row],[ENVIAR]]-#REF!</f>
        <v>#REF!</v>
      </c>
      <c r="S347" s="1" t="e">
        <f>Tabla32[[#This Row],[COPIAR]]-#REF!</f>
        <v>#REF!</v>
      </c>
    </row>
    <row r="348" spans="1:19" x14ac:dyDescent="0.25">
      <c r="A348" t="s">
        <v>10</v>
      </c>
      <c r="B348" t="s">
        <v>403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K348" t="s">
        <v>10</v>
      </c>
      <c r="L348" t="s">
        <v>403</v>
      </c>
      <c r="M348" s="1" t="e">
        <f>Tabla32[[#This Row],[BN CARTA]]-#REF!</f>
        <v>#REF!</v>
      </c>
      <c r="N348" s="1" t="e">
        <f>Tabla32[[#This Row],[BN OFICIO]]-#REF!</f>
        <v>#REF!</v>
      </c>
      <c r="O348" s="1" t="e">
        <f>Tabla32[[#This Row],[BN DC]]-#REF!</f>
        <v>#REF!</v>
      </c>
      <c r="P348" s="1" t="e">
        <f>Tabla32[[#This Row],[COLOR CARTA]]-#REF!</f>
        <v>#REF!</v>
      </c>
      <c r="Q348" s="1" t="e">
        <f>Tabla32[[#This Row],[COLOR OFICIO]]-#REF!</f>
        <v>#REF!</v>
      </c>
      <c r="R348" s="1" t="e">
        <f>Tabla32[[#This Row],[ENVIAR]]-#REF!</f>
        <v>#REF!</v>
      </c>
      <c r="S348" s="1" t="e">
        <f>Tabla32[[#This Row],[COPIAR]]-#REF!</f>
        <v>#REF!</v>
      </c>
    </row>
    <row r="349" spans="1:19" x14ac:dyDescent="0.25">
      <c r="A349" t="s">
        <v>10</v>
      </c>
      <c r="B349" t="s">
        <v>404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K349" t="s">
        <v>10</v>
      </c>
      <c r="L349" t="s">
        <v>404</v>
      </c>
      <c r="M349" s="1" t="e">
        <f>Tabla32[[#This Row],[BN CARTA]]-#REF!</f>
        <v>#REF!</v>
      </c>
      <c r="N349" s="1" t="e">
        <f>Tabla32[[#This Row],[BN OFICIO]]-#REF!</f>
        <v>#REF!</v>
      </c>
      <c r="O349" s="1" t="e">
        <f>Tabla32[[#This Row],[BN DC]]-#REF!</f>
        <v>#REF!</v>
      </c>
      <c r="P349" s="1" t="e">
        <f>Tabla32[[#This Row],[COLOR CARTA]]-#REF!</f>
        <v>#REF!</v>
      </c>
      <c r="Q349" s="1" t="e">
        <f>Tabla32[[#This Row],[COLOR OFICIO]]-#REF!</f>
        <v>#REF!</v>
      </c>
      <c r="R349" s="1" t="e">
        <f>Tabla32[[#This Row],[ENVIAR]]-#REF!</f>
        <v>#REF!</v>
      </c>
      <c r="S349" s="1" t="e">
        <f>Tabla32[[#This Row],[COPIAR]]-#REF!</f>
        <v>#REF!</v>
      </c>
    </row>
    <row r="350" spans="1:19" x14ac:dyDescent="0.25">
      <c r="A350" t="s">
        <v>10</v>
      </c>
      <c r="B350" t="s">
        <v>405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K350" t="s">
        <v>10</v>
      </c>
      <c r="L350" t="s">
        <v>405</v>
      </c>
      <c r="M350" s="1" t="e">
        <f>Tabla32[[#This Row],[BN CARTA]]-#REF!</f>
        <v>#REF!</v>
      </c>
      <c r="N350" s="1" t="e">
        <f>Tabla32[[#This Row],[BN OFICIO]]-#REF!</f>
        <v>#REF!</v>
      </c>
      <c r="O350" s="1" t="e">
        <f>Tabla32[[#This Row],[BN DC]]-#REF!</f>
        <v>#REF!</v>
      </c>
      <c r="P350" s="1" t="e">
        <f>Tabla32[[#This Row],[COLOR CARTA]]-#REF!</f>
        <v>#REF!</v>
      </c>
      <c r="Q350" s="1" t="e">
        <f>Tabla32[[#This Row],[COLOR OFICIO]]-#REF!</f>
        <v>#REF!</v>
      </c>
      <c r="R350" s="1" t="e">
        <f>Tabla32[[#This Row],[ENVIAR]]-#REF!</f>
        <v>#REF!</v>
      </c>
      <c r="S350" s="1" t="e">
        <f>Tabla32[[#This Row],[COPIAR]]-#REF!</f>
        <v>#REF!</v>
      </c>
    </row>
    <row r="351" spans="1:19" x14ac:dyDescent="0.25">
      <c r="A351" t="s">
        <v>10</v>
      </c>
      <c r="B351" t="s">
        <v>406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K351" t="s">
        <v>10</v>
      </c>
      <c r="L351" t="s">
        <v>406</v>
      </c>
      <c r="M351" s="1" t="e">
        <f>Tabla32[[#This Row],[BN CARTA]]-#REF!</f>
        <v>#REF!</v>
      </c>
      <c r="N351" s="1" t="e">
        <f>Tabla32[[#This Row],[BN OFICIO]]-#REF!</f>
        <v>#REF!</v>
      </c>
      <c r="O351" s="1" t="e">
        <f>Tabla32[[#This Row],[BN DC]]-#REF!</f>
        <v>#REF!</v>
      </c>
      <c r="P351" s="1" t="e">
        <f>Tabla32[[#This Row],[COLOR CARTA]]-#REF!</f>
        <v>#REF!</v>
      </c>
      <c r="Q351" s="1" t="e">
        <f>Tabla32[[#This Row],[COLOR OFICIO]]-#REF!</f>
        <v>#REF!</v>
      </c>
      <c r="R351" s="1" t="e">
        <f>Tabla32[[#This Row],[ENVIAR]]-#REF!</f>
        <v>#REF!</v>
      </c>
      <c r="S351" s="1" t="e">
        <f>Tabla32[[#This Row],[COPIAR]]-#REF!</f>
        <v>#REF!</v>
      </c>
    </row>
    <row r="352" spans="1:19" x14ac:dyDescent="0.25">
      <c r="A352" t="s">
        <v>10</v>
      </c>
      <c r="B352" t="s">
        <v>407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K352" t="s">
        <v>10</v>
      </c>
      <c r="L352" t="s">
        <v>407</v>
      </c>
      <c r="M352" s="1" t="e">
        <f>Tabla32[[#This Row],[BN CARTA]]-#REF!</f>
        <v>#REF!</v>
      </c>
      <c r="N352" s="1" t="e">
        <f>Tabla32[[#This Row],[BN OFICIO]]-#REF!</f>
        <v>#REF!</v>
      </c>
      <c r="O352" s="1" t="e">
        <f>Tabla32[[#This Row],[BN DC]]-#REF!</f>
        <v>#REF!</v>
      </c>
      <c r="P352" s="1" t="e">
        <f>Tabla32[[#This Row],[COLOR CARTA]]-#REF!</f>
        <v>#REF!</v>
      </c>
      <c r="Q352" s="1" t="e">
        <f>Tabla32[[#This Row],[COLOR OFICIO]]-#REF!</f>
        <v>#REF!</v>
      </c>
      <c r="R352" s="1" t="e">
        <f>Tabla32[[#This Row],[ENVIAR]]-#REF!</f>
        <v>#REF!</v>
      </c>
      <c r="S352" s="1" t="e">
        <f>Tabla32[[#This Row],[COPIAR]]-#REF!</f>
        <v>#REF!</v>
      </c>
    </row>
    <row r="353" spans="1:19" x14ac:dyDescent="0.25">
      <c r="A353" t="s">
        <v>10</v>
      </c>
      <c r="B353" t="s">
        <v>408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K353" t="s">
        <v>10</v>
      </c>
      <c r="L353" t="s">
        <v>408</v>
      </c>
      <c r="M353" s="1" t="e">
        <f>Tabla32[[#This Row],[BN CARTA]]-#REF!</f>
        <v>#REF!</v>
      </c>
      <c r="N353" s="1" t="e">
        <f>Tabla32[[#This Row],[BN OFICIO]]-#REF!</f>
        <v>#REF!</v>
      </c>
      <c r="O353" s="1" t="e">
        <f>Tabla32[[#This Row],[BN DC]]-#REF!</f>
        <v>#REF!</v>
      </c>
      <c r="P353" s="1" t="e">
        <f>Tabla32[[#This Row],[COLOR CARTA]]-#REF!</f>
        <v>#REF!</v>
      </c>
      <c r="Q353" s="1" t="e">
        <f>Tabla32[[#This Row],[COLOR OFICIO]]-#REF!</f>
        <v>#REF!</v>
      </c>
      <c r="R353" s="1" t="e">
        <f>Tabla32[[#This Row],[ENVIAR]]-#REF!</f>
        <v>#REF!</v>
      </c>
      <c r="S353" s="1" t="e">
        <f>Tabla32[[#This Row],[COPIAR]]-#REF!</f>
        <v>#REF!</v>
      </c>
    </row>
    <row r="354" spans="1:19" x14ac:dyDescent="0.25">
      <c r="A354" t="s">
        <v>10</v>
      </c>
      <c r="B354" t="s">
        <v>409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K354" t="s">
        <v>10</v>
      </c>
      <c r="L354" t="s">
        <v>409</v>
      </c>
      <c r="M354" s="1" t="e">
        <f>Tabla32[[#This Row],[BN CARTA]]-#REF!</f>
        <v>#REF!</v>
      </c>
      <c r="N354" s="1" t="e">
        <f>Tabla32[[#This Row],[BN OFICIO]]-#REF!</f>
        <v>#REF!</v>
      </c>
      <c r="O354" s="1" t="e">
        <f>Tabla32[[#This Row],[BN DC]]-#REF!</f>
        <v>#REF!</v>
      </c>
      <c r="P354" s="1" t="e">
        <f>Tabla32[[#This Row],[COLOR CARTA]]-#REF!</f>
        <v>#REF!</v>
      </c>
      <c r="Q354" s="1" t="e">
        <f>Tabla32[[#This Row],[COLOR OFICIO]]-#REF!</f>
        <v>#REF!</v>
      </c>
      <c r="R354" s="1" t="e">
        <f>Tabla32[[#This Row],[ENVIAR]]-#REF!</f>
        <v>#REF!</v>
      </c>
      <c r="S354" s="1" t="e">
        <f>Tabla32[[#This Row],[COPIAR]]-#REF!</f>
        <v>#REF!</v>
      </c>
    </row>
    <row r="355" spans="1:19" x14ac:dyDescent="0.25">
      <c r="A355" t="s">
        <v>83</v>
      </c>
      <c r="B355" t="s">
        <v>410</v>
      </c>
      <c r="C355">
        <v>110</v>
      </c>
      <c r="D355">
        <v>0</v>
      </c>
      <c r="E355">
        <v>0</v>
      </c>
      <c r="F355">
        <v>0</v>
      </c>
      <c r="G355">
        <v>0</v>
      </c>
      <c r="H355">
        <v>1149</v>
      </c>
      <c r="I355">
        <v>20</v>
      </c>
      <c r="K355" t="s">
        <v>83</v>
      </c>
      <c r="L355" t="s">
        <v>410</v>
      </c>
      <c r="M355" s="1" t="e">
        <f>Tabla32[[#This Row],[BN CARTA]]-#REF!</f>
        <v>#REF!</v>
      </c>
      <c r="N355" s="1" t="e">
        <f>Tabla32[[#This Row],[BN OFICIO]]-#REF!</f>
        <v>#REF!</v>
      </c>
      <c r="O355" s="1" t="e">
        <f>Tabla32[[#This Row],[BN DC]]-#REF!</f>
        <v>#REF!</v>
      </c>
      <c r="P355" s="1" t="e">
        <f>Tabla32[[#This Row],[COLOR CARTA]]-#REF!</f>
        <v>#REF!</v>
      </c>
      <c r="Q355" s="1" t="e">
        <f>Tabla32[[#This Row],[COLOR OFICIO]]-#REF!</f>
        <v>#REF!</v>
      </c>
      <c r="R355" s="1" t="e">
        <f>Tabla32[[#This Row],[ENVIAR]]-#REF!</f>
        <v>#REF!</v>
      </c>
      <c r="S355" s="1" t="e">
        <f>Tabla32[[#This Row],[COPIAR]]-#REF!</f>
        <v>#REF!</v>
      </c>
    </row>
    <row r="356" spans="1:19" x14ac:dyDescent="0.25">
      <c r="A356" t="s">
        <v>120</v>
      </c>
      <c r="B356" t="s">
        <v>411</v>
      </c>
      <c r="C356">
        <v>585</v>
      </c>
      <c r="D356">
        <v>0</v>
      </c>
      <c r="E356">
        <v>0</v>
      </c>
      <c r="F356">
        <v>0</v>
      </c>
      <c r="G356">
        <v>0</v>
      </c>
      <c r="H356">
        <v>6</v>
      </c>
      <c r="I356">
        <v>12</v>
      </c>
      <c r="K356" t="s">
        <v>120</v>
      </c>
      <c r="L356" t="s">
        <v>411</v>
      </c>
      <c r="M356" s="1" t="e">
        <f>Tabla32[[#This Row],[BN CARTA]]-#REF!</f>
        <v>#REF!</v>
      </c>
      <c r="N356" s="1" t="e">
        <f>Tabla32[[#This Row],[BN OFICIO]]-#REF!</f>
        <v>#REF!</v>
      </c>
      <c r="O356" s="1" t="e">
        <f>Tabla32[[#This Row],[BN DC]]-#REF!</f>
        <v>#REF!</v>
      </c>
      <c r="P356" s="1" t="e">
        <f>Tabla32[[#This Row],[COLOR CARTA]]-#REF!</f>
        <v>#REF!</v>
      </c>
      <c r="Q356" s="1" t="e">
        <f>Tabla32[[#This Row],[COLOR OFICIO]]-#REF!</f>
        <v>#REF!</v>
      </c>
      <c r="R356" s="1" t="e">
        <f>Tabla32[[#This Row],[ENVIAR]]-#REF!</f>
        <v>#REF!</v>
      </c>
      <c r="S356" s="1" t="e">
        <f>Tabla32[[#This Row],[COPIAR]]-#REF!</f>
        <v>#REF!</v>
      </c>
    </row>
    <row r="357" spans="1:19" x14ac:dyDescent="0.25">
      <c r="A357" t="s">
        <v>134</v>
      </c>
      <c r="B357" t="s">
        <v>412</v>
      </c>
      <c r="C357">
        <v>213</v>
      </c>
      <c r="D357">
        <v>0</v>
      </c>
      <c r="E357">
        <v>0</v>
      </c>
      <c r="F357">
        <v>0</v>
      </c>
      <c r="G357">
        <v>0</v>
      </c>
      <c r="H357">
        <v>28</v>
      </c>
      <c r="I357">
        <v>35</v>
      </c>
      <c r="K357" t="s">
        <v>134</v>
      </c>
      <c r="L357" t="s">
        <v>412</v>
      </c>
      <c r="M357" s="1" t="e">
        <f>Tabla32[[#This Row],[BN CARTA]]-#REF!</f>
        <v>#REF!</v>
      </c>
      <c r="N357" s="1" t="e">
        <f>Tabla32[[#This Row],[BN OFICIO]]-#REF!</f>
        <v>#REF!</v>
      </c>
      <c r="O357" s="1" t="e">
        <f>Tabla32[[#This Row],[BN DC]]-#REF!</f>
        <v>#REF!</v>
      </c>
      <c r="P357" s="1" t="e">
        <f>Tabla32[[#This Row],[COLOR CARTA]]-#REF!</f>
        <v>#REF!</v>
      </c>
      <c r="Q357" s="1" t="e">
        <f>Tabla32[[#This Row],[COLOR OFICIO]]-#REF!</f>
        <v>#REF!</v>
      </c>
      <c r="R357" s="1" t="e">
        <f>Tabla32[[#This Row],[ENVIAR]]-#REF!</f>
        <v>#REF!</v>
      </c>
      <c r="S357" s="1" t="e">
        <f>Tabla32[[#This Row],[COPIAR]]-#REF!</f>
        <v>#REF!</v>
      </c>
    </row>
    <row r="358" spans="1:19" x14ac:dyDescent="0.25">
      <c r="A358" t="s">
        <v>120</v>
      </c>
      <c r="B358" t="s">
        <v>413</v>
      </c>
      <c r="C358">
        <v>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K358" t="s">
        <v>120</v>
      </c>
      <c r="L358" t="s">
        <v>413</v>
      </c>
      <c r="M358" s="1" t="e">
        <f>Tabla32[[#This Row],[BN CARTA]]-#REF!</f>
        <v>#REF!</v>
      </c>
      <c r="N358" s="1" t="e">
        <f>Tabla32[[#This Row],[BN OFICIO]]-#REF!</f>
        <v>#REF!</v>
      </c>
      <c r="O358" s="1" t="e">
        <f>Tabla32[[#This Row],[BN DC]]-#REF!</f>
        <v>#REF!</v>
      </c>
      <c r="P358" s="1" t="e">
        <f>Tabla32[[#This Row],[COLOR CARTA]]-#REF!</f>
        <v>#REF!</v>
      </c>
      <c r="Q358" s="1" t="e">
        <f>Tabla32[[#This Row],[COLOR OFICIO]]-#REF!</f>
        <v>#REF!</v>
      </c>
      <c r="R358" s="1" t="e">
        <f>Tabla32[[#This Row],[ENVIAR]]-#REF!</f>
        <v>#REF!</v>
      </c>
      <c r="S358" s="1" t="e">
        <f>Tabla32[[#This Row],[COPIAR]]-#REF!</f>
        <v>#REF!</v>
      </c>
    </row>
    <row r="359" spans="1:19" x14ac:dyDescent="0.25">
      <c r="A359" t="s">
        <v>138</v>
      </c>
      <c r="B359" t="s">
        <v>414</v>
      </c>
      <c r="C359">
        <v>1026</v>
      </c>
      <c r="D359">
        <v>0</v>
      </c>
      <c r="E359">
        <v>0</v>
      </c>
      <c r="F359">
        <v>0</v>
      </c>
      <c r="G359">
        <v>0</v>
      </c>
      <c r="H359">
        <v>384</v>
      </c>
      <c r="I359">
        <v>21</v>
      </c>
      <c r="K359" t="s">
        <v>138</v>
      </c>
      <c r="L359" t="s">
        <v>414</v>
      </c>
      <c r="M359" s="1" t="e">
        <f>Tabla32[[#This Row],[BN CARTA]]-#REF!</f>
        <v>#REF!</v>
      </c>
      <c r="N359" s="1" t="e">
        <f>Tabla32[[#This Row],[BN OFICIO]]-#REF!</f>
        <v>#REF!</v>
      </c>
      <c r="O359" s="1" t="e">
        <f>Tabla32[[#This Row],[BN DC]]-#REF!</f>
        <v>#REF!</v>
      </c>
      <c r="P359" s="1" t="e">
        <f>Tabla32[[#This Row],[COLOR CARTA]]-#REF!</f>
        <v>#REF!</v>
      </c>
      <c r="Q359" s="1" t="e">
        <f>Tabla32[[#This Row],[COLOR OFICIO]]-#REF!</f>
        <v>#REF!</v>
      </c>
      <c r="R359" s="1" t="e">
        <f>Tabla32[[#This Row],[ENVIAR]]-#REF!</f>
        <v>#REF!</v>
      </c>
      <c r="S359" s="1" t="e">
        <f>Tabla32[[#This Row],[COPIAR]]-#REF!</f>
        <v>#REF!</v>
      </c>
    </row>
    <row r="360" spans="1:19" x14ac:dyDescent="0.25">
      <c r="A360" t="s">
        <v>10</v>
      </c>
      <c r="B360" t="s">
        <v>415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K360" t="s">
        <v>10</v>
      </c>
      <c r="L360" t="s">
        <v>415</v>
      </c>
      <c r="M360" s="1" t="e">
        <f>Tabla32[[#This Row],[BN CARTA]]-#REF!</f>
        <v>#REF!</v>
      </c>
      <c r="N360" s="1" t="e">
        <f>Tabla32[[#This Row],[BN OFICIO]]-#REF!</f>
        <v>#REF!</v>
      </c>
      <c r="O360" s="1" t="e">
        <f>Tabla32[[#This Row],[BN DC]]-#REF!</f>
        <v>#REF!</v>
      </c>
      <c r="P360" s="1" t="e">
        <f>Tabla32[[#This Row],[COLOR CARTA]]-#REF!</f>
        <v>#REF!</v>
      </c>
      <c r="Q360" s="1" t="e">
        <f>Tabla32[[#This Row],[COLOR OFICIO]]-#REF!</f>
        <v>#REF!</v>
      </c>
      <c r="R360" s="1" t="e">
        <f>Tabla32[[#This Row],[ENVIAR]]-#REF!</f>
        <v>#REF!</v>
      </c>
      <c r="S360" s="1" t="e">
        <f>Tabla32[[#This Row],[COPIAR]]-#REF!</f>
        <v>#REF!</v>
      </c>
    </row>
    <row r="361" spans="1:19" x14ac:dyDescent="0.25">
      <c r="A361" t="s">
        <v>226</v>
      </c>
      <c r="B361" t="s">
        <v>416</v>
      </c>
      <c r="C361">
        <v>464</v>
      </c>
      <c r="D361">
        <v>1</v>
      </c>
      <c r="E361">
        <v>0</v>
      </c>
      <c r="F361">
        <v>0</v>
      </c>
      <c r="G361">
        <v>0</v>
      </c>
      <c r="H361">
        <v>1075</v>
      </c>
      <c r="I361">
        <v>13</v>
      </c>
      <c r="K361" t="s">
        <v>226</v>
      </c>
      <c r="L361" t="s">
        <v>416</v>
      </c>
      <c r="M361" s="1" t="e">
        <f>Tabla32[[#This Row],[BN CARTA]]-#REF!</f>
        <v>#REF!</v>
      </c>
      <c r="N361" s="1" t="e">
        <f>Tabla32[[#This Row],[BN OFICIO]]-#REF!</f>
        <v>#REF!</v>
      </c>
      <c r="O361" s="1" t="e">
        <f>Tabla32[[#This Row],[BN DC]]-#REF!</f>
        <v>#REF!</v>
      </c>
      <c r="P361" s="1" t="e">
        <f>Tabla32[[#This Row],[COLOR CARTA]]-#REF!</f>
        <v>#REF!</v>
      </c>
      <c r="Q361" s="1" t="e">
        <f>Tabla32[[#This Row],[COLOR OFICIO]]-#REF!</f>
        <v>#REF!</v>
      </c>
      <c r="R361" s="1" t="e">
        <f>Tabla32[[#This Row],[ENVIAR]]-#REF!</f>
        <v>#REF!</v>
      </c>
      <c r="S361" s="1" t="e">
        <f>Tabla32[[#This Row],[COPIAR]]-#REF!</f>
        <v>#REF!</v>
      </c>
    </row>
    <row r="362" spans="1:19" x14ac:dyDescent="0.25">
      <c r="A362" t="s">
        <v>138</v>
      </c>
      <c r="B362" t="s">
        <v>417</v>
      </c>
      <c r="C362">
        <v>3126</v>
      </c>
      <c r="D362">
        <v>0</v>
      </c>
      <c r="E362">
        <v>0</v>
      </c>
      <c r="F362">
        <v>0</v>
      </c>
      <c r="G362">
        <v>0</v>
      </c>
      <c r="H362">
        <v>2558</v>
      </c>
      <c r="I362">
        <v>752</v>
      </c>
      <c r="K362" t="s">
        <v>138</v>
      </c>
      <c r="L362" t="s">
        <v>417</v>
      </c>
      <c r="M362" s="1" t="e">
        <f>Tabla32[[#This Row],[BN CARTA]]-#REF!</f>
        <v>#REF!</v>
      </c>
      <c r="N362" s="1" t="e">
        <f>Tabla32[[#This Row],[BN OFICIO]]-#REF!</f>
        <v>#REF!</v>
      </c>
      <c r="O362" s="1" t="e">
        <f>Tabla32[[#This Row],[BN DC]]-#REF!</f>
        <v>#REF!</v>
      </c>
      <c r="P362" s="1" t="e">
        <f>Tabla32[[#This Row],[COLOR CARTA]]-#REF!</f>
        <v>#REF!</v>
      </c>
      <c r="Q362" s="1" t="e">
        <f>Tabla32[[#This Row],[COLOR OFICIO]]-#REF!</f>
        <v>#REF!</v>
      </c>
      <c r="R362" s="1" t="e">
        <f>Tabla32[[#This Row],[ENVIAR]]-#REF!</f>
        <v>#REF!</v>
      </c>
      <c r="S362" s="1" t="e">
        <f>Tabla32[[#This Row],[COPIAR]]-#REF!</f>
        <v>#REF!</v>
      </c>
    </row>
    <row r="363" spans="1:19" x14ac:dyDescent="0.25">
      <c r="A363" t="s">
        <v>138</v>
      </c>
      <c r="B363" t="s">
        <v>418</v>
      </c>
      <c r="C363">
        <v>254</v>
      </c>
      <c r="D363">
        <v>35</v>
      </c>
      <c r="E363">
        <v>0</v>
      </c>
      <c r="F363">
        <v>0</v>
      </c>
      <c r="G363">
        <v>0</v>
      </c>
      <c r="H363">
        <v>612</v>
      </c>
      <c r="I363">
        <v>23</v>
      </c>
      <c r="K363" t="s">
        <v>138</v>
      </c>
      <c r="L363" t="s">
        <v>418</v>
      </c>
      <c r="M363" s="1" t="e">
        <f>Tabla32[[#This Row],[BN CARTA]]-#REF!</f>
        <v>#REF!</v>
      </c>
      <c r="N363" s="1" t="e">
        <f>Tabla32[[#This Row],[BN OFICIO]]-#REF!</f>
        <v>#REF!</v>
      </c>
      <c r="O363" s="1" t="e">
        <f>Tabla32[[#This Row],[BN DC]]-#REF!</f>
        <v>#REF!</v>
      </c>
      <c r="P363" s="1" t="e">
        <f>Tabla32[[#This Row],[COLOR CARTA]]-#REF!</f>
        <v>#REF!</v>
      </c>
      <c r="Q363" s="1" t="e">
        <f>Tabla32[[#This Row],[COLOR OFICIO]]-#REF!</f>
        <v>#REF!</v>
      </c>
      <c r="R363" s="1" t="e">
        <f>Tabla32[[#This Row],[ENVIAR]]-#REF!</f>
        <v>#REF!</v>
      </c>
      <c r="S363" s="1" t="e">
        <f>Tabla32[[#This Row],[COPIAR]]-#REF!</f>
        <v>#REF!</v>
      </c>
    </row>
    <row r="364" spans="1:19" x14ac:dyDescent="0.25">
      <c r="A364" t="s">
        <v>10</v>
      </c>
      <c r="B364" t="s">
        <v>419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K364" t="s">
        <v>10</v>
      </c>
      <c r="L364" t="s">
        <v>419</v>
      </c>
      <c r="M364" s="1" t="e">
        <f>Tabla32[[#This Row],[BN CARTA]]-#REF!</f>
        <v>#REF!</v>
      </c>
      <c r="N364" s="1" t="e">
        <f>Tabla32[[#This Row],[BN OFICIO]]-#REF!</f>
        <v>#REF!</v>
      </c>
      <c r="O364" s="1" t="e">
        <f>Tabla32[[#This Row],[BN DC]]-#REF!</f>
        <v>#REF!</v>
      </c>
      <c r="P364" s="1" t="e">
        <f>Tabla32[[#This Row],[COLOR CARTA]]-#REF!</f>
        <v>#REF!</v>
      </c>
      <c r="Q364" s="1" t="e">
        <f>Tabla32[[#This Row],[COLOR OFICIO]]-#REF!</f>
        <v>#REF!</v>
      </c>
      <c r="R364" s="1" t="e">
        <f>Tabla32[[#This Row],[ENVIAR]]-#REF!</f>
        <v>#REF!</v>
      </c>
      <c r="S364" s="1" t="e">
        <f>Tabla32[[#This Row],[COPIAR]]-#REF!</f>
        <v>#REF!</v>
      </c>
    </row>
    <row r="365" spans="1:19" x14ac:dyDescent="0.25">
      <c r="A365" t="s">
        <v>150</v>
      </c>
      <c r="B365" t="s">
        <v>420</v>
      </c>
      <c r="C365">
        <v>101</v>
      </c>
      <c r="D365">
        <v>19</v>
      </c>
      <c r="E365">
        <v>0</v>
      </c>
      <c r="F365">
        <v>0</v>
      </c>
      <c r="G365">
        <v>0</v>
      </c>
      <c r="H365">
        <v>2</v>
      </c>
      <c r="I365">
        <v>56</v>
      </c>
      <c r="K365" t="s">
        <v>150</v>
      </c>
      <c r="L365" t="s">
        <v>420</v>
      </c>
      <c r="M365" s="1" t="e">
        <f>Tabla32[[#This Row],[BN CARTA]]-#REF!</f>
        <v>#REF!</v>
      </c>
      <c r="N365" s="1" t="e">
        <f>Tabla32[[#This Row],[BN OFICIO]]-#REF!</f>
        <v>#REF!</v>
      </c>
      <c r="O365" s="1" t="e">
        <f>Tabla32[[#This Row],[BN DC]]-#REF!</f>
        <v>#REF!</v>
      </c>
      <c r="P365" s="1" t="e">
        <f>Tabla32[[#This Row],[COLOR CARTA]]-#REF!</f>
        <v>#REF!</v>
      </c>
      <c r="Q365" s="1" t="e">
        <f>Tabla32[[#This Row],[COLOR OFICIO]]-#REF!</f>
        <v>#REF!</v>
      </c>
      <c r="R365" s="1" t="e">
        <f>Tabla32[[#This Row],[ENVIAR]]-#REF!</f>
        <v>#REF!</v>
      </c>
      <c r="S365" s="1" t="e">
        <f>Tabla32[[#This Row],[COPIAR]]-#REF!</f>
        <v>#REF!</v>
      </c>
    </row>
    <row r="366" spans="1:19" x14ac:dyDescent="0.25">
      <c r="A366" t="s">
        <v>69</v>
      </c>
      <c r="B366" t="s">
        <v>421</v>
      </c>
      <c r="C366">
        <v>1311</v>
      </c>
      <c r="D366">
        <v>0</v>
      </c>
      <c r="E366">
        <v>0</v>
      </c>
      <c r="F366">
        <v>0</v>
      </c>
      <c r="G366">
        <v>0</v>
      </c>
      <c r="H366">
        <v>387</v>
      </c>
      <c r="I366">
        <v>298</v>
      </c>
      <c r="K366" t="s">
        <v>69</v>
      </c>
      <c r="L366" t="s">
        <v>421</v>
      </c>
      <c r="M366" s="1" t="e">
        <f>Tabla32[[#This Row],[BN CARTA]]-#REF!</f>
        <v>#REF!</v>
      </c>
      <c r="N366" s="1" t="e">
        <f>Tabla32[[#This Row],[BN OFICIO]]-#REF!</f>
        <v>#REF!</v>
      </c>
      <c r="O366" s="1" t="e">
        <f>Tabla32[[#This Row],[BN DC]]-#REF!</f>
        <v>#REF!</v>
      </c>
      <c r="P366" s="1" t="e">
        <f>Tabla32[[#This Row],[COLOR CARTA]]-#REF!</f>
        <v>#REF!</v>
      </c>
      <c r="Q366" s="1" t="e">
        <f>Tabla32[[#This Row],[COLOR OFICIO]]-#REF!</f>
        <v>#REF!</v>
      </c>
      <c r="R366" s="1" t="e">
        <f>Tabla32[[#This Row],[ENVIAR]]-#REF!</f>
        <v>#REF!</v>
      </c>
      <c r="S366" s="1" t="e">
        <f>Tabla32[[#This Row],[COPIAR]]-#REF!</f>
        <v>#REF!</v>
      </c>
    </row>
    <row r="367" spans="1:19" x14ac:dyDescent="0.25">
      <c r="A367" t="s">
        <v>10</v>
      </c>
      <c r="B367" t="s">
        <v>422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K367" t="s">
        <v>10</v>
      </c>
      <c r="L367" t="s">
        <v>422</v>
      </c>
      <c r="M367" s="1" t="e">
        <f>Tabla32[[#This Row],[BN CARTA]]-#REF!</f>
        <v>#REF!</v>
      </c>
      <c r="N367" s="1" t="e">
        <f>Tabla32[[#This Row],[BN OFICIO]]-#REF!</f>
        <v>#REF!</v>
      </c>
      <c r="O367" s="1" t="e">
        <f>Tabla32[[#This Row],[BN DC]]-#REF!</f>
        <v>#REF!</v>
      </c>
      <c r="P367" s="1" t="e">
        <f>Tabla32[[#This Row],[COLOR CARTA]]-#REF!</f>
        <v>#REF!</v>
      </c>
      <c r="Q367" s="1" t="e">
        <f>Tabla32[[#This Row],[COLOR OFICIO]]-#REF!</f>
        <v>#REF!</v>
      </c>
      <c r="R367" s="1" t="e">
        <f>Tabla32[[#This Row],[ENVIAR]]-#REF!</f>
        <v>#REF!</v>
      </c>
      <c r="S367" s="1" t="e">
        <f>Tabla32[[#This Row],[COPIAR]]-#REF!</f>
        <v>#REF!</v>
      </c>
    </row>
    <row r="368" spans="1:19" x14ac:dyDescent="0.25">
      <c r="A368" t="s">
        <v>146</v>
      </c>
      <c r="B368" t="s">
        <v>423</v>
      </c>
      <c r="C368">
        <v>72</v>
      </c>
      <c r="D368">
        <v>0</v>
      </c>
      <c r="E368">
        <v>0</v>
      </c>
      <c r="F368">
        <v>0</v>
      </c>
      <c r="G368">
        <v>0</v>
      </c>
      <c r="H368">
        <v>69</v>
      </c>
      <c r="I368">
        <v>64</v>
      </c>
      <c r="K368" t="s">
        <v>146</v>
      </c>
      <c r="L368" t="s">
        <v>423</v>
      </c>
      <c r="M368" s="1" t="e">
        <f>Tabla32[[#This Row],[BN CARTA]]-#REF!</f>
        <v>#REF!</v>
      </c>
      <c r="N368" s="1" t="e">
        <f>Tabla32[[#This Row],[BN OFICIO]]-#REF!</f>
        <v>#REF!</v>
      </c>
      <c r="O368" s="1" t="e">
        <f>Tabla32[[#This Row],[BN DC]]-#REF!</f>
        <v>#REF!</v>
      </c>
      <c r="P368" s="1" t="e">
        <f>Tabla32[[#This Row],[COLOR CARTA]]-#REF!</f>
        <v>#REF!</v>
      </c>
      <c r="Q368" s="1" t="e">
        <f>Tabla32[[#This Row],[COLOR OFICIO]]-#REF!</f>
        <v>#REF!</v>
      </c>
      <c r="R368" s="1" t="e">
        <f>Tabla32[[#This Row],[ENVIAR]]-#REF!</f>
        <v>#REF!</v>
      </c>
      <c r="S368" s="1" t="e">
        <f>Tabla32[[#This Row],[COPIAR]]-#REF!</f>
        <v>#REF!</v>
      </c>
    </row>
    <row r="369" spans="1:19" x14ac:dyDescent="0.25">
      <c r="A369" t="s">
        <v>76</v>
      </c>
      <c r="B369" t="s">
        <v>424</v>
      </c>
      <c r="C369">
        <v>2110</v>
      </c>
      <c r="D369">
        <v>0</v>
      </c>
      <c r="E369">
        <v>0</v>
      </c>
      <c r="F369">
        <v>0</v>
      </c>
      <c r="G369">
        <v>0</v>
      </c>
      <c r="H369">
        <v>514</v>
      </c>
      <c r="I369">
        <v>149</v>
      </c>
      <c r="K369" t="s">
        <v>76</v>
      </c>
      <c r="L369" t="s">
        <v>424</v>
      </c>
      <c r="M369" s="1" t="e">
        <f>Tabla32[[#This Row],[BN CARTA]]-#REF!</f>
        <v>#REF!</v>
      </c>
      <c r="N369" s="1" t="e">
        <f>Tabla32[[#This Row],[BN OFICIO]]-#REF!</f>
        <v>#REF!</v>
      </c>
      <c r="O369" s="1" t="e">
        <f>Tabla32[[#This Row],[BN DC]]-#REF!</f>
        <v>#REF!</v>
      </c>
      <c r="P369" s="1" t="e">
        <f>Tabla32[[#This Row],[COLOR CARTA]]-#REF!</f>
        <v>#REF!</v>
      </c>
      <c r="Q369" s="1" t="e">
        <f>Tabla32[[#This Row],[COLOR OFICIO]]-#REF!</f>
        <v>#REF!</v>
      </c>
      <c r="R369" s="1" t="e">
        <f>Tabla32[[#This Row],[ENVIAR]]-#REF!</f>
        <v>#REF!</v>
      </c>
      <c r="S369" s="1" t="e">
        <f>Tabla32[[#This Row],[COPIAR]]-#REF!</f>
        <v>#REF!</v>
      </c>
    </row>
    <row r="370" spans="1:19" x14ac:dyDescent="0.25">
      <c r="A370" t="s">
        <v>10</v>
      </c>
      <c r="B370" t="s">
        <v>425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K370" t="s">
        <v>10</v>
      </c>
      <c r="L370" t="s">
        <v>425</v>
      </c>
      <c r="M370" s="1" t="e">
        <f>Tabla32[[#This Row],[BN CARTA]]-#REF!</f>
        <v>#REF!</v>
      </c>
      <c r="N370" s="1" t="e">
        <f>Tabla32[[#This Row],[BN OFICIO]]-#REF!</f>
        <v>#REF!</v>
      </c>
      <c r="O370" s="1" t="e">
        <f>Tabla32[[#This Row],[BN DC]]-#REF!</f>
        <v>#REF!</v>
      </c>
      <c r="P370" s="1" t="e">
        <f>Tabla32[[#This Row],[COLOR CARTA]]-#REF!</f>
        <v>#REF!</v>
      </c>
      <c r="Q370" s="1" t="e">
        <f>Tabla32[[#This Row],[COLOR OFICIO]]-#REF!</f>
        <v>#REF!</v>
      </c>
      <c r="R370" s="1" t="e">
        <f>Tabla32[[#This Row],[ENVIAR]]-#REF!</f>
        <v>#REF!</v>
      </c>
      <c r="S370" s="1" t="e">
        <f>Tabla32[[#This Row],[COPIAR]]-#REF!</f>
        <v>#REF!</v>
      </c>
    </row>
    <row r="371" spans="1:19" x14ac:dyDescent="0.25">
      <c r="A371" t="s">
        <v>10</v>
      </c>
      <c r="B371" t="s">
        <v>426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K371" t="s">
        <v>10</v>
      </c>
      <c r="L371" t="s">
        <v>426</v>
      </c>
      <c r="M371" s="1" t="e">
        <f>Tabla32[[#This Row],[BN CARTA]]-#REF!</f>
        <v>#REF!</v>
      </c>
      <c r="N371" s="1" t="e">
        <f>Tabla32[[#This Row],[BN OFICIO]]-#REF!</f>
        <v>#REF!</v>
      </c>
      <c r="O371" s="1" t="e">
        <f>Tabla32[[#This Row],[BN DC]]-#REF!</f>
        <v>#REF!</v>
      </c>
      <c r="P371" s="1" t="e">
        <f>Tabla32[[#This Row],[COLOR CARTA]]-#REF!</f>
        <v>#REF!</v>
      </c>
      <c r="Q371" s="1" t="e">
        <f>Tabla32[[#This Row],[COLOR OFICIO]]-#REF!</f>
        <v>#REF!</v>
      </c>
      <c r="R371" s="1" t="e">
        <f>Tabla32[[#This Row],[ENVIAR]]-#REF!</f>
        <v>#REF!</v>
      </c>
      <c r="S371" s="1" t="e">
        <f>Tabla32[[#This Row],[COPIAR]]-#REF!</f>
        <v>#REF!</v>
      </c>
    </row>
    <row r="372" spans="1:19" x14ac:dyDescent="0.25">
      <c r="A372" t="s">
        <v>10</v>
      </c>
      <c r="B372" t="s">
        <v>427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K372" t="s">
        <v>10</v>
      </c>
      <c r="L372" t="s">
        <v>427</v>
      </c>
      <c r="M372" s="1" t="e">
        <f>Tabla32[[#This Row],[BN CARTA]]-#REF!</f>
        <v>#REF!</v>
      </c>
      <c r="N372" s="1" t="e">
        <f>Tabla32[[#This Row],[BN OFICIO]]-#REF!</f>
        <v>#REF!</v>
      </c>
      <c r="O372" s="1" t="e">
        <f>Tabla32[[#This Row],[BN DC]]-#REF!</f>
        <v>#REF!</v>
      </c>
      <c r="P372" s="1" t="e">
        <f>Tabla32[[#This Row],[COLOR CARTA]]-#REF!</f>
        <v>#REF!</v>
      </c>
      <c r="Q372" s="1" t="e">
        <f>Tabla32[[#This Row],[COLOR OFICIO]]-#REF!</f>
        <v>#REF!</v>
      </c>
      <c r="R372" s="1" t="e">
        <f>Tabla32[[#This Row],[ENVIAR]]-#REF!</f>
        <v>#REF!</v>
      </c>
      <c r="S372" s="1" t="e">
        <f>Tabla32[[#This Row],[COPIAR]]-#REF!</f>
        <v>#REF!</v>
      </c>
    </row>
    <row r="373" spans="1:19" x14ac:dyDescent="0.25">
      <c r="A373" t="s">
        <v>10</v>
      </c>
      <c r="B373" t="s">
        <v>428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K373" t="s">
        <v>10</v>
      </c>
      <c r="L373" t="s">
        <v>428</v>
      </c>
      <c r="M373" s="1" t="e">
        <f>Tabla32[[#This Row],[BN CARTA]]-#REF!</f>
        <v>#REF!</v>
      </c>
      <c r="N373" s="1" t="e">
        <f>Tabla32[[#This Row],[BN OFICIO]]-#REF!</f>
        <v>#REF!</v>
      </c>
      <c r="O373" s="1" t="e">
        <f>Tabla32[[#This Row],[BN DC]]-#REF!</f>
        <v>#REF!</v>
      </c>
      <c r="P373" s="1" t="e">
        <f>Tabla32[[#This Row],[COLOR CARTA]]-#REF!</f>
        <v>#REF!</v>
      </c>
      <c r="Q373" s="1" t="e">
        <f>Tabla32[[#This Row],[COLOR OFICIO]]-#REF!</f>
        <v>#REF!</v>
      </c>
      <c r="R373" s="1" t="e">
        <f>Tabla32[[#This Row],[ENVIAR]]-#REF!</f>
        <v>#REF!</v>
      </c>
      <c r="S373" s="1" t="e">
        <f>Tabla32[[#This Row],[COPIAR]]-#REF!</f>
        <v>#REF!</v>
      </c>
    </row>
    <row r="374" spans="1:19" x14ac:dyDescent="0.25">
      <c r="A374" t="s">
        <v>10</v>
      </c>
      <c r="B374" t="s">
        <v>429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K374" t="s">
        <v>10</v>
      </c>
      <c r="L374" t="s">
        <v>429</v>
      </c>
      <c r="M374" s="1" t="e">
        <f>Tabla32[[#This Row],[BN CARTA]]-#REF!</f>
        <v>#REF!</v>
      </c>
      <c r="N374" s="1" t="e">
        <f>Tabla32[[#This Row],[BN OFICIO]]-#REF!</f>
        <v>#REF!</v>
      </c>
      <c r="O374" s="1" t="e">
        <f>Tabla32[[#This Row],[BN DC]]-#REF!</f>
        <v>#REF!</v>
      </c>
      <c r="P374" s="1" t="e">
        <f>Tabla32[[#This Row],[COLOR CARTA]]-#REF!</f>
        <v>#REF!</v>
      </c>
      <c r="Q374" s="1" t="e">
        <f>Tabla32[[#This Row],[COLOR OFICIO]]-#REF!</f>
        <v>#REF!</v>
      </c>
      <c r="R374" s="1" t="e">
        <f>Tabla32[[#This Row],[ENVIAR]]-#REF!</f>
        <v>#REF!</v>
      </c>
      <c r="S374" s="1" t="e">
        <f>Tabla32[[#This Row],[COPIAR]]-#REF!</f>
        <v>#REF!</v>
      </c>
    </row>
    <row r="375" spans="1:19" x14ac:dyDescent="0.25">
      <c r="A375" t="s">
        <v>10</v>
      </c>
      <c r="B375" t="s">
        <v>430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K375" t="s">
        <v>10</v>
      </c>
      <c r="L375" t="s">
        <v>430</v>
      </c>
      <c r="M375" s="1" t="e">
        <f>Tabla32[[#This Row],[BN CARTA]]-#REF!</f>
        <v>#REF!</v>
      </c>
      <c r="N375" s="1" t="e">
        <f>Tabla32[[#This Row],[BN OFICIO]]-#REF!</f>
        <v>#REF!</v>
      </c>
      <c r="O375" s="1" t="e">
        <f>Tabla32[[#This Row],[BN DC]]-#REF!</f>
        <v>#REF!</v>
      </c>
      <c r="P375" s="1" t="e">
        <f>Tabla32[[#This Row],[COLOR CARTA]]-#REF!</f>
        <v>#REF!</v>
      </c>
      <c r="Q375" s="1" t="e">
        <f>Tabla32[[#This Row],[COLOR OFICIO]]-#REF!</f>
        <v>#REF!</v>
      </c>
      <c r="R375" s="1" t="e">
        <f>Tabla32[[#This Row],[ENVIAR]]-#REF!</f>
        <v>#REF!</v>
      </c>
      <c r="S375" s="1" t="e">
        <f>Tabla32[[#This Row],[COPIAR]]-#REF!</f>
        <v>#REF!</v>
      </c>
    </row>
    <row r="376" spans="1:19" x14ac:dyDescent="0.25">
      <c r="A376" t="s">
        <v>10</v>
      </c>
      <c r="B376" t="s">
        <v>431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K376" t="s">
        <v>10</v>
      </c>
      <c r="L376" t="s">
        <v>431</v>
      </c>
      <c r="M376" s="1" t="e">
        <f>Tabla32[[#This Row],[BN CARTA]]-#REF!</f>
        <v>#REF!</v>
      </c>
      <c r="N376" s="1" t="e">
        <f>Tabla32[[#This Row],[BN OFICIO]]-#REF!</f>
        <v>#REF!</v>
      </c>
      <c r="O376" s="1" t="e">
        <f>Tabla32[[#This Row],[BN DC]]-#REF!</f>
        <v>#REF!</v>
      </c>
      <c r="P376" s="1" t="e">
        <f>Tabla32[[#This Row],[COLOR CARTA]]-#REF!</f>
        <v>#REF!</v>
      </c>
      <c r="Q376" s="1" t="e">
        <f>Tabla32[[#This Row],[COLOR OFICIO]]-#REF!</f>
        <v>#REF!</v>
      </c>
      <c r="R376" s="1" t="e">
        <f>Tabla32[[#This Row],[ENVIAR]]-#REF!</f>
        <v>#REF!</v>
      </c>
      <c r="S376" s="1" t="e">
        <f>Tabla32[[#This Row],[COPIAR]]-#REF!</f>
        <v>#REF!</v>
      </c>
    </row>
    <row r="377" spans="1:19" x14ac:dyDescent="0.25">
      <c r="A377" t="s">
        <v>10</v>
      </c>
      <c r="B377" t="s">
        <v>432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K377" t="s">
        <v>10</v>
      </c>
      <c r="L377" t="s">
        <v>432</v>
      </c>
      <c r="M377" s="1" t="e">
        <f>Tabla32[[#This Row],[BN CARTA]]-#REF!</f>
        <v>#REF!</v>
      </c>
      <c r="N377" s="1" t="e">
        <f>Tabla32[[#This Row],[BN OFICIO]]-#REF!</f>
        <v>#REF!</v>
      </c>
      <c r="O377" s="1" t="e">
        <f>Tabla32[[#This Row],[BN DC]]-#REF!</f>
        <v>#REF!</v>
      </c>
      <c r="P377" s="1" t="e">
        <f>Tabla32[[#This Row],[COLOR CARTA]]-#REF!</f>
        <v>#REF!</v>
      </c>
      <c r="Q377" s="1" t="e">
        <f>Tabla32[[#This Row],[COLOR OFICIO]]-#REF!</f>
        <v>#REF!</v>
      </c>
      <c r="R377" s="1" t="e">
        <f>Tabla32[[#This Row],[ENVIAR]]-#REF!</f>
        <v>#REF!</v>
      </c>
      <c r="S377" s="1" t="e">
        <f>Tabla32[[#This Row],[COPIAR]]-#REF!</f>
        <v>#REF!</v>
      </c>
    </row>
    <row r="378" spans="1:19" x14ac:dyDescent="0.25">
      <c r="A378" t="s">
        <v>226</v>
      </c>
      <c r="B378" t="s">
        <v>433</v>
      </c>
      <c r="C378">
        <v>1136</v>
      </c>
      <c r="D378">
        <v>0</v>
      </c>
      <c r="E378">
        <v>0</v>
      </c>
      <c r="F378">
        <v>0</v>
      </c>
      <c r="G378">
        <v>0</v>
      </c>
      <c r="H378">
        <v>15</v>
      </c>
      <c r="I378">
        <v>217</v>
      </c>
      <c r="K378" t="s">
        <v>226</v>
      </c>
      <c r="L378" t="s">
        <v>433</v>
      </c>
      <c r="M378" s="1" t="e">
        <f>Tabla32[[#This Row],[BN CARTA]]-#REF!</f>
        <v>#REF!</v>
      </c>
      <c r="N378" s="1" t="e">
        <f>Tabla32[[#This Row],[BN OFICIO]]-#REF!</f>
        <v>#REF!</v>
      </c>
      <c r="O378" s="1" t="e">
        <f>Tabla32[[#This Row],[BN DC]]-#REF!</f>
        <v>#REF!</v>
      </c>
      <c r="P378" s="1" t="e">
        <f>Tabla32[[#This Row],[COLOR CARTA]]-#REF!</f>
        <v>#REF!</v>
      </c>
      <c r="Q378" s="1" t="e">
        <f>Tabla32[[#This Row],[COLOR OFICIO]]-#REF!</f>
        <v>#REF!</v>
      </c>
      <c r="R378" s="1" t="e">
        <f>Tabla32[[#This Row],[ENVIAR]]-#REF!</f>
        <v>#REF!</v>
      </c>
      <c r="S378" s="1" t="e">
        <f>Tabla32[[#This Row],[COPIAR]]-#REF!</f>
        <v>#REF!</v>
      </c>
    </row>
    <row r="379" spans="1:19" x14ac:dyDescent="0.25">
      <c r="A379" t="s">
        <v>131</v>
      </c>
      <c r="B379" t="s">
        <v>434</v>
      </c>
      <c r="C379">
        <v>73</v>
      </c>
      <c r="D379">
        <v>0</v>
      </c>
      <c r="E379">
        <v>0</v>
      </c>
      <c r="F379">
        <v>0</v>
      </c>
      <c r="G379">
        <v>0</v>
      </c>
      <c r="H379">
        <v>314</v>
      </c>
      <c r="I379">
        <v>32</v>
      </c>
      <c r="K379" t="s">
        <v>131</v>
      </c>
      <c r="L379" t="s">
        <v>434</v>
      </c>
      <c r="M379" s="1" t="e">
        <f>Tabla32[[#This Row],[BN CARTA]]-#REF!</f>
        <v>#REF!</v>
      </c>
      <c r="N379" s="1" t="e">
        <f>Tabla32[[#This Row],[BN OFICIO]]-#REF!</f>
        <v>#REF!</v>
      </c>
      <c r="O379" s="1" t="e">
        <f>Tabla32[[#This Row],[BN DC]]-#REF!</f>
        <v>#REF!</v>
      </c>
      <c r="P379" s="1" t="e">
        <f>Tabla32[[#This Row],[COLOR CARTA]]-#REF!</f>
        <v>#REF!</v>
      </c>
      <c r="Q379" s="1" t="e">
        <f>Tabla32[[#This Row],[COLOR OFICIO]]-#REF!</f>
        <v>#REF!</v>
      </c>
      <c r="R379" s="1" t="e">
        <f>Tabla32[[#This Row],[ENVIAR]]-#REF!</f>
        <v>#REF!</v>
      </c>
      <c r="S379" s="1" t="e">
        <f>Tabla32[[#This Row],[COPIAR]]-#REF!</f>
        <v>#REF!</v>
      </c>
    </row>
    <row r="380" spans="1:19" x14ac:dyDescent="0.25">
      <c r="A380" t="s">
        <v>10</v>
      </c>
      <c r="B380" t="s">
        <v>435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K380" t="s">
        <v>10</v>
      </c>
      <c r="L380" t="s">
        <v>435</v>
      </c>
      <c r="M380" s="1" t="e">
        <f>Tabla32[[#This Row],[BN CARTA]]-#REF!</f>
        <v>#REF!</v>
      </c>
      <c r="N380" s="1" t="e">
        <f>Tabla32[[#This Row],[BN OFICIO]]-#REF!</f>
        <v>#REF!</v>
      </c>
      <c r="O380" s="1" t="e">
        <f>Tabla32[[#This Row],[BN DC]]-#REF!</f>
        <v>#REF!</v>
      </c>
      <c r="P380" s="1" t="e">
        <f>Tabla32[[#This Row],[COLOR CARTA]]-#REF!</f>
        <v>#REF!</v>
      </c>
      <c r="Q380" s="1" t="e">
        <f>Tabla32[[#This Row],[COLOR OFICIO]]-#REF!</f>
        <v>#REF!</v>
      </c>
      <c r="R380" s="1" t="e">
        <f>Tabla32[[#This Row],[ENVIAR]]-#REF!</f>
        <v>#REF!</v>
      </c>
      <c r="S380" s="1" t="e">
        <f>Tabla32[[#This Row],[COPIAR]]-#REF!</f>
        <v>#REF!</v>
      </c>
    </row>
    <row r="381" spans="1:19" x14ac:dyDescent="0.25">
      <c r="A381" t="s">
        <v>138</v>
      </c>
      <c r="B381" t="s">
        <v>436</v>
      </c>
      <c r="C381">
        <v>1749</v>
      </c>
      <c r="D381">
        <v>42</v>
      </c>
      <c r="E381">
        <v>0</v>
      </c>
      <c r="F381">
        <v>0</v>
      </c>
      <c r="G381">
        <v>0</v>
      </c>
      <c r="H381">
        <v>3983</v>
      </c>
      <c r="I381">
        <v>142</v>
      </c>
      <c r="K381" t="s">
        <v>138</v>
      </c>
      <c r="L381" t="s">
        <v>436</v>
      </c>
      <c r="M381" s="1" t="e">
        <f>Tabla32[[#This Row],[BN CARTA]]-#REF!</f>
        <v>#REF!</v>
      </c>
      <c r="N381" s="1" t="e">
        <f>Tabla32[[#This Row],[BN OFICIO]]-#REF!</f>
        <v>#REF!</v>
      </c>
      <c r="O381" s="1" t="e">
        <f>Tabla32[[#This Row],[BN DC]]-#REF!</f>
        <v>#REF!</v>
      </c>
      <c r="P381" s="1" t="e">
        <f>Tabla32[[#This Row],[COLOR CARTA]]-#REF!</f>
        <v>#REF!</v>
      </c>
      <c r="Q381" s="1" t="e">
        <f>Tabla32[[#This Row],[COLOR OFICIO]]-#REF!</f>
        <v>#REF!</v>
      </c>
      <c r="R381" s="1" t="e">
        <f>Tabla32[[#This Row],[ENVIAR]]-#REF!</f>
        <v>#REF!</v>
      </c>
      <c r="S381" s="1" t="e">
        <f>Tabla32[[#This Row],[COPIAR]]-#REF!</f>
        <v>#REF!</v>
      </c>
    </row>
    <row r="382" spans="1:19" x14ac:dyDescent="0.25">
      <c r="A382" t="s">
        <v>229</v>
      </c>
      <c r="B382" t="s">
        <v>437</v>
      </c>
      <c r="C382">
        <v>492</v>
      </c>
      <c r="D382">
        <v>0</v>
      </c>
      <c r="E382">
        <v>0</v>
      </c>
      <c r="F382">
        <v>0</v>
      </c>
      <c r="G382">
        <v>0</v>
      </c>
      <c r="H382">
        <v>515</v>
      </c>
      <c r="I382">
        <v>108</v>
      </c>
      <c r="K382" t="s">
        <v>229</v>
      </c>
      <c r="L382" t="s">
        <v>437</v>
      </c>
      <c r="M382" s="1" t="e">
        <f>Tabla32[[#This Row],[BN CARTA]]-#REF!</f>
        <v>#REF!</v>
      </c>
      <c r="N382" s="1" t="e">
        <f>Tabla32[[#This Row],[BN OFICIO]]-#REF!</f>
        <v>#REF!</v>
      </c>
      <c r="O382" s="1" t="e">
        <f>Tabla32[[#This Row],[BN DC]]-#REF!</f>
        <v>#REF!</v>
      </c>
      <c r="P382" s="1" t="e">
        <f>Tabla32[[#This Row],[COLOR CARTA]]-#REF!</f>
        <v>#REF!</v>
      </c>
      <c r="Q382" s="1" t="e">
        <f>Tabla32[[#This Row],[COLOR OFICIO]]-#REF!</f>
        <v>#REF!</v>
      </c>
      <c r="R382" s="1" t="e">
        <f>Tabla32[[#This Row],[ENVIAR]]-#REF!</f>
        <v>#REF!</v>
      </c>
      <c r="S382" s="1" t="e">
        <f>Tabla32[[#This Row],[COPIAR]]-#REF!</f>
        <v>#REF!</v>
      </c>
    </row>
    <row r="383" spans="1:19" x14ac:dyDescent="0.25">
      <c r="A383" t="s">
        <v>10</v>
      </c>
      <c r="B383" t="s">
        <v>438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K383" t="s">
        <v>10</v>
      </c>
      <c r="L383" t="s">
        <v>438</v>
      </c>
      <c r="M383" s="1" t="e">
        <f>Tabla32[[#This Row],[BN CARTA]]-#REF!</f>
        <v>#REF!</v>
      </c>
      <c r="N383" s="1" t="e">
        <f>Tabla32[[#This Row],[BN OFICIO]]-#REF!</f>
        <v>#REF!</v>
      </c>
      <c r="O383" s="1" t="e">
        <f>Tabla32[[#This Row],[BN DC]]-#REF!</f>
        <v>#REF!</v>
      </c>
      <c r="P383" s="1" t="e">
        <f>Tabla32[[#This Row],[COLOR CARTA]]-#REF!</f>
        <v>#REF!</v>
      </c>
      <c r="Q383" s="1" t="e">
        <f>Tabla32[[#This Row],[COLOR OFICIO]]-#REF!</f>
        <v>#REF!</v>
      </c>
      <c r="R383" s="1" t="e">
        <f>Tabla32[[#This Row],[ENVIAR]]-#REF!</f>
        <v>#REF!</v>
      </c>
      <c r="S383" s="1" t="e">
        <f>Tabla32[[#This Row],[COPIAR]]-#REF!</f>
        <v>#REF!</v>
      </c>
    </row>
    <row r="384" spans="1:19" x14ac:dyDescent="0.25">
      <c r="A384" t="s">
        <v>10</v>
      </c>
      <c r="B384" t="s">
        <v>439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K384" t="s">
        <v>10</v>
      </c>
      <c r="L384" t="s">
        <v>439</v>
      </c>
      <c r="M384" s="1" t="e">
        <f>Tabla32[[#This Row],[BN CARTA]]-#REF!</f>
        <v>#REF!</v>
      </c>
      <c r="N384" s="1" t="e">
        <f>Tabla32[[#This Row],[BN OFICIO]]-#REF!</f>
        <v>#REF!</v>
      </c>
      <c r="O384" s="1" t="e">
        <f>Tabla32[[#This Row],[BN DC]]-#REF!</f>
        <v>#REF!</v>
      </c>
      <c r="P384" s="1" t="e">
        <f>Tabla32[[#This Row],[COLOR CARTA]]-#REF!</f>
        <v>#REF!</v>
      </c>
      <c r="Q384" s="1" t="e">
        <f>Tabla32[[#This Row],[COLOR OFICIO]]-#REF!</f>
        <v>#REF!</v>
      </c>
      <c r="R384" s="1" t="e">
        <f>Tabla32[[#This Row],[ENVIAR]]-#REF!</f>
        <v>#REF!</v>
      </c>
      <c r="S384" s="1" t="e">
        <f>Tabla32[[#This Row],[COPIAR]]-#REF!</f>
        <v>#REF!</v>
      </c>
    </row>
    <row r="385" spans="1:19" x14ac:dyDescent="0.25">
      <c r="A385" t="s">
        <v>83</v>
      </c>
      <c r="B385" t="s">
        <v>440</v>
      </c>
      <c r="C385">
        <v>192</v>
      </c>
      <c r="D385">
        <v>0</v>
      </c>
      <c r="E385">
        <v>0</v>
      </c>
      <c r="F385">
        <v>0</v>
      </c>
      <c r="G385">
        <v>0</v>
      </c>
      <c r="H385">
        <v>1300</v>
      </c>
      <c r="I385">
        <v>46</v>
      </c>
      <c r="K385" t="s">
        <v>83</v>
      </c>
      <c r="L385" t="s">
        <v>440</v>
      </c>
      <c r="M385" s="1" t="e">
        <f>Tabla32[[#This Row],[BN CARTA]]-#REF!</f>
        <v>#REF!</v>
      </c>
      <c r="N385" s="1" t="e">
        <f>Tabla32[[#This Row],[BN OFICIO]]-#REF!</f>
        <v>#REF!</v>
      </c>
      <c r="O385" s="1" t="e">
        <f>Tabla32[[#This Row],[BN DC]]-#REF!</f>
        <v>#REF!</v>
      </c>
      <c r="P385" s="1" t="e">
        <f>Tabla32[[#This Row],[COLOR CARTA]]-#REF!</f>
        <v>#REF!</v>
      </c>
      <c r="Q385" s="1" t="e">
        <f>Tabla32[[#This Row],[COLOR OFICIO]]-#REF!</f>
        <v>#REF!</v>
      </c>
      <c r="R385" s="1" t="e">
        <f>Tabla32[[#This Row],[ENVIAR]]-#REF!</f>
        <v>#REF!</v>
      </c>
      <c r="S385" s="1" t="e">
        <f>Tabla32[[#This Row],[COPIAR]]-#REF!</f>
        <v>#REF!</v>
      </c>
    </row>
    <row r="386" spans="1:19" x14ac:dyDescent="0.25">
      <c r="A386" t="s">
        <v>10</v>
      </c>
      <c r="B386" t="s">
        <v>441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K386" t="s">
        <v>10</v>
      </c>
      <c r="L386" t="s">
        <v>441</v>
      </c>
      <c r="M386" s="1" t="e">
        <f>Tabla32[[#This Row],[BN CARTA]]-#REF!</f>
        <v>#REF!</v>
      </c>
      <c r="N386" s="1" t="e">
        <f>Tabla32[[#This Row],[BN OFICIO]]-#REF!</f>
        <v>#REF!</v>
      </c>
      <c r="O386" s="1" t="e">
        <f>Tabla32[[#This Row],[BN DC]]-#REF!</f>
        <v>#REF!</v>
      </c>
      <c r="P386" s="1" t="e">
        <f>Tabla32[[#This Row],[COLOR CARTA]]-#REF!</f>
        <v>#REF!</v>
      </c>
      <c r="Q386" s="1" t="e">
        <f>Tabla32[[#This Row],[COLOR OFICIO]]-#REF!</f>
        <v>#REF!</v>
      </c>
      <c r="R386" s="1" t="e">
        <f>Tabla32[[#This Row],[ENVIAR]]-#REF!</f>
        <v>#REF!</v>
      </c>
      <c r="S386" s="1" t="e">
        <f>Tabla32[[#This Row],[COPIAR]]-#REF!</f>
        <v>#REF!</v>
      </c>
    </row>
    <row r="387" spans="1:19" x14ac:dyDescent="0.25">
      <c r="A387" t="s">
        <v>10</v>
      </c>
      <c r="B387" t="s">
        <v>442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K387" t="s">
        <v>10</v>
      </c>
      <c r="L387" t="s">
        <v>442</v>
      </c>
      <c r="M387" s="1" t="e">
        <f>Tabla32[[#This Row],[BN CARTA]]-#REF!</f>
        <v>#REF!</v>
      </c>
      <c r="N387" s="1" t="e">
        <f>Tabla32[[#This Row],[BN OFICIO]]-#REF!</f>
        <v>#REF!</v>
      </c>
      <c r="O387" s="1" t="e">
        <f>Tabla32[[#This Row],[BN DC]]-#REF!</f>
        <v>#REF!</v>
      </c>
      <c r="P387" s="1" t="e">
        <f>Tabla32[[#This Row],[COLOR CARTA]]-#REF!</f>
        <v>#REF!</v>
      </c>
      <c r="Q387" s="1" t="e">
        <f>Tabla32[[#This Row],[COLOR OFICIO]]-#REF!</f>
        <v>#REF!</v>
      </c>
      <c r="R387" s="1" t="e">
        <f>Tabla32[[#This Row],[ENVIAR]]-#REF!</f>
        <v>#REF!</v>
      </c>
      <c r="S387" s="1" t="e">
        <f>Tabla32[[#This Row],[COPIAR]]-#REF!</f>
        <v>#REF!</v>
      </c>
    </row>
    <row r="388" spans="1:19" x14ac:dyDescent="0.25">
      <c r="A388" t="s">
        <v>10</v>
      </c>
      <c r="B388" t="s">
        <v>443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K388" t="s">
        <v>10</v>
      </c>
      <c r="L388" t="s">
        <v>443</v>
      </c>
      <c r="M388" s="1" t="e">
        <f>Tabla32[[#This Row],[BN CARTA]]-#REF!</f>
        <v>#REF!</v>
      </c>
      <c r="N388" s="1" t="e">
        <f>Tabla32[[#This Row],[BN OFICIO]]-#REF!</f>
        <v>#REF!</v>
      </c>
      <c r="O388" s="1" t="e">
        <f>Tabla32[[#This Row],[BN DC]]-#REF!</f>
        <v>#REF!</v>
      </c>
      <c r="P388" s="1" t="e">
        <f>Tabla32[[#This Row],[COLOR CARTA]]-#REF!</f>
        <v>#REF!</v>
      </c>
      <c r="Q388" s="1" t="e">
        <f>Tabla32[[#This Row],[COLOR OFICIO]]-#REF!</f>
        <v>#REF!</v>
      </c>
      <c r="R388" s="1" t="e">
        <f>Tabla32[[#This Row],[ENVIAR]]-#REF!</f>
        <v>#REF!</v>
      </c>
      <c r="S388" s="1" t="e">
        <f>Tabla32[[#This Row],[COPIAR]]-#REF!</f>
        <v>#REF!</v>
      </c>
    </row>
    <row r="389" spans="1:19" x14ac:dyDescent="0.25">
      <c r="A389" t="s">
        <v>10</v>
      </c>
      <c r="B389" t="s">
        <v>444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K389" t="s">
        <v>10</v>
      </c>
      <c r="L389" t="s">
        <v>444</v>
      </c>
      <c r="M389" s="1" t="e">
        <f>Tabla32[[#This Row],[BN CARTA]]-#REF!</f>
        <v>#REF!</v>
      </c>
      <c r="N389" s="1" t="e">
        <f>Tabla32[[#This Row],[BN OFICIO]]-#REF!</f>
        <v>#REF!</v>
      </c>
      <c r="O389" s="1" t="e">
        <f>Tabla32[[#This Row],[BN DC]]-#REF!</f>
        <v>#REF!</v>
      </c>
      <c r="P389" s="1" t="e">
        <f>Tabla32[[#This Row],[COLOR CARTA]]-#REF!</f>
        <v>#REF!</v>
      </c>
      <c r="Q389" s="1" t="e">
        <f>Tabla32[[#This Row],[COLOR OFICIO]]-#REF!</f>
        <v>#REF!</v>
      </c>
      <c r="R389" s="1" t="e">
        <f>Tabla32[[#This Row],[ENVIAR]]-#REF!</f>
        <v>#REF!</v>
      </c>
      <c r="S389" s="1" t="e">
        <f>Tabla32[[#This Row],[COPIAR]]-#REF!</f>
        <v>#REF!</v>
      </c>
    </row>
    <row r="390" spans="1:19" x14ac:dyDescent="0.25">
      <c r="A390" t="s">
        <v>10</v>
      </c>
      <c r="B390" t="s">
        <v>445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K390" t="s">
        <v>10</v>
      </c>
      <c r="L390" t="s">
        <v>445</v>
      </c>
      <c r="M390" s="1" t="e">
        <f>Tabla32[[#This Row],[BN CARTA]]-#REF!</f>
        <v>#REF!</v>
      </c>
      <c r="N390" s="1" t="e">
        <f>Tabla32[[#This Row],[BN OFICIO]]-#REF!</f>
        <v>#REF!</v>
      </c>
      <c r="O390" s="1" t="e">
        <f>Tabla32[[#This Row],[BN DC]]-#REF!</f>
        <v>#REF!</v>
      </c>
      <c r="P390" s="1" t="e">
        <f>Tabla32[[#This Row],[COLOR CARTA]]-#REF!</f>
        <v>#REF!</v>
      </c>
      <c r="Q390" s="1" t="e">
        <f>Tabla32[[#This Row],[COLOR OFICIO]]-#REF!</f>
        <v>#REF!</v>
      </c>
      <c r="R390" s="1" t="e">
        <f>Tabla32[[#This Row],[ENVIAR]]-#REF!</f>
        <v>#REF!</v>
      </c>
      <c r="S390" s="1" t="e">
        <f>Tabla32[[#This Row],[COPIAR]]-#REF!</f>
        <v>#REF!</v>
      </c>
    </row>
    <row r="391" spans="1:19" x14ac:dyDescent="0.25">
      <c r="A391" t="s">
        <v>10</v>
      </c>
      <c r="B391" t="s">
        <v>446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K391" t="s">
        <v>10</v>
      </c>
      <c r="L391" t="s">
        <v>446</v>
      </c>
      <c r="M391" s="1" t="e">
        <f>Tabla32[[#This Row],[BN CARTA]]-#REF!</f>
        <v>#REF!</v>
      </c>
      <c r="N391" s="1" t="e">
        <f>Tabla32[[#This Row],[BN OFICIO]]-#REF!</f>
        <v>#REF!</v>
      </c>
      <c r="O391" s="1" t="e">
        <f>Tabla32[[#This Row],[BN DC]]-#REF!</f>
        <v>#REF!</v>
      </c>
      <c r="P391" s="1" t="e">
        <f>Tabla32[[#This Row],[COLOR CARTA]]-#REF!</f>
        <v>#REF!</v>
      </c>
      <c r="Q391" s="1" t="e">
        <f>Tabla32[[#This Row],[COLOR OFICIO]]-#REF!</f>
        <v>#REF!</v>
      </c>
      <c r="R391" s="1" t="e">
        <f>Tabla32[[#This Row],[ENVIAR]]-#REF!</f>
        <v>#REF!</v>
      </c>
      <c r="S391" s="1" t="e">
        <f>Tabla32[[#This Row],[COPIAR]]-#REF!</f>
        <v>#REF!</v>
      </c>
    </row>
    <row r="392" spans="1:19" x14ac:dyDescent="0.25">
      <c r="A392" t="s">
        <v>10</v>
      </c>
      <c r="B392" t="s">
        <v>447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K392" t="s">
        <v>10</v>
      </c>
      <c r="L392" t="s">
        <v>447</v>
      </c>
      <c r="M392" s="1" t="e">
        <f>Tabla32[[#This Row],[BN CARTA]]-#REF!</f>
        <v>#REF!</v>
      </c>
      <c r="N392" s="1" t="e">
        <f>Tabla32[[#This Row],[BN OFICIO]]-#REF!</f>
        <v>#REF!</v>
      </c>
      <c r="O392" s="1" t="e">
        <f>Tabla32[[#This Row],[BN DC]]-#REF!</f>
        <v>#REF!</v>
      </c>
      <c r="P392" s="1" t="e">
        <f>Tabla32[[#This Row],[COLOR CARTA]]-#REF!</f>
        <v>#REF!</v>
      </c>
      <c r="Q392" s="1" t="e">
        <f>Tabla32[[#This Row],[COLOR OFICIO]]-#REF!</f>
        <v>#REF!</v>
      </c>
      <c r="R392" s="1" t="e">
        <f>Tabla32[[#This Row],[ENVIAR]]-#REF!</f>
        <v>#REF!</v>
      </c>
      <c r="S392" s="1" t="e">
        <f>Tabla32[[#This Row],[COPIAR]]-#REF!</f>
        <v>#REF!</v>
      </c>
    </row>
    <row r="393" spans="1:19" x14ac:dyDescent="0.25">
      <c r="A393" t="s">
        <v>76</v>
      </c>
      <c r="B393" t="s">
        <v>448</v>
      </c>
      <c r="C393">
        <v>6212</v>
      </c>
      <c r="D393">
        <v>0</v>
      </c>
      <c r="E393">
        <v>0</v>
      </c>
      <c r="F393">
        <v>0</v>
      </c>
      <c r="G393">
        <v>0</v>
      </c>
      <c r="H393">
        <v>6125</v>
      </c>
      <c r="I393">
        <v>445</v>
      </c>
      <c r="K393" t="s">
        <v>76</v>
      </c>
      <c r="L393" t="s">
        <v>448</v>
      </c>
      <c r="M393" s="1" t="e">
        <f>Tabla32[[#This Row],[BN CARTA]]-#REF!</f>
        <v>#REF!</v>
      </c>
      <c r="N393" s="1" t="e">
        <f>Tabla32[[#This Row],[BN OFICIO]]-#REF!</f>
        <v>#REF!</v>
      </c>
      <c r="O393" s="1" t="e">
        <f>Tabla32[[#This Row],[BN DC]]-#REF!</f>
        <v>#REF!</v>
      </c>
      <c r="P393" s="1" t="e">
        <f>Tabla32[[#This Row],[COLOR CARTA]]-#REF!</f>
        <v>#REF!</v>
      </c>
      <c r="Q393" s="1" t="e">
        <f>Tabla32[[#This Row],[COLOR OFICIO]]-#REF!</f>
        <v>#REF!</v>
      </c>
      <c r="R393" s="1" t="e">
        <f>Tabla32[[#This Row],[ENVIAR]]-#REF!</f>
        <v>#REF!</v>
      </c>
      <c r="S393" s="1" t="e">
        <f>Tabla32[[#This Row],[COPIAR]]-#REF!</f>
        <v>#REF!</v>
      </c>
    </row>
    <row r="394" spans="1:19" x14ac:dyDescent="0.25">
      <c r="A394" t="s">
        <v>10</v>
      </c>
      <c r="B394" t="s">
        <v>449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K394" t="s">
        <v>10</v>
      </c>
      <c r="L394" t="s">
        <v>449</v>
      </c>
      <c r="M394" s="1" t="e">
        <f>Tabla32[[#This Row],[BN CARTA]]-#REF!</f>
        <v>#REF!</v>
      </c>
      <c r="N394" s="1" t="e">
        <f>Tabla32[[#This Row],[BN OFICIO]]-#REF!</f>
        <v>#REF!</v>
      </c>
      <c r="O394" s="1" t="e">
        <f>Tabla32[[#This Row],[BN DC]]-#REF!</f>
        <v>#REF!</v>
      </c>
      <c r="P394" s="1" t="e">
        <f>Tabla32[[#This Row],[COLOR CARTA]]-#REF!</f>
        <v>#REF!</v>
      </c>
      <c r="Q394" s="1" t="e">
        <f>Tabla32[[#This Row],[COLOR OFICIO]]-#REF!</f>
        <v>#REF!</v>
      </c>
      <c r="R394" s="1" t="e">
        <f>Tabla32[[#This Row],[ENVIAR]]-#REF!</f>
        <v>#REF!</v>
      </c>
      <c r="S394" s="1" t="e">
        <f>Tabla32[[#This Row],[COPIAR]]-#REF!</f>
        <v>#REF!</v>
      </c>
    </row>
    <row r="395" spans="1:19" x14ac:dyDescent="0.25">
      <c r="A395" t="s">
        <v>10</v>
      </c>
      <c r="B395" t="s">
        <v>450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K395" t="s">
        <v>10</v>
      </c>
      <c r="L395" t="s">
        <v>450</v>
      </c>
      <c r="M395" s="1" t="e">
        <f>Tabla32[[#This Row],[BN CARTA]]-#REF!</f>
        <v>#REF!</v>
      </c>
      <c r="N395" s="1" t="e">
        <f>Tabla32[[#This Row],[BN OFICIO]]-#REF!</f>
        <v>#REF!</v>
      </c>
      <c r="O395" s="1" t="e">
        <f>Tabla32[[#This Row],[BN DC]]-#REF!</f>
        <v>#REF!</v>
      </c>
      <c r="P395" s="1" t="e">
        <f>Tabla32[[#This Row],[COLOR CARTA]]-#REF!</f>
        <v>#REF!</v>
      </c>
      <c r="Q395" s="1" t="e">
        <f>Tabla32[[#This Row],[COLOR OFICIO]]-#REF!</f>
        <v>#REF!</v>
      </c>
      <c r="R395" s="1" t="e">
        <f>Tabla32[[#This Row],[ENVIAR]]-#REF!</f>
        <v>#REF!</v>
      </c>
      <c r="S395" s="1" t="e">
        <f>Tabla32[[#This Row],[COPIAR]]-#REF!</f>
        <v>#REF!</v>
      </c>
    </row>
    <row r="396" spans="1:19" x14ac:dyDescent="0.25">
      <c r="A396" t="s">
        <v>10</v>
      </c>
      <c r="B396" t="s">
        <v>451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K396" t="s">
        <v>10</v>
      </c>
      <c r="L396" t="s">
        <v>451</v>
      </c>
      <c r="M396" s="1" t="e">
        <f>Tabla32[[#This Row],[BN CARTA]]-#REF!</f>
        <v>#REF!</v>
      </c>
      <c r="N396" s="1" t="e">
        <f>Tabla32[[#This Row],[BN OFICIO]]-#REF!</f>
        <v>#REF!</v>
      </c>
      <c r="O396" s="1" t="e">
        <f>Tabla32[[#This Row],[BN DC]]-#REF!</f>
        <v>#REF!</v>
      </c>
      <c r="P396" s="1" t="e">
        <f>Tabla32[[#This Row],[COLOR CARTA]]-#REF!</f>
        <v>#REF!</v>
      </c>
      <c r="Q396" s="1" t="e">
        <f>Tabla32[[#This Row],[COLOR OFICIO]]-#REF!</f>
        <v>#REF!</v>
      </c>
      <c r="R396" s="1" t="e">
        <f>Tabla32[[#This Row],[ENVIAR]]-#REF!</f>
        <v>#REF!</v>
      </c>
      <c r="S396" s="1" t="e">
        <f>Tabla32[[#This Row],[COPIAR]]-#REF!</f>
        <v>#REF!</v>
      </c>
    </row>
    <row r="397" spans="1:19" x14ac:dyDescent="0.25">
      <c r="A397" t="s">
        <v>10</v>
      </c>
      <c r="B397" t="s">
        <v>452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K397" t="s">
        <v>10</v>
      </c>
      <c r="L397" t="s">
        <v>452</v>
      </c>
      <c r="M397" s="1" t="e">
        <f>Tabla32[[#This Row],[BN CARTA]]-#REF!</f>
        <v>#REF!</v>
      </c>
      <c r="N397" s="1" t="e">
        <f>Tabla32[[#This Row],[BN OFICIO]]-#REF!</f>
        <v>#REF!</v>
      </c>
      <c r="O397" s="1" t="e">
        <f>Tabla32[[#This Row],[BN DC]]-#REF!</f>
        <v>#REF!</v>
      </c>
      <c r="P397" s="1" t="e">
        <f>Tabla32[[#This Row],[COLOR CARTA]]-#REF!</f>
        <v>#REF!</v>
      </c>
      <c r="Q397" s="1" t="e">
        <f>Tabla32[[#This Row],[COLOR OFICIO]]-#REF!</f>
        <v>#REF!</v>
      </c>
      <c r="R397" s="1" t="e">
        <f>Tabla32[[#This Row],[ENVIAR]]-#REF!</f>
        <v>#REF!</v>
      </c>
      <c r="S397" s="1" t="e">
        <f>Tabla32[[#This Row],[COPIAR]]-#REF!</f>
        <v>#REF!</v>
      </c>
    </row>
    <row r="398" spans="1:19" x14ac:dyDescent="0.25">
      <c r="A398" t="s">
        <v>101</v>
      </c>
      <c r="B398" t="s">
        <v>453</v>
      </c>
      <c r="C398">
        <v>1967</v>
      </c>
      <c r="D398">
        <v>0</v>
      </c>
      <c r="E398">
        <v>0</v>
      </c>
      <c r="F398">
        <v>0</v>
      </c>
      <c r="G398">
        <v>0</v>
      </c>
      <c r="H398">
        <v>229</v>
      </c>
      <c r="I398">
        <v>208</v>
      </c>
      <c r="K398" t="s">
        <v>101</v>
      </c>
      <c r="L398" t="s">
        <v>453</v>
      </c>
      <c r="M398" s="1" t="e">
        <f>Tabla32[[#This Row],[BN CARTA]]-#REF!</f>
        <v>#REF!</v>
      </c>
      <c r="N398" s="1" t="e">
        <f>Tabla32[[#This Row],[BN OFICIO]]-#REF!</f>
        <v>#REF!</v>
      </c>
      <c r="O398" s="1" t="e">
        <f>Tabla32[[#This Row],[BN DC]]-#REF!</f>
        <v>#REF!</v>
      </c>
      <c r="P398" s="1" t="e">
        <f>Tabla32[[#This Row],[COLOR CARTA]]-#REF!</f>
        <v>#REF!</v>
      </c>
      <c r="Q398" s="1" t="e">
        <f>Tabla32[[#This Row],[COLOR OFICIO]]-#REF!</f>
        <v>#REF!</v>
      </c>
      <c r="R398" s="1" t="e">
        <f>Tabla32[[#This Row],[ENVIAR]]-#REF!</f>
        <v>#REF!</v>
      </c>
      <c r="S398" s="1" t="e">
        <f>Tabla32[[#This Row],[COPIAR]]-#REF!</f>
        <v>#REF!</v>
      </c>
    </row>
    <row r="399" spans="1:19" x14ac:dyDescent="0.25">
      <c r="A399" t="s">
        <v>265</v>
      </c>
      <c r="B399" t="s">
        <v>454</v>
      </c>
      <c r="C399">
        <v>4702</v>
      </c>
      <c r="D399">
        <v>0</v>
      </c>
      <c r="E399">
        <v>0</v>
      </c>
      <c r="F399">
        <v>0</v>
      </c>
      <c r="G399">
        <v>0</v>
      </c>
      <c r="H399">
        <v>394</v>
      </c>
      <c r="I399">
        <v>340</v>
      </c>
      <c r="K399" t="s">
        <v>265</v>
      </c>
      <c r="L399" t="s">
        <v>454</v>
      </c>
      <c r="M399" s="1" t="e">
        <f>Tabla32[[#This Row],[BN CARTA]]-#REF!</f>
        <v>#REF!</v>
      </c>
      <c r="N399" s="1" t="e">
        <f>Tabla32[[#This Row],[BN OFICIO]]-#REF!</f>
        <v>#REF!</v>
      </c>
      <c r="O399" s="1" t="e">
        <f>Tabla32[[#This Row],[BN DC]]-#REF!</f>
        <v>#REF!</v>
      </c>
      <c r="P399" s="1" t="e">
        <f>Tabla32[[#This Row],[COLOR CARTA]]-#REF!</f>
        <v>#REF!</v>
      </c>
      <c r="Q399" s="1" t="e">
        <f>Tabla32[[#This Row],[COLOR OFICIO]]-#REF!</f>
        <v>#REF!</v>
      </c>
      <c r="R399" s="1" t="e">
        <f>Tabla32[[#This Row],[ENVIAR]]-#REF!</f>
        <v>#REF!</v>
      </c>
      <c r="S399" s="1" t="e">
        <f>Tabla32[[#This Row],[COPIAR]]-#REF!</f>
        <v>#REF!</v>
      </c>
    </row>
    <row r="400" spans="1:19" x14ac:dyDescent="0.25">
      <c r="A400" t="s">
        <v>10</v>
      </c>
      <c r="B400" t="s">
        <v>455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K400" t="s">
        <v>10</v>
      </c>
      <c r="L400" t="s">
        <v>455</v>
      </c>
      <c r="M400" s="1" t="e">
        <f>Tabla32[[#This Row],[BN CARTA]]-#REF!</f>
        <v>#REF!</v>
      </c>
      <c r="N400" s="1" t="e">
        <f>Tabla32[[#This Row],[BN OFICIO]]-#REF!</f>
        <v>#REF!</v>
      </c>
      <c r="O400" s="1" t="e">
        <f>Tabla32[[#This Row],[BN DC]]-#REF!</f>
        <v>#REF!</v>
      </c>
      <c r="P400" s="1" t="e">
        <f>Tabla32[[#This Row],[COLOR CARTA]]-#REF!</f>
        <v>#REF!</v>
      </c>
      <c r="Q400" s="1" t="e">
        <f>Tabla32[[#This Row],[COLOR OFICIO]]-#REF!</f>
        <v>#REF!</v>
      </c>
      <c r="R400" s="1" t="e">
        <f>Tabla32[[#This Row],[ENVIAR]]-#REF!</f>
        <v>#REF!</v>
      </c>
      <c r="S400" s="1" t="e">
        <f>Tabla32[[#This Row],[COPIAR]]-#REF!</f>
        <v>#REF!</v>
      </c>
    </row>
    <row r="401" spans="1:19" x14ac:dyDescent="0.25">
      <c r="A401" t="s">
        <v>76</v>
      </c>
      <c r="B401" t="s">
        <v>456</v>
      </c>
      <c r="C401">
        <v>3826</v>
      </c>
      <c r="D401">
        <v>0</v>
      </c>
      <c r="E401">
        <v>0</v>
      </c>
      <c r="F401">
        <v>0</v>
      </c>
      <c r="G401">
        <v>0</v>
      </c>
      <c r="H401">
        <v>1153</v>
      </c>
      <c r="I401">
        <v>187</v>
      </c>
      <c r="K401" t="s">
        <v>76</v>
      </c>
      <c r="L401" t="s">
        <v>456</v>
      </c>
      <c r="M401" s="1" t="e">
        <f>Tabla32[[#This Row],[BN CARTA]]-#REF!</f>
        <v>#REF!</v>
      </c>
      <c r="N401" s="1" t="e">
        <f>Tabla32[[#This Row],[BN OFICIO]]-#REF!</f>
        <v>#REF!</v>
      </c>
      <c r="O401" s="1" t="e">
        <f>Tabla32[[#This Row],[BN DC]]-#REF!</f>
        <v>#REF!</v>
      </c>
      <c r="P401" s="1" t="e">
        <f>Tabla32[[#This Row],[COLOR CARTA]]-#REF!</f>
        <v>#REF!</v>
      </c>
      <c r="Q401" s="1" t="e">
        <f>Tabla32[[#This Row],[COLOR OFICIO]]-#REF!</f>
        <v>#REF!</v>
      </c>
      <c r="R401" s="1" t="e">
        <f>Tabla32[[#This Row],[ENVIAR]]-#REF!</f>
        <v>#REF!</v>
      </c>
      <c r="S401" s="1" t="e">
        <f>Tabla32[[#This Row],[COPIAR]]-#REF!</f>
        <v>#REF!</v>
      </c>
    </row>
    <row r="402" spans="1:19" x14ac:dyDescent="0.25">
      <c r="A402" t="s">
        <v>76</v>
      </c>
      <c r="B402" t="s">
        <v>457</v>
      </c>
      <c r="C402">
        <v>6996</v>
      </c>
      <c r="D402">
        <v>24</v>
      </c>
      <c r="E402">
        <v>0</v>
      </c>
      <c r="F402">
        <v>0</v>
      </c>
      <c r="G402">
        <v>0</v>
      </c>
      <c r="H402">
        <v>458</v>
      </c>
      <c r="I402">
        <v>5874</v>
      </c>
      <c r="K402" t="s">
        <v>76</v>
      </c>
      <c r="L402" t="s">
        <v>457</v>
      </c>
      <c r="M402" s="1" t="e">
        <f>Tabla32[[#This Row],[BN CARTA]]-#REF!</f>
        <v>#REF!</v>
      </c>
      <c r="N402" s="1" t="e">
        <f>Tabla32[[#This Row],[BN OFICIO]]-#REF!</f>
        <v>#REF!</v>
      </c>
      <c r="O402" s="1" t="e">
        <f>Tabla32[[#This Row],[BN DC]]-#REF!</f>
        <v>#REF!</v>
      </c>
      <c r="P402" s="1" t="e">
        <f>Tabla32[[#This Row],[COLOR CARTA]]-#REF!</f>
        <v>#REF!</v>
      </c>
      <c r="Q402" s="1" t="e">
        <f>Tabla32[[#This Row],[COLOR OFICIO]]-#REF!</f>
        <v>#REF!</v>
      </c>
      <c r="R402" s="1" t="e">
        <f>Tabla32[[#This Row],[ENVIAR]]-#REF!</f>
        <v>#REF!</v>
      </c>
      <c r="S402" s="1" t="e">
        <f>Tabla32[[#This Row],[COPIAR]]-#REF!</f>
        <v>#REF!</v>
      </c>
    </row>
    <row r="403" spans="1:19" x14ac:dyDescent="0.25">
      <c r="A403" t="s">
        <v>146</v>
      </c>
      <c r="B403" t="s">
        <v>458</v>
      </c>
      <c r="C403">
        <v>378</v>
      </c>
      <c r="D403">
        <v>0</v>
      </c>
      <c r="E403">
        <v>0</v>
      </c>
      <c r="F403">
        <v>0</v>
      </c>
      <c r="G403">
        <v>0</v>
      </c>
      <c r="H403">
        <v>77</v>
      </c>
      <c r="I403">
        <v>52</v>
      </c>
      <c r="K403" t="s">
        <v>146</v>
      </c>
      <c r="L403" t="s">
        <v>458</v>
      </c>
      <c r="M403" s="1" t="e">
        <f>Tabla32[[#This Row],[BN CARTA]]-#REF!</f>
        <v>#REF!</v>
      </c>
      <c r="N403" s="1" t="e">
        <f>Tabla32[[#This Row],[BN OFICIO]]-#REF!</f>
        <v>#REF!</v>
      </c>
      <c r="O403" s="1" t="e">
        <f>Tabla32[[#This Row],[BN DC]]-#REF!</f>
        <v>#REF!</v>
      </c>
      <c r="P403" s="1" t="e">
        <f>Tabla32[[#This Row],[COLOR CARTA]]-#REF!</f>
        <v>#REF!</v>
      </c>
      <c r="Q403" s="1" t="e">
        <f>Tabla32[[#This Row],[COLOR OFICIO]]-#REF!</f>
        <v>#REF!</v>
      </c>
      <c r="R403" s="1" t="e">
        <f>Tabla32[[#This Row],[ENVIAR]]-#REF!</f>
        <v>#REF!</v>
      </c>
      <c r="S403" s="1" t="e">
        <f>Tabla32[[#This Row],[COPIAR]]-#REF!</f>
        <v>#REF!</v>
      </c>
    </row>
    <row r="404" spans="1:19" x14ac:dyDescent="0.25">
      <c r="A404" t="s">
        <v>10</v>
      </c>
      <c r="B404" t="s">
        <v>459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K404" t="s">
        <v>10</v>
      </c>
      <c r="L404" t="s">
        <v>459</v>
      </c>
      <c r="M404" s="1" t="e">
        <f>Tabla32[[#This Row],[BN CARTA]]-#REF!</f>
        <v>#REF!</v>
      </c>
      <c r="N404" s="1" t="e">
        <f>Tabla32[[#This Row],[BN OFICIO]]-#REF!</f>
        <v>#REF!</v>
      </c>
      <c r="O404" s="1" t="e">
        <f>Tabla32[[#This Row],[BN DC]]-#REF!</f>
        <v>#REF!</v>
      </c>
      <c r="P404" s="1" t="e">
        <f>Tabla32[[#This Row],[COLOR CARTA]]-#REF!</f>
        <v>#REF!</v>
      </c>
      <c r="Q404" s="1" t="e">
        <f>Tabla32[[#This Row],[COLOR OFICIO]]-#REF!</f>
        <v>#REF!</v>
      </c>
      <c r="R404" s="1" t="e">
        <f>Tabla32[[#This Row],[ENVIAR]]-#REF!</f>
        <v>#REF!</v>
      </c>
      <c r="S404" s="1" t="e">
        <f>Tabla32[[#This Row],[COPIAR]]-#REF!</f>
        <v>#REF!</v>
      </c>
    </row>
    <row r="405" spans="1:19" x14ac:dyDescent="0.25">
      <c r="A405" t="s">
        <v>10</v>
      </c>
      <c r="B405" t="s">
        <v>460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K405" t="s">
        <v>10</v>
      </c>
      <c r="L405" t="s">
        <v>460</v>
      </c>
      <c r="M405" s="1" t="e">
        <f>Tabla32[[#This Row],[BN CARTA]]-#REF!</f>
        <v>#REF!</v>
      </c>
      <c r="N405" s="1" t="e">
        <f>Tabla32[[#This Row],[BN OFICIO]]-#REF!</f>
        <v>#REF!</v>
      </c>
      <c r="O405" s="1" t="e">
        <f>Tabla32[[#This Row],[BN DC]]-#REF!</f>
        <v>#REF!</v>
      </c>
      <c r="P405" s="1" t="e">
        <f>Tabla32[[#This Row],[COLOR CARTA]]-#REF!</f>
        <v>#REF!</v>
      </c>
      <c r="Q405" s="1" t="e">
        <f>Tabla32[[#This Row],[COLOR OFICIO]]-#REF!</f>
        <v>#REF!</v>
      </c>
      <c r="R405" s="1" t="e">
        <f>Tabla32[[#This Row],[ENVIAR]]-#REF!</f>
        <v>#REF!</v>
      </c>
      <c r="S405" s="1" t="e">
        <f>Tabla32[[#This Row],[COPIAR]]-#REF!</f>
        <v>#REF!</v>
      </c>
    </row>
    <row r="406" spans="1:19" x14ac:dyDescent="0.25">
      <c r="A406" t="s">
        <v>10</v>
      </c>
      <c r="B406" t="s">
        <v>461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K406" t="s">
        <v>10</v>
      </c>
      <c r="L406" t="s">
        <v>461</v>
      </c>
      <c r="M406" s="1" t="e">
        <f>Tabla32[[#This Row],[BN CARTA]]-#REF!</f>
        <v>#REF!</v>
      </c>
      <c r="N406" s="1" t="e">
        <f>Tabla32[[#This Row],[BN OFICIO]]-#REF!</f>
        <v>#REF!</v>
      </c>
      <c r="O406" s="1" t="e">
        <f>Tabla32[[#This Row],[BN DC]]-#REF!</f>
        <v>#REF!</v>
      </c>
      <c r="P406" s="1" t="e">
        <f>Tabla32[[#This Row],[COLOR CARTA]]-#REF!</f>
        <v>#REF!</v>
      </c>
      <c r="Q406" s="1" t="e">
        <f>Tabla32[[#This Row],[COLOR OFICIO]]-#REF!</f>
        <v>#REF!</v>
      </c>
      <c r="R406" s="1" t="e">
        <f>Tabla32[[#This Row],[ENVIAR]]-#REF!</f>
        <v>#REF!</v>
      </c>
      <c r="S406" s="1" t="e">
        <f>Tabla32[[#This Row],[COPIAR]]-#REF!</f>
        <v>#REF!</v>
      </c>
    </row>
    <row r="407" spans="1:19" x14ac:dyDescent="0.25">
      <c r="A407" t="s">
        <v>10</v>
      </c>
      <c r="B407" t="s">
        <v>462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K407" t="s">
        <v>10</v>
      </c>
      <c r="L407" t="s">
        <v>462</v>
      </c>
      <c r="M407" s="1" t="e">
        <f>Tabla32[[#This Row],[BN CARTA]]-#REF!</f>
        <v>#REF!</v>
      </c>
      <c r="N407" s="1" t="e">
        <f>Tabla32[[#This Row],[BN OFICIO]]-#REF!</f>
        <v>#REF!</v>
      </c>
      <c r="O407" s="1" t="e">
        <f>Tabla32[[#This Row],[BN DC]]-#REF!</f>
        <v>#REF!</v>
      </c>
      <c r="P407" s="1" t="e">
        <f>Tabla32[[#This Row],[COLOR CARTA]]-#REF!</f>
        <v>#REF!</v>
      </c>
      <c r="Q407" s="1" t="e">
        <f>Tabla32[[#This Row],[COLOR OFICIO]]-#REF!</f>
        <v>#REF!</v>
      </c>
      <c r="R407" s="1" t="e">
        <f>Tabla32[[#This Row],[ENVIAR]]-#REF!</f>
        <v>#REF!</v>
      </c>
      <c r="S407" s="1" t="e">
        <f>Tabla32[[#This Row],[COPIAR]]-#REF!</f>
        <v>#REF!</v>
      </c>
    </row>
    <row r="408" spans="1:19" x14ac:dyDescent="0.25">
      <c r="A408" t="s">
        <v>10</v>
      </c>
      <c r="B408" t="s">
        <v>463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K408" t="s">
        <v>10</v>
      </c>
      <c r="L408" t="s">
        <v>463</v>
      </c>
      <c r="M408" s="1" t="e">
        <f>Tabla32[[#This Row],[BN CARTA]]-#REF!</f>
        <v>#REF!</v>
      </c>
      <c r="N408" s="1" t="e">
        <f>Tabla32[[#This Row],[BN OFICIO]]-#REF!</f>
        <v>#REF!</v>
      </c>
      <c r="O408" s="1" t="e">
        <f>Tabla32[[#This Row],[BN DC]]-#REF!</f>
        <v>#REF!</v>
      </c>
      <c r="P408" s="1" t="e">
        <f>Tabla32[[#This Row],[COLOR CARTA]]-#REF!</f>
        <v>#REF!</v>
      </c>
      <c r="Q408" s="1" t="e">
        <f>Tabla32[[#This Row],[COLOR OFICIO]]-#REF!</f>
        <v>#REF!</v>
      </c>
      <c r="R408" s="1" t="e">
        <f>Tabla32[[#This Row],[ENVIAR]]-#REF!</f>
        <v>#REF!</v>
      </c>
      <c r="S408" s="1" t="e">
        <f>Tabla32[[#This Row],[COPIAR]]-#REF!</f>
        <v>#REF!</v>
      </c>
    </row>
    <row r="409" spans="1:19" x14ac:dyDescent="0.25">
      <c r="A409" t="s">
        <v>10</v>
      </c>
      <c r="B409" t="s">
        <v>464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K409" t="s">
        <v>10</v>
      </c>
      <c r="L409" t="s">
        <v>464</v>
      </c>
      <c r="M409" s="1" t="e">
        <f>Tabla32[[#This Row],[BN CARTA]]-#REF!</f>
        <v>#REF!</v>
      </c>
      <c r="N409" s="1" t="e">
        <f>Tabla32[[#This Row],[BN OFICIO]]-#REF!</f>
        <v>#REF!</v>
      </c>
      <c r="O409" s="1" t="e">
        <f>Tabla32[[#This Row],[BN DC]]-#REF!</f>
        <v>#REF!</v>
      </c>
      <c r="P409" s="1" t="e">
        <f>Tabla32[[#This Row],[COLOR CARTA]]-#REF!</f>
        <v>#REF!</v>
      </c>
      <c r="Q409" s="1" t="e">
        <f>Tabla32[[#This Row],[COLOR OFICIO]]-#REF!</f>
        <v>#REF!</v>
      </c>
      <c r="R409" s="1" t="e">
        <f>Tabla32[[#This Row],[ENVIAR]]-#REF!</f>
        <v>#REF!</v>
      </c>
      <c r="S409" s="1" t="e">
        <f>Tabla32[[#This Row],[COPIAR]]-#REF!</f>
        <v>#REF!</v>
      </c>
    </row>
    <row r="410" spans="1:19" x14ac:dyDescent="0.25">
      <c r="A410" t="s">
        <v>101</v>
      </c>
      <c r="B410" t="s">
        <v>465</v>
      </c>
      <c r="C410">
        <v>1162</v>
      </c>
      <c r="D410">
        <v>0</v>
      </c>
      <c r="E410">
        <v>0</v>
      </c>
      <c r="F410">
        <v>0</v>
      </c>
      <c r="G410">
        <v>0</v>
      </c>
      <c r="H410">
        <v>762</v>
      </c>
      <c r="I410">
        <v>192</v>
      </c>
      <c r="K410" t="s">
        <v>101</v>
      </c>
      <c r="L410" t="s">
        <v>465</v>
      </c>
      <c r="M410" s="1" t="e">
        <f>Tabla32[[#This Row],[BN CARTA]]-#REF!</f>
        <v>#REF!</v>
      </c>
      <c r="N410" s="1" t="e">
        <f>Tabla32[[#This Row],[BN OFICIO]]-#REF!</f>
        <v>#REF!</v>
      </c>
      <c r="O410" s="1" t="e">
        <f>Tabla32[[#This Row],[BN DC]]-#REF!</f>
        <v>#REF!</v>
      </c>
      <c r="P410" s="1" t="e">
        <f>Tabla32[[#This Row],[COLOR CARTA]]-#REF!</f>
        <v>#REF!</v>
      </c>
      <c r="Q410" s="1" t="e">
        <f>Tabla32[[#This Row],[COLOR OFICIO]]-#REF!</f>
        <v>#REF!</v>
      </c>
      <c r="R410" s="1" t="e">
        <f>Tabla32[[#This Row],[ENVIAR]]-#REF!</f>
        <v>#REF!</v>
      </c>
      <c r="S410" s="1" t="e">
        <f>Tabla32[[#This Row],[COPIAR]]-#REF!</f>
        <v>#REF!</v>
      </c>
    </row>
    <row r="411" spans="1:19" x14ac:dyDescent="0.25">
      <c r="A411" t="s">
        <v>185</v>
      </c>
      <c r="B411" t="s">
        <v>466</v>
      </c>
      <c r="C411">
        <v>1880</v>
      </c>
      <c r="D411">
        <v>5</v>
      </c>
      <c r="E411">
        <v>0</v>
      </c>
      <c r="F411">
        <v>0</v>
      </c>
      <c r="G411">
        <v>0</v>
      </c>
      <c r="H411">
        <v>123</v>
      </c>
      <c r="I411">
        <v>119</v>
      </c>
      <c r="K411" t="s">
        <v>185</v>
      </c>
      <c r="L411" t="s">
        <v>466</v>
      </c>
      <c r="M411" s="1" t="e">
        <f>Tabla32[[#This Row],[BN CARTA]]-#REF!</f>
        <v>#REF!</v>
      </c>
      <c r="N411" s="1" t="e">
        <f>Tabla32[[#This Row],[BN OFICIO]]-#REF!</f>
        <v>#REF!</v>
      </c>
      <c r="O411" s="1" t="e">
        <f>Tabla32[[#This Row],[BN DC]]-#REF!</f>
        <v>#REF!</v>
      </c>
      <c r="P411" s="1" t="e">
        <f>Tabla32[[#This Row],[COLOR CARTA]]-#REF!</f>
        <v>#REF!</v>
      </c>
      <c r="Q411" s="1" t="e">
        <f>Tabla32[[#This Row],[COLOR OFICIO]]-#REF!</f>
        <v>#REF!</v>
      </c>
      <c r="R411" s="1" t="e">
        <f>Tabla32[[#This Row],[ENVIAR]]-#REF!</f>
        <v>#REF!</v>
      </c>
      <c r="S411" s="1" t="e">
        <f>Tabla32[[#This Row],[COPIAR]]-#REF!</f>
        <v>#REF!</v>
      </c>
    </row>
    <row r="412" spans="1:19" x14ac:dyDescent="0.25">
      <c r="A412" t="s">
        <v>10</v>
      </c>
      <c r="B412" t="s">
        <v>467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K412" t="s">
        <v>10</v>
      </c>
      <c r="L412" t="s">
        <v>467</v>
      </c>
      <c r="M412" s="1" t="e">
        <f>Tabla32[[#This Row],[BN CARTA]]-#REF!</f>
        <v>#REF!</v>
      </c>
      <c r="N412" s="1" t="e">
        <f>Tabla32[[#This Row],[BN OFICIO]]-#REF!</f>
        <v>#REF!</v>
      </c>
      <c r="O412" s="1" t="e">
        <f>Tabla32[[#This Row],[BN DC]]-#REF!</f>
        <v>#REF!</v>
      </c>
      <c r="P412" s="1" t="e">
        <f>Tabla32[[#This Row],[COLOR CARTA]]-#REF!</f>
        <v>#REF!</v>
      </c>
      <c r="Q412" s="1" t="e">
        <f>Tabla32[[#This Row],[COLOR OFICIO]]-#REF!</f>
        <v>#REF!</v>
      </c>
      <c r="R412" s="1" t="e">
        <f>Tabla32[[#This Row],[ENVIAR]]-#REF!</f>
        <v>#REF!</v>
      </c>
      <c r="S412" s="1" t="e">
        <f>Tabla32[[#This Row],[COPIAR]]-#REF!</f>
        <v>#REF!</v>
      </c>
    </row>
    <row r="413" spans="1:19" x14ac:dyDescent="0.25">
      <c r="A413" t="s">
        <v>140</v>
      </c>
      <c r="B413" t="s">
        <v>468</v>
      </c>
      <c r="C413">
        <v>239</v>
      </c>
      <c r="D413">
        <v>1</v>
      </c>
      <c r="E413">
        <v>0</v>
      </c>
      <c r="F413">
        <v>0</v>
      </c>
      <c r="G413">
        <v>0</v>
      </c>
      <c r="H413">
        <v>252</v>
      </c>
      <c r="I413">
        <v>51</v>
      </c>
      <c r="K413" t="s">
        <v>140</v>
      </c>
      <c r="L413" t="s">
        <v>468</v>
      </c>
      <c r="M413" s="1" t="e">
        <f>Tabla32[[#This Row],[BN CARTA]]-#REF!</f>
        <v>#REF!</v>
      </c>
      <c r="N413" s="1" t="e">
        <f>Tabla32[[#This Row],[BN OFICIO]]-#REF!</f>
        <v>#REF!</v>
      </c>
      <c r="O413" s="1" t="e">
        <f>Tabla32[[#This Row],[BN DC]]-#REF!</f>
        <v>#REF!</v>
      </c>
      <c r="P413" s="1" t="e">
        <f>Tabla32[[#This Row],[COLOR CARTA]]-#REF!</f>
        <v>#REF!</v>
      </c>
      <c r="Q413" s="1" t="e">
        <f>Tabla32[[#This Row],[COLOR OFICIO]]-#REF!</f>
        <v>#REF!</v>
      </c>
      <c r="R413" s="1" t="e">
        <f>Tabla32[[#This Row],[ENVIAR]]-#REF!</f>
        <v>#REF!</v>
      </c>
      <c r="S413" s="1" t="e">
        <f>Tabla32[[#This Row],[COPIAR]]-#REF!</f>
        <v>#REF!</v>
      </c>
    </row>
    <row r="414" spans="1:19" x14ac:dyDescent="0.25">
      <c r="A414" t="s">
        <v>10</v>
      </c>
      <c r="B414" t="s">
        <v>469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K414" t="s">
        <v>10</v>
      </c>
      <c r="L414" t="s">
        <v>469</v>
      </c>
      <c r="M414" s="1" t="e">
        <f>Tabla32[[#This Row],[BN CARTA]]-#REF!</f>
        <v>#REF!</v>
      </c>
      <c r="N414" s="1" t="e">
        <f>Tabla32[[#This Row],[BN OFICIO]]-#REF!</f>
        <v>#REF!</v>
      </c>
      <c r="O414" s="1" t="e">
        <f>Tabla32[[#This Row],[BN DC]]-#REF!</f>
        <v>#REF!</v>
      </c>
      <c r="P414" s="1" t="e">
        <f>Tabla32[[#This Row],[COLOR CARTA]]-#REF!</f>
        <v>#REF!</v>
      </c>
      <c r="Q414" s="1" t="e">
        <f>Tabla32[[#This Row],[COLOR OFICIO]]-#REF!</f>
        <v>#REF!</v>
      </c>
      <c r="R414" s="1" t="e">
        <f>Tabla32[[#This Row],[ENVIAR]]-#REF!</f>
        <v>#REF!</v>
      </c>
      <c r="S414" s="1" t="e">
        <f>Tabla32[[#This Row],[COPIAR]]-#REF!</f>
        <v>#REF!</v>
      </c>
    </row>
    <row r="415" spans="1:19" x14ac:dyDescent="0.25">
      <c r="A415" t="s">
        <v>10</v>
      </c>
      <c r="B415" t="s">
        <v>470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K415" t="s">
        <v>10</v>
      </c>
      <c r="L415" t="s">
        <v>470</v>
      </c>
      <c r="M415" s="1" t="e">
        <f>Tabla32[[#This Row],[BN CARTA]]-#REF!</f>
        <v>#REF!</v>
      </c>
      <c r="N415" s="1" t="e">
        <f>Tabla32[[#This Row],[BN OFICIO]]-#REF!</f>
        <v>#REF!</v>
      </c>
      <c r="O415" s="1" t="e">
        <f>Tabla32[[#This Row],[BN DC]]-#REF!</f>
        <v>#REF!</v>
      </c>
      <c r="P415" s="1" t="e">
        <f>Tabla32[[#This Row],[COLOR CARTA]]-#REF!</f>
        <v>#REF!</v>
      </c>
      <c r="Q415" s="1" t="e">
        <f>Tabla32[[#This Row],[COLOR OFICIO]]-#REF!</f>
        <v>#REF!</v>
      </c>
      <c r="R415" s="1" t="e">
        <f>Tabla32[[#This Row],[ENVIAR]]-#REF!</f>
        <v>#REF!</v>
      </c>
      <c r="S415" s="1" t="e">
        <f>Tabla32[[#This Row],[COPIAR]]-#REF!</f>
        <v>#REF!</v>
      </c>
    </row>
    <row r="416" spans="1:19" x14ac:dyDescent="0.25">
      <c r="A416" t="s">
        <v>10</v>
      </c>
      <c r="B416" t="s">
        <v>471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K416" t="s">
        <v>10</v>
      </c>
      <c r="L416" t="s">
        <v>471</v>
      </c>
      <c r="M416" s="1" t="e">
        <f>Tabla32[[#This Row],[BN CARTA]]-#REF!</f>
        <v>#REF!</v>
      </c>
      <c r="N416" s="1" t="e">
        <f>Tabla32[[#This Row],[BN OFICIO]]-#REF!</f>
        <v>#REF!</v>
      </c>
      <c r="O416" s="1" t="e">
        <f>Tabla32[[#This Row],[BN DC]]-#REF!</f>
        <v>#REF!</v>
      </c>
      <c r="P416" s="1" t="e">
        <f>Tabla32[[#This Row],[COLOR CARTA]]-#REF!</f>
        <v>#REF!</v>
      </c>
      <c r="Q416" s="1" t="e">
        <f>Tabla32[[#This Row],[COLOR OFICIO]]-#REF!</f>
        <v>#REF!</v>
      </c>
      <c r="R416" s="1" t="e">
        <f>Tabla32[[#This Row],[ENVIAR]]-#REF!</f>
        <v>#REF!</v>
      </c>
      <c r="S416" s="1" t="e">
        <f>Tabla32[[#This Row],[COPIAR]]-#REF!</f>
        <v>#REF!</v>
      </c>
    </row>
    <row r="417" spans="1:19" x14ac:dyDescent="0.25">
      <c r="A417" t="s">
        <v>10</v>
      </c>
      <c r="B417" t="s">
        <v>472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K417" t="s">
        <v>10</v>
      </c>
      <c r="L417" t="s">
        <v>472</v>
      </c>
      <c r="M417" s="1" t="e">
        <f>Tabla32[[#This Row],[BN CARTA]]-#REF!</f>
        <v>#REF!</v>
      </c>
      <c r="N417" s="1" t="e">
        <f>Tabla32[[#This Row],[BN OFICIO]]-#REF!</f>
        <v>#REF!</v>
      </c>
      <c r="O417" s="1" t="e">
        <f>Tabla32[[#This Row],[BN DC]]-#REF!</f>
        <v>#REF!</v>
      </c>
      <c r="P417" s="1" t="e">
        <f>Tabla32[[#This Row],[COLOR CARTA]]-#REF!</f>
        <v>#REF!</v>
      </c>
      <c r="Q417" s="1" t="e">
        <f>Tabla32[[#This Row],[COLOR OFICIO]]-#REF!</f>
        <v>#REF!</v>
      </c>
      <c r="R417" s="1" t="e">
        <f>Tabla32[[#This Row],[ENVIAR]]-#REF!</f>
        <v>#REF!</v>
      </c>
      <c r="S417" s="1" t="e">
        <f>Tabla32[[#This Row],[COPIAR]]-#REF!</f>
        <v>#REF!</v>
      </c>
    </row>
    <row r="418" spans="1:19" x14ac:dyDescent="0.25">
      <c r="A418" t="s">
        <v>10</v>
      </c>
      <c r="B418" t="s">
        <v>473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K418" t="s">
        <v>10</v>
      </c>
      <c r="L418" t="s">
        <v>473</v>
      </c>
      <c r="M418" s="1" t="e">
        <f>Tabla32[[#This Row],[BN CARTA]]-#REF!</f>
        <v>#REF!</v>
      </c>
      <c r="N418" s="1" t="e">
        <f>Tabla32[[#This Row],[BN OFICIO]]-#REF!</f>
        <v>#REF!</v>
      </c>
      <c r="O418" s="1" t="e">
        <f>Tabla32[[#This Row],[BN DC]]-#REF!</f>
        <v>#REF!</v>
      </c>
      <c r="P418" s="1" t="e">
        <f>Tabla32[[#This Row],[COLOR CARTA]]-#REF!</f>
        <v>#REF!</v>
      </c>
      <c r="Q418" s="1" t="e">
        <f>Tabla32[[#This Row],[COLOR OFICIO]]-#REF!</f>
        <v>#REF!</v>
      </c>
      <c r="R418" s="1" t="e">
        <f>Tabla32[[#This Row],[ENVIAR]]-#REF!</f>
        <v>#REF!</v>
      </c>
      <c r="S418" s="1" t="e">
        <f>Tabla32[[#This Row],[COPIAR]]-#REF!</f>
        <v>#REF!</v>
      </c>
    </row>
    <row r="419" spans="1:19" x14ac:dyDescent="0.25">
      <c r="A419" t="s">
        <v>10</v>
      </c>
      <c r="B419" t="s">
        <v>474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K419" t="s">
        <v>10</v>
      </c>
      <c r="L419" t="s">
        <v>474</v>
      </c>
      <c r="M419" s="1" t="e">
        <f>Tabla32[[#This Row],[BN CARTA]]-#REF!</f>
        <v>#REF!</v>
      </c>
      <c r="N419" s="1" t="e">
        <f>Tabla32[[#This Row],[BN OFICIO]]-#REF!</f>
        <v>#REF!</v>
      </c>
      <c r="O419" s="1" t="e">
        <f>Tabla32[[#This Row],[BN DC]]-#REF!</f>
        <v>#REF!</v>
      </c>
      <c r="P419" s="1" t="e">
        <f>Tabla32[[#This Row],[COLOR CARTA]]-#REF!</f>
        <v>#REF!</v>
      </c>
      <c r="Q419" s="1" t="e">
        <f>Tabla32[[#This Row],[COLOR OFICIO]]-#REF!</f>
        <v>#REF!</v>
      </c>
      <c r="R419" s="1" t="e">
        <f>Tabla32[[#This Row],[ENVIAR]]-#REF!</f>
        <v>#REF!</v>
      </c>
      <c r="S419" s="1" t="e">
        <f>Tabla32[[#This Row],[COPIAR]]-#REF!</f>
        <v>#REF!</v>
      </c>
    </row>
    <row r="420" spans="1:19" x14ac:dyDescent="0.25">
      <c r="A420" t="s">
        <v>10</v>
      </c>
      <c r="B420" t="s">
        <v>475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K420" t="s">
        <v>10</v>
      </c>
      <c r="L420" t="s">
        <v>475</v>
      </c>
      <c r="M420" s="1" t="e">
        <f>Tabla32[[#This Row],[BN CARTA]]-#REF!</f>
        <v>#REF!</v>
      </c>
      <c r="N420" s="1" t="e">
        <f>Tabla32[[#This Row],[BN OFICIO]]-#REF!</f>
        <v>#REF!</v>
      </c>
      <c r="O420" s="1" t="e">
        <f>Tabla32[[#This Row],[BN DC]]-#REF!</f>
        <v>#REF!</v>
      </c>
      <c r="P420" s="1" t="e">
        <f>Tabla32[[#This Row],[COLOR CARTA]]-#REF!</f>
        <v>#REF!</v>
      </c>
      <c r="Q420" s="1" t="e">
        <f>Tabla32[[#This Row],[COLOR OFICIO]]-#REF!</f>
        <v>#REF!</v>
      </c>
      <c r="R420" s="1" t="e">
        <f>Tabla32[[#This Row],[ENVIAR]]-#REF!</f>
        <v>#REF!</v>
      </c>
      <c r="S420" s="1" t="e">
        <f>Tabla32[[#This Row],[COPIAR]]-#REF!</f>
        <v>#REF!</v>
      </c>
    </row>
    <row r="421" spans="1:19" x14ac:dyDescent="0.25">
      <c r="A421" t="s">
        <v>146</v>
      </c>
      <c r="B421" t="s">
        <v>476</v>
      </c>
      <c r="C421">
        <v>425</v>
      </c>
      <c r="D421">
        <v>0</v>
      </c>
      <c r="E421">
        <v>0</v>
      </c>
      <c r="F421">
        <v>0</v>
      </c>
      <c r="G421">
        <v>0</v>
      </c>
      <c r="H421">
        <v>17</v>
      </c>
      <c r="I421">
        <v>63</v>
      </c>
      <c r="K421" t="s">
        <v>146</v>
      </c>
      <c r="L421" t="s">
        <v>476</v>
      </c>
      <c r="M421" s="1" t="e">
        <f>Tabla32[[#This Row],[BN CARTA]]-#REF!</f>
        <v>#REF!</v>
      </c>
      <c r="N421" s="1" t="e">
        <f>Tabla32[[#This Row],[BN OFICIO]]-#REF!</f>
        <v>#REF!</v>
      </c>
      <c r="O421" s="1" t="e">
        <f>Tabla32[[#This Row],[BN DC]]-#REF!</f>
        <v>#REF!</v>
      </c>
      <c r="P421" s="1" t="e">
        <f>Tabla32[[#This Row],[COLOR CARTA]]-#REF!</f>
        <v>#REF!</v>
      </c>
      <c r="Q421" s="1" t="e">
        <f>Tabla32[[#This Row],[COLOR OFICIO]]-#REF!</f>
        <v>#REF!</v>
      </c>
      <c r="R421" s="1" t="e">
        <f>Tabla32[[#This Row],[ENVIAR]]-#REF!</f>
        <v>#REF!</v>
      </c>
      <c r="S421" s="1" t="e">
        <f>Tabla32[[#This Row],[COPIAR]]-#REF!</f>
        <v>#REF!</v>
      </c>
    </row>
    <row r="422" spans="1:19" x14ac:dyDescent="0.25">
      <c r="A422" t="s">
        <v>76</v>
      </c>
      <c r="B422" t="s">
        <v>477</v>
      </c>
      <c r="C422">
        <v>3623</v>
      </c>
      <c r="D422">
        <v>5</v>
      </c>
      <c r="E422">
        <v>0</v>
      </c>
      <c r="F422">
        <v>0</v>
      </c>
      <c r="G422">
        <v>0</v>
      </c>
      <c r="H422">
        <v>1534</v>
      </c>
      <c r="I422">
        <v>1087</v>
      </c>
      <c r="K422" t="s">
        <v>76</v>
      </c>
      <c r="L422" t="s">
        <v>477</v>
      </c>
      <c r="M422" s="1" t="e">
        <f>Tabla32[[#This Row],[BN CARTA]]-#REF!</f>
        <v>#REF!</v>
      </c>
      <c r="N422" s="1" t="e">
        <f>Tabla32[[#This Row],[BN OFICIO]]-#REF!</f>
        <v>#REF!</v>
      </c>
      <c r="O422" s="1" t="e">
        <f>Tabla32[[#This Row],[BN DC]]-#REF!</f>
        <v>#REF!</v>
      </c>
      <c r="P422" s="1" t="e">
        <f>Tabla32[[#This Row],[COLOR CARTA]]-#REF!</f>
        <v>#REF!</v>
      </c>
      <c r="Q422" s="1" t="e">
        <f>Tabla32[[#This Row],[COLOR OFICIO]]-#REF!</f>
        <v>#REF!</v>
      </c>
      <c r="R422" s="1" t="e">
        <f>Tabla32[[#This Row],[ENVIAR]]-#REF!</f>
        <v>#REF!</v>
      </c>
      <c r="S422" s="1" t="e">
        <f>Tabla32[[#This Row],[COPIAR]]-#REF!</f>
        <v>#REF!</v>
      </c>
    </row>
    <row r="423" spans="1:19" x14ac:dyDescent="0.25">
      <c r="A423" t="s">
        <v>76</v>
      </c>
      <c r="B423" t="s">
        <v>478</v>
      </c>
      <c r="C423">
        <v>2821</v>
      </c>
      <c r="D423">
        <v>0</v>
      </c>
      <c r="E423">
        <v>0</v>
      </c>
      <c r="F423">
        <v>0</v>
      </c>
      <c r="G423">
        <v>0</v>
      </c>
      <c r="H423">
        <v>1508</v>
      </c>
      <c r="I423">
        <v>434</v>
      </c>
      <c r="K423" t="s">
        <v>76</v>
      </c>
      <c r="L423" t="s">
        <v>478</v>
      </c>
      <c r="M423" s="1" t="e">
        <f>Tabla32[[#This Row],[BN CARTA]]-#REF!</f>
        <v>#REF!</v>
      </c>
      <c r="N423" s="1" t="e">
        <f>Tabla32[[#This Row],[BN OFICIO]]-#REF!</f>
        <v>#REF!</v>
      </c>
      <c r="O423" s="1" t="e">
        <f>Tabla32[[#This Row],[BN DC]]-#REF!</f>
        <v>#REF!</v>
      </c>
      <c r="P423" s="1" t="e">
        <f>Tabla32[[#This Row],[COLOR CARTA]]-#REF!</f>
        <v>#REF!</v>
      </c>
      <c r="Q423" s="1" t="e">
        <f>Tabla32[[#This Row],[COLOR OFICIO]]-#REF!</f>
        <v>#REF!</v>
      </c>
      <c r="R423" s="1" t="e">
        <f>Tabla32[[#This Row],[ENVIAR]]-#REF!</f>
        <v>#REF!</v>
      </c>
      <c r="S423" s="1" t="e">
        <f>Tabla32[[#This Row],[COPIAR]]-#REF!</f>
        <v>#REF!</v>
      </c>
    </row>
    <row r="424" spans="1:19" x14ac:dyDescent="0.25">
      <c r="A424" t="s">
        <v>10</v>
      </c>
      <c r="B424" t="s">
        <v>479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K424" t="s">
        <v>10</v>
      </c>
      <c r="L424" t="s">
        <v>479</v>
      </c>
      <c r="M424" s="1" t="e">
        <f>Tabla32[[#This Row],[BN CARTA]]-#REF!</f>
        <v>#REF!</v>
      </c>
      <c r="N424" s="1" t="e">
        <f>Tabla32[[#This Row],[BN OFICIO]]-#REF!</f>
        <v>#REF!</v>
      </c>
      <c r="O424" s="1" t="e">
        <f>Tabla32[[#This Row],[BN DC]]-#REF!</f>
        <v>#REF!</v>
      </c>
      <c r="P424" s="1" t="e">
        <f>Tabla32[[#This Row],[COLOR CARTA]]-#REF!</f>
        <v>#REF!</v>
      </c>
      <c r="Q424" s="1" t="e">
        <f>Tabla32[[#This Row],[COLOR OFICIO]]-#REF!</f>
        <v>#REF!</v>
      </c>
      <c r="R424" s="1" t="e">
        <f>Tabla32[[#This Row],[ENVIAR]]-#REF!</f>
        <v>#REF!</v>
      </c>
      <c r="S424" s="1" t="e">
        <f>Tabla32[[#This Row],[COPIAR]]-#REF!</f>
        <v>#REF!</v>
      </c>
    </row>
    <row r="425" spans="1:19" x14ac:dyDescent="0.25">
      <c r="A425" t="s">
        <v>83</v>
      </c>
      <c r="B425" t="s">
        <v>480</v>
      </c>
      <c r="C425">
        <v>862</v>
      </c>
      <c r="D425">
        <v>0</v>
      </c>
      <c r="E425">
        <v>0</v>
      </c>
      <c r="F425">
        <v>0</v>
      </c>
      <c r="G425">
        <v>0</v>
      </c>
      <c r="H425">
        <v>160</v>
      </c>
      <c r="I425">
        <v>71</v>
      </c>
      <c r="K425" t="s">
        <v>83</v>
      </c>
      <c r="L425" t="s">
        <v>480</v>
      </c>
      <c r="M425" s="1" t="e">
        <f>Tabla32[[#This Row],[BN CARTA]]-#REF!</f>
        <v>#REF!</v>
      </c>
      <c r="N425" s="1" t="e">
        <f>Tabla32[[#This Row],[BN OFICIO]]-#REF!</f>
        <v>#REF!</v>
      </c>
      <c r="O425" s="1" t="e">
        <f>Tabla32[[#This Row],[BN DC]]-#REF!</f>
        <v>#REF!</v>
      </c>
      <c r="P425" s="1" t="e">
        <f>Tabla32[[#This Row],[COLOR CARTA]]-#REF!</f>
        <v>#REF!</v>
      </c>
      <c r="Q425" s="1" t="e">
        <f>Tabla32[[#This Row],[COLOR OFICIO]]-#REF!</f>
        <v>#REF!</v>
      </c>
      <c r="R425" s="1" t="e">
        <f>Tabla32[[#This Row],[ENVIAR]]-#REF!</f>
        <v>#REF!</v>
      </c>
      <c r="S425" s="1" t="e">
        <f>Tabla32[[#This Row],[COPIAR]]-#REF!</f>
        <v>#REF!</v>
      </c>
    </row>
    <row r="426" spans="1:19" x14ac:dyDescent="0.25">
      <c r="A426" t="s">
        <v>10</v>
      </c>
      <c r="B426" t="s">
        <v>481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K426" t="s">
        <v>10</v>
      </c>
      <c r="L426" t="s">
        <v>481</v>
      </c>
      <c r="M426" s="1" t="e">
        <f>Tabla32[[#This Row],[BN CARTA]]-#REF!</f>
        <v>#REF!</v>
      </c>
      <c r="N426" s="1" t="e">
        <f>Tabla32[[#This Row],[BN OFICIO]]-#REF!</f>
        <v>#REF!</v>
      </c>
      <c r="O426" s="1" t="e">
        <f>Tabla32[[#This Row],[BN DC]]-#REF!</f>
        <v>#REF!</v>
      </c>
      <c r="P426" s="1" t="e">
        <f>Tabla32[[#This Row],[COLOR CARTA]]-#REF!</f>
        <v>#REF!</v>
      </c>
      <c r="Q426" s="1" t="e">
        <f>Tabla32[[#This Row],[COLOR OFICIO]]-#REF!</f>
        <v>#REF!</v>
      </c>
      <c r="R426" s="1" t="e">
        <f>Tabla32[[#This Row],[ENVIAR]]-#REF!</f>
        <v>#REF!</v>
      </c>
      <c r="S426" s="1" t="e">
        <f>Tabla32[[#This Row],[COPIAR]]-#REF!</f>
        <v>#REF!</v>
      </c>
    </row>
    <row r="427" spans="1:19" x14ac:dyDescent="0.25">
      <c r="A427" t="s">
        <v>10</v>
      </c>
      <c r="B427" t="s">
        <v>482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K427" t="s">
        <v>10</v>
      </c>
      <c r="L427" t="s">
        <v>482</v>
      </c>
      <c r="M427" s="1" t="e">
        <f>Tabla32[[#This Row],[BN CARTA]]-#REF!</f>
        <v>#REF!</v>
      </c>
      <c r="N427" s="1" t="e">
        <f>Tabla32[[#This Row],[BN OFICIO]]-#REF!</f>
        <v>#REF!</v>
      </c>
      <c r="O427" s="1" t="e">
        <f>Tabla32[[#This Row],[BN DC]]-#REF!</f>
        <v>#REF!</v>
      </c>
      <c r="P427" s="1" t="e">
        <f>Tabla32[[#This Row],[COLOR CARTA]]-#REF!</f>
        <v>#REF!</v>
      </c>
      <c r="Q427" s="1" t="e">
        <f>Tabla32[[#This Row],[COLOR OFICIO]]-#REF!</f>
        <v>#REF!</v>
      </c>
      <c r="R427" s="1" t="e">
        <f>Tabla32[[#This Row],[ENVIAR]]-#REF!</f>
        <v>#REF!</v>
      </c>
      <c r="S427" s="1" t="e">
        <f>Tabla32[[#This Row],[COPIAR]]-#REF!</f>
        <v>#REF!</v>
      </c>
    </row>
    <row r="428" spans="1:19" x14ac:dyDescent="0.25">
      <c r="A428" t="s">
        <v>72</v>
      </c>
      <c r="B428" t="s">
        <v>483</v>
      </c>
      <c r="C428">
        <v>1280</v>
      </c>
      <c r="D428">
        <v>64</v>
      </c>
      <c r="E428">
        <v>0</v>
      </c>
      <c r="F428">
        <v>0</v>
      </c>
      <c r="G428">
        <v>0</v>
      </c>
      <c r="H428">
        <v>4265</v>
      </c>
      <c r="I428">
        <v>82</v>
      </c>
      <c r="K428" t="s">
        <v>72</v>
      </c>
      <c r="L428" t="s">
        <v>483</v>
      </c>
      <c r="M428" s="1" t="e">
        <f>Tabla32[[#This Row],[BN CARTA]]-#REF!</f>
        <v>#REF!</v>
      </c>
      <c r="N428" s="1" t="e">
        <f>Tabla32[[#This Row],[BN OFICIO]]-#REF!</f>
        <v>#REF!</v>
      </c>
      <c r="O428" s="1" t="e">
        <f>Tabla32[[#This Row],[BN DC]]-#REF!</f>
        <v>#REF!</v>
      </c>
      <c r="P428" s="1" t="e">
        <f>Tabla32[[#This Row],[COLOR CARTA]]-#REF!</f>
        <v>#REF!</v>
      </c>
      <c r="Q428" s="1" t="e">
        <f>Tabla32[[#This Row],[COLOR OFICIO]]-#REF!</f>
        <v>#REF!</v>
      </c>
      <c r="R428" s="1" t="e">
        <f>Tabla32[[#This Row],[ENVIAR]]-#REF!</f>
        <v>#REF!</v>
      </c>
      <c r="S428" s="1" t="e">
        <f>Tabla32[[#This Row],[COPIAR]]-#REF!</f>
        <v>#REF!</v>
      </c>
    </row>
    <row r="429" spans="1:19" x14ac:dyDescent="0.25">
      <c r="A429" t="s">
        <v>10</v>
      </c>
      <c r="B429" t="s">
        <v>484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K429" t="s">
        <v>10</v>
      </c>
      <c r="L429" t="s">
        <v>484</v>
      </c>
      <c r="M429" s="1" t="e">
        <f>Tabla32[[#This Row],[BN CARTA]]-#REF!</f>
        <v>#REF!</v>
      </c>
      <c r="N429" s="1" t="e">
        <f>Tabla32[[#This Row],[BN OFICIO]]-#REF!</f>
        <v>#REF!</v>
      </c>
      <c r="O429" s="1" t="e">
        <f>Tabla32[[#This Row],[BN DC]]-#REF!</f>
        <v>#REF!</v>
      </c>
      <c r="P429" s="1" t="e">
        <f>Tabla32[[#This Row],[COLOR CARTA]]-#REF!</f>
        <v>#REF!</v>
      </c>
      <c r="Q429" s="1" t="e">
        <f>Tabla32[[#This Row],[COLOR OFICIO]]-#REF!</f>
        <v>#REF!</v>
      </c>
      <c r="R429" s="1" t="e">
        <f>Tabla32[[#This Row],[ENVIAR]]-#REF!</f>
        <v>#REF!</v>
      </c>
      <c r="S429" s="1" t="e">
        <f>Tabla32[[#This Row],[COPIAR]]-#REF!</f>
        <v>#REF!</v>
      </c>
    </row>
    <row r="430" spans="1:19" x14ac:dyDescent="0.25">
      <c r="A430" t="s">
        <v>10</v>
      </c>
      <c r="B430" t="s">
        <v>485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K430" t="s">
        <v>10</v>
      </c>
      <c r="L430" t="s">
        <v>485</v>
      </c>
      <c r="M430" s="1" t="e">
        <f>Tabla32[[#This Row],[BN CARTA]]-#REF!</f>
        <v>#REF!</v>
      </c>
      <c r="N430" s="1" t="e">
        <f>Tabla32[[#This Row],[BN OFICIO]]-#REF!</f>
        <v>#REF!</v>
      </c>
      <c r="O430" s="1" t="e">
        <f>Tabla32[[#This Row],[BN DC]]-#REF!</f>
        <v>#REF!</v>
      </c>
      <c r="P430" s="1" t="e">
        <f>Tabla32[[#This Row],[COLOR CARTA]]-#REF!</f>
        <v>#REF!</v>
      </c>
      <c r="Q430" s="1" t="e">
        <f>Tabla32[[#This Row],[COLOR OFICIO]]-#REF!</f>
        <v>#REF!</v>
      </c>
      <c r="R430" s="1" t="e">
        <f>Tabla32[[#This Row],[ENVIAR]]-#REF!</f>
        <v>#REF!</v>
      </c>
      <c r="S430" s="1" t="e">
        <f>Tabla32[[#This Row],[COPIAR]]-#REF!</f>
        <v>#REF!</v>
      </c>
    </row>
    <row r="431" spans="1:19" x14ac:dyDescent="0.25">
      <c r="A431" t="s">
        <v>10</v>
      </c>
      <c r="B431" t="s">
        <v>486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K431" t="s">
        <v>10</v>
      </c>
      <c r="L431" t="s">
        <v>486</v>
      </c>
      <c r="M431" s="1" t="e">
        <f>Tabla32[[#This Row],[BN CARTA]]-#REF!</f>
        <v>#REF!</v>
      </c>
      <c r="N431" s="1" t="e">
        <f>Tabla32[[#This Row],[BN OFICIO]]-#REF!</f>
        <v>#REF!</v>
      </c>
      <c r="O431" s="1" t="e">
        <f>Tabla32[[#This Row],[BN DC]]-#REF!</f>
        <v>#REF!</v>
      </c>
      <c r="P431" s="1" t="e">
        <f>Tabla32[[#This Row],[COLOR CARTA]]-#REF!</f>
        <v>#REF!</v>
      </c>
      <c r="Q431" s="1" t="e">
        <f>Tabla32[[#This Row],[COLOR OFICIO]]-#REF!</f>
        <v>#REF!</v>
      </c>
      <c r="R431" s="1" t="e">
        <f>Tabla32[[#This Row],[ENVIAR]]-#REF!</f>
        <v>#REF!</v>
      </c>
      <c r="S431" s="1" t="e">
        <f>Tabla32[[#This Row],[COPIAR]]-#REF!</f>
        <v>#REF!</v>
      </c>
    </row>
    <row r="432" spans="1:19" x14ac:dyDescent="0.25">
      <c r="A432" t="s">
        <v>10</v>
      </c>
      <c r="B432" t="s">
        <v>487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K432" t="s">
        <v>10</v>
      </c>
      <c r="L432" t="s">
        <v>487</v>
      </c>
      <c r="M432" s="1" t="e">
        <f>Tabla32[[#This Row],[BN CARTA]]-#REF!</f>
        <v>#REF!</v>
      </c>
      <c r="N432" s="1" t="e">
        <f>Tabla32[[#This Row],[BN OFICIO]]-#REF!</f>
        <v>#REF!</v>
      </c>
      <c r="O432" s="1" t="e">
        <f>Tabla32[[#This Row],[BN DC]]-#REF!</f>
        <v>#REF!</v>
      </c>
      <c r="P432" s="1" t="e">
        <f>Tabla32[[#This Row],[COLOR CARTA]]-#REF!</f>
        <v>#REF!</v>
      </c>
      <c r="Q432" s="1" t="e">
        <f>Tabla32[[#This Row],[COLOR OFICIO]]-#REF!</f>
        <v>#REF!</v>
      </c>
      <c r="R432" s="1" t="e">
        <f>Tabla32[[#This Row],[ENVIAR]]-#REF!</f>
        <v>#REF!</v>
      </c>
      <c r="S432" s="1" t="e">
        <f>Tabla32[[#This Row],[COPIAR]]-#REF!</f>
        <v>#REF!</v>
      </c>
    </row>
    <row r="433" spans="1:19" x14ac:dyDescent="0.25">
      <c r="A433" t="s">
        <v>226</v>
      </c>
      <c r="B433" t="s">
        <v>488</v>
      </c>
      <c r="C433">
        <v>2777</v>
      </c>
      <c r="D433">
        <v>0</v>
      </c>
      <c r="E433">
        <v>0</v>
      </c>
      <c r="F433">
        <v>0</v>
      </c>
      <c r="G433">
        <v>0</v>
      </c>
      <c r="H433">
        <v>639</v>
      </c>
      <c r="I433">
        <v>405</v>
      </c>
      <c r="K433" t="s">
        <v>226</v>
      </c>
      <c r="L433" t="s">
        <v>488</v>
      </c>
      <c r="M433" s="1" t="e">
        <f>Tabla32[[#This Row],[BN CARTA]]-#REF!</f>
        <v>#REF!</v>
      </c>
      <c r="N433" s="1" t="e">
        <f>Tabla32[[#This Row],[BN OFICIO]]-#REF!</f>
        <v>#REF!</v>
      </c>
      <c r="O433" s="1" t="e">
        <f>Tabla32[[#This Row],[BN DC]]-#REF!</f>
        <v>#REF!</v>
      </c>
      <c r="P433" s="1" t="e">
        <f>Tabla32[[#This Row],[COLOR CARTA]]-#REF!</f>
        <v>#REF!</v>
      </c>
      <c r="Q433" s="1" t="e">
        <f>Tabla32[[#This Row],[COLOR OFICIO]]-#REF!</f>
        <v>#REF!</v>
      </c>
      <c r="R433" s="1" t="e">
        <f>Tabla32[[#This Row],[ENVIAR]]-#REF!</f>
        <v>#REF!</v>
      </c>
      <c r="S433" s="1" t="e">
        <f>Tabla32[[#This Row],[COPIAR]]-#REF!</f>
        <v>#REF!</v>
      </c>
    </row>
    <row r="434" spans="1:19" x14ac:dyDescent="0.25">
      <c r="A434" t="s">
        <v>10</v>
      </c>
      <c r="B434" t="s">
        <v>489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K434" t="s">
        <v>10</v>
      </c>
      <c r="L434" t="s">
        <v>489</v>
      </c>
      <c r="M434" s="1" t="e">
        <f>Tabla32[[#This Row],[BN CARTA]]-#REF!</f>
        <v>#REF!</v>
      </c>
      <c r="N434" s="1" t="e">
        <f>Tabla32[[#This Row],[BN OFICIO]]-#REF!</f>
        <v>#REF!</v>
      </c>
      <c r="O434" s="1" t="e">
        <f>Tabla32[[#This Row],[BN DC]]-#REF!</f>
        <v>#REF!</v>
      </c>
      <c r="P434" s="1" t="e">
        <f>Tabla32[[#This Row],[COLOR CARTA]]-#REF!</f>
        <v>#REF!</v>
      </c>
      <c r="Q434" s="1" t="e">
        <f>Tabla32[[#This Row],[COLOR OFICIO]]-#REF!</f>
        <v>#REF!</v>
      </c>
      <c r="R434" s="1" t="e">
        <f>Tabla32[[#This Row],[ENVIAR]]-#REF!</f>
        <v>#REF!</v>
      </c>
      <c r="S434" s="1" t="e">
        <f>Tabla32[[#This Row],[COPIAR]]-#REF!</f>
        <v>#REF!</v>
      </c>
    </row>
    <row r="435" spans="1:19" x14ac:dyDescent="0.25">
      <c r="A435" t="s">
        <v>10</v>
      </c>
      <c r="B435" t="s">
        <v>490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K435" t="s">
        <v>10</v>
      </c>
      <c r="L435" t="s">
        <v>490</v>
      </c>
      <c r="M435" s="1" t="e">
        <f>Tabla32[[#This Row],[BN CARTA]]-#REF!</f>
        <v>#REF!</v>
      </c>
      <c r="N435" s="1" t="e">
        <f>Tabla32[[#This Row],[BN OFICIO]]-#REF!</f>
        <v>#REF!</v>
      </c>
      <c r="O435" s="1" t="e">
        <f>Tabla32[[#This Row],[BN DC]]-#REF!</f>
        <v>#REF!</v>
      </c>
      <c r="P435" s="1" t="e">
        <f>Tabla32[[#This Row],[COLOR CARTA]]-#REF!</f>
        <v>#REF!</v>
      </c>
      <c r="Q435" s="1" t="e">
        <f>Tabla32[[#This Row],[COLOR OFICIO]]-#REF!</f>
        <v>#REF!</v>
      </c>
      <c r="R435" s="1" t="e">
        <f>Tabla32[[#This Row],[ENVIAR]]-#REF!</f>
        <v>#REF!</v>
      </c>
      <c r="S435" s="1" t="e">
        <f>Tabla32[[#This Row],[COPIAR]]-#REF!</f>
        <v>#REF!</v>
      </c>
    </row>
    <row r="436" spans="1:19" x14ac:dyDescent="0.25">
      <c r="A436" t="s">
        <v>10</v>
      </c>
      <c r="B436" t="s">
        <v>491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K436" t="s">
        <v>10</v>
      </c>
      <c r="L436" t="s">
        <v>491</v>
      </c>
      <c r="M436" s="1" t="e">
        <f>Tabla32[[#This Row],[BN CARTA]]-#REF!</f>
        <v>#REF!</v>
      </c>
      <c r="N436" s="1" t="e">
        <f>Tabla32[[#This Row],[BN OFICIO]]-#REF!</f>
        <v>#REF!</v>
      </c>
      <c r="O436" s="1" t="e">
        <f>Tabla32[[#This Row],[BN DC]]-#REF!</f>
        <v>#REF!</v>
      </c>
      <c r="P436" s="1" t="e">
        <f>Tabla32[[#This Row],[COLOR CARTA]]-#REF!</f>
        <v>#REF!</v>
      </c>
      <c r="Q436" s="1" t="e">
        <f>Tabla32[[#This Row],[COLOR OFICIO]]-#REF!</f>
        <v>#REF!</v>
      </c>
      <c r="R436" s="1" t="e">
        <f>Tabla32[[#This Row],[ENVIAR]]-#REF!</f>
        <v>#REF!</v>
      </c>
      <c r="S436" s="1" t="e">
        <f>Tabla32[[#This Row],[COPIAR]]-#REF!</f>
        <v>#REF!</v>
      </c>
    </row>
    <row r="437" spans="1:19" x14ac:dyDescent="0.25">
      <c r="A437" t="s">
        <v>10</v>
      </c>
      <c r="B437" t="s">
        <v>492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K437" t="s">
        <v>10</v>
      </c>
      <c r="L437" t="s">
        <v>492</v>
      </c>
      <c r="M437" s="1" t="e">
        <f>Tabla32[[#This Row],[BN CARTA]]-#REF!</f>
        <v>#REF!</v>
      </c>
      <c r="N437" s="1" t="e">
        <f>Tabla32[[#This Row],[BN OFICIO]]-#REF!</f>
        <v>#REF!</v>
      </c>
      <c r="O437" s="1" t="e">
        <f>Tabla32[[#This Row],[BN DC]]-#REF!</f>
        <v>#REF!</v>
      </c>
      <c r="P437" s="1" t="e">
        <f>Tabla32[[#This Row],[COLOR CARTA]]-#REF!</f>
        <v>#REF!</v>
      </c>
      <c r="Q437" s="1" t="e">
        <f>Tabla32[[#This Row],[COLOR OFICIO]]-#REF!</f>
        <v>#REF!</v>
      </c>
      <c r="R437" s="1" t="e">
        <f>Tabla32[[#This Row],[ENVIAR]]-#REF!</f>
        <v>#REF!</v>
      </c>
      <c r="S437" s="1" t="e">
        <f>Tabla32[[#This Row],[COPIAR]]-#REF!</f>
        <v>#REF!</v>
      </c>
    </row>
    <row r="438" spans="1:19" x14ac:dyDescent="0.25">
      <c r="A438" t="s">
        <v>10</v>
      </c>
      <c r="B438" t="s">
        <v>493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K438" t="s">
        <v>10</v>
      </c>
      <c r="L438" t="s">
        <v>493</v>
      </c>
      <c r="M438" s="1" t="e">
        <f>Tabla32[[#This Row],[BN CARTA]]-#REF!</f>
        <v>#REF!</v>
      </c>
      <c r="N438" s="1" t="e">
        <f>Tabla32[[#This Row],[BN OFICIO]]-#REF!</f>
        <v>#REF!</v>
      </c>
      <c r="O438" s="1" t="e">
        <f>Tabla32[[#This Row],[BN DC]]-#REF!</f>
        <v>#REF!</v>
      </c>
      <c r="P438" s="1" t="e">
        <f>Tabla32[[#This Row],[COLOR CARTA]]-#REF!</f>
        <v>#REF!</v>
      </c>
      <c r="Q438" s="1" t="e">
        <f>Tabla32[[#This Row],[COLOR OFICIO]]-#REF!</f>
        <v>#REF!</v>
      </c>
      <c r="R438" s="1" t="e">
        <f>Tabla32[[#This Row],[ENVIAR]]-#REF!</f>
        <v>#REF!</v>
      </c>
      <c r="S438" s="1" t="e">
        <f>Tabla32[[#This Row],[COPIAR]]-#REF!</f>
        <v>#REF!</v>
      </c>
    </row>
    <row r="439" spans="1:19" x14ac:dyDescent="0.25">
      <c r="A439" t="s">
        <v>138</v>
      </c>
      <c r="B439" t="s">
        <v>494</v>
      </c>
      <c r="C439">
        <v>237</v>
      </c>
      <c r="D439">
        <v>0</v>
      </c>
      <c r="E439">
        <v>0</v>
      </c>
      <c r="F439">
        <v>0</v>
      </c>
      <c r="G439">
        <v>0</v>
      </c>
      <c r="H439">
        <v>2797</v>
      </c>
      <c r="I439">
        <v>103</v>
      </c>
      <c r="K439" t="s">
        <v>138</v>
      </c>
      <c r="L439" t="s">
        <v>494</v>
      </c>
      <c r="M439" s="1" t="e">
        <f>Tabla32[[#This Row],[BN CARTA]]-#REF!</f>
        <v>#REF!</v>
      </c>
      <c r="N439" s="1" t="e">
        <f>Tabla32[[#This Row],[BN OFICIO]]-#REF!</f>
        <v>#REF!</v>
      </c>
      <c r="O439" s="1" t="e">
        <f>Tabla32[[#This Row],[BN DC]]-#REF!</f>
        <v>#REF!</v>
      </c>
      <c r="P439" s="1" t="e">
        <f>Tabla32[[#This Row],[COLOR CARTA]]-#REF!</f>
        <v>#REF!</v>
      </c>
      <c r="Q439" s="1" t="e">
        <f>Tabla32[[#This Row],[COLOR OFICIO]]-#REF!</f>
        <v>#REF!</v>
      </c>
      <c r="R439" s="1" t="e">
        <f>Tabla32[[#This Row],[ENVIAR]]-#REF!</f>
        <v>#REF!</v>
      </c>
      <c r="S439" s="1" t="e">
        <f>Tabla32[[#This Row],[COPIAR]]-#REF!</f>
        <v>#REF!</v>
      </c>
    </row>
    <row r="440" spans="1:19" x14ac:dyDescent="0.25">
      <c r="A440" t="s">
        <v>495</v>
      </c>
      <c r="B440" t="s">
        <v>496</v>
      </c>
      <c r="C440">
        <v>1025</v>
      </c>
      <c r="D440">
        <v>13</v>
      </c>
      <c r="E440">
        <v>0</v>
      </c>
      <c r="F440">
        <v>0</v>
      </c>
      <c r="G440">
        <v>0</v>
      </c>
      <c r="H440">
        <v>200</v>
      </c>
      <c r="I440">
        <v>236</v>
      </c>
      <c r="K440" t="s">
        <v>495</v>
      </c>
      <c r="L440" t="s">
        <v>496</v>
      </c>
      <c r="M440" s="1" t="e">
        <f>Tabla32[[#This Row],[BN CARTA]]-#REF!</f>
        <v>#REF!</v>
      </c>
      <c r="N440" s="1" t="e">
        <f>Tabla32[[#This Row],[BN OFICIO]]-#REF!</f>
        <v>#REF!</v>
      </c>
      <c r="O440" s="1" t="e">
        <f>Tabla32[[#This Row],[BN DC]]-#REF!</f>
        <v>#REF!</v>
      </c>
      <c r="P440" s="1" t="e">
        <f>Tabla32[[#This Row],[COLOR CARTA]]-#REF!</f>
        <v>#REF!</v>
      </c>
      <c r="Q440" s="1" t="e">
        <f>Tabla32[[#This Row],[COLOR OFICIO]]-#REF!</f>
        <v>#REF!</v>
      </c>
      <c r="R440" s="1" t="e">
        <f>Tabla32[[#This Row],[ENVIAR]]-#REF!</f>
        <v>#REF!</v>
      </c>
      <c r="S440" s="1" t="e">
        <f>Tabla32[[#This Row],[COPIAR]]-#REF!</f>
        <v>#REF!</v>
      </c>
    </row>
    <row r="441" spans="1:19" x14ac:dyDescent="0.25">
      <c r="A441" t="s">
        <v>10</v>
      </c>
      <c r="B441" t="s">
        <v>497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K441" t="s">
        <v>10</v>
      </c>
      <c r="L441" t="s">
        <v>497</v>
      </c>
      <c r="M441" s="1" t="e">
        <f>Tabla32[[#This Row],[BN CARTA]]-#REF!</f>
        <v>#REF!</v>
      </c>
      <c r="N441" s="1" t="e">
        <f>Tabla32[[#This Row],[BN OFICIO]]-#REF!</f>
        <v>#REF!</v>
      </c>
      <c r="O441" s="1" t="e">
        <f>Tabla32[[#This Row],[BN DC]]-#REF!</f>
        <v>#REF!</v>
      </c>
      <c r="P441" s="1" t="e">
        <f>Tabla32[[#This Row],[COLOR CARTA]]-#REF!</f>
        <v>#REF!</v>
      </c>
      <c r="Q441" s="1" t="e">
        <f>Tabla32[[#This Row],[COLOR OFICIO]]-#REF!</f>
        <v>#REF!</v>
      </c>
      <c r="R441" s="1" t="e">
        <f>Tabla32[[#This Row],[ENVIAR]]-#REF!</f>
        <v>#REF!</v>
      </c>
      <c r="S441" s="1" t="e">
        <f>Tabla32[[#This Row],[COPIAR]]-#REF!</f>
        <v>#REF!</v>
      </c>
    </row>
    <row r="442" spans="1:19" x14ac:dyDescent="0.25">
      <c r="A442" t="s">
        <v>10</v>
      </c>
      <c r="B442" t="s">
        <v>498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K442" t="s">
        <v>10</v>
      </c>
      <c r="L442" t="s">
        <v>498</v>
      </c>
      <c r="M442" s="1" t="e">
        <f>Tabla32[[#This Row],[BN CARTA]]-#REF!</f>
        <v>#REF!</v>
      </c>
      <c r="N442" s="1" t="e">
        <f>Tabla32[[#This Row],[BN OFICIO]]-#REF!</f>
        <v>#REF!</v>
      </c>
      <c r="O442" s="1" t="e">
        <f>Tabla32[[#This Row],[BN DC]]-#REF!</f>
        <v>#REF!</v>
      </c>
      <c r="P442" s="1" t="e">
        <f>Tabla32[[#This Row],[COLOR CARTA]]-#REF!</f>
        <v>#REF!</v>
      </c>
      <c r="Q442" s="1" t="e">
        <f>Tabla32[[#This Row],[COLOR OFICIO]]-#REF!</f>
        <v>#REF!</v>
      </c>
      <c r="R442" s="1" t="e">
        <f>Tabla32[[#This Row],[ENVIAR]]-#REF!</f>
        <v>#REF!</v>
      </c>
      <c r="S442" s="1" t="e">
        <f>Tabla32[[#This Row],[COPIAR]]-#REF!</f>
        <v>#REF!</v>
      </c>
    </row>
    <row r="443" spans="1:19" x14ac:dyDescent="0.25">
      <c r="A443" t="s">
        <v>10</v>
      </c>
      <c r="B443" t="s">
        <v>499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K443" t="s">
        <v>10</v>
      </c>
      <c r="L443" t="s">
        <v>499</v>
      </c>
      <c r="M443" s="1" t="e">
        <f>Tabla32[[#This Row],[BN CARTA]]-#REF!</f>
        <v>#REF!</v>
      </c>
      <c r="N443" s="1" t="e">
        <f>Tabla32[[#This Row],[BN OFICIO]]-#REF!</f>
        <v>#REF!</v>
      </c>
      <c r="O443" s="1" t="e">
        <f>Tabla32[[#This Row],[BN DC]]-#REF!</f>
        <v>#REF!</v>
      </c>
      <c r="P443" s="1" t="e">
        <f>Tabla32[[#This Row],[COLOR CARTA]]-#REF!</f>
        <v>#REF!</v>
      </c>
      <c r="Q443" s="1" t="e">
        <f>Tabla32[[#This Row],[COLOR OFICIO]]-#REF!</f>
        <v>#REF!</v>
      </c>
      <c r="R443" s="1" t="e">
        <f>Tabla32[[#This Row],[ENVIAR]]-#REF!</f>
        <v>#REF!</v>
      </c>
      <c r="S443" s="1" t="e">
        <f>Tabla32[[#This Row],[COPIAR]]-#REF!</f>
        <v>#REF!</v>
      </c>
    </row>
    <row r="444" spans="1:19" x14ac:dyDescent="0.25">
      <c r="A444" t="s">
        <v>10</v>
      </c>
      <c r="B444" t="s">
        <v>500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K444" t="s">
        <v>10</v>
      </c>
      <c r="L444" t="s">
        <v>500</v>
      </c>
      <c r="M444" s="1" t="e">
        <f>Tabla32[[#This Row],[BN CARTA]]-#REF!</f>
        <v>#REF!</v>
      </c>
      <c r="N444" s="1" t="e">
        <f>Tabla32[[#This Row],[BN OFICIO]]-#REF!</f>
        <v>#REF!</v>
      </c>
      <c r="O444" s="1" t="e">
        <f>Tabla32[[#This Row],[BN DC]]-#REF!</f>
        <v>#REF!</v>
      </c>
      <c r="P444" s="1" t="e">
        <f>Tabla32[[#This Row],[COLOR CARTA]]-#REF!</f>
        <v>#REF!</v>
      </c>
      <c r="Q444" s="1" t="e">
        <f>Tabla32[[#This Row],[COLOR OFICIO]]-#REF!</f>
        <v>#REF!</v>
      </c>
      <c r="R444" s="1" t="e">
        <f>Tabla32[[#This Row],[ENVIAR]]-#REF!</f>
        <v>#REF!</v>
      </c>
      <c r="S444" s="1" t="e">
        <f>Tabla32[[#This Row],[COPIAR]]-#REF!</f>
        <v>#REF!</v>
      </c>
    </row>
    <row r="445" spans="1:19" x14ac:dyDescent="0.25">
      <c r="A445" t="s">
        <v>10</v>
      </c>
      <c r="B445" t="s">
        <v>501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K445" t="s">
        <v>10</v>
      </c>
      <c r="L445" t="s">
        <v>501</v>
      </c>
      <c r="M445" s="1" t="e">
        <f>Tabla32[[#This Row],[BN CARTA]]-#REF!</f>
        <v>#REF!</v>
      </c>
      <c r="N445" s="1" t="e">
        <f>Tabla32[[#This Row],[BN OFICIO]]-#REF!</f>
        <v>#REF!</v>
      </c>
      <c r="O445" s="1" t="e">
        <f>Tabla32[[#This Row],[BN DC]]-#REF!</f>
        <v>#REF!</v>
      </c>
      <c r="P445" s="1" t="e">
        <f>Tabla32[[#This Row],[COLOR CARTA]]-#REF!</f>
        <v>#REF!</v>
      </c>
      <c r="Q445" s="1" t="e">
        <f>Tabla32[[#This Row],[COLOR OFICIO]]-#REF!</f>
        <v>#REF!</v>
      </c>
      <c r="R445" s="1" t="e">
        <f>Tabla32[[#This Row],[ENVIAR]]-#REF!</f>
        <v>#REF!</v>
      </c>
      <c r="S445" s="1" t="e">
        <f>Tabla32[[#This Row],[COPIAR]]-#REF!</f>
        <v>#REF!</v>
      </c>
    </row>
    <row r="446" spans="1:19" x14ac:dyDescent="0.25">
      <c r="A446" t="s">
        <v>10</v>
      </c>
      <c r="B446" t="s">
        <v>502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K446" t="s">
        <v>10</v>
      </c>
      <c r="L446" t="s">
        <v>502</v>
      </c>
      <c r="M446" s="1" t="e">
        <f>Tabla32[[#This Row],[BN CARTA]]-#REF!</f>
        <v>#REF!</v>
      </c>
      <c r="N446" s="1" t="e">
        <f>Tabla32[[#This Row],[BN OFICIO]]-#REF!</f>
        <v>#REF!</v>
      </c>
      <c r="O446" s="1" t="e">
        <f>Tabla32[[#This Row],[BN DC]]-#REF!</f>
        <v>#REF!</v>
      </c>
      <c r="P446" s="1" t="e">
        <f>Tabla32[[#This Row],[COLOR CARTA]]-#REF!</f>
        <v>#REF!</v>
      </c>
      <c r="Q446" s="1" t="e">
        <f>Tabla32[[#This Row],[COLOR OFICIO]]-#REF!</f>
        <v>#REF!</v>
      </c>
      <c r="R446" s="1" t="e">
        <f>Tabla32[[#This Row],[ENVIAR]]-#REF!</f>
        <v>#REF!</v>
      </c>
      <c r="S446" s="1" t="e">
        <f>Tabla32[[#This Row],[COPIAR]]-#REF!</f>
        <v>#REF!</v>
      </c>
    </row>
    <row r="447" spans="1:19" x14ac:dyDescent="0.25">
      <c r="A447" t="s">
        <v>150</v>
      </c>
      <c r="B447" t="s">
        <v>503</v>
      </c>
      <c r="C447">
        <v>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K447" t="s">
        <v>150</v>
      </c>
      <c r="L447" t="s">
        <v>503</v>
      </c>
      <c r="M447" s="1" t="e">
        <f>Tabla32[[#This Row],[BN CARTA]]-#REF!</f>
        <v>#REF!</v>
      </c>
      <c r="N447" s="1" t="e">
        <f>Tabla32[[#This Row],[BN OFICIO]]-#REF!</f>
        <v>#REF!</v>
      </c>
      <c r="O447" s="1" t="e">
        <f>Tabla32[[#This Row],[BN DC]]-#REF!</f>
        <v>#REF!</v>
      </c>
      <c r="P447" s="1" t="e">
        <f>Tabla32[[#This Row],[COLOR CARTA]]-#REF!</f>
        <v>#REF!</v>
      </c>
      <c r="Q447" s="1" t="e">
        <f>Tabla32[[#This Row],[COLOR OFICIO]]-#REF!</f>
        <v>#REF!</v>
      </c>
      <c r="R447" s="1" t="e">
        <f>Tabla32[[#This Row],[ENVIAR]]-#REF!</f>
        <v>#REF!</v>
      </c>
      <c r="S447" s="1" t="e">
        <f>Tabla32[[#This Row],[COPIAR]]-#REF!</f>
        <v>#REF!</v>
      </c>
    </row>
    <row r="448" spans="1:19" x14ac:dyDescent="0.25">
      <c r="A448" t="s">
        <v>10</v>
      </c>
      <c r="B448" t="s">
        <v>504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K448" t="s">
        <v>10</v>
      </c>
      <c r="L448" t="s">
        <v>504</v>
      </c>
      <c r="M448" s="1" t="e">
        <f>Tabla32[[#This Row],[BN CARTA]]-#REF!</f>
        <v>#REF!</v>
      </c>
      <c r="N448" s="1" t="e">
        <f>Tabla32[[#This Row],[BN OFICIO]]-#REF!</f>
        <v>#REF!</v>
      </c>
      <c r="O448" s="1" t="e">
        <f>Tabla32[[#This Row],[BN DC]]-#REF!</f>
        <v>#REF!</v>
      </c>
      <c r="P448" s="1" t="e">
        <f>Tabla32[[#This Row],[COLOR CARTA]]-#REF!</f>
        <v>#REF!</v>
      </c>
      <c r="Q448" s="1" t="e">
        <f>Tabla32[[#This Row],[COLOR OFICIO]]-#REF!</f>
        <v>#REF!</v>
      </c>
      <c r="R448" s="1" t="e">
        <f>Tabla32[[#This Row],[ENVIAR]]-#REF!</f>
        <v>#REF!</v>
      </c>
      <c r="S448" s="1" t="e">
        <f>Tabla32[[#This Row],[COPIAR]]-#REF!</f>
        <v>#REF!</v>
      </c>
    </row>
    <row r="449" spans="1:19" x14ac:dyDescent="0.25">
      <c r="A449" t="s">
        <v>10</v>
      </c>
      <c r="B449" t="s">
        <v>505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K449" t="s">
        <v>10</v>
      </c>
      <c r="L449" t="s">
        <v>505</v>
      </c>
      <c r="M449" s="1" t="e">
        <f>Tabla32[[#This Row],[BN CARTA]]-#REF!</f>
        <v>#REF!</v>
      </c>
      <c r="N449" s="1" t="e">
        <f>Tabla32[[#This Row],[BN OFICIO]]-#REF!</f>
        <v>#REF!</v>
      </c>
      <c r="O449" s="1" t="e">
        <f>Tabla32[[#This Row],[BN DC]]-#REF!</f>
        <v>#REF!</v>
      </c>
      <c r="P449" s="1" t="e">
        <f>Tabla32[[#This Row],[COLOR CARTA]]-#REF!</f>
        <v>#REF!</v>
      </c>
      <c r="Q449" s="1" t="e">
        <f>Tabla32[[#This Row],[COLOR OFICIO]]-#REF!</f>
        <v>#REF!</v>
      </c>
      <c r="R449" s="1" t="e">
        <f>Tabla32[[#This Row],[ENVIAR]]-#REF!</f>
        <v>#REF!</v>
      </c>
      <c r="S449" s="1" t="e">
        <f>Tabla32[[#This Row],[COPIAR]]-#REF!</f>
        <v>#REF!</v>
      </c>
    </row>
    <row r="450" spans="1:19" x14ac:dyDescent="0.25">
      <c r="A450" t="s">
        <v>10</v>
      </c>
      <c r="B450" t="s">
        <v>506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K450" t="s">
        <v>10</v>
      </c>
      <c r="L450" t="s">
        <v>506</v>
      </c>
      <c r="M450" s="1" t="e">
        <f>Tabla32[[#This Row],[BN CARTA]]-#REF!</f>
        <v>#REF!</v>
      </c>
      <c r="N450" s="1" t="e">
        <f>Tabla32[[#This Row],[BN OFICIO]]-#REF!</f>
        <v>#REF!</v>
      </c>
      <c r="O450" s="1" t="e">
        <f>Tabla32[[#This Row],[BN DC]]-#REF!</f>
        <v>#REF!</v>
      </c>
      <c r="P450" s="1" t="e">
        <f>Tabla32[[#This Row],[COLOR CARTA]]-#REF!</f>
        <v>#REF!</v>
      </c>
      <c r="Q450" s="1" t="e">
        <f>Tabla32[[#This Row],[COLOR OFICIO]]-#REF!</f>
        <v>#REF!</v>
      </c>
      <c r="R450" s="1" t="e">
        <f>Tabla32[[#This Row],[ENVIAR]]-#REF!</f>
        <v>#REF!</v>
      </c>
      <c r="S450" s="1" t="e">
        <f>Tabla32[[#This Row],[COPIAR]]-#REF!</f>
        <v>#REF!</v>
      </c>
    </row>
    <row r="451" spans="1:19" x14ac:dyDescent="0.25">
      <c r="A451" t="s">
        <v>10</v>
      </c>
      <c r="B451" t="s">
        <v>507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K451" t="s">
        <v>10</v>
      </c>
      <c r="L451" t="s">
        <v>507</v>
      </c>
      <c r="M451" s="1" t="e">
        <f>Tabla32[[#This Row],[BN CARTA]]-#REF!</f>
        <v>#REF!</v>
      </c>
      <c r="N451" s="1" t="e">
        <f>Tabla32[[#This Row],[BN OFICIO]]-#REF!</f>
        <v>#REF!</v>
      </c>
      <c r="O451" s="1" t="e">
        <f>Tabla32[[#This Row],[BN DC]]-#REF!</f>
        <v>#REF!</v>
      </c>
      <c r="P451" s="1" t="e">
        <f>Tabla32[[#This Row],[COLOR CARTA]]-#REF!</f>
        <v>#REF!</v>
      </c>
      <c r="Q451" s="1" t="e">
        <f>Tabla32[[#This Row],[COLOR OFICIO]]-#REF!</f>
        <v>#REF!</v>
      </c>
      <c r="R451" s="1" t="e">
        <f>Tabla32[[#This Row],[ENVIAR]]-#REF!</f>
        <v>#REF!</v>
      </c>
      <c r="S451" s="1" t="e">
        <f>Tabla32[[#This Row],[COPIAR]]-#REF!</f>
        <v>#REF!</v>
      </c>
    </row>
    <row r="452" spans="1:19" x14ac:dyDescent="0.25">
      <c r="A452" t="s">
        <v>10</v>
      </c>
      <c r="B452" t="s">
        <v>508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K452" t="s">
        <v>10</v>
      </c>
      <c r="L452" t="s">
        <v>508</v>
      </c>
      <c r="M452" s="1" t="e">
        <f>Tabla32[[#This Row],[BN CARTA]]-#REF!</f>
        <v>#REF!</v>
      </c>
      <c r="N452" s="1" t="e">
        <f>Tabla32[[#This Row],[BN OFICIO]]-#REF!</f>
        <v>#REF!</v>
      </c>
      <c r="O452" s="1" t="e">
        <f>Tabla32[[#This Row],[BN DC]]-#REF!</f>
        <v>#REF!</v>
      </c>
      <c r="P452" s="1" t="e">
        <f>Tabla32[[#This Row],[COLOR CARTA]]-#REF!</f>
        <v>#REF!</v>
      </c>
      <c r="Q452" s="1" t="e">
        <f>Tabla32[[#This Row],[COLOR OFICIO]]-#REF!</f>
        <v>#REF!</v>
      </c>
      <c r="R452" s="1" t="e">
        <f>Tabla32[[#This Row],[ENVIAR]]-#REF!</f>
        <v>#REF!</v>
      </c>
      <c r="S452" s="1" t="e">
        <f>Tabla32[[#This Row],[COPIAR]]-#REF!</f>
        <v>#REF!</v>
      </c>
    </row>
    <row r="453" spans="1:19" x14ac:dyDescent="0.25">
      <c r="A453" t="s">
        <v>10</v>
      </c>
      <c r="B453" t="s">
        <v>509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K453" t="s">
        <v>10</v>
      </c>
      <c r="L453" t="s">
        <v>509</v>
      </c>
      <c r="M453" s="1" t="e">
        <f>Tabla32[[#This Row],[BN CARTA]]-#REF!</f>
        <v>#REF!</v>
      </c>
      <c r="N453" s="1" t="e">
        <f>Tabla32[[#This Row],[BN OFICIO]]-#REF!</f>
        <v>#REF!</v>
      </c>
      <c r="O453" s="1" t="e">
        <f>Tabla32[[#This Row],[BN DC]]-#REF!</f>
        <v>#REF!</v>
      </c>
      <c r="P453" s="1" t="e">
        <f>Tabla32[[#This Row],[COLOR CARTA]]-#REF!</f>
        <v>#REF!</v>
      </c>
      <c r="Q453" s="1" t="e">
        <f>Tabla32[[#This Row],[COLOR OFICIO]]-#REF!</f>
        <v>#REF!</v>
      </c>
      <c r="R453" s="1" t="e">
        <f>Tabla32[[#This Row],[ENVIAR]]-#REF!</f>
        <v>#REF!</v>
      </c>
      <c r="S453" s="1" t="e">
        <f>Tabla32[[#This Row],[COPIAR]]-#REF!</f>
        <v>#REF!</v>
      </c>
    </row>
    <row r="454" spans="1:19" x14ac:dyDescent="0.25">
      <c r="A454" t="s">
        <v>10</v>
      </c>
      <c r="B454" t="s">
        <v>510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K454" t="s">
        <v>10</v>
      </c>
      <c r="L454" t="s">
        <v>510</v>
      </c>
      <c r="M454" s="1" t="e">
        <f>Tabla32[[#This Row],[BN CARTA]]-#REF!</f>
        <v>#REF!</v>
      </c>
      <c r="N454" s="1" t="e">
        <f>Tabla32[[#This Row],[BN OFICIO]]-#REF!</f>
        <v>#REF!</v>
      </c>
      <c r="O454" s="1" t="e">
        <f>Tabla32[[#This Row],[BN DC]]-#REF!</f>
        <v>#REF!</v>
      </c>
      <c r="P454" s="1" t="e">
        <f>Tabla32[[#This Row],[COLOR CARTA]]-#REF!</f>
        <v>#REF!</v>
      </c>
      <c r="Q454" s="1" t="e">
        <f>Tabla32[[#This Row],[COLOR OFICIO]]-#REF!</f>
        <v>#REF!</v>
      </c>
      <c r="R454" s="1" t="e">
        <f>Tabla32[[#This Row],[ENVIAR]]-#REF!</f>
        <v>#REF!</v>
      </c>
      <c r="S454" s="1" t="e">
        <f>Tabla32[[#This Row],[COPIAR]]-#REF!</f>
        <v>#REF!</v>
      </c>
    </row>
    <row r="455" spans="1:19" x14ac:dyDescent="0.25">
      <c r="A455" t="s">
        <v>150</v>
      </c>
      <c r="B455" t="s">
        <v>511</v>
      </c>
      <c r="C455">
        <v>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K455" t="s">
        <v>150</v>
      </c>
      <c r="L455" t="s">
        <v>511</v>
      </c>
      <c r="M455" s="1" t="e">
        <f>Tabla32[[#This Row],[BN CARTA]]-#REF!</f>
        <v>#REF!</v>
      </c>
      <c r="N455" s="1" t="e">
        <f>Tabla32[[#This Row],[BN OFICIO]]-#REF!</f>
        <v>#REF!</v>
      </c>
      <c r="O455" s="1" t="e">
        <f>Tabla32[[#This Row],[BN DC]]-#REF!</f>
        <v>#REF!</v>
      </c>
      <c r="P455" s="1" t="e">
        <f>Tabla32[[#This Row],[COLOR CARTA]]-#REF!</f>
        <v>#REF!</v>
      </c>
      <c r="Q455" s="1" t="e">
        <f>Tabla32[[#This Row],[COLOR OFICIO]]-#REF!</f>
        <v>#REF!</v>
      </c>
      <c r="R455" s="1" t="e">
        <f>Tabla32[[#This Row],[ENVIAR]]-#REF!</f>
        <v>#REF!</v>
      </c>
      <c r="S455" s="1" t="e">
        <f>Tabla32[[#This Row],[COPIAR]]-#REF!</f>
        <v>#REF!</v>
      </c>
    </row>
    <row r="456" spans="1:19" x14ac:dyDescent="0.25">
      <c r="A456" t="s">
        <v>512</v>
      </c>
      <c r="B456" t="s">
        <v>513</v>
      </c>
      <c r="C456">
        <v>155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K456" t="s">
        <v>512</v>
      </c>
      <c r="L456" t="s">
        <v>513</v>
      </c>
      <c r="M456" s="1" t="e">
        <f>Tabla32[[#This Row],[BN CARTA]]-#REF!</f>
        <v>#REF!</v>
      </c>
      <c r="N456" s="1" t="e">
        <f>Tabla32[[#This Row],[BN OFICIO]]-#REF!</f>
        <v>#REF!</v>
      </c>
      <c r="O456" s="1" t="e">
        <f>Tabla32[[#This Row],[BN DC]]-#REF!</f>
        <v>#REF!</v>
      </c>
      <c r="P456" s="1" t="e">
        <f>Tabla32[[#This Row],[COLOR CARTA]]-#REF!</f>
        <v>#REF!</v>
      </c>
      <c r="Q456" s="1" t="e">
        <f>Tabla32[[#This Row],[COLOR OFICIO]]-#REF!</f>
        <v>#REF!</v>
      </c>
      <c r="R456" s="1" t="e">
        <f>Tabla32[[#This Row],[ENVIAR]]-#REF!</f>
        <v>#REF!</v>
      </c>
      <c r="S456" s="1" t="e">
        <f>Tabla32[[#This Row],[COPIAR]]-#REF!</f>
        <v>#REF!</v>
      </c>
    </row>
    <row r="457" spans="1:19" x14ac:dyDescent="0.25">
      <c r="A457" t="s">
        <v>10</v>
      </c>
      <c r="B457" t="s">
        <v>514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K457" t="s">
        <v>10</v>
      </c>
      <c r="L457" t="s">
        <v>514</v>
      </c>
      <c r="M457" s="1" t="e">
        <f>Tabla32[[#This Row],[BN CARTA]]-#REF!</f>
        <v>#REF!</v>
      </c>
      <c r="N457" s="1" t="e">
        <f>Tabla32[[#This Row],[BN OFICIO]]-#REF!</f>
        <v>#REF!</v>
      </c>
      <c r="O457" s="1" t="e">
        <f>Tabla32[[#This Row],[BN DC]]-#REF!</f>
        <v>#REF!</v>
      </c>
      <c r="P457" s="1" t="e">
        <f>Tabla32[[#This Row],[COLOR CARTA]]-#REF!</f>
        <v>#REF!</v>
      </c>
      <c r="Q457" s="1" t="e">
        <f>Tabla32[[#This Row],[COLOR OFICIO]]-#REF!</f>
        <v>#REF!</v>
      </c>
      <c r="R457" s="1" t="e">
        <f>Tabla32[[#This Row],[ENVIAR]]-#REF!</f>
        <v>#REF!</v>
      </c>
      <c r="S457" s="1" t="e">
        <f>Tabla32[[#This Row],[COPIAR]]-#REF!</f>
        <v>#REF!</v>
      </c>
    </row>
    <row r="458" spans="1:19" x14ac:dyDescent="0.25">
      <c r="A458" t="s">
        <v>10</v>
      </c>
      <c r="B458" t="s">
        <v>515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K458" t="s">
        <v>10</v>
      </c>
      <c r="L458" t="s">
        <v>515</v>
      </c>
      <c r="M458" s="1" t="e">
        <f>Tabla32[[#This Row],[BN CARTA]]-#REF!</f>
        <v>#REF!</v>
      </c>
      <c r="N458" s="1" t="e">
        <f>Tabla32[[#This Row],[BN OFICIO]]-#REF!</f>
        <v>#REF!</v>
      </c>
      <c r="O458" s="1" t="e">
        <f>Tabla32[[#This Row],[BN DC]]-#REF!</f>
        <v>#REF!</v>
      </c>
      <c r="P458" s="1" t="e">
        <f>Tabla32[[#This Row],[COLOR CARTA]]-#REF!</f>
        <v>#REF!</v>
      </c>
      <c r="Q458" s="1" t="e">
        <f>Tabla32[[#This Row],[COLOR OFICIO]]-#REF!</f>
        <v>#REF!</v>
      </c>
      <c r="R458" s="1" t="e">
        <f>Tabla32[[#This Row],[ENVIAR]]-#REF!</f>
        <v>#REF!</v>
      </c>
      <c r="S458" s="1" t="e">
        <f>Tabla32[[#This Row],[COPIAR]]-#REF!</f>
        <v>#REF!</v>
      </c>
    </row>
    <row r="459" spans="1:19" x14ac:dyDescent="0.25">
      <c r="A459" t="s">
        <v>10</v>
      </c>
      <c r="B459" t="s">
        <v>516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K459" t="s">
        <v>10</v>
      </c>
      <c r="L459" t="s">
        <v>516</v>
      </c>
      <c r="M459" s="1" t="e">
        <f>Tabla32[[#This Row],[BN CARTA]]-#REF!</f>
        <v>#REF!</v>
      </c>
      <c r="N459" s="1" t="e">
        <f>Tabla32[[#This Row],[BN OFICIO]]-#REF!</f>
        <v>#REF!</v>
      </c>
      <c r="O459" s="1" t="e">
        <f>Tabla32[[#This Row],[BN DC]]-#REF!</f>
        <v>#REF!</v>
      </c>
      <c r="P459" s="1" t="e">
        <f>Tabla32[[#This Row],[COLOR CARTA]]-#REF!</f>
        <v>#REF!</v>
      </c>
      <c r="Q459" s="1" t="e">
        <f>Tabla32[[#This Row],[COLOR OFICIO]]-#REF!</f>
        <v>#REF!</v>
      </c>
      <c r="R459" s="1" t="e">
        <f>Tabla32[[#This Row],[ENVIAR]]-#REF!</f>
        <v>#REF!</v>
      </c>
      <c r="S459" s="1" t="e">
        <f>Tabla32[[#This Row],[COPIAR]]-#REF!</f>
        <v>#REF!</v>
      </c>
    </row>
    <row r="460" spans="1:19" x14ac:dyDescent="0.25">
      <c r="A460" t="s">
        <v>10</v>
      </c>
      <c r="B460" t="s">
        <v>517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K460" t="s">
        <v>10</v>
      </c>
      <c r="L460" t="s">
        <v>517</v>
      </c>
      <c r="M460" s="1" t="e">
        <f>Tabla32[[#This Row],[BN CARTA]]-#REF!</f>
        <v>#REF!</v>
      </c>
      <c r="N460" s="1" t="e">
        <f>Tabla32[[#This Row],[BN OFICIO]]-#REF!</f>
        <v>#REF!</v>
      </c>
      <c r="O460" s="1" t="e">
        <f>Tabla32[[#This Row],[BN DC]]-#REF!</f>
        <v>#REF!</v>
      </c>
      <c r="P460" s="1" t="e">
        <f>Tabla32[[#This Row],[COLOR CARTA]]-#REF!</f>
        <v>#REF!</v>
      </c>
      <c r="Q460" s="1" t="e">
        <f>Tabla32[[#This Row],[COLOR OFICIO]]-#REF!</f>
        <v>#REF!</v>
      </c>
      <c r="R460" s="1" t="e">
        <f>Tabla32[[#This Row],[ENVIAR]]-#REF!</f>
        <v>#REF!</v>
      </c>
      <c r="S460" s="1" t="e">
        <f>Tabla32[[#This Row],[COPIAR]]-#REF!</f>
        <v>#REF!</v>
      </c>
    </row>
    <row r="461" spans="1:19" x14ac:dyDescent="0.25">
      <c r="A461" t="s">
        <v>10</v>
      </c>
      <c r="B461" t="s">
        <v>518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K461" t="s">
        <v>10</v>
      </c>
      <c r="L461" t="s">
        <v>518</v>
      </c>
      <c r="M461" s="1" t="e">
        <f>Tabla32[[#This Row],[BN CARTA]]-#REF!</f>
        <v>#REF!</v>
      </c>
      <c r="N461" s="1" t="e">
        <f>Tabla32[[#This Row],[BN OFICIO]]-#REF!</f>
        <v>#REF!</v>
      </c>
      <c r="O461" s="1" t="e">
        <f>Tabla32[[#This Row],[BN DC]]-#REF!</f>
        <v>#REF!</v>
      </c>
      <c r="P461" s="1" t="e">
        <f>Tabla32[[#This Row],[COLOR CARTA]]-#REF!</f>
        <v>#REF!</v>
      </c>
      <c r="Q461" s="1" t="e">
        <f>Tabla32[[#This Row],[COLOR OFICIO]]-#REF!</f>
        <v>#REF!</v>
      </c>
      <c r="R461" s="1" t="e">
        <f>Tabla32[[#This Row],[ENVIAR]]-#REF!</f>
        <v>#REF!</v>
      </c>
      <c r="S461" s="1" t="e">
        <f>Tabla32[[#This Row],[COPIAR]]-#REF!</f>
        <v>#REF!</v>
      </c>
    </row>
    <row r="462" spans="1:19" x14ac:dyDescent="0.25">
      <c r="A462" t="s">
        <v>10</v>
      </c>
      <c r="B462" t="s">
        <v>519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K462" t="s">
        <v>10</v>
      </c>
      <c r="L462" t="s">
        <v>519</v>
      </c>
      <c r="M462" s="1" t="e">
        <f>Tabla32[[#This Row],[BN CARTA]]-#REF!</f>
        <v>#REF!</v>
      </c>
      <c r="N462" s="1" t="e">
        <f>Tabla32[[#This Row],[BN OFICIO]]-#REF!</f>
        <v>#REF!</v>
      </c>
      <c r="O462" s="1" t="e">
        <f>Tabla32[[#This Row],[BN DC]]-#REF!</f>
        <v>#REF!</v>
      </c>
      <c r="P462" s="1" t="e">
        <f>Tabla32[[#This Row],[COLOR CARTA]]-#REF!</f>
        <v>#REF!</v>
      </c>
      <c r="Q462" s="1" t="e">
        <f>Tabla32[[#This Row],[COLOR OFICIO]]-#REF!</f>
        <v>#REF!</v>
      </c>
      <c r="R462" s="1" t="e">
        <f>Tabla32[[#This Row],[ENVIAR]]-#REF!</f>
        <v>#REF!</v>
      </c>
      <c r="S462" s="1" t="e">
        <f>Tabla32[[#This Row],[COPIAR]]-#REF!</f>
        <v>#REF!</v>
      </c>
    </row>
    <row r="463" spans="1:19" x14ac:dyDescent="0.25">
      <c r="A463" t="s">
        <v>10</v>
      </c>
      <c r="B463" t="s">
        <v>520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K463" t="s">
        <v>10</v>
      </c>
      <c r="L463" t="s">
        <v>520</v>
      </c>
      <c r="M463" s="1" t="e">
        <f>Tabla32[[#This Row],[BN CARTA]]-#REF!</f>
        <v>#REF!</v>
      </c>
      <c r="N463" s="1" t="e">
        <f>Tabla32[[#This Row],[BN OFICIO]]-#REF!</f>
        <v>#REF!</v>
      </c>
      <c r="O463" s="1" t="e">
        <f>Tabla32[[#This Row],[BN DC]]-#REF!</f>
        <v>#REF!</v>
      </c>
      <c r="P463" s="1" t="e">
        <f>Tabla32[[#This Row],[COLOR CARTA]]-#REF!</f>
        <v>#REF!</v>
      </c>
      <c r="Q463" s="1" t="e">
        <f>Tabla32[[#This Row],[COLOR OFICIO]]-#REF!</f>
        <v>#REF!</v>
      </c>
      <c r="R463" s="1" t="e">
        <f>Tabla32[[#This Row],[ENVIAR]]-#REF!</f>
        <v>#REF!</v>
      </c>
      <c r="S463" s="1" t="e">
        <f>Tabla32[[#This Row],[COPIAR]]-#REF!</f>
        <v>#REF!</v>
      </c>
    </row>
    <row r="464" spans="1:19" x14ac:dyDescent="0.25">
      <c r="A464" t="s">
        <v>150</v>
      </c>
      <c r="B464" t="s">
        <v>521</v>
      </c>
      <c r="C464">
        <v>350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K464" t="s">
        <v>150</v>
      </c>
      <c r="L464" t="s">
        <v>521</v>
      </c>
      <c r="M464" s="1" t="e">
        <f>Tabla32[[#This Row],[BN CARTA]]-#REF!</f>
        <v>#REF!</v>
      </c>
      <c r="N464" s="1" t="e">
        <f>Tabla32[[#This Row],[BN OFICIO]]-#REF!</f>
        <v>#REF!</v>
      </c>
      <c r="O464" s="1" t="e">
        <f>Tabla32[[#This Row],[BN DC]]-#REF!</f>
        <v>#REF!</v>
      </c>
      <c r="P464" s="1" t="e">
        <f>Tabla32[[#This Row],[COLOR CARTA]]-#REF!</f>
        <v>#REF!</v>
      </c>
      <c r="Q464" s="1" t="e">
        <f>Tabla32[[#This Row],[COLOR OFICIO]]-#REF!</f>
        <v>#REF!</v>
      </c>
      <c r="R464" s="1" t="e">
        <f>Tabla32[[#This Row],[ENVIAR]]-#REF!</f>
        <v>#REF!</v>
      </c>
      <c r="S464" s="1" t="e">
        <f>Tabla32[[#This Row],[COPIAR]]-#REF!</f>
        <v>#REF!</v>
      </c>
    </row>
    <row r="465" spans="1:19" x14ac:dyDescent="0.25">
      <c r="A465" t="s">
        <v>72</v>
      </c>
      <c r="B465" t="s">
        <v>522</v>
      </c>
      <c r="C465">
        <v>12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K465" t="s">
        <v>72</v>
      </c>
      <c r="L465" t="s">
        <v>522</v>
      </c>
      <c r="M465" s="1" t="e">
        <f>Tabla32[[#This Row],[BN CARTA]]-#REF!</f>
        <v>#REF!</v>
      </c>
      <c r="N465" s="1" t="e">
        <f>Tabla32[[#This Row],[BN OFICIO]]-#REF!</f>
        <v>#REF!</v>
      </c>
      <c r="O465" s="1" t="e">
        <f>Tabla32[[#This Row],[BN DC]]-#REF!</f>
        <v>#REF!</v>
      </c>
      <c r="P465" s="1" t="e">
        <f>Tabla32[[#This Row],[COLOR CARTA]]-#REF!</f>
        <v>#REF!</v>
      </c>
      <c r="Q465" s="1" t="e">
        <f>Tabla32[[#This Row],[COLOR OFICIO]]-#REF!</f>
        <v>#REF!</v>
      </c>
      <c r="R465" s="1" t="e">
        <f>Tabla32[[#This Row],[ENVIAR]]-#REF!</f>
        <v>#REF!</v>
      </c>
      <c r="S465" s="1" t="e">
        <f>Tabla32[[#This Row],[COPIAR]]-#REF!</f>
        <v>#REF!</v>
      </c>
    </row>
    <row r="466" spans="1:19" x14ac:dyDescent="0.25">
      <c r="A466" t="s">
        <v>10</v>
      </c>
      <c r="B466" t="s">
        <v>523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K466" t="s">
        <v>10</v>
      </c>
      <c r="L466" t="s">
        <v>523</v>
      </c>
      <c r="M466" s="1" t="e">
        <f>Tabla32[[#This Row],[BN CARTA]]-#REF!</f>
        <v>#REF!</v>
      </c>
      <c r="N466" s="1" t="e">
        <f>Tabla32[[#This Row],[BN OFICIO]]-#REF!</f>
        <v>#REF!</v>
      </c>
      <c r="O466" s="1" t="e">
        <f>Tabla32[[#This Row],[BN DC]]-#REF!</f>
        <v>#REF!</v>
      </c>
      <c r="P466" s="1" t="e">
        <f>Tabla32[[#This Row],[COLOR CARTA]]-#REF!</f>
        <v>#REF!</v>
      </c>
      <c r="Q466" s="1" t="e">
        <f>Tabla32[[#This Row],[COLOR OFICIO]]-#REF!</f>
        <v>#REF!</v>
      </c>
      <c r="R466" s="1" t="e">
        <f>Tabla32[[#This Row],[ENVIAR]]-#REF!</f>
        <v>#REF!</v>
      </c>
      <c r="S466" s="1" t="e">
        <f>Tabla32[[#This Row],[COPIAR]]-#REF!</f>
        <v>#REF!</v>
      </c>
    </row>
    <row r="467" spans="1:19" x14ac:dyDescent="0.25">
      <c r="A467" t="s">
        <v>10</v>
      </c>
      <c r="B467" t="s">
        <v>524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K467" t="s">
        <v>10</v>
      </c>
      <c r="L467" t="s">
        <v>524</v>
      </c>
      <c r="M467" s="1" t="e">
        <f>Tabla32[[#This Row],[BN CARTA]]-#REF!</f>
        <v>#REF!</v>
      </c>
      <c r="N467" s="1" t="e">
        <f>Tabla32[[#This Row],[BN OFICIO]]-#REF!</f>
        <v>#REF!</v>
      </c>
      <c r="O467" s="1" t="e">
        <f>Tabla32[[#This Row],[BN DC]]-#REF!</f>
        <v>#REF!</v>
      </c>
      <c r="P467" s="1" t="e">
        <f>Tabla32[[#This Row],[COLOR CARTA]]-#REF!</f>
        <v>#REF!</v>
      </c>
      <c r="Q467" s="1" t="e">
        <f>Tabla32[[#This Row],[COLOR OFICIO]]-#REF!</f>
        <v>#REF!</v>
      </c>
      <c r="R467" s="1" t="e">
        <f>Tabla32[[#This Row],[ENVIAR]]-#REF!</f>
        <v>#REF!</v>
      </c>
      <c r="S467" s="1" t="e">
        <f>Tabla32[[#This Row],[COPIAR]]-#REF!</f>
        <v>#REF!</v>
      </c>
    </row>
    <row r="468" spans="1:19" x14ac:dyDescent="0.25">
      <c r="A468" t="s">
        <v>231</v>
      </c>
      <c r="B468" t="s">
        <v>525</v>
      </c>
      <c r="C468">
        <v>6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K468" t="s">
        <v>231</v>
      </c>
      <c r="L468" t="s">
        <v>525</v>
      </c>
      <c r="M468" s="1" t="e">
        <f>Tabla32[[#This Row],[BN CARTA]]-#REF!</f>
        <v>#REF!</v>
      </c>
      <c r="N468" s="1" t="e">
        <f>Tabla32[[#This Row],[BN OFICIO]]-#REF!</f>
        <v>#REF!</v>
      </c>
      <c r="O468" s="1" t="e">
        <f>Tabla32[[#This Row],[BN DC]]-#REF!</f>
        <v>#REF!</v>
      </c>
      <c r="P468" s="1" t="e">
        <f>Tabla32[[#This Row],[COLOR CARTA]]-#REF!</f>
        <v>#REF!</v>
      </c>
      <c r="Q468" s="1" t="e">
        <f>Tabla32[[#This Row],[COLOR OFICIO]]-#REF!</f>
        <v>#REF!</v>
      </c>
      <c r="R468" s="1" t="e">
        <f>Tabla32[[#This Row],[ENVIAR]]-#REF!</f>
        <v>#REF!</v>
      </c>
      <c r="S468" s="1" t="e">
        <f>Tabla32[[#This Row],[COPIAR]]-#REF!</f>
        <v>#REF!</v>
      </c>
    </row>
    <row r="469" spans="1:19" x14ac:dyDescent="0.25">
      <c r="A469" t="s">
        <v>10</v>
      </c>
      <c r="B469" t="s">
        <v>526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K469" t="s">
        <v>10</v>
      </c>
      <c r="L469" t="s">
        <v>526</v>
      </c>
      <c r="M469" s="1" t="e">
        <f>Tabla32[[#This Row],[BN CARTA]]-#REF!</f>
        <v>#REF!</v>
      </c>
      <c r="N469" s="1" t="e">
        <f>Tabla32[[#This Row],[BN OFICIO]]-#REF!</f>
        <v>#REF!</v>
      </c>
      <c r="O469" s="1" t="e">
        <f>Tabla32[[#This Row],[BN DC]]-#REF!</f>
        <v>#REF!</v>
      </c>
      <c r="P469" s="1" t="e">
        <f>Tabla32[[#This Row],[COLOR CARTA]]-#REF!</f>
        <v>#REF!</v>
      </c>
      <c r="Q469" s="1" t="e">
        <f>Tabla32[[#This Row],[COLOR OFICIO]]-#REF!</f>
        <v>#REF!</v>
      </c>
      <c r="R469" s="1" t="e">
        <f>Tabla32[[#This Row],[ENVIAR]]-#REF!</f>
        <v>#REF!</v>
      </c>
      <c r="S469" s="1" t="e">
        <f>Tabla32[[#This Row],[COPIAR]]-#REF!</f>
        <v>#REF!</v>
      </c>
    </row>
    <row r="470" spans="1:19" x14ac:dyDescent="0.25">
      <c r="A470" t="s">
        <v>10</v>
      </c>
      <c r="B470" t="s">
        <v>527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K470" t="s">
        <v>10</v>
      </c>
      <c r="L470" t="s">
        <v>527</v>
      </c>
      <c r="M470" s="1" t="e">
        <f>Tabla32[[#This Row],[BN CARTA]]-#REF!</f>
        <v>#REF!</v>
      </c>
      <c r="N470" s="1" t="e">
        <f>Tabla32[[#This Row],[BN OFICIO]]-#REF!</f>
        <v>#REF!</v>
      </c>
      <c r="O470" s="1" t="e">
        <f>Tabla32[[#This Row],[BN DC]]-#REF!</f>
        <v>#REF!</v>
      </c>
      <c r="P470" s="1" t="e">
        <f>Tabla32[[#This Row],[COLOR CARTA]]-#REF!</f>
        <v>#REF!</v>
      </c>
      <c r="Q470" s="1" t="e">
        <f>Tabla32[[#This Row],[COLOR OFICIO]]-#REF!</f>
        <v>#REF!</v>
      </c>
      <c r="R470" s="1" t="e">
        <f>Tabla32[[#This Row],[ENVIAR]]-#REF!</f>
        <v>#REF!</v>
      </c>
      <c r="S470" s="1" t="e">
        <f>Tabla32[[#This Row],[COPIAR]]-#REF!</f>
        <v>#REF!</v>
      </c>
    </row>
    <row r="471" spans="1:19" x14ac:dyDescent="0.25">
      <c r="A471" t="s">
        <v>10</v>
      </c>
      <c r="B471" t="s">
        <v>528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K471" t="s">
        <v>10</v>
      </c>
      <c r="L471" t="s">
        <v>528</v>
      </c>
      <c r="M471" s="1" t="e">
        <f>Tabla32[[#This Row],[BN CARTA]]-#REF!</f>
        <v>#REF!</v>
      </c>
      <c r="N471" s="1" t="e">
        <f>Tabla32[[#This Row],[BN OFICIO]]-#REF!</f>
        <v>#REF!</v>
      </c>
      <c r="O471" s="1" t="e">
        <f>Tabla32[[#This Row],[BN DC]]-#REF!</f>
        <v>#REF!</v>
      </c>
      <c r="P471" s="1" t="e">
        <f>Tabla32[[#This Row],[COLOR CARTA]]-#REF!</f>
        <v>#REF!</v>
      </c>
      <c r="Q471" s="1" t="e">
        <f>Tabla32[[#This Row],[COLOR OFICIO]]-#REF!</f>
        <v>#REF!</v>
      </c>
      <c r="R471" s="1" t="e">
        <f>Tabla32[[#This Row],[ENVIAR]]-#REF!</f>
        <v>#REF!</v>
      </c>
      <c r="S471" s="1" t="e">
        <f>Tabla32[[#This Row],[COPIAR]]-#REF!</f>
        <v>#REF!</v>
      </c>
    </row>
    <row r="472" spans="1:19" x14ac:dyDescent="0.25">
      <c r="A472" t="s">
        <v>10</v>
      </c>
      <c r="B472" t="s">
        <v>529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K472" t="s">
        <v>10</v>
      </c>
      <c r="L472" t="s">
        <v>529</v>
      </c>
      <c r="M472" s="1" t="e">
        <f>Tabla32[[#This Row],[BN CARTA]]-#REF!</f>
        <v>#REF!</v>
      </c>
      <c r="N472" s="1" t="e">
        <f>Tabla32[[#This Row],[BN OFICIO]]-#REF!</f>
        <v>#REF!</v>
      </c>
      <c r="O472" s="1" t="e">
        <f>Tabla32[[#This Row],[BN DC]]-#REF!</f>
        <v>#REF!</v>
      </c>
      <c r="P472" s="1" t="e">
        <f>Tabla32[[#This Row],[COLOR CARTA]]-#REF!</f>
        <v>#REF!</v>
      </c>
      <c r="Q472" s="1" t="e">
        <f>Tabla32[[#This Row],[COLOR OFICIO]]-#REF!</f>
        <v>#REF!</v>
      </c>
      <c r="R472" s="1" t="e">
        <f>Tabla32[[#This Row],[ENVIAR]]-#REF!</f>
        <v>#REF!</v>
      </c>
      <c r="S472" s="1" t="e">
        <f>Tabla32[[#This Row],[COPIAR]]-#REF!</f>
        <v>#REF!</v>
      </c>
    </row>
    <row r="473" spans="1:19" x14ac:dyDescent="0.25">
      <c r="A473" t="s">
        <v>10</v>
      </c>
      <c r="B473" t="s">
        <v>530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K473" t="s">
        <v>10</v>
      </c>
      <c r="L473" t="s">
        <v>530</v>
      </c>
      <c r="M473" s="1" t="e">
        <f>Tabla32[[#This Row],[BN CARTA]]-#REF!</f>
        <v>#REF!</v>
      </c>
      <c r="N473" s="1" t="e">
        <f>Tabla32[[#This Row],[BN OFICIO]]-#REF!</f>
        <v>#REF!</v>
      </c>
      <c r="O473" s="1" t="e">
        <f>Tabla32[[#This Row],[BN DC]]-#REF!</f>
        <v>#REF!</v>
      </c>
      <c r="P473" s="1" t="e">
        <f>Tabla32[[#This Row],[COLOR CARTA]]-#REF!</f>
        <v>#REF!</v>
      </c>
      <c r="Q473" s="1" t="e">
        <f>Tabla32[[#This Row],[COLOR OFICIO]]-#REF!</f>
        <v>#REF!</v>
      </c>
      <c r="R473" s="1" t="e">
        <f>Tabla32[[#This Row],[ENVIAR]]-#REF!</f>
        <v>#REF!</v>
      </c>
      <c r="S473" s="1" t="e">
        <f>Tabla32[[#This Row],[COPIAR]]-#REF!</f>
        <v>#REF!</v>
      </c>
    </row>
    <row r="474" spans="1:19" x14ac:dyDescent="0.25">
      <c r="A474" t="s">
        <v>10</v>
      </c>
      <c r="B474" t="s">
        <v>531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K474" t="s">
        <v>10</v>
      </c>
      <c r="L474" t="s">
        <v>531</v>
      </c>
      <c r="M474" s="1" t="e">
        <f>Tabla32[[#This Row],[BN CARTA]]-#REF!</f>
        <v>#REF!</v>
      </c>
      <c r="N474" s="1" t="e">
        <f>Tabla32[[#This Row],[BN OFICIO]]-#REF!</f>
        <v>#REF!</v>
      </c>
      <c r="O474" s="1" t="e">
        <f>Tabla32[[#This Row],[BN DC]]-#REF!</f>
        <v>#REF!</v>
      </c>
      <c r="P474" s="1" t="e">
        <f>Tabla32[[#This Row],[COLOR CARTA]]-#REF!</f>
        <v>#REF!</v>
      </c>
      <c r="Q474" s="1" t="e">
        <f>Tabla32[[#This Row],[COLOR OFICIO]]-#REF!</f>
        <v>#REF!</v>
      </c>
      <c r="R474" s="1" t="e">
        <f>Tabla32[[#This Row],[ENVIAR]]-#REF!</f>
        <v>#REF!</v>
      </c>
      <c r="S474" s="1" t="e">
        <f>Tabla32[[#This Row],[COPIAR]]-#REF!</f>
        <v>#REF!</v>
      </c>
    </row>
    <row r="475" spans="1:19" x14ac:dyDescent="0.25">
      <c r="A475" t="s">
        <v>10</v>
      </c>
      <c r="B475" t="s">
        <v>532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K475" t="s">
        <v>10</v>
      </c>
      <c r="L475" t="s">
        <v>532</v>
      </c>
      <c r="M475" s="1" t="e">
        <f>Tabla32[[#This Row],[BN CARTA]]-#REF!</f>
        <v>#REF!</v>
      </c>
      <c r="N475" s="1" t="e">
        <f>Tabla32[[#This Row],[BN OFICIO]]-#REF!</f>
        <v>#REF!</v>
      </c>
      <c r="O475" s="1" t="e">
        <f>Tabla32[[#This Row],[BN DC]]-#REF!</f>
        <v>#REF!</v>
      </c>
      <c r="P475" s="1" t="e">
        <f>Tabla32[[#This Row],[COLOR CARTA]]-#REF!</f>
        <v>#REF!</v>
      </c>
      <c r="Q475" s="1" t="e">
        <f>Tabla32[[#This Row],[COLOR OFICIO]]-#REF!</f>
        <v>#REF!</v>
      </c>
      <c r="R475" s="1" t="e">
        <f>Tabla32[[#This Row],[ENVIAR]]-#REF!</f>
        <v>#REF!</v>
      </c>
      <c r="S475" s="1" t="e">
        <f>Tabla32[[#This Row],[COPIAR]]-#REF!</f>
        <v>#REF!</v>
      </c>
    </row>
    <row r="476" spans="1:19" x14ac:dyDescent="0.25">
      <c r="A476" t="s">
        <v>76</v>
      </c>
      <c r="B476" t="s">
        <v>533</v>
      </c>
      <c r="C476">
        <v>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K476" t="s">
        <v>76</v>
      </c>
      <c r="L476" t="s">
        <v>533</v>
      </c>
      <c r="M476" s="1" t="e">
        <f>Tabla32[[#This Row],[BN CARTA]]-#REF!</f>
        <v>#REF!</v>
      </c>
      <c r="N476" s="1" t="e">
        <f>Tabla32[[#This Row],[BN OFICIO]]-#REF!</f>
        <v>#REF!</v>
      </c>
      <c r="O476" s="1" t="e">
        <f>Tabla32[[#This Row],[BN DC]]-#REF!</f>
        <v>#REF!</v>
      </c>
      <c r="P476" s="1" t="e">
        <f>Tabla32[[#This Row],[COLOR CARTA]]-#REF!</f>
        <v>#REF!</v>
      </c>
      <c r="Q476" s="1" t="e">
        <f>Tabla32[[#This Row],[COLOR OFICIO]]-#REF!</f>
        <v>#REF!</v>
      </c>
      <c r="R476" s="1" t="e">
        <f>Tabla32[[#This Row],[ENVIAR]]-#REF!</f>
        <v>#REF!</v>
      </c>
      <c r="S476" s="1" t="e">
        <f>Tabla32[[#This Row],[COPIAR]]-#REF!</f>
        <v>#REF!</v>
      </c>
    </row>
    <row r="477" spans="1:19" x14ac:dyDescent="0.25">
      <c r="A477" t="s">
        <v>10</v>
      </c>
      <c r="B477" t="s">
        <v>534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K477" t="s">
        <v>10</v>
      </c>
      <c r="L477" t="s">
        <v>534</v>
      </c>
      <c r="M477" s="1" t="e">
        <f>Tabla32[[#This Row],[BN CARTA]]-#REF!</f>
        <v>#REF!</v>
      </c>
      <c r="N477" s="1" t="e">
        <f>Tabla32[[#This Row],[BN OFICIO]]-#REF!</f>
        <v>#REF!</v>
      </c>
      <c r="O477" s="1" t="e">
        <f>Tabla32[[#This Row],[BN DC]]-#REF!</f>
        <v>#REF!</v>
      </c>
      <c r="P477" s="1" t="e">
        <f>Tabla32[[#This Row],[COLOR CARTA]]-#REF!</f>
        <v>#REF!</v>
      </c>
      <c r="Q477" s="1" t="e">
        <f>Tabla32[[#This Row],[COLOR OFICIO]]-#REF!</f>
        <v>#REF!</v>
      </c>
      <c r="R477" s="1" t="e">
        <f>Tabla32[[#This Row],[ENVIAR]]-#REF!</f>
        <v>#REF!</v>
      </c>
      <c r="S477" s="1" t="e">
        <f>Tabla32[[#This Row],[COPIAR]]-#REF!</f>
        <v>#REF!</v>
      </c>
    </row>
    <row r="478" spans="1:19" x14ac:dyDescent="0.25">
      <c r="A478" t="s">
        <v>10</v>
      </c>
      <c r="B478" t="s">
        <v>535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K478" t="s">
        <v>10</v>
      </c>
      <c r="L478" t="s">
        <v>535</v>
      </c>
      <c r="M478" s="1" t="e">
        <f>Tabla32[[#This Row],[BN CARTA]]-#REF!</f>
        <v>#REF!</v>
      </c>
      <c r="N478" s="1" t="e">
        <f>Tabla32[[#This Row],[BN OFICIO]]-#REF!</f>
        <v>#REF!</v>
      </c>
      <c r="O478" s="1" t="e">
        <f>Tabla32[[#This Row],[BN DC]]-#REF!</f>
        <v>#REF!</v>
      </c>
      <c r="P478" s="1" t="e">
        <f>Tabla32[[#This Row],[COLOR CARTA]]-#REF!</f>
        <v>#REF!</v>
      </c>
      <c r="Q478" s="1" t="e">
        <f>Tabla32[[#This Row],[COLOR OFICIO]]-#REF!</f>
        <v>#REF!</v>
      </c>
      <c r="R478" s="1" t="e">
        <f>Tabla32[[#This Row],[ENVIAR]]-#REF!</f>
        <v>#REF!</v>
      </c>
      <c r="S478" s="1" t="e">
        <f>Tabla32[[#This Row],[COPIAR]]-#REF!</f>
        <v>#REF!</v>
      </c>
    </row>
    <row r="479" spans="1:19" x14ac:dyDescent="0.25">
      <c r="A479" t="s">
        <v>10</v>
      </c>
      <c r="B479" t="s">
        <v>536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K479" t="s">
        <v>10</v>
      </c>
      <c r="L479" t="s">
        <v>536</v>
      </c>
      <c r="M479" s="1" t="e">
        <f>Tabla32[[#This Row],[BN CARTA]]-#REF!</f>
        <v>#REF!</v>
      </c>
      <c r="N479" s="1" t="e">
        <f>Tabla32[[#This Row],[BN OFICIO]]-#REF!</f>
        <v>#REF!</v>
      </c>
      <c r="O479" s="1" t="e">
        <f>Tabla32[[#This Row],[BN DC]]-#REF!</f>
        <v>#REF!</v>
      </c>
      <c r="P479" s="1" t="e">
        <f>Tabla32[[#This Row],[COLOR CARTA]]-#REF!</f>
        <v>#REF!</v>
      </c>
      <c r="Q479" s="1" t="e">
        <f>Tabla32[[#This Row],[COLOR OFICIO]]-#REF!</f>
        <v>#REF!</v>
      </c>
      <c r="R479" s="1" t="e">
        <f>Tabla32[[#This Row],[ENVIAR]]-#REF!</f>
        <v>#REF!</v>
      </c>
      <c r="S479" s="1" t="e">
        <f>Tabla32[[#This Row],[COPIAR]]-#REF!</f>
        <v>#REF!</v>
      </c>
    </row>
    <row r="480" spans="1:19" x14ac:dyDescent="0.25">
      <c r="A480" t="s">
        <v>10</v>
      </c>
      <c r="B480" t="s">
        <v>537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K480" t="s">
        <v>10</v>
      </c>
      <c r="L480" t="s">
        <v>537</v>
      </c>
      <c r="M480" s="1" t="e">
        <f>Tabla32[[#This Row],[BN CARTA]]-#REF!</f>
        <v>#REF!</v>
      </c>
      <c r="N480" s="1" t="e">
        <f>Tabla32[[#This Row],[BN OFICIO]]-#REF!</f>
        <v>#REF!</v>
      </c>
      <c r="O480" s="1" t="e">
        <f>Tabla32[[#This Row],[BN DC]]-#REF!</f>
        <v>#REF!</v>
      </c>
      <c r="P480" s="1" t="e">
        <f>Tabla32[[#This Row],[COLOR CARTA]]-#REF!</f>
        <v>#REF!</v>
      </c>
      <c r="Q480" s="1" t="e">
        <f>Tabla32[[#This Row],[COLOR OFICIO]]-#REF!</f>
        <v>#REF!</v>
      </c>
      <c r="R480" s="1" t="e">
        <f>Tabla32[[#This Row],[ENVIAR]]-#REF!</f>
        <v>#REF!</v>
      </c>
      <c r="S480" s="1" t="e">
        <f>Tabla32[[#This Row],[COPIAR]]-#REF!</f>
        <v>#REF!</v>
      </c>
    </row>
    <row r="481" spans="1:19" x14ac:dyDescent="0.25">
      <c r="A481" t="s">
        <v>10</v>
      </c>
      <c r="B481" t="s">
        <v>538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K481" t="s">
        <v>10</v>
      </c>
      <c r="L481" t="s">
        <v>538</v>
      </c>
      <c r="M481" s="1" t="e">
        <f>Tabla32[[#This Row],[BN CARTA]]-#REF!</f>
        <v>#REF!</v>
      </c>
      <c r="N481" s="1" t="e">
        <f>Tabla32[[#This Row],[BN OFICIO]]-#REF!</f>
        <v>#REF!</v>
      </c>
      <c r="O481" s="1" t="e">
        <f>Tabla32[[#This Row],[BN DC]]-#REF!</f>
        <v>#REF!</v>
      </c>
      <c r="P481" s="1" t="e">
        <f>Tabla32[[#This Row],[COLOR CARTA]]-#REF!</f>
        <v>#REF!</v>
      </c>
      <c r="Q481" s="1" t="e">
        <f>Tabla32[[#This Row],[COLOR OFICIO]]-#REF!</f>
        <v>#REF!</v>
      </c>
      <c r="R481" s="1" t="e">
        <f>Tabla32[[#This Row],[ENVIAR]]-#REF!</f>
        <v>#REF!</v>
      </c>
      <c r="S481" s="1" t="e">
        <f>Tabla32[[#This Row],[COPIAR]]-#REF!</f>
        <v>#REF!</v>
      </c>
    </row>
    <row r="482" spans="1:19" x14ac:dyDescent="0.25">
      <c r="A482" t="s">
        <v>10</v>
      </c>
      <c r="B482" t="s">
        <v>539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K482" t="s">
        <v>10</v>
      </c>
      <c r="L482" t="s">
        <v>539</v>
      </c>
      <c r="M482" s="1" t="e">
        <f>Tabla32[[#This Row],[BN CARTA]]-#REF!</f>
        <v>#REF!</v>
      </c>
      <c r="N482" s="1" t="e">
        <f>Tabla32[[#This Row],[BN OFICIO]]-#REF!</f>
        <v>#REF!</v>
      </c>
      <c r="O482" s="1" t="e">
        <f>Tabla32[[#This Row],[BN DC]]-#REF!</f>
        <v>#REF!</v>
      </c>
      <c r="P482" s="1" t="e">
        <f>Tabla32[[#This Row],[COLOR CARTA]]-#REF!</f>
        <v>#REF!</v>
      </c>
      <c r="Q482" s="1" t="e">
        <f>Tabla32[[#This Row],[COLOR OFICIO]]-#REF!</f>
        <v>#REF!</v>
      </c>
      <c r="R482" s="1" t="e">
        <f>Tabla32[[#This Row],[ENVIAR]]-#REF!</f>
        <v>#REF!</v>
      </c>
      <c r="S482" s="1" t="e">
        <f>Tabla32[[#This Row],[COPIAR]]-#REF!</f>
        <v>#REF!</v>
      </c>
    </row>
    <row r="483" spans="1:19" x14ac:dyDescent="0.25">
      <c r="A483" t="s">
        <v>146</v>
      </c>
      <c r="B483" t="s">
        <v>540</v>
      </c>
      <c r="C483">
        <v>6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K483" t="s">
        <v>146</v>
      </c>
      <c r="L483" t="s">
        <v>540</v>
      </c>
      <c r="M483" s="1" t="e">
        <f>Tabla32[[#This Row],[BN CARTA]]-#REF!</f>
        <v>#REF!</v>
      </c>
      <c r="N483" s="1" t="e">
        <f>Tabla32[[#This Row],[BN OFICIO]]-#REF!</f>
        <v>#REF!</v>
      </c>
      <c r="O483" s="1" t="e">
        <f>Tabla32[[#This Row],[BN DC]]-#REF!</f>
        <v>#REF!</v>
      </c>
      <c r="P483" s="1" t="e">
        <f>Tabla32[[#This Row],[COLOR CARTA]]-#REF!</f>
        <v>#REF!</v>
      </c>
      <c r="Q483" s="1" t="e">
        <f>Tabla32[[#This Row],[COLOR OFICIO]]-#REF!</f>
        <v>#REF!</v>
      </c>
      <c r="R483" s="1" t="e">
        <f>Tabla32[[#This Row],[ENVIAR]]-#REF!</f>
        <v>#REF!</v>
      </c>
      <c r="S483" s="1" t="e">
        <f>Tabla32[[#This Row],[COPIAR]]-#REF!</f>
        <v>#REF!</v>
      </c>
    </row>
    <row r="484" spans="1:19" x14ac:dyDescent="0.25">
      <c r="A484" t="s">
        <v>10</v>
      </c>
      <c r="B484" t="s">
        <v>541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K484" t="s">
        <v>10</v>
      </c>
      <c r="L484" t="s">
        <v>541</v>
      </c>
      <c r="M484" s="1" t="e">
        <f>Tabla32[[#This Row],[BN CARTA]]-#REF!</f>
        <v>#REF!</v>
      </c>
      <c r="N484" s="1" t="e">
        <f>Tabla32[[#This Row],[BN OFICIO]]-#REF!</f>
        <v>#REF!</v>
      </c>
      <c r="O484" s="1" t="e">
        <f>Tabla32[[#This Row],[BN DC]]-#REF!</f>
        <v>#REF!</v>
      </c>
      <c r="P484" s="1" t="e">
        <f>Tabla32[[#This Row],[COLOR CARTA]]-#REF!</f>
        <v>#REF!</v>
      </c>
      <c r="Q484" s="1" t="e">
        <f>Tabla32[[#This Row],[COLOR OFICIO]]-#REF!</f>
        <v>#REF!</v>
      </c>
      <c r="R484" s="1" t="e">
        <f>Tabla32[[#This Row],[ENVIAR]]-#REF!</f>
        <v>#REF!</v>
      </c>
      <c r="S484" s="1" t="e">
        <f>Tabla32[[#This Row],[COPIAR]]-#REF!</f>
        <v>#REF!</v>
      </c>
    </row>
    <row r="485" spans="1:19" x14ac:dyDescent="0.25">
      <c r="A485" t="s">
        <v>72</v>
      </c>
      <c r="B485" t="s">
        <v>542</v>
      </c>
      <c r="C485">
        <v>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K485" t="s">
        <v>72</v>
      </c>
      <c r="L485" t="s">
        <v>542</v>
      </c>
      <c r="M485" s="1" t="e">
        <f>Tabla32[[#This Row],[BN CARTA]]-#REF!</f>
        <v>#REF!</v>
      </c>
      <c r="N485" s="1" t="e">
        <f>Tabla32[[#This Row],[BN OFICIO]]-#REF!</f>
        <v>#REF!</v>
      </c>
      <c r="O485" s="1" t="e">
        <f>Tabla32[[#This Row],[BN DC]]-#REF!</f>
        <v>#REF!</v>
      </c>
      <c r="P485" s="1" t="e">
        <f>Tabla32[[#This Row],[COLOR CARTA]]-#REF!</f>
        <v>#REF!</v>
      </c>
      <c r="Q485" s="1" t="e">
        <f>Tabla32[[#This Row],[COLOR OFICIO]]-#REF!</f>
        <v>#REF!</v>
      </c>
      <c r="R485" s="1" t="e">
        <f>Tabla32[[#This Row],[ENVIAR]]-#REF!</f>
        <v>#REF!</v>
      </c>
      <c r="S485" s="1" t="e">
        <f>Tabla32[[#This Row],[COPIAR]]-#REF!</f>
        <v>#REF!</v>
      </c>
    </row>
    <row r="486" spans="1:19" x14ac:dyDescent="0.25">
      <c r="A486" t="s">
        <v>10</v>
      </c>
      <c r="B486" t="s">
        <v>543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K486" t="s">
        <v>10</v>
      </c>
      <c r="L486" t="s">
        <v>543</v>
      </c>
      <c r="M486" s="1" t="e">
        <f>Tabla32[[#This Row],[BN CARTA]]-#REF!</f>
        <v>#REF!</v>
      </c>
      <c r="N486" s="1" t="e">
        <f>Tabla32[[#This Row],[BN OFICIO]]-#REF!</f>
        <v>#REF!</v>
      </c>
      <c r="O486" s="1" t="e">
        <f>Tabla32[[#This Row],[BN DC]]-#REF!</f>
        <v>#REF!</v>
      </c>
      <c r="P486" s="1" t="e">
        <f>Tabla32[[#This Row],[COLOR CARTA]]-#REF!</f>
        <v>#REF!</v>
      </c>
      <c r="Q486" s="1" t="e">
        <f>Tabla32[[#This Row],[COLOR OFICIO]]-#REF!</f>
        <v>#REF!</v>
      </c>
      <c r="R486" s="1" t="e">
        <f>Tabla32[[#This Row],[ENVIAR]]-#REF!</f>
        <v>#REF!</v>
      </c>
      <c r="S486" s="1" t="e">
        <f>Tabla32[[#This Row],[COPIAR]]-#REF!</f>
        <v>#REF!</v>
      </c>
    </row>
    <row r="487" spans="1:19" x14ac:dyDescent="0.25">
      <c r="A487" t="s">
        <v>10</v>
      </c>
      <c r="B487" t="s">
        <v>544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K487" t="s">
        <v>10</v>
      </c>
      <c r="L487" t="s">
        <v>544</v>
      </c>
      <c r="M487" s="1" t="e">
        <f>Tabla32[[#This Row],[BN CARTA]]-#REF!</f>
        <v>#REF!</v>
      </c>
      <c r="N487" s="1" t="e">
        <f>Tabla32[[#This Row],[BN OFICIO]]-#REF!</f>
        <v>#REF!</v>
      </c>
      <c r="O487" s="1" t="e">
        <f>Tabla32[[#This Row],[BN DC]]-#REF!</f>
        <v>#REF!</v>
      </c>
      <c r="P487" s="1" t="e">
        <f>Tabla32[[#This Row],[COLOR CARTA]]-#REF!</f>
        <v>#REF!</v>
      </c>
      <c r="Q487" s="1" t="e">
        <f>Tabla32[[#This Row],[COLOR OFICIO]]-#REF!</f>
        <v>#REF!</v>
      </c>
      <c r="R487" s="1" t="e">
        <f>Tabla32[[#This Row],[ENVIAR]]-#REF!</f>
        <v>#REF!</v>
      </c>
      <c r="S487" s="1" t="e">
        <f>Tabla32[[#This Row],[COPIAR]]-#REF!</f>
        <v>#REF!</v>
      </c>
    </row>
    <row r="488" spans="1:19" x14ac:dyDescent="0.25">
      <c r="A488" t="s">
        <v>134</v>
      </c>
      <c r="B488" t="s">
        <v>545</v>
      </c>
      <c r="C488">
        <v>8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K488" t="s">
        <v>134</v>
      </c>
      <c r="L488" t="s">
        <v>545</v>
      </c>
      <c r="M488" s="1" t="e">
        <f>Tabla32[[#This Row],[BN CARTA]]-#REF!</f>
        <v>#REF!</v>
      </c>
      <c r="N488" s="1" t="e">
        <f>Tabla32[[#This Row],[BN OFICIO]]-#REF!</f>
        <v>#REF!</v>
      </c>
      <c r="O488" s="1" t="e">
        <f>Tabla32[[#This Row],[BN DC]]-#REF!</f>
        <v>#REF!</v>
      </c>
      <c r="P488" s="1" t="e">
        <f>Tabla32[[#This Row],[COLOR CARTA]]-#REF!</f>
        <v>#REF!</v>
      </c>
      <c r="Q488" s="1" t="e">
        <f>Tabla32[[#This Row],[COLOR OFICIO]]-#REF!</f>
        <v>#REF!</v>
      </c>
      <c r="R488" s="1" t="e">
        <f>Tabla32[[#This Row],[ENVIAR]]-#REF!</f>
        <v>#REF!</v>
      </c>
      <c r="S488" s="1" t="e">
        <f>Tabla32[[#This Row],[COPIAR]]-#REF!</f>
        <v>#REF!</v>
      </c>
    </row>
    <row r="489" spans="1:19" x14ac:dyDescent="0.25">
      <c r="A489" t="s">
        <v>76</v>
      </c>
      <c r="B489" t="s">
        <v>546</v>
      </c>
      <c r="C489">
        <v>8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K489" t="s">
        <v>76</v>
      </c>
      <c r="L489" t="s">
        <v>546</v>
      </c>
      <c r="M489" s="1" t="e">
        <f>Tabla32[[#This Row],[BN CARTA]]-#REF!</f>
        <v>#REF!</v>
      </c>
      <c r="N489" s="1" t="e">
        <f>Tabla32[[#This Row],[BN OFICIO]]-#REF!</f>
        <v>#REF!</v>
      </c>
      <c r="O489" s="1" t="e">
        <f>Tabla32[[#This Row],[BN DC]]-#REF!</f>
        <v>#REF!</v>
      </c>
      <c r="P489" s="1" t="e">
        <f>Tabla32[[#This Row],[COLOR CARTA]]-#REF!</f>
        <v>#REF!</v>
      </c>
      <c r="Q489" s="1" t="e">
        <f>Tabla32[[#This Row],[COLOR OFICIO]]-#REF!</f>
        <v>#REF!</v>
      </c>
      <c r="R489" s="1" t="e">
        <f>Tabla32[[#This Row],[ENVIAR]]-#REF!</f>
        <v>#REF!</v>
      </c>
      <c r="S489" s="1" t="e">
        <f>Tabla32[[#This Row],[COPIAR]]-#REF!</f>
        <v>#REF!</v>
      </c>
    </row>
    <row r="490" spans="1:19" x14ac:dyDescent="0.25">
      <c r="A490" t="s">
        <v>10</v>
      </c>
      <c r="B490" t="s">
        <v>547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K490" t="s">
        <v>10</v>
      </c>
      <c r="L490" t="s">
        <v>547</v>
      </c>
      <c r="M490" s="1" t="e">
        <f>Tabla32[[#This Row],[BN CARTA]]-#REF!</f>
        <v>#REF!</v>
      </c>
      <c r="N490" s="1" t="e">
        <f>Tabla32[[#This Row],[BN OFICIO]]-#REF!</f>
        <v>#REF!</v>
      </c>
      <c r="O490" s="1" t="e">
        <f>Tabla32[[#This Row],[BN DC]]-#REF!</f>
        <v>#REF!</v>
      </c>
      <c r="P490" s="1" t="e">
        <f>Tabla32[[#This Row],[COLOR CARTA]]-#REF!</f>
        <v>#REF!</v>
      </c>
      <c r="Q490" s="1" t="e">
        <f>Tabla32[[#This Row],[COLOR OFICIO]]-#REF!</f>
        <v>#REF!</v>
      </c>
      <c r="R490" s="1" t="e">
        <f>Tabla32[[#This Row],[ENVIAR]]-#REF!</f>
        <v>#REF!</v>
      </c>
      <c r="S490" s="1" t="e">
        <f>Tabla32[[#This Row],[COPIAR]]-#REF!</f>
        <v>#REF!</v>
      </c>
    </row>
    <row r="491" spans="1:19" x14ac:dyDescent="0.25">
      <c r="A491" t="s">
        <v>10</v>
      </c>
      <c r="B491" t="s">
        <v>548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K491" t="s">
        <v>10</v>
      </c>
      <c r="L491" t="s">
        <v>548</v>
      </c>
      <c r="M491" s="1" t="e">
        <f>Tabla32[[#This Row],[BN CARTA]]-#REF!</f>
        <v>#REF!</v>
      </c>
      <c r="N491" s="1" t="e">
        <f>Tabla32[[#This Row],[BN OFICIO]]-#REF!</f>
        <v>#REF!</v>
      </c>
      <c r="O491" s="1" t="e">
        <f>Tabla32[[#This Row],[BN DC]]-#REF!</f>
        <v>#REF!</v>
      </c>
      <c r="P491" s="1" t="e">
        <f>Tabla32[[#This Row],[COLOR CARTA]]-#REF!</f>
        <v>#REF!</v>
      </c>
      <c r="Q491" s="1" t="e">
        <f>Tabla32[[#This Row],[COLOR OFICIO]]-#REF!</f>
        <v>#REF!</v>
      </c>
      <c r="R491" s="1" t="e">
        <f>Tabla32[[#This Row],[ENVIAR]]-#REF!</f>
        <v>#REF!</v>
      </c>
      <c r="S491" s="1" t="e">
        <f>Tabla32[[#This Row],[COPIAR]]-#REF!</f>
        <v>#REF!</v>
      </c>
    </row>
    <row r="492" spans="1:19" x14ac:dyDescent="0.25">
      <c r="A492" t="s">
        <v>72</v>
      </c>
      <c r="B492" t="s">
        <v>549</v>
      </c>
      <c r="C492">
        <v>100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K492" t="s">
        <v>72</v>
      </c>
      <c r="L492" t="s">
        <v>549</v>
      </c>
      <c r="M492" s="1" t="e">
        <f>Tabla32[[#This Row],[BN CARTA]]-#REF!</f>
        <v>#REF!</v>
      </c>
      <c r="N492" s="1" t="e">
        <f>Tabla32[[#This Row],[BN OFICIO]]-#REF!</f>
        <v>#REF!</v>
      </c>
      <c r="O492" s="1" t="e">
        <f>Tabla32[[#This Row],[BN DC]]-#REF!</f>
        <v>#REF!</v>
      </c>
      <c r="P492" s="1" t="e">
        <f>Tabla32[[#This Row],[COLOR CARTA]]-#REF!</f>
        <v>#REF!</v>
      </c>
      <c r="Q492" s="1" t="e">
        <f>Tabla32[[#This Row],[COLOR OFICIO]]-#REF!</f>
        <v>#REF!</v>
      </c>
      <c r="R492" s="1" t="e">
        <f>Tabla32[[#This Row],[ENVIAR]]-#REF!</f>
        <v>#REF!</v>
      </c>
      <c r="S492" s="1" t="e">
        <f>Tabla32[[#This Row],[COPIAR]]-#REF!</f>
        <v>#REF!</v>
      </c>
    </row>
    <row r="493" spans="1:19" x14ac:dyDescent="0.25">
      <c r="A493" t="s">
        <v>134</v>
      </c>
      <c r="B493" t="s">
        <v>550</v>
      </c>
      <c r="C493">
        <v>150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K493" t="s">
        <v>134</v>
      </c>
      <c r="L493" t="s">
        <v>550</v>
      </c>
      <c r="M493" s="1" t="e">
        <f>Tabla32[[#This Row],[BN CARTA]]-#REF!</f>
        <v>#REF!</v>
      </c>
      <c r="N493" s="1" t="e">
        <f>Tabla32[[#This Row],[BN OFICIO]]-#REF!</f>
        <v>#REF!</v>
      </c>
      <c r="O493" s="1" t="e">
        <f>Tabla32[[#This Row],[BN DC]]-#REF!</f>
        <v>#REF!</v>
      </c>
      <c r="P493" s="1" t="e">
        <f>Tabla32[[#This Row],[COLOR CARTA]]-#REF!</f>
        <v>#REF!</v>
      </c>
      <c r="Q493" s="1" t="e">
        <f>Tabla32[[#This Row],[COLOR OFICIO]]-#REF!</f>
        <v>#REF!</v>
      </c>
      <c r="R493" s="1" t="e">
        <f>Tabla32[[#This Row],[ENVIAR]]-#REF!</f>
        <v>#REF!</v>
      </c>
      <c r="S493" s="1" t="e">
        <f>Tabla32[[#This Row],[COPIAR]]-#REF!</f>
        <v>#REF!</v>
      </c>
    </row>
    <row r="494" spans="1:19" x14ac:dyDescent="0.25">
      <c r="A494" t="s">
        <v>10</v>
      </c>
      <c r="B494" t="s">
        <v>551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K494" t="s">
        <v>10</v>
      </c>
      <c r="L494" t="s">
        <v>551</v>
      </c>
      <c r="M494" s="1" t="e">
        <f>Tabla32[[#This Row],[BN CARTA]]-#REF!</f>
        <v>#REF!</v>
      </c>
      <c r="N494" s="1" t="e">
        <f>Tabla32[[#This Row],[BN OFICIO]]-#REF!</f>
        <v>#REF!</v>
      </c>
      <c r="O494" s="1" t="e">
        <f>Tabla32[[#This Row],[BN DC]]-#REF!</f>
        <v>#REF!</v>
      </c>
      <c r="P494" s="1" t="e">
        <f>Tabla32[[#This Row],[COLOR CARTA]]-#REF!</f>
        <v>#REF!</v>
      </c>
      <c r="Q494" s="1" t="e">
        <f>Tabla32[[#This Row],[COLOR OFICIO]]-#REF!</f>
        <v>#REF!</v>
      </c>
      <c r="R494" s="1" t="e">
        <f>Tabla32[[#This Row],[ENVIAR]]-#REF!</f>
        <v>#REF!</v>
      </c>
      <c r="S494" s="1" t="e">
        <f>Tabla32[[#This Row],[COPIAR]]-#REF!</f>
        <v>#REF!</v>
      </c>
    </row>
    <row r="495" spans="1:19" x14ac:dyDescent="0.25">
      <c r="A495" t="s">
        <v>10</v>
      </c>
      <c r="B495" t="s">
        <v>552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K495" t="s">
        <v>10</v>
      </c>
      <c r="L495" t="s">
        <v>552</v>
      </c>
      <c r="M495" s="1" t="e">
        <f>Tabla32[[#This Row],[BN CARTA]]-#REF!</f>
        <v>#REF!</v>
      </c>
      <c r="N495" s="1" t="e">
        <f>Tabla32[[#This Row],[BN OFICIO]]-#REF!</f>
        <v>#REF!</v>
      </c>
      <c r="O495" s="1" t="e">
        <f>Tabla32[[#This Row],[BN DC]]-#REF!</f>
        <v>#REF!</v>
      </c>
      <c r="P495" s="1" t="e">
        <f>Tabla32[[#This Row],[COLOR CARTA]]-#REF!</f>
        <v>#REF!</v>
      </c>
      <c r="Q495" s="1" t="e">
        <f>Tabla32[[#This Row],[COLOR OFICIO]]-#REF!</f>
        <v>#REF!</v>
      </c>
      <c r="R495" s="1" t="e">
        <f>Tabla32[[#This Row],[ENVIAR]]-#REF!</f>
        <v>#REF!</v>
      </c>
      <c r="S495" s="1" t="e">
        <f>Tabla32[[#This Row],[COPIAR]]-#REF!</f>
        <v>#REF!</v>
      </c>
    </row>
    <row r="496" spans="1:19" x14ac:dyDescent="0.25">
      <c r="A496" t="s">
        <v>10</v>
      </c>
      <c r="B496" t="s">
        <v>553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K496" t="s">
        <v>10</v>
      </c>
      <c r="L496" t="s">
        <v>553</v>
      </c>
      <c r="M496" s="1" t="e">
        <f>Tabla32[[#This Row],[BN CARTA]]-#REF!</f>
        <v>#REF!</v>
      </c>
      <c r="N496" s="1" t="e">
        <f>Tabla32[[#This Row],[BN OFICIO]]-#REF!</f>
        <v>#REF!</v>
      </c>
      <c r="O496" s="1" t="e">
        <f>Tabla32[[#This Row],[BN DC]]-#REF!</f>
        <v>#REF!</v>
      </c>
      <c r="P496" s="1" t="e">
        <f>Tabla32[[#This Row],[COLOR CARTA]]-#REF!</f>
        <v>#REF!</v>
      </c>
      <c r="Q496" s="1" t="e">
        <f>Tabla32[[#This Row],[COLOR OFICIO]]-#REF!</f>
        <v>#REF!</v>
      </c>
      <c r="R496" s="1" t="e">
        <f>Tabla32[[#This Row],[ENVIAR]]-#REF!</f>
        <v>#REF!</v>
      </c>
      <c r="S496" s="1" t="e">
        <f>Tabla32[[#This Row],[COPIAR]]-#REF!</f>
        <v>#REF!</v>
      </c>
    </row>
    <row r="497" spans="1:19" x14ac:dyDescent="0.25">
      <c r="A497" t="s">
        <v>512</v>
      </c>
      <c r="B497" t="s">
        <v>554</v>
      </c>
      <c r="C497">
        <v>23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K497" t="s">
        <v>512</v>
      </c>
      <c r="L497" t="s">
        <v>554</v>
      </c>
      <c r="M497" s="1" t="e">
        <f>Tabla32[[#This Row],[BN CARTA]]-#REF!</f>
        <v>#REF!</v>
      </c>
      <c r="N497" s="1" t="e">
        <f>Tabla32[[#This Row],[BN OFICIO]]-#REF!</f>
        <v>#REF!</v>
      </c>
      <c r="O497" s="1" t="e">
        <f>Tabla32[[#This Row],[BN DC]]-#REF!</f>
        <v>#REF!</v>
      </c>
      <c r="P497" s="1" t="e">
        <f>Tabla32[[#This Row],[COLOR CARTA]]-#REF!</f>
        <v>#REF!</v>
      </c>
      <c r="Q497" s="1" t="e">
        <f>Tabla32[[#This Row],[COLOR OFICIO]]-#REF!</f>
        <v>#REF!</v>
      </c>
      <c r="R497" s="1" t="e">
        <f>Tabla32[[#This Row],[ENVIAR]]-#REF!</f>
        <v>#REF!</v>
      </c>
      <c r="S497" s="1" t="e">
        <f>Tabla32[[#This Row],[COPIAR]]-#REF!</f>
        <v>#REF!</v>
      </c>
    </row>
    <row r="498" spans="1:19" x14ac:dyDescent="0.25">
      <c r="A498" t="s">
        <v>10</v>
      </c>
      <c r="B498" t="s">
        <v>555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K498" t="s">
        <v>10</v>
      </c>
      <c r="L498" t="s">
        <v>555</v>
      </c>
      <c r="M498" s="1" t="e">
        <f>Tabla32[[#This Row],[BN CARTA]]-#REF!</f>
        <v>#REF!</v>
      </c>
      <c r="N498" s="1" t="e">
        <f>Tabla32[[#This Row],[BN OFICIO]]-#REF!</f>
        <v>#REF!</v>
      </c>
      <c r="O498" s="1" t="e">
        <f>Tabla32[[#This Row],[BN DC]]-#REF!</f>
        <v>#REF!</v>
      </c>
      <c r="P498" s="1" t="e">
        <f>Tabla32[[#This Row],[COLOR CARTA]]-#REF!</f>
        <v>#REF!</v>
      </c>
      <c r="Q498" s="1" t="e">
        <f>Tabla32[[#This Row],[COLOR OFICIO]]-#REF!</f>
        <v>#REF!</v>
      </c>
      <c r="R498" s="1" t="e">
        <f>Tabla32[[#This Row],[ENVIAR]]-#REF!</f>
        <v>#REF!</v>
      </c>
      <c r="S498" s="1" t="e">
        <f>Tabla32[[#This Row],[COPIAR]]-#REF!</f>
        <v>#REF!</v>
      </c>
    </row>
    <row r="499" spans="1:19" x14ac:dyDescent="0.25">
      <c r="A499" t="s">
        <v>10</v>
      </c>
      <c r="B499" t="s">
        <v>556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K499" t="s">
        <v>10</v>
      </c>
      <c r="L499" t="s">
        <v>556</v>
      </c>
      <c r="M499" s="1" t="e">
        <f>Tabla32[[#This Row],[BN CARTA]]-#REF!</f>
        <v>#REF!</v>
      </c>
      <c r="N499" s="1" t="e">
        <f>Tabla32[[#This Row],[BN OFICIO]]-#REF!</f>
        <v>#REF!</v>
      </c>
      <c r="O499" s="1" t="e">
        <f>Tabla32[[#This Row],[BN DC]]-#REF!</f>
        <v>#REF!</v>
      </c>
      <c r="P499" s="1" t="e">
        <f>Tabla32[[#This Row],[COLOR CARTA]]-#REF!</f>
        <v>#REF!</v>
      </c>
      <c r="Q499" s="1" t="e">
        <f>Tabla32[[#This Row],[COLOR OFICIO]]-#REF!</f>
        <v>#REF!</v>
      </c>
      <c r="R499" s="1" t="e">
        <f>Tabla32[[#This Row],[ENVIAR]]-#REF!</f>
        <v>#REF!</v>
      </c>
      <c r="S499" s="1" t="e">
        <f>Tabla32[[#This Row],[COPIAR]]-#REF!</f>
        <v>#REF!</v>
      </c>
    </row>
    <row r="500" spans="1:19" x14ac:dyDescent="0.25">
      <c r="A500" t="s">
        <v>10</v>
      </c>
      <c r="B500" t="s">
        <v>557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K500" t="s">
        <v>10</v>
      </c>
      <c r="L500" t="s">
        <v>557</v>
      </c>
      <c r="M500" s="1" t="e">
        <f>Tabla32[[#This Row],[BN CARTA]]-#REF!</f>
        <v>#REF!</v>
      </c>
      <c r="N500" s="1" t="e">
        <f>Tabla32[[#This Row],[BN OFICIO]]-#REF!</f>
        <v>#REF!</v>
      </c>
      <c r="O500" s="1" t="e">
        <f>Tabla32[[#This Row],[BN DC]]-#REF!</f>
        <v>#REF!</v>
      </c>
      <c r="P500" s="1" t="e">
        <f>Tabla32[[#This Row],[COLOR CARTA]]-#REF!</f>
        <v>#REF!</v>
      </c>
      <c r="Q500" s="1" t="e">
        <f>Tabla32[[#This Row],[COLOR OFICIO]]-#REF!</f>
        <v>#REF!</v>
      </c>
      <c r="R500" s="1" t="e">
        <f>Tabla32[[#This Row],[ENVIAR]]-#REF!</f>
        <v>#REF!</v>
      </c>
      <c r="S500" s="1" t="e">
        <f>Tabla32[[#This Row],[COPIAR]]-#REF!</f>
        <v>#REF!</v>
      </c>
    </row>
    <row r="501" spans="1:19" x14ac:dyDescent="0.25">
      <c r="A501" t="s">
        <v>10</v>
      </c>
      <c r="B501" t="s">
        <v>558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K501" t="s">
        <v>10</v>
      </c>
      <c r="L501" t="s">
        <v>558</v>
      </c>
      <c r="M501" s="1" t="e">
        <f>Tabla32[[#This Row],[BN CARTA]]-#REF!</f>
        <v>#REF!</v>
      </c>
      <c r="N501" s="1" t="e">
        <f>Tabla32[[#This Row],[BN OFICIO]]-#REF!</f>
        <v>#REF!</v>
      </c>
      <c r="O501" s="1" t="e">
        <f>Tabla32[[#This Row],[BN DC]]-#REF!</f>
        <v>#REF!</v>
      </c>
      <c r="P501" s="1" t="e">
        <f>Tabla32[[#This Row],[COLOR CARTA]]-#REF!</f>
        <v>#REF!</v>
      </c>
      <c r="Q501" s="1" t="e">
        <f>Tabla32[[#This Row],[COLOR OFICIO]]-#REF!</f>
        <v>#REF!</v>
      </c>
      <c r="R501" s="1" t="e">
        <f>Tabla32[[#This Row],[ENVIAR]]-#REF!</f>
        <v>#REF!</v>
      </c>
      <c r="S501" s="1" t="e">
        <f>Tabla32[[#This Row],[COPIAR]]-#REF!</f>
        <v>#REF!</v>
      </c>
    </row>
    <row r="502" spans="1:19" x14ac:dyDescent="0.25">
      <c r="A502" t="s">
        <v>10</v>
      </c>
      <c r="B502" t="s">
        <v>559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K502" t="s">
        <v>10</v>
      </c>
      <c r="L502" t="s">
        <v>559</v>
      </c>
      <c r="M502" s="1" t="e">
        <f>Tabla32[[#This Row],[BN CARTA]]-#REF!</f>
        <v>#REF!</v>
      </c>
      <c r="N502" s="1" t="e">
        <f>Tabla32[[#This Row],[BN OFICIO]]-#REF!</f>
        <v>#REF!</v>
      </c>
      <c r="O502" s="1" t="e">
        <f>Tabla32[[#This Row],[BN DC]]-#REF!</f>
        <v>#REF!</v>
      </c>
      <c r="P502" s="1" t="e">
        <f>Tabla32[[#This Row],[COLOR CARTA]]-#REF!</f>
        <v>#REF!</v>
      </c>
      <c r="Q502" s="1" t="e">
        <f>Tabla32[[#This Row],[COLOR OFICIO]]-#REF!</f>
        <v>#REF!</v>
      </c>
      <c r="R502" s="1" t="e">
        <f>Tabla32[[#This Row],[ENVIAR]]-#REF!</f>
        <v>#REF!</v>
      </c>
      <c r="S502" s="1" t="e">
        <f>Tabla32[[#This Row],[COPIAR]]-#REF!</f>
        <v>#REF!</v>
      </c>
    </row>
    <row r="503" spans="1:19" x14ac:dyDescent="0.25">
      <c r="A503" t="s">
        <v>10</v>
      </c>
      <c r="B503" t="s">
        <v>560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K503" t="s">
        <v>10</v>
      </c>
      <c r="L503" t="s">
        <v>560</v>
      </c>
      <c r="M503" s="1" t="e">
        <f>Tabla32[[#This Row],[BN CARTA]]-#REF!</f>
        <v>#REF!</v>
      </c>
      <c r="N503" s="1" t="e">
        <f>Tabla32[[#This Row],[BN OFICIO]]-#REF!</f>
        <v>#REF!</v>
      </c>
      <c r="O503" s="1" t="e">
        <f>Tabla32[[#This Row],[BN DC]]-#REF!</f>
        <v>#REF!</v>
      </c>
      <c r="P503" s="1" t="e">
        <f>Tabla32[[#This Row],[COLOR CARTA]]-#REF!</f>
        <v>#REF!</v>
      </c>
      <c r="Q503" s="1" t="e">
        <f>Tabla32[[#This Row],[COLOR OFICIO]]-#REF!</f>
        <v>#REF!</v>
      </c>
      <c r="R503" s="1" t="e">
        <f>Tabla32[[#This Row],[ENVIAR]]-#REF!</f>
        <v>#REF!</v>
      </c>
      <c r="S503" s="1" t="e">
        <f>Tabla32[[#This Row],[COPIAR]]-#REF!</f>
        <v>#REF!</v>
      </c>
    </row>
    <row r="504" spans="1:19" x14ac:dyDescent="0.25">
      <c r="A504" t="s">
        <v>10</v>
      </c>
      <c r="B504" t="s">
        <v>561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K504" t="s">
        <v>10</v>
      </c>
      <c r="L504" t="s">
        <v>561</v>
      </c>
      <c r="M504" s="1" t="e">
        <f>Tabla32[[#This Row],[BN CARTA]]-#REF!</f>
        <v>#REF!</v>
      </c>
      <c r="N504" s="1" t="e">
        <f>Tabla32[[#This Row],[BN OFICIO]]-#REF!</f>
        <v>#REF!</v>
      </c>
      <c r="O504" s="1" t="e">
        <f>Tabla32[[#This Row],[BN DC]]-#REF!</f>
        <v>#REF!</v>
      </c>
      <c r="P504" s="1" t="e">
        <f>Tabla32[[#This Row],[COLOR CARTA]]-#REF!</f>
        <v>#REF!</v>
      </c>
      <c r="Q504" s="1" t="e">
        <f>Tabla32[[#This Row],[COLOR OFICIO]]-#REF!</f>
        <v>#REF!</v>
      </c>
      <c r="R504" s="1" t="e">
        <f>Tabla32[[#This Row],[ENVIAR]]-#REF!</f>
        <v>#REF!</v>
      </c>
      <c r="S504" s="1" t="e">
        <f>Tabla32[[#This Row],[COPIAR]]-#REF!</f>
        <v>#REF!</v>
      </c>
    </row>
    <row r="505" spans="1:19" x14ac:dyDescent="0.25">
      <c r="A505" t="s">
        <v>10</v>
      </c>
      <c r="B505" t="s">
        <v>562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K505" t="s">
        <v>10</v>
      </c>
      <c r="L505" t="s">
        <v>562</v>
      </c>
      <c r="M505" s="1" t="e">
        <f>Tabla32[[#This Row],[BN CARTA]]-#REF!</f>
        <v>#REF!</v>
      </c>
      <c r="N505" s="1" t="e">
        <f>Tabla32[[#This Row],[BN OFICIO]]-#REF!</f>
        <v>#REF!</v>
      </c>
      <c r="O505" s="1" t="e">
        <f>Tabla32[[#This Row],[BN DC]]-#REF!</f>
        <v>#REF!</v>
      </c>
      <c r="P505" s="1" t="e">
        <f>Tabla32[[#This Row],[COLOR CARTA]]-#REF!</f>
        <v>#REF!</v>
      </c>
      <c r="Q505" s="1" t="e">
        <f>Tabla32[[#This Row],[COLOR OFICIO]]-#REF!</f>
        <v>#REF!</v>
      </c>
      <c r="R505" s="1" t="e">
        <f>Tabla32[[#This Row],[ENVIAR]]-#REF!</f>
        <v>#REF!</v>
      </c>
      <c r="S505" s="1" t="e">
        <f>Tabla32[[#This Row],[COPIAR]]-#REF!</f>
        <v>#REF!</v>
      </c>
    </row>
    <row r="506" spans="1:19" x14ac:dyDescent="0.25">
      <c r="A506" t="s">
        <v>10</v>
      </c>
      <c r="B506" t="s">
        <v>563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K506" t="s">
        <v>10</v>
      </c>
      <c r="L506" t="s">
        <v>563</v>
      </c>
      <c r="M506" s="1" t="e">
        <f>Tabla32[[#This Row],[BN CARTA]]-#REF!</f>
        <v>#REF!</v>
      </c>
      <c r="N506" s="1" t="e">
        <f>Tabla32[[#This Row],[BN OFICIO]]-#REF!</f>
        <v>#REF!</v>
      </c>
      <c r="O506" s="1" t="e">
        <f>Tabla32[[#This Row],[BN DC]]-#REF!</f>
        <v>#REF!</v>
      </c>
      <c r="P506" s="1" t="e">
        <f>Tabla32[[#This Row],[COLOR CARTA]]-#REF!</f>
        <v>#REF!</v>
      </c>
      <c r="Q506" s="1" t="e">
        <f>Tabla32[[#This Row],[COLOR OFICIO]]-#REF!</f>
        <v>#REF!</v>
      </c>
      <c r="R506" s="1" t="e">
        <f>Tabla32[[#This Row],[ENVIAR]]-#REF!</f>
        <v>#REF!</v>
      </c>
      <c r="S506" s="1" t="e">
        <f>Tabla32[[#This Row],[COPIAR]]-#REF!</f>
        <v>#REF!</v>
      </c>
    </row>
    <row r="507" spans="1:19" x14ac:dyDescent="0.25">
      <c r="A507" t="s">
        <v>10</v>
      </c>
      <c r="B507" t="s">
        <v>564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K507" t="s">
        <v>10</v>
      </c>
      <c r="L507" t="s">
        <v>564</v>
      </c>
      <c r="M507" s="1" t="e">
        <f>Tabla32[[#This Row],[BN CARTA]]-#REF!</f>
        <v>#REF!</v>
      </c>
      <c r="N507" s="1" t="e">
        <f>Tabla32[[#This Row],[BN OFICIO]]-#REF!</f>
        <v>#REF!</v>
      </c>
      <c r="O507" s="1" t="e">
        <f>Tabla32[[#This Row],[BN DC]]-#REF!</f>
        <v>#REF!</v>
      </c>
      <c r="P507" s="1" t="e">
        <f>Tabla32[[#This Row],[COLOR CARTA]]-#REF!</f>
        <v>#REF!</v>
      </c>
      <c r="Q507" s="1" t="e">
        <f>Tabla32[[#This Row],[COLOR OFICIO]]-#REF!</f>
        <v>#REF!</v>
      </c>
      <c r="R507" s="1" t="e">
        <f>Tabla32[[#This Row],[ENVIAR]]-#REF!</f>
        <v>#REF!</v>
      </c>
      <c r="S507" s="1" t="e">
        <f>Tabla32[[#This Row],[COPIAR]]-#REF!</f>
        <v>#REF!</v>
      </c>
    </row>
    <row r="508" spans="1:19" x14ac:dyDescent="0.25">
      <c r="A508" t="s">
        <v>10</v>
      </c>
      <c r="B508" t="s">
        <v>565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K508" t="s">
        <v>10</v>
      </c>
      <c r="L508" t="s">
        <v>565</v>
      </c>
      <c r="M508" s="1" t="e">
        <f>Tabla32[[#This Row],[BN CARTA]]-#REF!</f>
        <v>#REF!</v>
      </c>
      <c r="N508" s="1" t="e">
        <f>Tabla32[[#This Row],[BN OFICIO]]-#REF!</f>
        <v>#REF!</v>
      </c>
      <c r="O508" s="1" t="e">
        <f>Tabla32[[#This Row],[BN DC]]-#REF!</f>
        <v>#REF!</v>
      </c>
      <c r="P508" s="1" t="e">
        <f>Tabla32[[#This Row],[COLOR CARTA]]-#REF!</f>
        <v>#REF!</v>
      </c>
      <c r="Q508" s="1" t="e">
        <f>Tabla32[[#This Row],[COLOR OFICIO]]-#REF!</f>
        <v>#REF!</v>
      </c>
      <c r="R508" s="1" t="e">
        <f>Tabla32[[#This Row],[ENVIAR]]-#REF!</f>
        <v>#REF!</v>
      </c>
      <c r="S508" s="1" t="e">
        <f>Tabla32[[#This Row],[COPIAR]]-#REF!</f>
        <v>#REF!</v>
      </c>
    </row>
    <row r="509" spans="1:19" x14ac:dyDescent="0.25">
      <c r="A509" t="s">
        <v>10</v>
      </c>
      <c r="B509" t="s">
        <v>566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K509" t="s">
        <v>10</v>
      </c>
      <c r="L509" t="s">
        <v>566</v>
      </c>
      <c r="M509" s="1" t="e">
        <f>Tabla32[[#This Row],[BN CARTA]]-#REF!</f>
        <v>#REF!</v>
      </c>
      <c r="N509" s="1" t="e">
        <f>Tabla32[[#This Row],[BN OFICIO]]-#REF!</f>
        <v>#REF!</v>
      </c>
      <c r="O509" s="1" t="e">
        <f>Tabla32[[#This Row],[BN DC]]-#REF!</f>
        <v>#REF!</v>
      </c>
      <c r="P509" s="1" t="e">
        <f>Tabla32[[#This Row],[COLOR CARTA]]-#REF!</f>
        <v>#REF!</v>
      </c>
      <c r="Q509" s="1" t="e">
        <f>Tabla32[[#This Row],[COLOR OFICIO]]-#REF!</f>
        <v>#REF!</v>
      </c>
      <c r="R509" s="1" t="e">
        <f>Tabla32[[#This Row],[ENVIAR]]-#REF!</f>
        <v>#REF!</v>
      </c>
      <c r="S509" s="1" t="e">
        <f>Tabla32[[#This Row],[COPIAR]]-#REF!</f>
        <v>#REF!</v>
      </c>
    </row>
    <row r="510" spans="1:19" x14ac:dyDescent="0.25">
      <c r="A510" t="s">
        <v>10</v>
      </c>
      <c r="B510" t="s">
        <v>567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K510" t="s">
        <v>10</v>
      </c>
      <c r="L510" t="s">
        <v>567</v>
      </c>
      <c r="M510" s="1" t="e">
        <f>Tabla32[[#This Row],[BN CARTA]]-#REF!</f>
        <v>#REF!</v>
      </c>
      <c r="N510" s="1" t="e">
        <f>Tabla32[[#This Row],[BN OFICIO]]-#REF!</f>
        <v>#REF!</v>
      </c>
      <c r="O510" s="1" t="e">
        <f>Tabla32[[#This Row],[BN DC]]-#REF!</f>
        <v>#REF!</v>
      </c>
      <c r="P510" s="1" t="e">
        <f>Tabla32[[#This Row],[COLOR CARTA]]-#REF!</f>
        <v>#REF!</v>
      </c>
      <c r="Q510" s="1" t="e">
        <f>Tabla32[[#This Row],[COLOR OFICIO]]-#REF!</f>
        <v>#REF!</v>
      </c>
      <c r="R510" s="1" t="e">
        <f>Tabla32[[#This Row],[ENVIAR]]-#REF!</f>
        <v>#REF!</v>
      </c>
      <c r="S510" s="1" t="e">
        <f>Tabla32[[#This Row],[COPIAR]]-#REF!</f>
        <v>#REF!</v>
      </c>
    </row>
    <row r="511" spans="1:19" x14ac:dyDescent="0.25">
      <c r="A511" t="s">
        <v>10</v>
      </c>
      <c r="B511" t="s">
        <v>568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K511" t="s">
        <v>10</v>
      </c>
      <c r="L511" t="s">
        <v>568</v>
      </c>
      <c r="M511" s="1" t="e">
        <f>Tabla32[[#This Row],[BN CARTA]]-#REF!</f>
        <v>#REF!</v>
      </c>
      <c r="N511" s="1" t="e">
        <f>Tabla32[[#This Row],[BN OFICIO]]-#REF!</f>
        <v>#REF!</v>
      </c>
      <c r="O511" s="1" t="e">
        <f>Tabla32[[#This Row],[BN DC]]-#REF!</f>
        <v>#REF!</v>
      </c>
      <c r="P511" s="1" t="e">
        <f>Tabla32[[#This Row],[COLOR CARTA]]-#REF!</f>
        <v>#REF!</v>
      </c>
      <c r="Q511" s="1" t="e">
        <f>Tabla32[[#This Row],[COLOR OFICIO]]-#REF!</f>
        <v>#REF!</v>
      </c>
      <c r="R511" s="1" t="e">
        <f>Tabla32[[#This Row],[ENVIAR]]-#REF!</f>
        <v>#REF!</v>
      </c>
      <c r="S511" s="1" t="e">
        <f>Tabla32[[#This Row],[COPIAR]]-#REF!</f>
        <v>#REF!</v>
      </c>
    </row>
    <row r="512" spans="1:19" x14ac:dyDescent="0.25">
      <c r="A512" t="s">
        <v>131</v>
      </c>
      <c r="B512" t="s">
        <v>569</v>
      </c>
      <c r="C512">
        <v>5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K512" t="s">
        <v>131</v>
      </c>
      <c r="L512" t="s">
        <v>569</v>
      </c>
      <c r="M512" s="1" t="e">
        <f>Tabla32[[#This Row],[BN CARTA]]-#REF!</f>
        <v>#REF!</v>
      </c>
      <c r="N512" s="1" t="e">
        <f>Tabla32[[#This Row],[BN OFICIO]]-#REF!</f>
        <v>#REF!</v>
      </c>
      <c r="O512" s="1" t="e">
        <f>Tabla32[[#This Row],[BN DC]]-#REF!</f>
        <v>#REF!</v>
      </c>
      <c r="P512" s="1" t="e">
        <f>Tabla32[[#This Row],[COLOR CARTA]]-#REF!</f>
        <v>#REF!</v>
      </c>
      <c r="Q512" s="1" t="e">
        <f>Tabla32[[#This Row],[COLOR OFICIO]]-#REF!</f>
        <v>#REF!</v>
      </c>
      <c r="R512" s="1" t="e">
        <f>Tabla32[[#This Row],[ENVIAR]]-#REF!</f>
        <v>#REF!</v>
      </c>
      <c r="S512" s="1" t="e">
        <f>Tabla32[[#This Row],[COPIAR]]-#REF!</f>
        <v>#REF!</v>
      </c>
    </row>
    <row r="513" spans="1:19" x14ac:dyDescent="0.25">
      <c r="A513" t="s">
        <v>10</v>
      </c>
      <c r="B513" t="s">
        <v>570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K513" t="s">
        <v>10</v>
      </c>
      <c r="L513" t="s">
        <v>570</v>
      </c>
      <c r="M513" s="1" t="e">
        <f>Tabla32[[#This Row],[BN CARTA]]-#REF!</f>
        <v>#REF!</v>
      </c>
      <c r="N513" s="1" t="e">
        <f>Tabla32[[#This Row],[BN OFICIO]]-#REF!</f>
        <v>#REF!</v>
      </c>
      <c r="O513" s="1" t="e">
        <f>Tabla32[[#This Row],[BN DC]]-#REF!</f>
        <v>#REF!</v>
      </c>
      <c r="P513" s="1" t="e">
        <f>Tabla32[[#This Row],[COLOR CARTA]]-#REF!</f>
        <v>#REF!</v>
      </c>
      <c r="Q513" s="1" t="e">
        <f>Tabla32[[#This Row],[COLOR OFICIO]]-#REF!</f>
        <v>#REF!</v>
      </c>
      <c r="R513" s="1" t="e">
        <f>Tabla32[[#This Row],[ENVIAR]]-#REF!</f>
        <v>#REF!</v>
      </c>
      <c r="S513" s="1" t="e">
        <f>Tabla32[[#This Row],[COPIAR]]-#REF!</f>
        <v>#REF!</v>
      </c>
    </row>
    <row r="514" spans="1:19" x14ac:dyDescent="0.25">
      <c r="A514" t="s">
        <v>72</v>
      </c>
      <c r="B514" t="s">
        <v>571</v>
      </c>
      <c r="C514">
        <v>635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K514" t="s">
        <v>72</v>
      </c>
      <c r="L514" t="s">
        <v>571</v>
      </c>
      <c r="M514" s="1" t="e">
        <f>Tabla32[[#This Row],[BN CARTA]]-#REF!</f>
        <v>#REF!</v>
      </c>
      <c r="N514" s="1" t="e">
        <f>Tabla32[[#This Row],[BN OFICIO]]-#REF!</f>
        <v>#REF!</v>
      </c>
      <c r="O514" s="1" t="e">
        <f>Tabla32[[#This Row],[BN DC]]-#REF!</f>
        <v>#REF!</v>
      </c>
      <c r="P514" s="1" t="e">
        <f>Tabla32[[#This Row],[COLOR CARTA]]-#REF!</f>
        <v>#REF!</v>
      </c>
      <c r="Q514" s="1" t="e">
        <f>Tabla32[[#This Row],[COLOR OFICIO]]-#REF!</f>
        <v>#REF!</v>
      </c>
      <c r="R514" s="1" t="e">
        <f>Tabla32[[#This Row],[ENVIAR]]-#REF!</f>
        <v>#REF!</v>
      </c>
      <c r="S514" s="1" t="e">
        <f>Tabla32[[#This Row],[COPIAR]]-#REF!</f>
        <v>#REF!</v>
      </c>
    </row>
    <row r="515" spans="1:19" x14ac:dyDescent="0.25">
      <c r="A515" t="s">
        <v>10</v>
      </c>
      <c r="B515" t="s">
        <v>572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K515" t="s">
        <v>10</v>
      </c>
      <c r="L515" t="s">
        <v>572</v>
      </c>
      <c r="M515" s="1" t="e">
        <f>Tabla32[[#This Row],[BN CARTA]]-#REF!</f>
        <v>#REF!</v>
      </c>
      <c r="N515" s="1" t="e">
        <f>Tabla32[[#This Row],[BN OFICIO]]-#REF!</f>
        <v>#REF!</v>
      </c>
      <c r="O515" s="1" t="e">
        <f>Tabla32[[#This Row],[BN DC]]-#REF!</f>
        <v>#REF!</v>
      </c>
      <c r="P515" s="1" t="e">
        <f>Tabla32[[#This Row],[COLOR CARTA]]-#REF!</f>
        <v>#REF!</v>
      </c>
      <c r="Q515" s="1" t="e">
        <f>Tabla32[[#This Row],[COLOR OFICIO]]-#REF!</f>
        <v>#REF!</v>
      </c>
      <c r="R515" s="1" t="e">
        <f>Tabla32[[#This Row],[ENVIAR]]-#REF!</f>
        <v>#REF!</v>
      </c>
      <c r="S515" s="1" t="e">
        <f>Tabla32[[#This Row],[COPIAR]]-#REF!</f>
        <v>#REF!</v>
      </c>
    </row>
    <row r="516" spans="1:19" x14ac:dyDescent="0.25">
      <c r="A516" t="s">
        <v>10</v>
      </c>
      <c r="B516" t="s">
        <v>573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K516" t="s">
        <v>10</v>
      </c>
      <c r="L516" t="s">
        <v>573</v>
      </c>
      <c r="M516" s="1" t="e">
        <f>Tabla32[[#This Row],[BN CARTA]]-#REF!</f>
        <v>#REF!</v>
      </c>
      <c r="N516" s="1" t="e">
        <f>Tabla32[[#This Row],[BN OFICIO]]-#REF!</f>
        <v>#REF!</v>
      </c>
      <c r="O516" s="1" t="e">
        <f>Tabla32[[#This Row],[BN DC]]-#REF!</f>
        <v>#REF!</v>
      </c>
      <c r="P516" s="1" t="e">
        <f>Tabla32[[#This Row],[COLOR CARTA]]-#REF!</f>
        <v>#REF!</v>
      </c>
      <c r="Q516" s="1" t="e">
        <f>Tabla32[[#This Row],[COLOR OFICIO]]-#REF!</f>
        <v>#REF!</v>
      </c>
      <c r="R516" s="1" t="e">
        <f>Tabla32[[#This Row],[ENVIAR]]-#REF!</f>
        <v>#REF!</v>
      </c>
      <c r="S516" s="1" t="e">
        <f>Tabla32[[#This Row],[COPIAR]]-#REF!</f>
        <v>#REF!</v>
      </c>
    </row>
    <row r="517" spans="1:19" x14ac:dyDescent="0.25">
      <c r="A517" t="s">
        <v>10</v>
      </c>
      <c r="B517" t="s">
        <v>574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K517" t="s">
        <v>10</v>
      </c>
      <c r="L517" t="s">
        <v>574</v>
      </c>
      <c r="M517" s="1" t="e">
        <f>Tabla32[[#This Row],[BN CARTA]]-#REF!</f>
        <v>#REF!</v>
      </c>
      <c r="N517" s="1" t="e">
        <f>Tabla32[[#This Row],[BN OFICIO]]-#REF!</f>
        <v>#REF!</v>
      </c>
      <c r="O517" s="1" t="e">
        <f>Tabla32[[#This Row],[BN DC]]-#REF!</f>
        <v>#REF!</v>
      </c>
      <c r="P517" s="1" t="e">
        <f>Tabla32[[#This Row],[COLOR CARTA]]-#REF!</f>
        <v>#REF!</v>
      </c>
      <c r="Q517" s="1" t="e">
        <f>Tabla32[[#This Row],[COLOR OFICIO]]-#REF!</f>
        <v>#REF!</v>
      </c>
      <c r="R517" s="1" t="e">
        <f>Tabla32[[#This Row],[ENVIAR]]-#REF!</f>
        <v>#REF!</v>
      </c>
      <c r="S517" s="1" t="e">
        <f>Tabla32[[#This Row],[COPIAR]]-#REF!</f>
        <v>#REF!</v>
      </c>
    </row>
    <row r="518" spans="1:19" x14ac:dyDescent="0.25">
      <c r="A518" t="s">
        <v>131</v>
      </c>
      <c r="B518" t="s">
        <v>575</v>
      </c>
      <c r="C518">
        <v>145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K518" t="s">
        <v>131</v>
      </c>
      <c r="L518" t="s">
        <v>575</v>
      </c>
      <c r="M518" s="1" t="e">
        <f>Tabla32[[#This Row],[BN CARTA]]-#REF!</f>
        <v>#REF!</v>
      </c>
      <c r="N518" s="1" t="e">
        <f>Tabla32[[#This Row],[BN OFICIO]]-#REF!</f>
        <v>#REF!</v>
      </c>
      <c r="O518" s="1" t="e">
        <f>Tabla32[[#This Row],[BN DC]]-#REF!</f>
        <v>#REF!</v>
      </c>
      <c r="P518" s="1" t="e">
        <f>Tabla32[[#This Row],[COLOR CARTA]]-#REF!</f>
        <v>#REF!</v>
      </c>
      <c r="Q518" s="1" t="e">
        <f>Tabla32[[#This Row],[COLOR OFICIO]]-#REF!</f>
        <v>#REF!</v>
      </c>
      <c r="R518" s="1" t="e">
        <f>Tabla32[[#This Row],[ENVIAR]]-#REF!</f>
        <v>#REF!</v>
      </c>
      <c r="S518" s="1" t="e">
        <f>Tabla32[[#This Row],[COPIAR]]-#REF!</f>
        <v>#REF!</v>
      </c>
    </row>
    <row r="519" spans="1:19" x14ac:dyDescent="0.25">
      <c r="A519" t="s">
        <v>10</v>
      </c>
      <c r="B519" t="s">
        <v>576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K519" t="s">
        <v>10</v>
      </c>
      <c r="L519" t="s">
        <v>576</v>
      </c>
      <c r="M519" s="1" t="e">
        <f>Tabla32[[#This Row],[BN CARTA]]-#REF!</f>
        <v>#REF!</v>
      </c>
      <c r="N519" s="1" t="e">
        <f>Tabla32[[#This Row],[BN OFICIO]]-#REF!</f>
        <v>#REF!</v>
      </c>
      <c r="O519" s="1" t="e">
        <f>Tabla32[[#This Row],[BN DC]]-#REF!</f>
        <v>#REF!</v>
      </c>
      <c r="P519" s="1" t="e">
        <f>Tabla32[[#This Row],[COLOR CARTA]]-#REF!</f>
        <v>#REF!</v>
      </c>
      <c r="Q519" s="1" t="e">
        <f>Tabla32[[#This Row],[COLOR OFICIO]]-#REF!</f>
        <v>#REF!</v>
      </c>
      <c r="R519" s="1" t="e">
        <f>Tabla32[[#This Row],[ENVIAR]]-#REF!</f>
        <v>#REF!</v>
      </c>
      <c r="S519" s="1" t="e">
        <f>Tabla32[[#This Row],[COPIAR]]-#REF!</f>
        <v>#REF!</v>
      </c>
    </row>
    <row r="520" spans="1:19" x14ac:dyDescent="0.25">
      <c r="A520" t="s">
        <v>10</v>
      </c>
      <c r="B520" t="s">
        <v>577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K520" t="s">
        <v>10</v>
      </c>
      <c r="L520" t="s">
        <v>577</v>
      </c>
      <c r="M520" s="1" t="e">
        <f>Tabla32[[#This Row],[BN CARTA]]-#REF!</f>
        <v>#REF!</v>
      </c>
      <c r="N520" s="1" t="e">
        <f>Tabla32[[#This Row],[BN OFICIO]]-#REF!</f>
        <v>#REF!</v>
      </c>
      <c r="O520" s="1" t="e">
        <f>Tabla32[[#This Row],[BN DC]]-#REF!</f>
        <v>#REF!</v>
      </c>
      <c r="P520" s="1" t="e">
        <f>Tabla32[[#This Row],[COLOR CARTA]]-#REF!</f>
        <v>#REF!</v>
      </c>
      <c r="Q520" s="1" t="e">
        <f>Tabla32[[#This Row],[COLOR OFICIO]]-#REF!</f>
        <v>#REF!</v>
      </c>
      <c r="R520" s="1" t="e">
        <f>Tabla32[[#This Row],[ENVIAR]]-#REF!</f>
        <v>#REF!</v>
      </c>
      <c r="S520" s="1" t="e">
        <f>Tabla32[[#This Row],[COPIAR]]-#REF!</f>
        <v>#REF!</v>
      </c>
    </row>
    <row r="521" spans="1:19" x14ac:dyDescent="0.25">
      <c r="A521" t="s">
        <v>10</v>
      </c>
      <c r="B521" t="s">
        <v>578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K521" t="s">
        <v>10</v>
      </c>
      <c r="L521" t="s">
        <v>578</v>
      </c>
      <c r="M521" s="1" t="e">
        <f>Tabla32[[#This Row],[BN CARTA]]-#REF!</f>
        <v>#REF!</v>
      </c>
      <c r="N521" s="1" t="e">
        <f>Tabla32[[#This Row],[BN OFICIO]]-#REF!</f>
        <v>#REF!</v>
      </c>
      <c r="O521" s="1" t="e">
        <f>Tabla32[[#This Row],[BN DC]]-#REF!</f>
        <v>#REF!</v>
      </c>
      <c r="P521" s="1" t="e">
        <f>Tabla32[[#This Row],[COLOR CARTA]]-#REF!</f>
        <v>#REF!</v>
      </c>
      <c r="Q521" s="1" t="e">
        <f>Tabla32[[#This Row],[COLOR OFICIO]]-#REF!</f>
        <v>#REF!</v>
      </c>
      <c r="R521" s="1" t="e">
        <f>Tabla32[[#This Row],[ENVIAR]]-#REF!</f>
        <v>#REF!</v>
      </c>
      <c r="S521" s="1" t="e">
        <f>Tabla32[[#This Row],[COPIAR]]-#REF!</f>
        <v>#REF!</v>
      </c>
    </row>
    <row r="522" spans="1:19" x14ac:dyDescent="0.25">
      <c r="A522" t="s">
        <v>10</v>
      </c>
      <c r="B522" t="s">
        <v>579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K522" t="s">
        <v>10</v>
      </c>
      <c r="L522" t="s">
        <v>579</v>
      </c>
      <c r="M522" s="1" t="e">
        <f>Tabla32[[#This Row],[BN CARTA]]-#REF!</f>
        <v>#REF!</v>
      </c>
      <c r="N522" s="1" t="e">
        <f>Tabla32[[#This Row],[BN OFICIO]]-#REF!</f>
        <v>#REF!</v>
      </c>
      <c r="O522" s="1" t="e">
        <f>Tabla32[[#This Row],[BN DC]]-#REF!</f>
        <v>#REF!</v>
      </c>
      <c r="P522" s="1" t="e">
        <f>Tabla32[[#This Row],[COLOR CARTA]]-#REF!</f>
        <v>#REF!</v>
      </c>
      <c r="Q522" s="1" t="e">
        <f>Tabla32[[#This Row],[COLOR OFICIO]]-#REF!</f>
        <v>#REF!</v>
      </c>
      <c r="R522" s="1" t="e">
        <f>Tabla32[[#This Row],[ENVIAR]]-#REF!</f>
        <v>#REF!</v>
      </c>
      <c r="S522" s="1" t="e">
        <f>Tabla32[[#This Row],[COPIAR]]-#REF!</f>
        <v>#REF!</v>
      </c>
    </row>
    <row r="523" spans="1:19" x14ac:dyDescent="0.25">
      <c r="A523" t="s">
        <v>10</v>
      </c>
      <c r="B523" t="s">
        <v>580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K523" t="s">
        <v>10</v>
      </c>
      <c r="L523" t="s">
        <v>580</v>
      </c>
      <c r="M523" s="1" t="e">
        <f>Tabla32[[#This Row],[BN CARTA]]-#REF!</f>
        <v>#REF!</v>
      </c>
      <c r="N523" s="1" t="e">
        <f>Tabla32[[#This Row],[BN OFICIO]]-#REF!</f>
        <v>#REF!</v>
      </c>
      <c r="O523" s="1" t="e">
        <f>Tabla32[[#This Row],[BN DC]]-#REF!</f>
        <v>#REF!</v>
      </c>
      <c r="P523" s="1" t="e">
        <f>Tabla32[[#This Row],[COLOR CARTA]]-#REF!</f>
        <v>#REF!</v>
      </c>
      <c r="Q523" s="1" t="e">
        <f>Tabla32[[#This Row],[COLOR OFICIO]]-#REF!</f>
        <v>#REF!</v>
      </c>
      <c r="R523" s="1" t="e">
        <f>Tabla32[[#This Row],[ENVIAR]]-#REF!</f>
        <v>#REF!</v>
      </c>
      <c r="S523" s="1" t="e">
        <f>Tabla32[[#This Row],[COPIAR]]-#REF!</f>
        <v>#REF!</v>
      </c>
    </row>
    <row r="524" spans="1:19" x14ac:dyDescent="0.25">
      <c r="A524" t="s">
        <v>10</v>
      </c>
      <c r="B524" t="s">
        <v>581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K524" t="s">
        <v>10</v>
      </c>
      <c r="L524" t="s">
        <v>581</v>
      </c>
      <c r="M524" s="1" t="e">
        <f>Tabla32[[#This Row],[BN CARTA]]-#REF!</f>
        <v>#REF!</v>
      </c>
      <c r="N524" s="1" t="e">
        <f>Tabla32[[#This Row],[BN OFICIO]]-#REF!</f>
        <v>#REF!</v>
      </c>
      <c r="O524" s="1" t="e">
        <f>Tabla32[[#This Row],[BN DC]]-#REF!</f>
        <v>#REF!</v>
      </c>
      <c r="P524" s="1" t="e">
        <f>Tabla32[[#This Row],[COLOR CARTA]]-#REF!</f>
        <v>#REF!</v>
      </c>
      <c r="Q524" s="1" t="e">
        <f>Tabla32[[#This Row],[COLOR OFICIO]]-#REF!</f>
        <v>#REF!</v>
      </c>
      <c r="R524" s="1" t="e">
        <f>Tabla32[[#This Row],[ENVIAR]]-#REF!</f>
        <v>#REF!</v>
      </c>
      <c r="S524" s="1" t="e">
        <f>Tabla32[[#This Row],[COPIAR]]-#REF!</f>
        <v>#REF!</v>
      </c>
    </row>
    <row r="525" spans="1:19" x14ac:dyDescent="0.25">
      <c r="A525" t="s">
        <v>10</v>
      </c>
      <c r="B525" t="s">
        <v>582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K525" t="s">
        <v>10</v>
      </c>
      <c r="L525" t="s">
        <v>582</v>
      </c>
      <c r="M525" s="1" t="e">
        <f>Tabla32[[#This Row],[BN CARTA]]-#REF!</f>
        <v>#REF!</v>
      </c>
      <c r="N525" s="1" t="e">
        <f>Tabla32[[#This Row],[BN OFICIO]]-#REF!</f>
        <v>#REF!</v>
      </c>
      <c r="O525" s="1" t="e">
        <f>Tabla32[[#This Row],[BN DC]]-#REF!</f>
        <v>#REF!</v>
      </c>
      <c r="P525" s="1" t="e">
        <f>Tabla32[[#This Row],[COLOR CARTA]]-#REF!</f>
        <v>#REF!</v>
      </c>
      <c r="Q525" s="1" t="e">
        <f>Tabla32[[#This Row],[COLOR OFICIO]]-#REF!</f>
        <v>#REF!</v>
      </c>
      <c r="R525" s="1" t="e">
        <f>Tabla32[[#This Row],[ENVIAR]]-#REF!</f>
        <v>#REF!</v>
      </c>
      <c r="S525" s="1" t="e">
        <f>Tabla32[[#This Row],[COPIAR]]-#REF!</f>
        <v>#REF!</v>
      </c>
    </row>
    <row r="526" spans="1:19" x14ac:dyDescent="0.25">
      <c r="A526" t="s">
        <v>10</v>
      </c>
      <c r="B526" t="s">
        <v>583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K526" t="s">
        <v>10</v>
      </c>
      <c r="L526" t="s">
        <v>583</v>
      </c>
      <c r="M526" s="1" t="e">
        <f>Tabla32[[#This Row],[BN CARTA]]-#REF!</f>
        <v>#REF!</v>
      </c>
      <c r="N526" s="1" t="e">
        <f>Tabla32[[#This Row],[BN OFICIO]]-#REF!</f>
        <v>#REF!</v>
      </c>
      <c r="O526" s="1" t="e">
        <f>Tabla32[[#This Row],[BN DC]]-#REF!</f>
        <v>#REF!</v>
      </c>
      <c r="P526" s="1" t="e">
        <f>Tabla32[[#This Row],[COLOR CARTA]]-#REF!</f>
        <v>#REF!</v>
      </c>
      <c r="Q526" s="1" t="e">
        <f>Tabla32[[#This Row],[COLOR OFICIO]]-#REF!</f>
        <v>#REF!</v>
      </c>
      <c r="R526" s="1" t="e">
        <f>Tabla32[[#This Row],[ENVIAR]]-#REF!</f>
        <v>#REF!</v>
      </c>
      <c r="S526" s="1" t="e">
        <f>Tabla32[[#This Row],[COPIAR]]-#REF!</f>
        <v>#REF!</v>
      </c>
    </row>
    <row r="527" spans="1:19" x14ac:dyDescent="0.25">
      <c r="A527" t="s">
        <v>120</v>
      </c>
      <c r="B527" t="s">
        <v>584</v>
      </c>
      <c r="C527">
        <v>136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K527" t="s">
        <v>120</v>
      </c>
      <c r="L527" t="s">
        <v>584</v>
      </c>
      <c r="M527" s="1" t="e">
        <f>Tabla32[[#This Row],[BN CARTA]]-#REF!</f>
        <v>#REF!</v>
      </c>
      <c r="N527" s="1" t="e">
        <f>Tabla32[[#This Row],[BN OFICIO]]-#REF!</f>
        <v>#REF!</v>
      </c>
      <c r="O527" s="1" t="e">
        <f>Tabla32[[#This Row],[BN DC]]-#REF!</f>
        <v>#REF!</v>
      </c>
      <c r="P527" s="1" t="e">
        <f>Tabla32[[#This Row],[COLOR CARTA]]-#REF!</f>
        <v>#REF!</v>
      </c>
      <c r="Q527" s="1" t="e">
        <f>Tabla32[[#This Row],[COLOR OFICIO]]-#REF!</f>
        <v>#REF!</v>
      </c>
      <c r="R527" s="1" t="e">
        <f>Tabla32[[#This Row],[ENVIAR]]-#REF!</f>
        <v>#REF!</v>
      </c>
      <c r="S527" s="1" t="e">
        <f>Tabla32[[#This Row],[COPIAR]]-#REF!</f>
        <v>#REF!</v>
      </c>
    </row>
    <row r="528" spans="1:19" x14ac:dyDescent="0.25">
      <c r="A528" t="s">
        <v>45</v>
      </c>
      <c r="B528" t="s">
        <v>585</v>
      </c>
      <c r="C528">
        <v>114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K528" t="s">
        <v>45</v>
      </c>
      <c r="L528" t="s">
        <v>585</v>
      </c>
      <c r="M528" s="1" t="e">
        <f>Tabla32[[#This Row],[BN CARTA]]-#REF!</f>
        <v>#REF!</v>
      </c>
      <c r="N528" s="1" t="e">
        <f>Tabla32[[#This Row],[BN OFICIO]]-#REF!</f>
        <v>#REF!</v>
      </c>
      <c r="O528" s="1" t="e">
        <f>Tabla32[[#This Row],[BN DC]]-#REF!</f>
        <v>#REF!</v>
      </c>
      <c r="P528" s="1" t="e">
        <f>Tabla32[[#This Row],[COLOR CARTA]]-#REF!</f>
        <v>#REF!</v>
      </c>
      <c r="Q528" s="1" t="e">
        <f>Tabla32[[#This Row],[COLOR OFICIO]]-#REF!</f>
        <v>#REF!</v>
      </c>
      <c r="R528" s="1" t="e">
        <f>Tabla32[[#This Row],[ENVIAR]]-#REF!</f>
        <v>#REF!</v>
      </c>
      <c r="S528" s="1" t="e">
        <f>Tabla32[[#This Row],[COPIAR]]-#REF!</f>
        <v>#REF!</v>
      </c>
    </row>
    <row r="529" spans="1:19" x14ac:dyDescent="0.25">
      <c r="A529" t="s">
        <v>10</v>
      </c>
      <c r="B529" t="s">
        <v>586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K529" t="s">
        <v>10</v>
      </c>
      <c r="L529" t="s">
        <v>586</v>
      </c>
      <c r="M529" s="1" t="e">
        <f>Tabla32[[#This Row],[BN CARTA]]-#REF!</f>
        <v>#REF!</v>
      </c>
      <c r="N529" s="1" t="e">
        <f>Tabla32[[#This Row],[BN OFICIO]]-#REF!</f>
        <v>#REF!</v>
      </c>
      <c r="O529" s="1" t="e">
        <f>Tabla32[[#This Row],[BN DC]]-#REF!</f>
        <v>#REF!</v>
      </c>
      <c r="P529" s="1" t="e">
        <f>Tabla32[[#This Row],[COLOR CARTA]]-#REF!</f>
        <v>#REF!</v>
      </c>
      <c r="Q529" s="1" t="e">
        <f>Tabla32[[#This Row],[COLOR OFICIO]]-#REF!</f>
        <v>#REF!</v>
      </c>
      <c r="R529" s="1" t="e">
        <f>Tabla32[[#This Row],[ENVIAR]]-#REF!</f>
        <v>#REF!</v>
      </c>
      <c r="S529" s="1" t="e">
        <f>Tabla32[[#This Row],[COPIAR]]-#REF!</f>
        <v>#REF!</v>
      </c>
    </row>
    <row r="530" spans="1:19" x14ac:dyDescent="0.25">
      <c r="A530" t="s">
        <v>43</v>
      </c>
      <c r="B530" t="s">
        <v>587</v>
      </c>
      <c r="C530">
        <v>83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K530" t="s">
        <v>43</v>
      </c>
      <c r="L530" t="s">
        <v>587</v>
      </c>
      <c r="M530" s="1" t="e">
        <f>Tabla32[[#This Row],[BN CARTA]]-#REF!</f>
        <v>#REF!</v>
      </c>
      <c r="N530" s="1" t="e">
        <f>Tabla32[[#This Row],[BN OFICIO]]-#REF!</f>
        <v>#REF!</v>
      </c>
      <c r="O530" s="1" t="e">
        <f>Tabla32[[#This Row],[BN DC]]-#REF!</f>
        <v>#REF!</v>
      </c>
      <c r="P530" s="1" t="e">
        <f>Tabla32[[#This Row],[COLOR CARTA]]-#REF!</f>
        <v>#REF!</v>
      </c>
      <c r="Q530" s="1" t="e">
        <f>Tabla32[[#This Row],[COLOR OFICIO]]-#REF!</f>
        <v>#REF!</v>
      </c>
      <c r="R530" s="1" t="e">
        <f>Tabla32[[#This Row],[ENVIAR]]-#REF!</f>
        <v>#REF!</v>
      </c>
      <c r="S530" s="1" t="e">
        <f>Tabla32[[#This Row],[COPIAR]]-#REF!</f>
        <v>#REF!</v>
      </c>
    </row>
    <row r="531" spans="1:19" x14ac:dyDescent="0.25">
      <c r="A531" t="s">
        <v>61</v>
      </c>
      <c r="B531" t="s">
        <v>588</v>
      </c>
      <c r="C531">
        <v>68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K531" t="s">
        <v>61</v>
      </c>
      <c r="L531" t="s">
        <v>588</v>
      </c>
      <c r="M531" s="1" t="e">
        <f>Tabla32[[#This Row],[BN CARTA]]-#REF!</f>
        <v>#REF!</v>
      </c>
      <c r="N531" s="1" t="e">
        <f>Tabla32[[#This Row],[BN OFICIO]]-#REF!</f>
        <v>#REF!</v>
      </c>
      <c r="O531" s="1" t="e">
        <f>Tabla32[[#This Row],[BN DC]]-#REF!</f>
        <v>#REF!</v>
      </c>
      <c r="P531" s="1" t="e">
        <f>Tabla32[[#This Row],[COLOR CARTA]]-#REF!</f>
        <v>#REF!</v>
      </c>
      <c r="Q531" s="1" t="e">
        <f>Tabla32[[#This Row],[COLOR OFICIO]]-#REF!</f>
        <v>#REF!</v>
      </c>
      <c r="R531" s="1" t="e">
        <f>Tabla32[[#This Row],[ENVIAR]]-#REF!</f>
        <v>#REF!</v>
      </c>
      <c r="S531" s="1" t="e">
        <f>Tabla32[[#This Row],[COPIAR]]-#REF!</f>
        <v>#REF!</v>
      </c>
    </row>
    <row r="532" spans="1:19" x14ac:dyDescent="0.25">
      <c r="A532" t="s">
        <v>47</v>
      </c>
      <c r="B532" t="s">
        <v>589</v>
      </c>
      <c r="C532">
        <v>16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K532" t="s">
        <v>47</v>
      </c>
      <c r="L532" t="s">
        <v>589</v>
      </c>
      <c r="M532" s="1" t="e">
        <f>Tabla32[[#This Row],[BN CARTA]]-#REF!</f>
        <v>#REF!</v>
      </c>
      <c r="N532" s="1" t="e">
        <f>Tabla32[[#This Row],[BN OFICIO]]-#REF!</f>
        <v>#REF!</v>
      </c>
      <c r="O532" s="1" t="e">
        <f>Tabla32[[#This Row],[BN DC]]-#REF!</f>
        <v>#REF!</v>
      </c>
      <c r="P532" s="1" t="e">
        <f>Tabla32[[#This Row],[COLOR CARTA]]-#REF!</f>
        <v>#REF!</v>
      </c>
      <c r="Q532" s="1" t="e">
        <f>Tabla32[[#This Row],[COLOR OFICIO]]-#REF!</f>
        <v>#REF!</v>
      </c>
      <c r="R532" s="1" t="e">
        <f>Tabla32[[#This Row],[ENVIAR]]-#REF!</f>
        <v>#REF!</v>
      </c>
      <c r="S532" s="1" t="e">
        <f>Tabla32[[#This Row],[COPIAR]]-#REF!</f>
        <v>#REF!</v>
      </c>
    </row>
    <row r="533" spans="1:19" x14ac:dyDescent="0.25">
      <c r="A533" t="s">
        <v>38</v>
      </c>
      <c r="B533" t="s">
        <v>590</v>
      </c>
      <c r="C533">
        <v>45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K533" t="s">
        <v>38</v>
      </c>
      <c r="L533" t="s">
        <v>590</v>
      </c>
      <c r="M533" s="1" t="e">
        <f>Tabla32[[#This Row],[BN CARTA]]-#REF!</f>
        <v>#REF!</v>
      </c>
      <c r="N533" s="1" t="e">
        <f>Tabla32[[#This Row],[BN OFICIO]]-#REF!</f>
        <v>#REF!</v>
      </c>
      <c r="O533" s="1" t="e">
        <f>Tabla32[[#This Row],[BN DC]]-#REF!</f>
        <v>#REF!</v>
      </c>
      <c r="P533" s="1" t="e">
        <f>Tabla32[[#This Row],[COLOR CARTA]]-#REF!</f>
        <v>#REF!</v>
      </c>
      <c r="Q533" s="1" t="e">
        <f>Tabla32[[#This Row],[COLOR OFICIO]]-#REF!</f>
        <v>#REF!</v>
      </c>
      <c r="R533" s="1" t="e">
        <f>Tabla32[[#This Row],[ENVIAR]]-#REF!</f>
        <v>#REF!</v>
      </c>
      <c r="S533" s="1" t="e">
        <f>Tabla32[[#This Row],[COPIAR]]-#REF!</f>
        <v>#REF!</v>
      </c>
    </row>
    <row r="534" spans="1:19" x14ac:dyDescent="0.25">
      <c r="A534" t="s">
        <v>10</v>
      </c>
      <c r="B534" t="s">
        <v>591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K534" t="s">
        <v>10</v>
      </c>
      <c r="L534" t="s">
        <v>591</v>
      </c>
      <c r="M534" s="1" t="e">
        <f>Tabla32[[#This Row],[BN CARTA]]-#REF!</f>
        <v>#REF!</v>
      </c>
      <c r="N534" s="1" t="e">
        <f>Tabla32[[#This Row],[BN OFICIO]]-#REF!</f>
        <v>#REF!</v>
      </c>
      <c r="O534" s="1" t="e">
        <f>Tabla32[[#This Row],[BN DC]]-#REF!</f>
        <v>#REF!</v>
      </c>
      <c r="P534" s="1" t="e">
        <f>Tabla32[[#This Row],[COLOR CARTA]]-#REF!</f>
        <v>#REF!</v>
      </c>
      <c r="Q534" s="1" t="e">
        <f>Tabla32[[#This Row],[COLOR OFICIO]]-#REF!</f>
        <v>#REF!</v>
      </c>
      <c r="R534" s="1" t="e">
        <f>Tabla32[[#This Row],[ENVIAR]]-#REF!</f>
        <v>#REF!</v>
      </c>
      <c r="S534" s="1" t="e">
        <f>Tabla32[[#This Row],[COPIAR]]-#REF!</f>
        <v>#REF!</v>
      </c>
    </row>
    <row r="535" spans="1:19" x14ac:dyDescent="0.25">
      <c r="A535" t="s">
        <v>10</v>
      </c>
      <c r="B535" t="s">
        <v>592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K535" t="s">
        <v>10</v>
      </c>
      <c r="L535" t="s">
        <v>592</v>
      </c>
      <c r="M535" s="1" t="e">
        <f>Tabla32[[#This Row],[BN CARTA]]-#REF!</f>
        <v>#REF!</v>
      </c>
      <c r="N535" s="1" t="e">
        <f>Tabla32[[#This Row],[BN OFICIO]]-#REF!</f>
        <v>#REF!</v>
      </c>
      <c r="O535" s="1" t="e">
        <f>Tabla32[[#This Row],[BN DC]]-#REF!</f>
        <v>#REF!</v>
      </c>
      <c r="P535" s="1" t="e">
        <f>Tabla32[[#This Row],[COLOR CARTA]]-#REF!</f>
        <v>#REF!</v>
      </c>
      <c r="Q535" s="1" t="e">
        <f>Tabla32[[#This Row],[COLOR OFICIO]]-#REF!</f>
        <v>#REF!</v>
      </c>
      <c r="R535" s="1" t="e">
        <f>Tabla32[[#This Row],[ENVIAR]]-#REF!</f>
        <v>#REF!</v>
      </c>
      <c r="S535" s="1" t="e">
        <f>Tabla32[[#This Row],[COPIAR]]-#REF!</f>
        <v>#REF!</v>
      </c>
    </row>
    <row r="536" spans="1:19" x14ac:dyDescent="0.25">
      <c r="A536" t="s">
        <v>59</v>
      </c>
      <c r="B536" t="s">
        <v>593</v>
      </c>
      <c r="C536">
        <v>15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K536" t="s">
        <v>59</v>
      </c>
      <c r="L536" t="s">
        <v>593</v>
      </c>
      <c r="M536" s="1" t="e">
        <f>Tabla32[[#This Row],[BN CARTA]]-#REF!</f>
        <v>#REF!</v>
      </c>
      <c r="N536" s="1" t="e">
        <f>Tabla32[[#This Row],[BN OFICIO]]-#REF!</f>
        <v>#REF!</v>
      </c>
      <c r="O536" s="1" t="e">
        <f>Tabla32[[#This Row],[BN DC]]-#REF!</f>
        <v>#REF!</v>
      </c>
      <c r="P536" s="1" t="e">
        <f>Tabla32[[#This Row],[COLOR CARTA]]-#REF!</f>
        <v>#REF!</v>
      </c>
      <c r="Q536" s="1" t="e">
        <f>Tabla32[[#This Row],[COLOR OFICIO]]-#REF!</f>
        <v>#REF!</v>
      </c>
      <c r="R536" s="1" t="e">
        <f>Tabla32[[#This Row],[ENVIAR]]-#REF!</f>
        <v>#REF!</v>
      </c>
      <c r="S536" s="1" t="e">
        <f>Tabla32[[#This Row],[COPIAR]]-#REF!</f>
        <v>#REF!</v>
      </c>
    </row>
    <row r="537" spans="1:19" x14ac:dyDescent="0.25">
      <c r="A537" t="s">
        <v>128</v>
      </c>
      <c r="B537" t="s">
        <v>594</v>
      </c>
      <c r="C537">
        <v>97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K537" t="s">
        <v>128</v>
      </c>
      <c r="L537" t="s">
        <v>594</v>
      </c>
      <c r="M537" s="1" t="e">
        <f>Tabla32[[#This Row],[BN CARTA]]-#REF!</f>
        <v>#REF!</v>
      </c>
      <c r="N537" s="1" t="e">
        <f>Tabla32[[#This Row],[BN OFICIO]]-#REF!</f>
        <v>#REF!</v>
      </c>
      <c r="O537" s="1" t="e">
        <f>Tabla32[[#This Row],[BN DC]]-#REF!</f>
        <v>#REF!</v>
      </c>
      <c r="P537" s="1" t="e">
        <f>Tabla32[[#This Row],[COLOR CARTA]]-#REF!</f>
        <v>#REF!</v>
      </c>
      <c r="Q537" s="1" t="e">
        <f>Tabla32[[#This Row],[COLOR OFICIO]]-#REF!</f>
        <v>#REF!</v>
      </c>
      <c r="R537" s="1" t="e">
        <f>Tabla32[[#This Row],[ENVIAR]]-#REF!</f>
        <v>#REF!</v>
      </c>
      <c r="S537" s="1" t="e">
        <f>Tabla32[[#This Row],[COPIAR]]-#REF!</f>
        <v>#REF!</v>
      </c>
    </row>
    <row r="538" spans="1:19" x14ac:dyDescent="0.25">
      <c r="A538" t="s">
        <v>10</v>
      </c>
      <c r="B538" t="s">
        <v>595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K538" t="s">
        <v>10</v>
      </c>
      <c r="L538" t="s">
        <v>595</v>
      </c>
      <c r="M538" s="1" t="e">
        <f>Tabla32[[#This Row],[BN CARTA]]-#REF!</f>
        <v>#REF!</v>
      </c>
      <c r="N538" s="1" t="e">
        <f>Tabla32[[#This Row],[BN OFICIO]]-#REF!</f>
        <v>#REF!</v>
      </c>
      <c r="O538" s="1" t="e">
        <f>Tabla32[[#This Row],[BN DC]]-#REF!</f>
        <v>#REF!</v>
      </c>
      <c r="P538" s="1" t="e">
        <f>Tabla32[[#This Row],[COLOR CARTA]]-#REF!</f>
        <v>#REF!</v>
      </c>
      <c r="Q538" s="1" t="e">
        <f>Tabla32[[#This Row],[COLOR OFICIO]]-#REF!</f>
        <v>#REF!</v>
      </c>
      <c r="R538" s="1" t="e">
        <f>Tabla32[[#This Row],[ENVIAR]]-#REF!</f>
        <v>#REF!</v>
      </c>
      <c r="S538" s="1" t="e">
        <f>Tabla32[[#This Row],[COPIAR]]-#REF!</f>
        <v>#REF!</v>
      </c>
    </row>
    <row r="539" spans="1:19" x14ac:dyDescent="0.25">
      <c r="A539" t="s">
        <v>10</v>
      </c>
      <c r="B539" t="s">
        <v>596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K539" t="s">
        <v>10</v>
      </c>
      <c r="L539" t="s">
        <v>596</v>
      </c>
      <c r="M539" s="1" t="e">
        <f>Tabla32[[#This Row],[BN CARTA]]-#REF!</f>
        <v>#REF!</v>
      </c>
      <c r="N539" s="1" t="e">
        <f>Tabla32[[#This Row],[BN OFICIO]]-#REF!</f>
        <v>#REF!</v>
      </c>
      <c r="O539" s="1" t="e">
        <f>Tabla32[[#This Row],[BN DC]]-#REF!</f>
        <v>#REF!</v>
      </c>
      <c r="P539" s="1" t="e">
        <f>Tabla32[[#This Row],[COLOR CARTA]]-#REF!</f>
        <v>#REF!</v>
      </c>
      <c r="Q539" s="1" t="e">
        <f>Tabla32[[#This Row],[COLOR OFICIO]]-#REF!</f>
        <v>#REF!</v>
      </c>
      <c r="R539" s="1" t="e">
        <f>Tabla32[[#This Row],[ENVIAR]]-#REF!</f>
        <v>#REF!</v>
      </c>
      <c r="S539" s="1" t="e">
        <f>Tabla32[[#This Row],[COPIAR]]-#REF!</f>
        <v>#REF!</v>
      </c>
    </row>
    <row r="540" spans="1:19" x14ac:dyDescent="0.25">
      <c r="A540" t="s">
        <v>10</v>
      </c>
      <c r="B540" t="s">
        <v>597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K540" t="s">
        <v>10</v>
      </c>
      <c r="L540" t="s">
        <v>597</v>
      </c>
      <c r="M540" s="1" t="e">
        <f>Tabla32[[#This Row],[BN CARTA]]-#REF!</f>
        <v>#REF!</v>
      </c>
      <c r="N540" s="1" t="e">
        <f>Tabla32[[#This Row],[BN OFICIO]]-#REF!</f>
        <v>#REF!</v>
      </c>
      <c r="O540" s="1" t="e">
        <f>Tabla32[[#This Row],[BN DC]]-#REF!</f>
        <v>#REF!</v>
      </c>
      <c r="P540" s="1" t="e">
        <f>Tabla32[[#This Row],[COLOR CARTA]]-#REF!</f>
        <v>#REF!</v>
      </c>
      <c r="Q540" s="1" t="e">
        <f>Tabla32[[#This Row],[COLOR OFICIO]]-#REF!</f>
        <v>#REF!</v>
      </c>
      <c r="R540" s="1" t="e">
        <f>Tabla32[[#This Row],[ENVIAR]]-#REF!</f>
        <v>#REF!</v>
      </c>
      <c r="S540" s="1" t="e">
        <f>Tabla32[[#This Row],[COPIAR]]-#REF!</f>
        <v>#REF!</v>
      </c>
    </row>
    <row r="541" spans="1:19" x14ac:dyDescent="0.25">
      <c r="A541" t="s">
        <v>10</v>
      </c>
      <c r="B541" t="s">
        <v>598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K541" t="s">
        <v>10</v>
      </c>
      <c r="L541" t="s">
        <v>598</v>
      </c>
      <c r="M541" s="1" t="e">
        <f>Tabla32[[#This Row],[BN CARTA]]-#REF!</f>
        <v>#REF!</v>
      </c>
      <c r="N541" s="1" t="e">
        <f>Tabla32[[#This Row],[BN OFICIO]]-#REF!</f>
        <v>#REF!</v>
      </c>
      <c r="O541" s="1" t="e">
        <f>Tabla32[[#This Row],[BN DC]]-#REF!</f>
        <v>#REF!</v>
      </c>
      <c r="P541" s="1" t="e">
        <f>Tabla32[[#This Row],[COLOR CARTA]]-#REF!</f>
        <v>#REF!</v>
      </c>
      <c r="Q541" s="1" t="e">
        <f>Tabla32[[#This Row],[COLOR OFICIO]]-#REF!</f>
        <v>#REF!</v>
      </c>
      <c r="R541" s="1" t="e">
        <f>Tabla32[[#This Row],[ENVIAR]]-#REF!</f>
        <v>#REF!</v>
      </c>
      <c r="S541" s="1" t="e">
        <f>Tabla32[[#This Row],[COPIAR]]-#REF!</f>
        <v>#REF!</v>
      </c>
    </row>
    <row r="542" spans="1:19" x14ac:dyDescent="0.25">
      <c r="A542" t="s">
        <v>10</v>
      </c>
      <c r="B542" t="s">
        <v>599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K542" t="s">
        <v>10</v>
      </c>
      <c r="L542" t="s">
        <v>599</v>
      </c>
      <c r="M542" s="1" t="e">
        <f>Tabla32[[#This Row],[BN CARTA]]-#REF!</f>
        <v>#REF!</v>
      </c>
      <c r="N542" s="1" t="e">
        <f>Tabla32[[#This Row],[BN OFICIO]]-#REF!</f>
        <v>#REF!</v>
      </c>
      <c r="O542" s="1" t="e">
        <f>Tabla32[[#This Row],[BN DC]]-#REF!</f>
        <v>#REF!</v>
      </c>
      <c r="P542" s="1" t="e">
        <f>Tabla32[[#This Row],[COLOR CARTA]]-#REF!</f>
        <v>#REF!</v>
      </c>
      <c r="Q542" s="1" t="e">
        <f>Tabla32[[#This Row],[COLOR OFICIO]]-#REF!</f>
        <v>#REF!</v>
      </c>
      <c r="R542" s="1" t="e">
        <f>Tabla32[[#This Row],[ENVIAR]]-#REF!</f>
        <v>#REF!</v>
      </c>
      <c r="S542" s="1" t="e">
        <f>Tabla32[[#This Row],[COPIAR]]-#REF!</f>
        <v>#REF!</v>
      </c>
    </row>
    <row r="543" spans="1:19" x14ac:dyDescent="0.25">
      <c r="A543" t="s">
        <v>10</v>
      </c>
      <c r="B543" t="s">
        <v>600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K543" t="s">
        <v>10</v>
      </c>
      <c r="L543" t="s">
        <v>600</v>
      </c>
      <c r="M543" s="1" t="e">
        <f>Tabla32[[#This Row],[BN CARTA]]-#REF!</f>
        <v>#REF!</v>
      </c>
      <c r="N543" s="1" t="e">
        <f>Tabla32[[#This Row],[BN OFICIO]]-#REF!</f>
        <v>#REF!</v>
      </c>
      <c r="O543" s="1" t="e">
        <f>Tabla32[[#This Row],[BN DC]]-#REF!</f>
        <v>#REF!</v>
      </c>
      <c r="P543" s="1" t="e">
        <f>Tabla32[[#This Row],[COLOR CARTA]]-#REF!</f>
        <v>#REF!</v>
      </c>
      <c r="Q543" s="1" t="e">
        <f>Tabla32[[#This Row],[COLOR OFICIO]]-#REF!</f>
        <v>#REF!</v>
      </c>
      <c r="R543" s="1" t="e">
        <f>Tabla32[[#This Row],[ENVIAR]]-#REF!</f>
        <v>#REF!</v>
      </c>
      <c r="S543" s="1" t="e">
        <f>Tabla32[[#This Row],[COPIAR]]-#REF!</f>
        <v>#REF!</v>
      </c>
    </row>
    <row r="544" spans="1:19" x14ac:dyDescent="0.25">
      <c r="A544" t="s">
        <v>10</v>
      </c>
      <c r="B544" t="s">
        <v>601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K544" t="s">
        <v>10</v>
      </c>
      <c r="L544" t="s">
        <v>601</v>
      </c>
      <c r="M544" s="1" t="e">
        <f>Tabla32[[#This Row],[BN CARTA]]-#REF!</f>
        <v>#REF!</v>
      </c>
      <c r="N544" s="1" t="e">
        <f>Tabla32[[#This Row],[BN OFICIO]]-#REF!</f>
        <v>#REF!</v>
      </c>
      <c r="O544" s="1" t="e">
        <f>Tabla32[[#This Row],[BN DC]]-#REF!</f>
        <v>#REF!</v>
      </c>
      <c r="P544" s="1" t="e">
        <f>Tabla32[[#This Row],[COLOR CARTA]]-#REF!</f>
        <v>#REF!</v>
      </c>
      <c r="Q544" s="1" t="e">
        <f>Tabla32[[#This Row],[COLOR OFICIO]]-#REF!</f>
        <v>#REF!</v>
      </c>
      <c r="R544" s="1" t="e">
        <f>Tabla32[[#This Row],[ENVIAR]]-#REF!</f>
        <v>#REF!</v>
      </c>
      <c r="S544" s="1" t="e">
        <f>Tabla32[[#This Row],[COPIAR]]-#REF!</f>
        <v>#REF!</v>
      </c>
    </row>
    <row r="545" spans="1:19" x14ac:dyDescent="0.25">
      <c r="A545" t="s">
        <v>10</v>
      </c>
      <c r="B545" t="s">
        <v>602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K545" t="s">
        <v>10</v>
      </c>
      <c r="L545" t="s">
        <v>602</v>
      </c>
      <c r="M545" s="1" t="e">
        <f>Tabla32[[#This Row],[BN CARTA]]-#REF!</f>
        <v>#REF!</v>
      </c>
      <c r="N545" s="1" t="e">
        <f>Tabla32[[#This Row],[BN OFICIO]]-#REF!</f>
        <v>#REF!</v>
      </c>
      <c r="O545" s="1" t="e">
        <f>Tabla32[[#This Row],[BN DC]]-#REF!</f>
        <v>#REF!</v>
      </c>
      <c r="P545" s="1" t="e">
        <f>Tabla32[[#This Row],[COLOR CARTA]]-#REF!</f>
        <v>#REF!</v>
      </c>
      <c r="Q545" s="1" t="e">
        <f>Tabla32[[#This Row],[COLOR OFICIO]]-#REF!</f>
        <v>#REF!</v>
      </c>
      <c r="R545" s="1" t="e">
        <f>Tabla32[[#This Row],[ENVIAR]]-#REF!</f>
        <v>#REF!</v>
      </c>
      <c r="S545" s="1" t="e">
        <f>Tabla32[[#This Row],[COPIAR]]-#REF!</f>
        <v>#REF!</v>
      </c>
    </row>
    <row r="546" spans="1:19" x14ac:dyDescent="0.25">
      <c r="A546" t="s">
        <v>10</v>
      </c>
      <c r="B546" t="s">
        <v>603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K546" t="s">
        <v>10</v>
      </c>
      <c r="L546" t="s">
        <v>603</v>
      </c>
      <c r="M546" s="1" t="e">
        <f>Tabla32[[#This Row],[BN CARTA]]-#REF!</f>
        <v>#REF!</v>
      </c>
      <c r="N546" s="1" t="e">
        <f>Tabla32[[#This Row],[BN OFICIO]]-#REF!</f>
        <v>#REF!</v>
      </c>
      <c r="O546" s="1" t="e">
        <f>Tabla32[[#This Row],[BN DC]]-#REF!</f>
        <v>#REF!</v>
      </c>
      <c r="P546" s="1" t="e">
        <f>Tabla32[[#This Row],[COLOR CARTA]]-#REF!</f>
        <v>#REF!</v>
      </c>
      <c r="Q546" s="1" t="e">
        <f>Tabla32[[#This Row],[COLOR OFICIO]]-#REF!</f>
        <v>#REF!</v>
      </c>
      <c r="R546" s="1" t="e">
        <f>Tabla32[[#This Row],[ENVIAR]]-#REF!</f>
        <v>#REF!</v>
      </c>
      <c r="S546" s="1" t="e">
        <f>Tabla32[[#This Row],[COPIAR]]-#REF!</f>
        <v>#REF!</v>
      </c>
    </row>
    <row r="547" spans="1:19" x14ac:dyDescent="0.25">
      <c r="A547" t="s">
        <v>150</v>
      </c>
      <c r="B547" t="s">
        <v>604</v>
      </c>
      <c r="C547">
        <v>55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K547" t="s">
        <v>150</v>
      </c>
      <c r="L547" t="s">
        <v>604</v>
      </c>
      <c r="M547" s="1" t="e">
        <f>Tabla32[[#This Row],[BN CARTA]]-#REF!</f>
        <v>#REF!</v>
      </c>
      <c r="N547" s="1" t="e">
        <f>Tabla32[[#This Row],[BN OFICIO]]-#REF!</f>
        <v>#REF!</v>
      </c>
      <c r="O547" s="1" t="e">
        <f>Tabla32[[#This Row],[BN DC]]-#REF!</f>
        <v>#REF!</v>
      </c>
      <c r="P547" s="1" t="e">
        <f>Tabla32[[#This Row],[COLOR CARTA]]-#REF!</f>
        <v>#REF!</v>
      </c>
      <c r="Q547" s="1" t="e">
        <f>Tabla32[[#This Row],[COLOR OFICIO]]-#REF!</f>
        <v>#REF!</v>
      </c>
      <c r="R547" s="1" t="e">
        <f>Tabla32[[#This Row],[ENVIAR]]-#REF!</f>
        <v>#REF!</v>
      </c>
      <c r="S547" s="1" t="e">
        <f>Tabla32[[#This Row],[COPIAR]]-#REF!</f>
        <v>#REF!</v>
      </c>
    </row>
    <row r="548" spans="1:19" x14ac:dyDescent="0.25">
      <c r="A548" t="s">
        <v>10</v>
      </c>
      <c r="B548" t="s">
        <v>605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K548" t="s">
        <v>10</v>
      </c>
      <c r="L548" t="s">
        <v>605</v>
      </c>
      <c r="M548" s="1" t="e">
        <f>Tabla32[[#This Row],[BN CARTA]]-#REF!</f>
        <v>#REF!</v>
      </c>
      <c r="N548" s="1" t="e">
        <f>Tabla32[[#This Row],[BN OFICIO]]-#REF!</f>
        <v>#REF!</v>
      </c>
      <c r="O548" s="1" t="e">
        <f>Tabla32[[#This Row],[BN DC]]-#REF!</f>
        <v>#REF!</v>
      </c>
      <c r="P548" s="1" t="e">
        <f>Tabla32[[#This Row],[COLOR CARTA]]-#REF!</f>
        <v>#REF!</v>
      </c>
      <c r="Q548" s="1" t="e">
        <f>Tabla32[[#This Row],[COLOR OFICIO]]-#REF!</f>
        <v>#REF!</v>
      </c>
      <c r="R548" s="1" t="e">
        <f>Tabla32[[#This Row],[ENVIAR]]-#REF!</f>
        <v>#REF!</v>
      </c>
      <c r="S548" s="1" t="e">
        <f>Tabla32[[#This Row],[COPIAR]]-#REF!</f>
        <v>#REF!</v>
      </c>
    </row>
    <row r="549" spans="1:19" x14ac:dyDescent="0.25">
      <c r="A549" t="s">
        <v>10</v>
      </c>
      <c r="B549" t="s">
        <v>606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K549" t="s">
        <v>10</v>
      </c>
      <c r="L549" t="s">
        <v>606</v>
      </c>
      <c r="M549" s="1" t="e">
        <f>Tabla32[[#This Row],[BN CARTA]]-#REF!</f>
        <v>#REF!</v>
      </c>
      <c r="N549" s="1" t="e">
        <f>Tabla32[[#This Row],[BN OFICIO]]-#REF!</f>
        <v>#REF!</v>
      </c>
      <c r="O549" s="1" t="e">
        <f>Tabla32[[#This Row],[BN DC]]-#REF!</f>
        <v>#REF!</v>
      </c>
      <c r="P549" s="1" t="e">
        <f>Tabla32[[#This Row],[COLOR CARTA]]-#REF!</f>
        <v>#REF!</v>
      </c>
      <c r="Q549" s="1" t="e">
        <f>Tabla32[[#This Row],[COLOR OFICIO]]-#REF!</f>
        <v>#REF!</v>
      </c>
      <c r="R549" s="1" t="e">
        <f>Tabla32[[#This Row],[ENVIAR]]-#REF!</f>
        <v>#REF!</v>
      </c>
      <c r="S549" s="1" t="e">
        <f>Tabla32[[#This Row],[COPIAR]]-#REF!</f>
        <v>#REF!</v>
      </c>
    </row>
    <row r="550" spans="1:19" x14ac:dyDescent="0.25">
      <c r="A550" t="s">
        <v>10</v>
      </c>
      <c r="B550" t="s">
        <v>607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K550" t="s">
        <v>10</v>
      </c>
      <c r="L550" t="s">
        <v>607</v>
      </c>
      <c r="M550" s="1" t="e">
        <f>Tabla32[[#This Row],[BN CARTA]]-#REF!</f>
        <v>#REF!</v>
      </c>
      <c r="N550" s="1" t="e">
        <f>Tabla32[[#This Row],[BN OFICIO]]-#REF!</f>
        <v>#REF!</v>
      </c>
      <c r="O550" s="1" t="e">
        <f>Tabla32[[#This Row],[BN DC]]-#REF!</f>
        <v>#REF!</v>
      </c>
      <c r="P550" s="1" t="e">
        <f>Tabla32[[#This Row],[COLOR CARTA]]-#REF!</f>
        <v>#REF!</v>
      </c>
      <c r="Q550" s="1" t="e">
        <f>Tabla32[[#This Row],[COLOR OFICIO]]-#REF!</f>
        <v>#REF!</v>
      </c>
      <c r="R550" s="1" t="e">
        <f>Tabla32[[#This Row],[ENVIAR]]-#REF!</f>
        <v>#REF!</v>
      </c>
      <c r="S550" s="1" t="e">
        <f>Tabla32[[#This Row],[COPIAR]]-#REF!</f>
        <v>#REF!</v>
      </c>
    </row>
    <row r="551" spans="1:19" x14ac:dyDescent="0.25">
      <c r="A551" t="s">
        <v>10</v>
      </c>
      <c r="B551" t="s">
        <v>608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K551" t="s">
        <v>10</v>
      </c>
      <c r="L551" t="s">
        <v>608</v>
      </c>
      <c r="M551" s="1" t="e">
        <f>Tabla32[[#This Row],[BN CARTA]]-#REF!</f>
        <v>#REF!</v>
      </c>
      <c r="N551" s="1" t="e">
        <f>Tabla32[[#This Row],[BN OFICIO]]-#REF!</f>
        <v>#REF!</v>
      </c>
      <c r="O551" s="1" t="e">
        <f>Tabla32[[#This Row],[BN DC]]-#REF!</f>
        <v>#REF!</v>
      </c>
      <c r="P551" s="1" t="e">
        <f>Tabla32[[#This Row],[COLOR CARTA]]-#REF!</f>
        <v>#REF!</v>
      </c>
      <c r="Q551" s="1" t="e">
        <f>Tabla32[[#This Row],[COLOR OFICIO]]-#REF!</f>
        <v>#REF!</v>
      </c>
      <c r="R551" s="1" t="e">
        <f>Tabla32[[#This Row],[ENVIAR]]-#REF!</f>
        <v>#REF!</v>
      </c>
      <c r="S551" s="1" t="e">
        <f>Tabla32[[#This Row],[COPIAR]]-#REF!</f>
        <v>#REF!</v>
      </c>
    </row>
    <row r="552" spans="1:19" x14ac:dyDescent="0.25">
      <c r="A552" t="s">
        <v>10</v>
      </c>
      <c r="B552" t="s">
        <v>609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K552" t="s">
        <v>10</v>
      </c>
      <c r="L552" t="s">
        <v>609</v>
      </c>
      <c r="M552" s="1" t="e">
        <f>Tabla32[[#This Row],[BN CARTA]]-#REF!</f>
        <v>#REF!</v>
      </c>
      <c r="N552" s="1" t="e">
        <f>Tabla32[[#This Row],[BN OFICIO]]-#REF!</f>
        <v>#REF!</v>
      </c>
      <c r="O552" s="1" t="e">
        <f>Tabla32[[#This Row],[BN DC]]-#REF!</f>
        <v>#REF!</v>
      </c>
      <c r="P552" s="1" t="e">
        <f>Tabla32[[#This Row],[COLOR CARTA]]-#REF!</f>
        <v>#REF!</v>
      </c>
      <c r="Q552" s="1" t="e">
        <f>Tabla32[[#This Row],[COLOR OFICIO]]-#REF!</f>
        <v>#REF!</v>
      </c>
      <c r="R552" s="1" t="e">
        <f>Tabla32[[#This Row],[ENVIAR]]-#REF!</f>
        <v>#REF!</v>
      </c>
      <c r="S552" s="1" t="e">
        <f>Tabla32[[#This Row],[COPIAR]]-#REF!</f>
        <v>#REF!</v>
      </c>
    </row>
    <row r="553" spans="1:19" x14ac:dyDescent="0.25">
      <c r="A553" t="s">
        <v>10</v>
      </c>
      <c r="B553" t="s">
        <v>610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K553" t="s">
        <v>10</v>
      </c>
      <c r="L553" t="s">
        <v>610</v>
      </c>
      <c r="M553" s="1" t="e">
        <f>Tabla32[[#This Row],[BN CARTA]]-#REF!</f>
        <v>#REF!</v>
      </c>
      <c r="N553" s="1" t="e">
        <f>Tabla32[[#This Row],[BN OFICIO]]-#REF!</f>
        <v>#REF!</v>
      </c>
      <c r="O553" s="1" t="e">
        <f>Tabla32[[#This Row],[BN DC]]-#REF!</f>
        <v>#REF!</v>
      </c>
      <c r="P553" s="1" t="e">
        <f>Tabla32[[#This Row],[COLOR CARTA]]-#REF!</f>
        <v>#REF!</v>
      </c>
      <c r="Q553" s="1" t="e">
        <f>Tabla32[[#This Row],[COLOR OFICIO]]-#REF!</f>
        <v>#REF!</v>
      </c>
      <c r="R553" s="1" t="e">
        <f>Tabla32[[#This Row],[ENVIAR]]-#REF!</f>
        <v>#REF!</v>
      </c>
      <c r="S553" s="1" t="e">
        <f>Tabla32[[#This Row],[COPIAR]]-#REF!</f>
        <v>#REF!</v>
      </c>
    </row>
    <row r="554" spans="1:19" x14ac:dyDescent="0.25">
      <c r="A554" t="s">
        <v>10</v>
      </c>
      <c r="B554" t="s">
        <v>611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K554" t="s">
        <v>10</v>
      </c>
      <c r="L554" t="s">
        <v>611</v>
      </c>
      <c r="M554" s="1" t="e">
        <f>Tabla32[[#This Row],[BN CARTA]]-#REF!</f>
        <v>#REF!</v>
      </c>
      <c r="N554" s="1" t="e">
        <f>Tabla32[[#This Row],[BN OFICIO]]-#REF!</f>
        <v>#REF!</v>
      </c>
      <c r="O554" s="1" t="e">
        <f>Tabla32[[#This Row],[BN DC]]-#REF!</f>
        <v>#REF!</v>
      </c>
      <c r="P554" s="1" t="e">
        <f>Tabla32[[#This Row],[COLOR CARTA]]-#REF!</f>
        <v>#REF!</v>
      </c>
      <c r="Q554" s="1" t="e">
        <f>Tabla32[[#This Row],[COLOR OFICIO]]-#REF!</f>
        <v>#REF!</v>
      </c>
      <c r="R554" s="1" t="e">
        <f>Tabla32[[#This Row],[ENVIAR]]-#REF!</f>
        <v>#REF!</v>
      </c>
      <c r="S554" s="1" t="e">
        <f>Tabla32[[#This Row],[COPIAR]]-#REF!</f>
        <v>#REF!</v>
      </c>
    </row>
    <row r="555" spans="1:19" x14ac:dyDescent="0.25">
      <c r="A555" t="s">
        <v>134</v>
      </c>
      <c r="B555" t="s">
        <v>612</v>
      </c>
      <c r="C555">
        <v>646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K555" t="s">
        <v>134</v>
      </c>
      <c r="L555" t="s">
        <v>612</v>
      </c>
      <c r="M555" s="1" t="e">
        <f>Tabla32[[#This Row],[BN CARTA]]-#REF!</f>
        <v>#REF!</v>
      </c>
      <c r="N555" s="1" t="e">
        <f>Tabla32[[#This Row],[BN OFICIO]]-#REF!</f>
        <v>#REF!</v>
      </c>
      <c r="O555" s="1" t="e">
        <f>Tabla32[[#This Row],[BN DC]]-#REF!</f>
        <v>#REF!</v>
      </c>
      <c r="P555" s="1" t="e">
        <f>Tabla32[[#This Row],[COLOR CARTA]]-#REF!</f>
        <v>#REF!</v>
      </c>
      <c r="Q555" s="1" t="e">
        <f>Tabla32[[#This Row],[COLOR OFICIO]]-#REF!</f>
        <v>#REF!</v>
      </c>
      <c r="R555" s="1" t="e">
        <f>Tabla32[[#This Row],[ENVIAR]]-#REF!</f>
        <v>#REF!</v>
      </c>
      <c r="S555" s="1" t="e">
        <f>Tabla32[[#This Row],[COPIAR]]-#REF!</f>
        <v>#REF!</v>
      </c>
    </row>
    <row r="556" spans="1:19" x14ac:dyDescent="0.25">
      <c r="A556" t="s">
        <v>10</v>
      </c>
      <c r="B556" t="s">
        <v>613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K556" t="s">
        <v>10</v>
      </c>
      <c r="L556" t="s">
        <v>613</v>
      </c>
      <c r="M556" s="1" t="e">
        <f>Tabla32[[#This Row],[BN CARTA]]-#REF!</f>
        <v>#REF!</v>
      </c>
      <c r="N556" s="1" t="e">
        <f>Tabla32[[#This Row],[BN OFICIO]]-#REF!</f>
        <v>#REF!</v>
      </c>
      <c r="O556" s="1" t="e">
        <f>Tabla32[[#This Row],[BN DC]]-#REF!</f>
        <v>#REF!</v>
      </c>
      <c r="P556" s="1" t="e">
        <f>Tabla32[[#This Row],[COLOR CARTA]]-#REF!</f>
        <v>#REF!</v>
      </c>
      <c r="Q556" s="1" t="e">
        <f>Tabla32[[#This Row],[COLOR OFICIO]]-#REF!</f>
        <v>#REF!</v>
      </c>
      <c r="R556" s="1" t="e">
        <f>Tabla32[[#This Row],[ENVIAR]]-#REF!</f>
        <v>#REF!</v>
      </c>
      <c r="S556" s="1" t="e">
        <f>Tabla32[[#This Row],[COPIAR]]-#REF!</f>
        <v>#REF!</v>
      </c>
    </row>
    <row r="557" spans="1:19" x14ac:dyDescent="0.25">
      <c r="A557" t="s">
        <v>10</v>
      </c>
      <c r="B557" t="s">
        <v>614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K557" t="s">
        <v>10</v>
      </c>
      <c r="L557" t="s">
        <v>614</v>
      </c>
      <c r="M557" s="1" t="e">
        <f>Tabla32[[#This Row],[BN CARTA]]-#REF!</f>
        <v>#REF!</v>
      </c>
      <c r="N557" s="1" t="e">
        <f>Tabla32[[#This Row],[BN OFICIO]]-#REF!</f>
        <v>#REF!</v>
      </c>
      <c r="O557" s="1" t="e">
        <f>Tabla32[[#This Row],[BN DC]]-#REF!</f>
        <v>#REF!</v>
      </c>
      <c r="P557" s="1" t="e">
        <f>Tabla32[[#This Row],[COLOR CARTA]]-#REF!</f>
        <v>#REF!</v>
      </c>
      <c r="Q557" s="1" t="e">
        <f>Tabla32[[#This Row],[COLOR OFICIO]]-#REF!</f>
        <v>#REF!</v>
      </c>
      <c r="R557" s="1" t="e">
        <f>Tabla32[[#This Row],[ENVIAR]]-#REF!</f>
        <v>#REF!</v>
      </c>
      <c r="S557" s="1" t="e">
        <f>Tabla32[[#This Row],[COPIAR]]-#REF!</f>
        <v>#REF!</v>
      </c>
    </row>
    <row r="558" spans="1:19" x14ac:dyDescent="0.25">
      <c r="A558" t="s">
        <v>10</v>
      </c>
      <c r="B558" t="s">
        <v>615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K558" t="s">
        <v>10</v>
      </c>
      <c r="L558" t="s">
        <v>615</v>
      </c>
      <c r="M558" s="1" t="e">
        <f>Tabla32[[#This Row],[BN CARTA]]-#REF!</f>
        <v>#REF!</v>
      </c>
      <c r="N558" s="1" t="e">
        <f>Tabla32[[#This Row],[BN OFICIO]]-#REF!</f>
        <v>#REF!</v>
      </c>
      <c r="O558" s="1" t="e">
        <f>Tabla32[[#This Row],[BN DC]]-#REF!</f>
        <v>#REF!</v>
      </c>
      <c r="P558" s="1" t="e">
        <f>Tabla32[[#This Row],[COLOR CARTA]]-#REF!</f>
        <v>#REF!</v>
      </c>
      <c r="Q558" s="1" t="e">
        <f>Tabla32[[#This Row],[COLOR OFICIO]]-#REF!</f>
        <v>#REF!</v>
      </c>
      <c r="R558" s="1" t="e">
        <f>Tabla32[[#This Row],[ENVIAR]]-#REF!</f>
        <v>#REF!</v>
      </c>
      <c r="S558" s="1" t="e">
        <f>Tabla32[[#This Row],[COPIAR]]-#REF!</f>
        <v>#REF!</v>
      </c>
    </row>
    <row r="559" spans="1:19" x14ac:dyDescent="0.25">
      <c r="A559" t="s">
        <v>10</v>
      </c>
      <c r="B559" t="s">
        <v>616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K559" t="s">
        <v>10</v>
      </c>
      <c r="L559" t="s">
        <v>616</v>
      </c>
      <c r="M559" s="1" t="e">
        <f>Tabla32[[#This Row],[BN CARTA]]-#REF!</f>
        <v>#REF!</v>
      </c>
      <c r="N559" s="1" t="e">
        <f>Tabla32[[#This Row],[BN OFICIO]]-#REF!</f>
        <v>#REF!</v>
      </c>
      <c r="O559" s="1" t="e">
        <f>Tabla32[[#This Row],[BN DC]]-#REF!</f>
        <v>#REF!</v>
      </c>
      <c r="P559" s="1" t="e">
        <f>Tabla32[[#This Row],[COLOR CARTA]]-#REF!</f>
        <v>#REF!</v>
      </c>
      <c r="Q559" s="1" t="e">
        <f>Tabla32[[#This Row],[COLOR OFICIO]]-#REF!</f>
        <v>#REF!</v>
      </c>
      <c r="R559" s="1" t="e">
        <f>Tabla32[[#This Row],[ENVIAR]]-#REF!</f>
        <v>#REF!</v>
      </c>
      <c r="S559" s="1" t="e">
        <f>Tabla32[[#This Row],[COPIAR]]-#REF!</f>
        <v>#REF!</v>
      </c>
    </row>
    <row r="560" spans="1:19" x14ac:dyDescent="0.25">
      <c r="A560" t="s">
        <v>10</v>
      </c>
      <c r="B560" t="s">
        <v>617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K560" t="s">
        <v>10</v>
      </c>
      <c r="L560" t="s">
        <v>617</v>
      </c>
      <c r="M560" s="1" t="e">
        <f>Tabla32[[#This Row],[BN CARTA]]-#REF!</f>
        <v>#REF!</v>
      </c>
      <c r="N560" s="1" t="e">
        <f>Tabla32[[#This Row],[BN OFICIO]]-#REF!</f>
        <v>#REF!</v>
      </c>
      <c r="O560" s="1" t="e">
        <f>Tabla32[[#This Row],[BN DC]]-#REF!</f>
        <v>#REF!</v>
      </c>
      <c r="P560" s="1" t="e">
        <f>Tabla32[[#This Row],[COLOR CARTA]]-#REF!</f>
        <v>#REF!</v>
      </c>
      <c r="Q560" s="1" t="e">
        <f>Tabla32[[#This Row],[COLOR OFICIO]]-#REF!</f>
        <v>#REF!</v>
      </c>
      <c r="R560" s="1" t="e">
        <f>Tabla32[[#This Row],[ENVIAR]]-#REF!</f>
        <v>#REF!</v>
      </c>
      <c r="S560" s="1" t="e">
        <f>Tabla32[[#This Row],[COPIAR]]-#REF!</f>
        <v>#REF!</v>
      </c>
    </row>
    <row r="561" spans="1:19" x14ac:dyDescent="0.25">
      <c r="A561" t="s">
        <v>10</v>
      </c>
      <c r="B561" t="s">
        <v>618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K561" t="s">
        <v>10</v>
      </c>
      <c r="L561" t="s">
        <v>618</v>
      </c>
      <c r="M561" s="1" t="e">
        <f>Tabla32[[#This Row],[BN CARTA]]-#REF!</f>
        <v>#REF!</v>
      </c>
      <c r="N561" s="1" t="e">
        <f>Tabla32[[#This Row],[BN OFICIO]]-#REF!</f>
        <v>#REF!</v>
      </c>
      <c r="O561" s="1" t="e">
        <f>Tabla32[[#This Row],[BN DC]]-#REF!</f>
        <v>#REF!</v>
      </c>
      <c r="P561" s="1" t="e">
        <f>Tabla32[[#This Row],[COLOR CARTA]]-#REF!</f>
        <v>#REF!</v>
      </c>
      <c r="Q561" s="1" t="e">
        <f>Tabla32[[#This Row],[COLOR OFICIO]]-#REF!</f>
        <v>#REF!</v>
      </c>
      <c r="R561" s="1" t="e">
        <f>Tabla32[[#This Row],[ENVIAR]]-#REF!</f>
        <v>#REF!</v>
      </c>
      <c r="S561" s="1" t="e">
        <f>Tabla32[[#This Row],[COPIAR]]-#REF!</f>
        <v>#REF!</v>
      </c>
    </row>
    <row r="562" spans="1:19" x14ac:dyDescent="0.25">
      <c r="A562" t="s">
        <v>10</v>
      </c>
      <c r="B562" t="s">
        <v>619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K562" t="s">
        <v>10</v>
      </c>
      <c r="L562" t="s">
        <v>619</v>
      </c>
      <c r="M562" s="1" t="e">
        <f>Tabla32[[#This Row],[BN CARTA]]-#REF!</f>
        <v>#REF!</v>
      </c>
      <c r="N562" s="1" t="e">
        <f>Tabla32[[#This Row],[BN OFICIO]]-#REF!</f>
        <v>#REF!</v>
      </c>
      <c r="O562" s="1" t="e">
        <f>Tabla32[[#This Row],[BN DC]]-#REF!</f>
        <v>#REF!</v>
      </c>
      <c r="P562" s="1" t="e">
        <f>Tabla32[[#This Row],[COLOR CARTA]]-#REF!</f>
        <v>#REF!</v>
      </c>
      <c r="Q562" s="1" t="e">
        <f>Tabla32[[#This Row],[COLOR OFICIO]]-#REF!</f>
        <v>#REF!</v>
      </c>
      <c r="R562" s="1" t="e">
        <f>Tabla32[[#This Row],[ENVIAR]]-#REF!</f>
        <v>#REF!</v>
      </c>
      <c r="S562" s="1" t="e">
        <f>Tabla32[[#This Row],[COPIAR]]-#REF!</f>
        <v>#REF!</v>
      </c>
    </row>
    <row r="563" spans="1:19" x14ac:dyDescent="0.25">
      <c r="A563" t="s">
        <v>10</v>
      </c>
      <c r="B563" t="s">
        <v>620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K563" t="s">
        <v>10</v>
      </c>
      <c r="L563" t="s">
        <v>620</v>
      </c>
      <c r="M563" s="1" t="e">
        <f>Tabla32[[#This Row],[BN CARTA]]-#REF!</f>
        <v>#REF!</v>
      </c>
      <c r="N563" s="1" t="e">
        <f>Tabla32[[#This Row],[BN OFICIO]]-#REF!</f>
        <v>#REF!</v>
      </c>
      <c r="O563" s="1" t="e">
        <f>Tabla32[[#This Row],[BN DC]]-#REF!</f>
        <v>#REF!</v>
      </c>
      <c r="P563" s="1" t="e">
        <f>Tabla32[[#This Row],[COLOR CARTA]]-#REF!</f>
        <v>#REF!</v>
      </c>
      <c r="Q563" s="1" t="e">
        <f>Tabla32[[#This Row],[COLOR OFICIO]]-#REF!</f>
        <v>#REF!</v>
      </c>
      <c r="R563" s="1" t="e">
        <f>Tabla32[[#This Row],[ENVIAR]]-#REF!</f>
        <v>#REF!</v>
      </c>
      <c r="S563" s="1" t="e">
        <f>Tabla32[[#This Row],[COPIAR]]-#REF!</f>
        <v>#REF!</v>
      </c>
    </row>
    <row r="564" spans="1:19" x14ac:dyDescent="0.25">
      <c r="A564" t="s">
        <v>10</v>
      </c>
      <c r="B564" t="s">
        <v>621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K564" t="s">
        <v>10</v>
      </c>
      <c r="L564" t="s">
        <v>621</v>
      </c>
      <c r="M564" s="1" t="e">
        <f>Tabla32[[#This Row],[BN CARTA]]-#REF!</f>
        <v>#REF!</v>
      </c>
      <c r="N564" s="1" t="e">
        <f>Tabla32[[#This Row],[BN OFICIO]]-#REF!</f>
        <v>#REF!</v>
      </c>
      <c r="O564" s="1" t="e">
        <f>Tabla32[[#This Row],[BN DC]]-#REF!</f>
        <v>#REF!</v>
      </c>
      <c r="P564" s="1" t="e">
        <f>Tabla32[[#This Row],[COLOR CARTA]]-#REF!</f>
        <v>#REF!</v>
      </c>
      <c r="Q564" s="1" t="e">
        <f>Tabla32[[#This Row],[COLOR OFICIO]]-#REF!</f>
        <v>#REF!</v>
      </c>
      <c r="R564" s="1" t="e">
        <f>Tabla32[[#This Row],[ENVIAR]]-#REF!</f>
        <v>#REF!</v>
      </c>
      <c r="S564" s="1" t="e">
        <f>Tabla32[[#This Row],[COPIAR]]-#REF!</f>
        <v>#REF!</v>
      </c>
    </row>
    <row r="565" spans="1:19" x14ac:dyDescent="0.25">
      <c r="A565" t="s">
        <v>150</v>
      </c>
      <c r="B565" t="s">
        <v>622</v>
      </c>
      <c r="C565">
        <v>96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K565" t="s">
        <v>150</v>
      </c>
      <c r="L565" t="s">
        <v>622</v>
      </c>
      <c r="M565" s="1" t="e">
        <f>Tabla32[[#This Row],[BN CARTA]]-#REF!</f>
        <v>#REF!</v>
      </c>
      <c r="N565" s="1" t="e">
        <f>Tabla32[[#This Row],[BN OFICIO]]-#REF!</f>
        <v>#REF!</v>
      </c>
      <c r="O565" s="1" t="e">
        <f>Tabla32[[#This Row],[BN DC]]-#REF!</f>
        <v>#REF!</v>
      </c>
      <c r="P565" s="1" t="e">
        <f>Tabla32[[#This Row],[COLOR CARTA]]-#REF!</f>
        <v>#REF!</v>
      </c>
      <c r="Q565" s="1" t="e">
        <f>Tabla32[[#This Row],[COLOR OFICIO]]-#REF!</f>
        <v>#REF!</v>
      </c>
      <c r="R565" s="1" t="e">
        <f>Tabla32[[#This Row],[ENVIAR]]-#REF!</f>
        <v>#REF!</v>
      </c>
      <c r="S565" s="1" t="e">
        <f>Tabla32[[#This Row],[COPIAR]]-#REF!</f>
        <v>#REF!</v>
      </c>
    </row>
    <row r="566" spans="1:19" x14ac:dyDescent="0.25">
      <c r="A566" t="s">
        <v>10</v>
      </c>
      <c r="B566" t="s">
        <v>623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K566" t="s">
        <v>10</v>
      </c>
      <c r="L566" t="s">
        <v>623</v>
      </c>
      <c r="M566" s="1" t="e">
        <f>Tabla32[[#This Row],[BN CARTA]]-#REF!</f>
        <v>#REF!</v>
      </c>
      <c r="N566" s="1" t="e">
        <f>Tabla32[[#This Row],[BN OFICIO]]-#REF!</f>
        <v>#REF!</v>
      </c>
      <c r="O566" s="1" t="e">
        <f>Tabla32[[#This Row],[BN DC]]-#REF!</f>
        <v>#REF!</v>
      </c>
      <c r="P566" s="1" t="e">
        <f>Tabla32[[#This Row],[COLOR CARTA]]-#REF!</f>
        <v>#REF!</v>
      </c>
      <c r="Q566" s="1" t="e">
        <f>Tabla32[[#This Row],[COLOR OFICIO]]-#REF!</f>
        <v>#REF!</v>
      </c>
      <c r="R566" s="1" t="e">
        <f>Tabla32[[#This Row],[ENVIAR]]-#REF!</f>
        <v>#REF!</v>
      </c>
      <c r="S566" s="1" t="e">
        <f>Tabla32[[#This Row],[COPIAR]]-#REF!</f>
        <v>#REF!</v>
      </c>
    </row>
    <row r="567" spans="1:19" x14ac:dyDescent="0.25">
      <c r="A567" t="s">
        <v>10</v>
      </c>
      <c r="B567" t="s">
        <v>624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K567" t="s">
        <v>10</v>
      </c>
      <c r="L567" t="s">
        <v>624</v>
      </c>
      <c r="M567" s="1" t="e">
        <f>Tabla32[[#This Row],[BN CARTA]]-#REF!</f>
        <v>#REF!</v>
      </c>
      <c r="N567" s="1" t="e">
        <f>Tabla32[[#This Row],[BN OFICIO]]-#REF!</f>
        <v>#REF!</v>
      </c>
      <c r="O567" s="1" t="e">
        <f>Tabla32[[#This Row],[BN DC]]-#REF!</f>
        <v>#REF!</v>
      </c>
      <c r="P567" s="1" t="e">
        <f>Tabla32[[#This Row],[COLOR CARTA]]-#REF!</f>
        <v>#REF!</v>
      </c>
      <c r="Q567" s="1" t="e">
        <f>Tabla32[[#This Row],[COLOR OFICIO]]-#REF!</f>
        <v>#REF!</v>
      </c>
      <c r="R567" s="1" t="e">
        <f>Tabla32[[#This Row],[ENVIAR]]-#REF!</f>
        <v>#REF!</v>
      </c>
      <c r="S567" s="1" t="e">
        <f>Tabla32[[#This Row],[COPIAR]]-#REF!</f>
        <v>#REF!</v>
      </c>
    </row>
    <row r="568" spans="1:19" x14ac:dyDescent="0.25">
      <c r="A568" t="s">
        <v>10</v>
      </c>
      <c r="B568" t="s">
        <v>625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K568" t="s">
        <v>10</v>
      </c>
      <c r="L568" t="s">
        <v>625</v>
      </c>
      <c r="M568" s="1" t="e">
        <f>Tabla32[[#This Row],[BN CARTA]]-#REF!</f>
        <v>#REF!</v>
      </c>
      <c r="N568" s="1" t="e">
        <f>Tabla32[[#This Row],[BN OFICIO]]-#REF!</f>
        <v>#REF!</v>
      </c>
      <c r="O568" s="1" t="e">
        <f>Tabla32[[#This Row],[BN DC]]-#REF!</f>
        <v>#REF!</v>
      </c>
      <c r="P568" s="1" t="e">
        <f>Tabla32[[#This Row],[COLOR CARTA]]-#REF!</f>
        <v>#REF!</v>
      </c>
      <c r="Q568" s="1" t="e">
        <f>Tabla32[[#This Row],[COLOR OFICIO]]-#REF!</f>
        <v>#REF!</v>
      </c>
      <c r="R568" s="1" t="e">
        <f>Tabla32[[#This Row],[ENVIAR]]-#REF!</f>
        <v>#REF!</v>
      </c>
      <c r="S568" s="1" t="e">
        <f>Tabla32[[#This Row],[COPIAR]]-#REF!</f>
        <v>#REF!</v>
      </c>
    </row>
    <row r="569" spans="1:19" x14ac:dyDescent="0.25">
      <c r="A569" t="s">
        <v>10</v>
      </c>
      <c r="B569" t="s">
        <v>626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K569" t="s">
        <v>10</v>
      </c>
      <c r="L569" t="s">
        <v>626</v>
      </c>
      <c r="M569" s="1" t="e">
        <f>Tabla32[[#This Row],[BN CARTA]]-#REF!</f>
        <v>#REF!</v>
      </c>
      <c r="N569" s="1" t="e">
        <f>Tabla32[[#This Row],[BN OFICIO]]-#REF!</f>
        <v>#REF!</v>
      </c>
      <c r="O569" s="1" t="e">
        <f>Tabla32[[#This Row],[BN DC]]-#REF!</f>
        <v>#REF!</v>
      </c>
      <c r="P569" s="1" t="e">
        <f>Tabla32[[#This Row],[COLOR CARTA]]-#REF!</f>
        <v>#REF!</v>
      </c>
      <c r="Q569" s="1" t="e">
        <f>Tabla32[[#This Row],[COLOR OFICIO]]-#REF!</f>
        <v>#REF!</v>
      </c>
      <c r="R569" s="1" t="e">
        <f>Tabla32[[#This Row],[ENVIAR]]-#REF!</f>
        <v>#REF!</v>
      </c>
      <c r="S569" s="1" t="e">
        <f>Tabla32[[#This Row],[COPIAR]]-#REF!</f>
        <v>#REF!</v>
      </c>
    </row>
    <row r="570" spans="1:19" x14ac:dyDescent="0.25">
      <c r="A570" t="s">
        <v>10</v>
      </c>
      <c r="B570" t="s">
        <v>627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K570" t="s">
        <v>10</v>
      </c>
      <c r="L570" t="s">
        <v>627</v>
      </c>
      <c r="M570" s="1" t="e">
        <f>Tabla32[[#This Row],[BN CARTA]]-#REF!</f>
        <v>#REF!</v>
      </c>
      <c r="N570" s="1" t="e">
        <f>Tabla32[[#This Row],[BN OFICIO]]-#REF!</f>
        <v>#REF!</v>
      </c>
      <c r="O570" s="1" t="e">
        <f>Tabla32[[#This Row],[BN DC]]-#REF!</f>
        <v>#REF!</v>
      </c>
      <c r="P570" s="1" t="e">
        <f>Tabla32[[#This Row],[COLOR CARTA]]-#REF!</f>
        <v>#REF!</v>
      </c>
      <c r="Q570" s="1" t="e">
        <f>Tabla32[[#This Row],[COLOR OFICIO]]-#REF!</f>
        <v>#REF!</v>
      </c>
      <c r="R570" s="1" t="e">
        <f>Tabla32[[#This Row],[ENVIAR]]-#REF!</f>
        <v>#REF!</v>
      </c>
      <c r="S570" s="1" t="e">
        <f>Tabla32[[#This Row],[COPIAR]]-#REF!</f>
        <v>#REF!</v>
      </c>
    </row>
    <row r="571" spans="1:19" x14ac:dyDescent="0.25">
      <c r="A571" t="s">
        <v>10</v>
      </c>
      <c r="B571" t="s">
        <v>628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K571" t="s">
        <v>10</v>
      </c>
      <c r="L571" t="s">
        <v>628</v>
      </c>
      <c r="M571" s="1" t="e">
        <f>Tabla32[[#This Row],[BN CARTA]]-#REF!</f>
        <v>#REF!</v>
      </c>
      <c r="N571" s="1" t="e">
        <f>Tabla32[[#This Row],[BN OFICIO]]-#REF!</f>
        <v>#REF!</v>
      </c>
      <c r="O571" s="1" t="e">
        <f>Tabla32[[#This Row],[BN DC]]-#REF!</f>
        <v>#REF!</v>
      </c>
      <c r="P571" s="1" t="e">
        <f>Tabla32[[#This Row],[COLOR CARTA]]-#REF!</f>
        <v>#REF!</v>
      </c>
      <c r="Q571" s="1" t="e">
        <f>Tabla32[[#This Row],[COLOR OFICIO]]-#REF!</f>
        <v>#REF!</v>
      </c>
      <c r="R571" s="1" t="e">
        <f>Tabla32[[#This Row],[ENVIAR]]-#REF!</f>
        <v>#REF!</v>
      </c>
      <c r="S571" s="1" t="e">
        <f>Tabla32[[#This Row],[COPIAR]]-#REF!</f>
        <v>#REF!</v>
      </c>
    </row>
    <row r="572" spans="1:19" x14ac:dyDescent="0.25">
      <c r="A572" t="s">
        <v>10</v>
      </c>
      <c r="B572" t="s">
        <v>629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K572" t="s">
        <v>10</v>
      </c>
      <c r="L572" t="s">
        <v>629</v>
      </c>
      <c r="M572" s="1" t="e">
        <f>Tabla32[[#This Row],[BN CARTA]]-#REF!</f>
        <v>#REF!</v>
      </c>
      <c r="N572" s="1" t="e">
        <f>Tabla32[[#This Row],[BN OFICIO]]-#REF!</f>
        <v>#REF!</v>
      </c>
      <c r="O572" s="1" t="e">
        <f>Tabla32[[#This Row],[BN DC]]-#REF!</f>
        <v>#REF!</v>
      </c>
      <c r="P572" s="1" t="e">
        <f>Tabla32[[#This Row],[COLOR CARTA]]-#REF!</f>
        <v>#REF!</v>
      </c>
      <c r="Q572" s="1" t="e">
        <f>Tabla32[[#This Row],[COLOR OFICIO]]-#REF!</f>
        <v>#REF!</v>
      </c>
      <c r="R572" s="1" t="e">
        <f>Tabla32[[#This Row],[ENVIAR]]-#REF!</f>
        <v>#REF!</v>
      </c>
      <c r="S572" s="1" t="e">
        <f>Tabla32[[#This Row],[COPIAR]]-#REF!</f>
        <v>#REF!</v>
      </c>
    </row>
    <row r="573" spans="1:19" x14ac:dyDescent="0.25">
      <c r="A573" t="s">
        <v>10</v>
      </c>
      <c r="B573" t="s">
        <v>630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K573" t="s">
        <v>10</v>
      </c>
      <c r="L573" t="s">
        <v>630</v>
      </c>
      <c r="M573" s="1" t="e">
        <f>Tabla32[[#This Row],[BN CARTA]]-#REF!</f>
        <v>#REF!</v>
      </c>
      <c r="N573" s="1" t="e">
        <f>Tabla32[[#This Row],[BN OFICIO]]-#REF!</f>
        <v>#REF!</v>
      </c>
      <c r="O573" s="1" t="e">
        <f>Tabla32[[#This Row],[BN DC]]-#REF!</f>
        <v>#REF!</v>
      </c>
      <c r="P573" s="1" t="e">
        <f>Tabla32[[#This Row],[COLOR CARTA]]-#REF!</f>
        <v>#REF!</v>
      </c>
      <c r="Q573" s="1" t="e">
        <f>Tabla32[[#This Row],[COLOR OFICIO]]-#REF!</f>
        <v>#REF!</v>
      </c>
      <c r="R573" s="1" t="e">
        <f>Tabla32[[#This Row],[ENVIAR]]-#REF!</f>
        <v>#REF!</v>
      </c>
      <c r="S573" s="1" t="e">
        <f>Tabla32[[#This Row],[COPIAR]]-#REF!</f>
        <v>#REF!</v>
      </c>
    </row>
    <row r="574" spans="1:19" x14ac:dyDescent="0.25">
      <c r="A574" t="s">
        <v>10</v>
      </c>
      <c r="B574" t="s">
        <v>631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K574" t="s">
        <v>10</v>
      </c>
      <c r="L574" t="s">
        <v>631</v>
      </c>
      <c r="M574" s="1" t="e">
        <f>Tabla32[[#This Row],[BN CARTA]]-#REF!</f>
        <v>#REF!</v>
      </c>
      <c r="N574" s="1" t="e">
        <f>Tabla32[[#This Row],[BN OFICIO]]-#REF!</f>
        <v>#REF!</v>
      </c>
      <c r="O574" s="1" t="e">
        <f>Tabla32[[#This Row],[BN DC]]-#REF!</f>
        <v>#REF!</v>
      </c>
      <c r="P574" s="1" t="e">
        <f>Tabla32[[#This Row],[COLOR CARTA]]-#REF!</f>
        <v>#REF!</v>
      </c>
      <c r="Q574" s="1" t="e">
        <f>Tabla32[[#This Row],[COLOR OFICIO]]-#REF!</f>
        <v>#REF!</v>
      </c>
      <c r="R574" s="1" t="e">
        <f>Tabla32[[#This Row],[ENVIAR]]-#REF!</f>
        <v>#REF!</v>
      </c>
      <c r="S574" s="1" t="e">
        <f>Tabla32[[#This Row],[COPIAR]]-#REF!</f>
        <v>#REF!</v>
      </c>
    </row>
    <row r="575" spans="1:19" x14ac:dyDescent="0.25">
      <c r="A575" t="s">
        <v>10</v>
      </c>
      <c r="B575" t="s">
        <v>632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K575" t="s">
        <v>10</v>
      </c>
      <c r="L575" t="s">
        <v>632</v>
      </c>
      <c r="M575" s="1" t="e">
        <f>Tabla32[[#This Row],[BN CARTA]]-#REF!</f>
        <v>#REF!</v>
      </c>
      <c r="N575" s="1" t="e">
        <f>Tabla32[[#This Row],[BN OFICIO]]-#REF!</f>
        <v>#REF!</v>
      </c>
      <c r="O575" s="1" t="e">
        <f>Tabla32[[#This Row],[BN DC]]-#REF!</f>
        <v>#REF!</v>
      </c>
      <c r="P575" s="1" t="e">
        <f>Tabla32[[#This Row],[COLOR CARTA]]-#REF!</f>
        <v>#REF!</v>
      </c>
      <c r="Q575" s="1" t="e">
        <f>Tabla32[[#This Row],[COLOR OFICIO]]-#REF!</f>
        <v>#REF!</v>
      </c>
      <c r="R575" s="1" t="e">
        <f>Tabla32[[#This Row],[ENVIAR]]-#REF!</f>
        <v>#REF!</v>
      </c>
      <c r="S575" s="1" t="e">
        <f>Tabla32[[#This Row],[COPIAR]]-#REF!</f>
        <v>#REF!</v>
      </c>
    </row>
    <row r="576" spans="1:19" x14ac:dyDescent="0.25">
      <c r="A576" t="s">
        <v>76</v>
      </c>
      <c r="B576" t="s">
        <v>633</v>
      </c>
      <c r="C576">
        <v>38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K576" t="s">
        <v>76</v>
      </c>
      <c r="L576" t="s">
        <v>633</v>
      </c>
      <c r="M576" s="1" t="e">
        <f>Tabla32[[#This Row],[BN CARTA]]-#REF!</f>
        <v>#REF!</v>
      </c>
      <c r="N576" s="1" t="e">
        <f>Tabla32[[#This Row],[BN OFICIO]]-#REF!</f>
        <v>#REF!</v>
      </c>
      <c r="O576" s="1" t="e">
        <f>Tabla32[[#This Row],[BN DC]]-#REF!</f>
        <v>#REF!</v>
      </c>
      <c r="P576" s="1" t="e">
        <f>Tabla32[[#This Row],[COLOR CARTA]]-#REF!</f>
        <v>#REF!</v>
      </c>
      <c r="Q576" s="1" t="e">
        <f>Tabla32[[#This Row],[COLOR OFICIO]]-#REF!</f>
        <v>#REF!</v>
      </c>
      <c r="R576" s="1" t="e">
        <f>Tabla32[[#This Row],[ENVIAR]]-#REF!</f>
        <v>#REF!</v>
      </c>
      <c r="S576" s="1" t="e">
        <f>Tabla32[[#This Row],[COPIAR]]-#REF!</f>
        <v>#REF!</v>
      </c>
    </row>
    <row r="577" spans="1:19" x14ac:dyDescent="0.25">
      <c r="A577" t="s">
        <v>10</v>
      </c>
      <c r="B577" t="s">
        <v>634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K577" t="s">
        <v>10</v>
      </c>
      <c r="L577" t="s">
        <v>634</v>
      </c>
      <c r="M577" s="1" t="e">
        <f>Tabla32[[#This Row],[BN CARTA]]-#REF!</f>
        <v>#REF!</v>
      </c>
      <c r="N577" s="1" t="e">
        <f>Tabla32[[#This Row],[BN OFICIO]]-#REF!</f>
        <v>#REF!</v>
      </c>
      <c r="O577" s="1" t="e">
        <f>Tabla32[[#This Row],[BN DC]]-#REF!</f>
        <v>#REF!</v>
      </c>
      <c r="P577" s="1" t="e">
        <f>Tabla32[[#This Row],[COLOR CARTA]]-#REF!</f>
        <v>#REF!</v>
      </c>
      <c r="Q577" s="1" t="e">
        <f>Tabla32[[#This Row],[COLOR OFICIO]]-#REF!</f>
        <v>#REF!</v>
      </c>
      <c r="R577" s="1" t="e">
        <f>Tabla32[[#This Row],[ENVIAR]]-#REF!</f>
        <v>#REF!</v>
      </c>
      <c r="S577" s="1" t="e">
        <f>Tabla32[[#This Row],[COPIAR]]-#REF!</f>
        <v>#REF!</v>
      </c>
    </row>
    <row r="578" spans="1:19" x14ac:dyDescent="0.25">
      <c r="A578" t="s">
        <v>10</v>
      </c>
      <c r="B578" t="s">
        <v>635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K578" t="s">
        <v>10</v>
      </c>
      <c r="L578" t="s">
        <v>635</v>
      </c>
      <c r="M578" s="1" t="e">
        <f>Tabla32[[#This Row],[BN CARTA]]-#REF!</f>
        <v>#REF!</v>
      </c>
      <c r="N578" s="1" t="e">
        <f>Tabla32[[#This Row],[BN OFICIO]]-#REF!</f>
        <v>#REF!</v>
      </c>
      <c r="O578" s="1" t="e">
        <f>Tabla32[[#This Row],[BN DC]]-#REF!</f>
        <v>#REF!</v>
      </c>
      <c r="P578" s="1" t="e">
        <f>Tabla32[[#This Row],[COLOR CARTA]]-#REF!</f>
        <v>#REF!</v>
      </c>
      <c r="Q578" s="1" t="e">
        <f>Tabla32[[#This Row],[COLOR OFICIO]]-#REF!</f>
        <v>#REF!</v>
      </c>
      <c r="R578" s="1" t="e">
        <f>Tabla32[[#This Row],[ENVIAR]]-#REF!</f>
        <v>#REF!</v>
      </c>
      <c r="S578" s="1" t="e">
        <f>Tabla32[[#This Row],[COPIAR]]-#REF!</f>
        <v>#REF!</v>
      </c>
    </row>
    <row r="579" spans="1:19" x14ac:dyDescent="0.25">
      <c r="A579" t="s">
        <v>10</v>
      </c>
      <c r="B579" t="s">
        <v>636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K579" t="s">
        <v>10</v>
      </c>
      <c r="L579" t="s">
        <v>636</v>
      </c>
      <c r="M579" s="1" t="e">
        <f>Tabla32[[#This Row],[BN CARTA]]-#REF!</f>
        <v>#REF!</v>
      </c>
      <c r="N579" s="1" t="e">
        <f>Tabla32[[#This Row],[BN OFICIO]]-#REF!</f>
        <v>#REF!</v>
      </c>
      <c r="O579" s="1" t="e">
        <f>Tabla32[[#This Row],[BN DC]]-#REF!</f>
        <v>#REF!</v>
      </c>
      <c r="P579" s="1" t="e">
        <f>Tabla32[[#This Row],[COLOR CARTA]]-#REF!</f>
        <v>#REF!</v>
      </c>
      <c r="Q579" s="1" t="e">
        <f>Tabla32[[#This Row],[COLOR OFICIO]]-#REF!</f>
        <v>#REF!</v>
      </c>
      <c r="R579" s="1" t="e">
        <f>Tabla32[[#This Row],[ENVIAR]]-#REF!</f>
        <v>#REF!</v>
      </c>
      <c r="S579" s="1" t="e">
        <f>Tabla32[[#This Row],[COPIAR]]-#REF!</f>
        <v>#REF!</v>
      </c>
    </row>
    <row r="580" spans="1:19" x14ac:dyDescent="0.25">
      <c r="A580" t="s">
        <v>10</v>
      </c>
      <c r="B580" t="s">
        <v>637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K580" t="s">
        <v>10</v>
      </c>
      <c r="L580" t="s">
        <v>637</v>
      </c>
      <c r="M580" s="1" t="e">
        <f>Tabla32[[#This Row],[BN CARTA]]-#REF!</f>
        <v>#REF!</v>
      </c>
      <c r="N580" s="1" t="e">
        <f>Tabla32[[#This Row],[BN OFICIO]]-#REF!</f>
        <v>#REF!</v>
      </c>
      <c r="O580" s="1" t="e">
        <f>Tabla32[[#This Row],[BN DC]]-#REF!</f>
        <v>#REF!</v>
      </c>
      <c r="P580" s="1" t="e">
        <f>Tabla32[[#This Row],[COLOR CARTA]]-#REF!</f>
        <v>#REF!</v>
      </c>
      <c r="Q580" s="1" t="e">
        <f>Tabla32[[#This Row],[COLOR OFICIO]]-#REF!</f>
        <v>#REF!</v>
      </c>
      <c r="R580" s="1" t="e">
        <f>Tabla32[[#This Row],[ENVIAR]]-#REF!</f>
        <v>#REF!</v>
      </c>
      <c r="S580" s="1" t="e">
        <f>Tabla32[[#This Row],[COPIAR]]-#REF!</f>
        <v>#REF!</v>
      </c>
    </row>
    <row r="581" spans="1:19" x14ac:dyDescent="0.25">
      <c r="A581" t="s">
        <v>10</v>
      </c>
      <c r="B581" t="s">
        <v>638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K581" t="s">
        <v>10</v>
      </c>
      <c r="L581" t="s">
        <v>638</v>
      </c>
      <c r="M581" s="1" t="e">
        <f>Tabla32[[#This Row],[BN CARTA]]-#REF!</f>
        <v>#REF!</v>
      </c>
      <c r="N581" s="1" t="e">
        <f>Tabla32[[#This Row],[BN OFICIO]]-#REF!</f>
        <v>#REF!</v>
      </c>
      <c r="O581" s="1" t="e">
        <f>Tabla32[[#This Row],[BN DC]]-#REF!</f>
        <v>#REF!</v>
      </c>
      <c r="P581" s="1" t="e">
        <f>Tabla32[[#This Row],[COLOR CARTA]]-#REF!</f>
        <v>#REF!</v>
      </c>
      <c r="Q581" s="1" t="e">
        <f>Tabla32[[#This Row],[COLOR OFICIO]]-#REF!</f>
        <v>#REF!</v>
      </c>
      <c r="R581" s="1" t="e">
        <f>Tabla32[[#This Row],[ENVIAR]]-#REF!</f>
        <v>#REF!</v>
      </c>
      <c r="S581" s="1" t="e">
        <f>Tabla32[[#This Row],[COPIAR]]-#REF!</f>
        <v>#REF!</v>
      </c>
    </row>
    <row r="582" spans="1:19" x14ac:dyDescent="0.25">
      <c r="A582" t="s">
        <v>10</v>
      </c>
      <c r="B582" t="s">
        <v>639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K582" t="s">
        <v>10</v>
      </c>
      <c r="L582" t="s">
        <v>639</v>
      </c>
      <c r="M582" s="1" t="e">
        <f>Tabla32[[#This Row],[BN CARTA]]-#REF!</f>
        <v>#REF!</v>
      </c>
      <c r="N582" s="1" t="e">
        <f>Tabla32[[#This Row],[BN OFICIO]]-#REF!</f>
        <v>#REF!</v>
      </c>
      <c r="O582" s="1" t="e">
        <f>Tabla32[[#This Row],[BN DC]]-#REF!</f>
        <v>#REF!</v>
      </c>
      <c r="P582" s="1" t="e">
        <f>Tabla32[[#This Row],[COLOR CARTA]]-#REF!</f>
        <v>#REF!</v>
      </c>
      <c r="Q582" s="1" t="e">
        <f>Tabla32[[#This Row],[COLOR OFICIO]]-#REF!</f>
        <v>#REF!</v>
      </c>
      <c r="R582" s="1" t="e">
        <f>Tabla32[[#This Row],[ENVIAR]]-#REF!</f>
        <v>#REF!</v>
      </c>
      <c r="S582" s="1" t="e">
        <f>Tabla32[[#This Row],[COPIAR]]-#REF!</f>
        <v>#REF!</v>
      </c>
    </row>
    <row r="583" spans="1:19" x14ac:dyDescent="0.25">
      <c r="A583" t="s">
        <v>10</v>
      </c>
      <c r="B583" t="s">
        <v>640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K583" t="s">
        <v>10</v>
      </c>
      <c r="L583" t="s">
        <v>640</v>
      </c>
      <c r="M583" s="1" t="e">
        <f>Tabla32[[#This Row],[BN CARTA]]-#REF!</f>
        <v>#REF!</v>
      </c>
      <c r="N583" s="1" t="e">
        <f>Tabla32[[#This Row],[BN OFICIO]]-#REF!</f>
        <v>#REF!</v>
      </c>
      <c r="O583" s="1" t="e">
        <f>Tabla32[[#This Row],[BN DC]]-#REF!</f>
        <v>#REF!</v>
      </c>
      <c r="P583" s="1" t="e">
        <f>Tabla32[[#This Row],[COLOR CARTA]]-#REF!</f>
        <v>#REF!</v>
      </c>
      <c r="Q583" s="1" t="e">
        <f>Tabla32[[#This Row],[COLOR OFICIO]]-#REF!</f>
        <v>#REF!</v>
      </c>
      <c r="R583" s="1" t="e">
        <f>Tabla32[[#This Row],[ENVIAR]]-#REF!</f>
        <v>#REF!</v>
      </c>
      <c r="S583" s="1" t="e">
        <f>Tabla32[[#This Row],[COPIAR]]-#REF!</f>
        <v>#REF!</v>
      </c>
    </row>
    <row r="584" spans="1:19" x14ac:dyDescent="0.25">
      <c r="A584" t="s">
        <v>10</v>
      </c>
      <c r="B584" t="s">
        <v>641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K584" t="s">
        <v>10</v>
      </c>
      <c r="L584" t="s">
        <v>641</v>
      </c>
      <c r="M584" s="1" t="e">
        <f>Tabla32[[#This Row],[BN CARTA]]-#REF!</f>
        <v>#REF!</v>
      </c>
      <c r="N584" s="1" t="e">
        <f>Tabla32[[#This Row],[BN OFICIO]]-#REF!</f>
        <v>#REF!</v>
      </c>
      <c r="O584" s="1" t="e">
        <f>Tabla32[[#This Row],[BN DC]]-#REF!</f>
        <v>#REF!</v>
      </c>
      <c r="P584" s="1" t="e">
        <f>Tabla32[[#This Row],[COLOR CARTA]]-#REF!</f>
        <v>#REF!</v>
      </c>
      <c r="Q584" s="1" t="e">
        <f>Tabla32[[#This Row],[COLOR OFICIO]]-#REF!</f>
        <v>#REF!</v>
      </c>
      <c r="R584" s="1" t="e">
        <f>Tabla32[[#This Row],[ENVIAR]]-#REF!</f>
        <v>#REF!</v>
      </c>
      <c r="S584" s="1" t="e">
        <f>Tabla32[[#This Row],[COPIAR]]-#REF!</f>
        <v>#REF!</v>
      </c>
    </row>
    <row r="585" spans="1:19" x14ac:dyDescent="0.25">
      <c r="A585" t="s">
        <v>10</v>
      </c>
      <c r="B585" t="s">
        <v>642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K585" t="s">
        <v>10</v>
      </c>
      <c r="L585" t="s">
        <v>642</v>
      </c>
      <c r="M585" s="1" t="e">
        <f>Tabla32[[#This Row],[BN CARTA]]-#REF!</f>
        <v>#REF!</v>
      </c>
      <c r="N585" s="1" t="e">
        <f>Tabla32[[#This Row],[BN OFICIO]]-#REF!</f>
        <v>#REF!</v>
      </c>
      <c r="O585" s="1" t="e">
        <f>Tabla32[[#This Row],[BN DC]]-#REF!</f>
        <v>#REF!</v>
      </c>
      <c r="P585" s="1" t="e">
        <f>Tabla32[[#This Row],[COLOR CARTA]]-#REF!</f>
        <v>#REF!</v>
      </c>
      <c r="Q585" s="1" t="e">
        <f>Tabla32[[#This Row],[COLOR OFICIO]]-#REF!</f>
        <v>#REF!</v>
      </c>
      <c r="R585" s="1" t="e">
        <f>Tabla32[[#This Row],[ENVIAR]]-#REF!</f>
        <v>#REF!</v>
      </c>
      <c r="S585" s="1" t="e">
        <f>Tabla32[[#This Row],[COPIAR]]-#REF!</f>
        <v>#REF!</v>
      </c>
    </row>
    <row r="586" spans="1:19" x14ac:dyDescent="0.25">
      <c r="A586" t="s">
        <v>10</v>
      </c>
      <c r="B586" t="s">
        <v>643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K586" t="s">
        <v>10</v>
      </c>
      <c r="L586" t="s">
        <v>643</v>
      </c>
      <c r="M586" s="1" t="e">
        <f>Tabla32[[#This Row],[BN CARTA]]-#REF!</f>
        <v>#REF!</v>
      </c>
      <c r="N586" s="1" t="e">
        <f>Tabla32[[#This Row],[BN OFICIO]]-#REF!</f>
        <v>#REF!</v>
      </c>
      <c r="O586" s="1" t="e">
        <f>Tabla32[[#This Row],[BN DC]]-#REF!</f>
        <v>#REF!</v>
      </c>
      <c r="P586" s="1" t="e">
        <f>Tabla32[[#This Row],[COLOR CARTA]]-#REF!</f>
        <v>#REF!</v>
      </c>
      <c r="Q586" s="1" t="e">
        <f>Tabla32[[#This Row],[COLOR OFICIO]]-#REF!</f>
        <v>#REF!</v>
      </c>
      <c r="R586" s="1" t="e">
        <f>Tabla32[[#This Row],[ENVIAR]]-#REF!</f>
        <v>#REF!</v>
      </c>
      <c r="S586" s="1" t="e">
        <f>Tabla32[[#This Row],[COPIAR]]-#REF!</f>
        <v>#REF!</v>
      </c>
    </row>
    <row r="587" spans="1:19" x14ac:dyDescent="0.25">
      <c r="A587" t="s">
        <v>76</v>
      </c>
      <c r="B587" t="s">
        <v>644</v>
      </c>
      <c r="C587">
        <v>42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K587" t="s">
        <v>76</v>
      </c>
      <c r="L587" t="s">
        <v>644</v>
      </c>
      <c r="M587" s="1" t="e">
        <f>Tabla32[[#This Row],[BN CARTA]]-#REF!</f>
        <v>#REF!</v>
      </c>
      <c r="N587" s="1" t="e">
        <f>Tabla32[[#This Row],[BN OFICIO]]-#REF!</f>
        <v>#REF!</v>
      </c>
      <c r="O587" s="1" t="e">
        <f>Tabla32[[#This Row],[BN DC]]-#REF!</f>
        <v>#REF!</v>
      </c>
      <c r="P587" s="1" t="e">
        <f>Tabla32[[#This Row],[COLOR CARTA]]-#REF!</f>
        <v>#REF!</v>
      </c>
      <c r="Q587" s="1" t="e">
        <f>Tabla32[[#This Row],[COLOR OFICIO]]-#REF!</f>
        <v>#REF!</v>
      </c>
      <c r="R587" s="1" t="e">
        <f>Tabla32[[#This Row],[ENVIAR]]-#REF!</f>
        <v>#REF!</v>
      </c>
      <c r="S587" s="1" t="e">
        <f>Tabla32[[#This Row],[COPIAR]]-#REF!</f>
        <v>#REF!</v>
      </c>
    </row>
    <row r="588" spans="1:19" x14ac:dyDescent="0.25">
      <c r="A588" t="s">
        <v>10</v>
      </c>
      <c r="B588" t="s">
        <v>645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K588" t="s">
        <v>10</v>
      </c>
      <c r="L588" t="s">
        <v>645</v>
      </c>
      <c r="M588" s="1" t="e">
        <f>Tabla32[[#This Row],[BN CARTA]]-#REF!</f>
        <v>#REF!</v>
      </c>
      <c r="N588" s="1" t="e">
        <f>Tabla32[[#This Row],[BN OFICIO]]-#REF!</f>
        <v>#REF!</v>
      </c>
      <c r="O588" s="1" t="e">
        <f>Tabla32[[#This Row],[BN DC]]-#REF!</f>
        <v>#REF!</v>
      </c>
      <c r="P588" s="1" t="e">
        <f>Tabla32[[#This Row],[COLOR CARTA]]-#REF!</f>
        <v>#REF!</v>
      </c>
      <c r="Q588" s="1" t="e">
        <f>Tabla32[[#This Row],[COLOR OFICIO]]-#REF!</f>
        <v>#REF!</v>
      </c>
      <c r="R588" s="1" t="e">
        <f>Tabla32[[#This Row],[ENVIAR]]-#REF!</f>
        <v>#REF!</v>
      </c>
      <c r="S588" s="1" t="e">
        <f>Tabla32[[#This Row],[COPIAR]]-#REF!</f>
        <v>#REF!</v>
      </c>
    </row>
    <row r="589" spans="1:19" x14ac:dyDescent="0.25">
      <c r="A589" t="s">
        <v>10</v>
      </c>
      <c r="B589" t="s">
        <v>646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K589" t="s">
        <v>10</v>
      </c>
      <c r="L589" t="s">
        <v>646</v>
      </c>
      <c r="M589" s="1" t="e">
        <f>Tabla32[[#This Row],[BN CARTA]]-#REF!</f>
        <v>#REF!</v>
      </c>
      <c r="N589" s="1" t="e">
        <f>Tabla32[[#This Row],[BN OFICIO]]-#REF!</f>
        <v>#REF!</v>
      </c>
      <c r="O589" s="1" t="e">
        <f>Tabla32[[#This Row],[BN DC]]-#REF!</f>
        <v>#REF!</v>
      </c>
      <c r="P589" s="1" t="e">
        <f>Tabla32[[#This Row],[COLOR CARTA]]-#REF!</f>
        <v>#REF!</v>
      </c>
      <c r="Q589" s="1" t="e">
        <f>Tabla32[[#This Row],[COLOR OFICIO]]-#REF!</f>
        <v>#REF!</v>
      </c>
      <c r="R589" s="1" t="e">
        <f>Tabla32[[#This Row],[ENVIAR]]-#REF!</f>
        <v>#REF!</v>
      </c>
      <c r="S589" s="1" t="e">
        <f>Tabla32[[#This Row],[COPIAR]]-#REF!</f>
        <v>#REF!</v>
      </c>
    </row>
    <row r="590" spans="1:19" x14ac:dyDescent="0.25">
      <c r="A590" t="s">
        <v>10</v>
      </c>
      <c r="B590" t="s">
        <v>647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K590" t="s">
        <v>10</v>
      </c>
      <c r="L590" t="s">
        <v>647</v>
      </c>
      <c r="M590" s="1" t="e">
        <f>Tabla32[[#This Row],[BN CARTA]]-#REF!</f>
        <v>#REF!</v>
      </c>
      <c r="N590" s="1" t="e">
        <f>Tabla32[[#This Row],[BN OFICIO]]-#REF!</f>
        <v>#REF!</v>
      </c>
      <c r="O590" s="1" t="e">
        <f>Tabla32[[#This Row],[BN DC]]-#REF!</f>
        <v>#REF!</v>
      </c>
      <c r="P590" s="1" t="e">
        <f>Tabla32[[#This Row],[COLOR CARTA]]-#REF!</f>
        <v>#REF!</v>
      </c>
      <c r="Q590" s="1" t="e">
        <f>Tabla32[[#This Row],[COLOR OFICIO]]-#REF!</f>
        <v>#REF!</v>
      </c>
      <c r="R590" s="1" t="e">
        <f>Tabla32[[#This Row],[ENVIAR]]-#REF!</f>
        <v>#REF!</v>
      </c>
      <c r="S590" s="1" t="e">
        <f>Tabla32[[#This Row],[COPIAR]]-#REF!</f>
        <v>#REF!</v>
      </c>
    </row>
    <row r="591" spans="1:19" x14ac:dyDescent="0.25">
      <c r="A591" t="s">
        <v>150</v>
      </c>
      <c r="B591" t="s">
        <v>648</v>
      </c>
      <c r="C591">
        <v>132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K591" t="s">
        <v>150</v>
      </c>
      <c r="L591" t="s">
        <v>648</v>
      </c>
      <c r="M591" s="1" t="e">
        <f>Tabla32[[#This Row],[BN CARTA]]-#REF!</f>
        <v>#REF!</v>
      </c>
      <c r="N591" s="1" t="e">
        <f>Tabla32[[#This Row],[BN OFICIO]]-#REF!</f>
        <v>#REF!</v>
      </c>
      <c r="O591" s="1" t="e">
        <f>Tabla32[[#This Row],[BN DC]]-#REF!</f>
        <v>#REF!</v>
      </c>
      <c r="P591" s="1" t="e">
        <f>Tabla32[[#This Row],[COLOR CARTA]]-#REF!</f>
        <v>#REF!</v>
      </c>
      <c r="Q591" s="1" t="e">
        <f>Tabla32[[#This Row],[COLOR OFICIO]]-#REF!</f>
        <v>#REF!</v>
      </c>
      <c r="R591" s="1" t="e">
        <f>Tabla32[[#This Row],[ENVIAR]]-#REF!</f>
        <v>#REF!</v>
      </c>
      <c r="S591" s="1" t="e">
        <f>Tabla32[[#This Row],[COPIAR]]-#REF!</f>
        <v>#REF!</v>
      </c>
    </row>
    <row r="592" spans="1:19" x14ac:dyDescent="0.25">
      <c r="A592" t="s">
        <v>10</v>
      </c>
      <c r="B592" t="s">
        <v>649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K592" t="s">
        <v>10</v>
      </c>
      <c r="L592" t="s">
        <v>649</v>
      </c>
      <c r="M592" s="1" t="e">
        <f>Tabla32[[#This Row],[BN CARTA]]-#REF!</f>
        <v>#REF!</v>
      </c>
      <c r="N592" s="1" t="e">
        <f>Tabla32[[#This Row],[BN OFICIO]]-#REF!</f>
        <v>#REF!</v>
      </c>
      <c r="O592" s="1" t="e">
        <f>Tabla32[[#This Row],[BN DC]]-#REF!</f>
        <v>#REF!</v>
      </c>
      <c r="P592" s="1" t="e">
        <f>Tabla32[[#This Row],[COLOR CARTA]]-#REF!</f>
        <v>#REF!</v>
      </c>
      <c r="Q592" s="1" t="e">
        <f>Tabla32[[#This Row],[COLOR OFICIO]]-#REF!</f>
        <v>#REF!</v>
      </c>
      <c r="R592" s="1" t="e">
        <f>Tabla32[[#This Row],[ENVIAR]]-#REF!</f>
        <v>#REF!</v>
      </c>
      <c r="S592" s="1" t="e">
        <f>Tabla32[[#This Row],[COPIAR]]-#REF!</f>
        <v>#REF!</v>
      </c>
    </row>
    <row r="593" spans="1:19" x14ac:dyDescent="0.25">
      <c r="A593" t="s">
        <v>10</v>
      </c>
      <c r="B593" t="s">
        <v>650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K593" t="s">
        <v>10</v>
      </c>
      <c r="L593" t="s">
        <v>650</v>
      </c>
      <c r="M593" s="1" t="e">
        <f>Tabla32[[#This Row],[BN CARTA]]-#REF!</f>
        <v>#REF!</v>
      </c>
      <c r="N593" s="1" t="e">
        <f>Tabla32[[#This Row],[BN OFICIO]]-#REF!</f>
        <v>#REF!</v>
      </c>
      <c r="O593" s="1" t="e">
        <f>Tabla32[[#This Row],[BN DC]]-#REF!</f>
        <v>#REF!</v>
      </c>
      <c r="P593" s="1" t="e">
        <f>Tabla32[[#This Row],[COLOR CARTA]]-#REF!</f>
        <v>#REF!</v>
      </c>
      <c r="Q593" s="1" t="e">
        <f>Tabla32[[#This Row],[COLOR OFICIO]]-#REF!</f>
        <v>#REF!</v>
      </c>
      <c r="R593" s="1" t="e">
        <f>Tabla32[[#This Row],[ENVIAR]]-#REF!</f>
        <v>#REF!</v>
      </c>
      <c r="S593" s="1" t="e">
        <f>Tabla32[[#This Row],[COPIAR]]-#REF!</f>
        <v>#REF!</v>
      </c>
    </row>
    <row r="594" spans="1:19" x14ac:dyDescent="0.25">
      <c r="A594" t="s">
        <v>10</v>
      </c>
      <c r="B594" t="s">
        <v>651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K594" t="s">
        <v>10</v>
      </c>
      <c r="L594" t="s">
        <v>651</v>
      </c>
      <c r="M594" s="1" t="e">
        <f>Tabla32[[#This Row],[BN CARTA]]-#REF!</f>
        <v>#REF!</v>
      </c>
      <c r="N594" s="1" t="e">
        <f>Tabla32[[#This Row],[BN OFICIO]]-#REF!</f>
        <v>#REF!</v>
      </c>
      <c r="O594" s="1" t="e">
        <f>Tabla32[[#This Row],[BN DC]]-#REF!</f>
        <v>#REF!</v>
      </c>
      <c r="P594" s="1" t="e">
        <f>Tabla32[[#This Row],[COLOR CARTA]]-#REF!</f>
        <v>#REF!</v>
      </c>
      <c r="Q594" s="1" t="e">
        <f>Tabla32[[#This Row],[COLOR OFICIO]]-#REF!</f>
        <v>#REF!</v>
      </c>
      <c r="R594" s="1" t="e">
        <f>Tabla32[[#This Row],[ENVIAR]]-#REF!</f>
        <v>#REF!</v>
      </c>
      <c r="S594" s="1" t="e">
        <f>Tabla32[[#This Row],[COPIAR]]-#REF!</f>
        <v>#REF!</v>
      </c>
    </row>
    <row r="595" spans="1:19" x14ac:dyDescent="0.25">
      <c r="A595" t="s">
        <v>10</v>
      </c>
      <c r="B595" t="s">
        <v>652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K595" t="s">
        <v>10</v>
      </c>
      <c r="L595" t="s">
        <v>652</v>
      </c>
      <c r="M595" s="1" t="e">
        <f>Tabla32[[#This Row],[BN CARTA]]-#REF!</f>
        <v>#REF!</v>
      </c>
      <c r="N595" s="1" t="e">
        <f>Tabla32[[#This Row],[BN OFICIO]]-#REF!</f>
        <v>#REF!</v>
      </c>
      <c r="O595" s="1" t="e">
        <f>Tabla32[[#This Row],[BN DC]]-#REF!</f>
        <v>#REF!</v>
      </c>
      <c r="P595" s="1" t="e">
        <f>Tabla32[[#This Row],[COLOR CARTA]]-#REF!</f>
        <v>#REF!</v>
      </c>
      <c r="Q595" s="1" t="e">
        <f>Tabla32[[#This Row],[COLOR OFICIO]]-#REF!</f>
        <v>#REF!</v>
      </c>
      <c r="R595" s="1" t="e">
        <f>Tabla32[[#This Row],[ENVIAR]]-#REF!</f>
        <v>#REF!</v>
      </c>
      <c r="S595" s="1" t="e">
        <f>Tabla32[[#This Row],[COPIAR]]-#REF!</f>
        <v>#REF!</v>
      </c>
    </row>
    <row r="596" spans="1:19" x14ac:dyDescent="0.25">
      <c r="A596" t="s">
        <v>10</v>
      </c>
      <c r="B596" t="s">
        <v>653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K596" t="s">
        <v>10</v>
      </c>
      <c r="L596" t="s">
        <v>653</v>
      </c>
      <c r="M596" s="1" t="e">
        <f>Tabla32[[#This Row],[BN CARTA]]-#REF!</f>
        <v>#REF!</v>
      </c>
      <c r="N596" s="1" t="e">
        <f>Tabla32[[#This Row],[BN OFICIO]]-#REF!</f>
        <v>#REF!</v>
      </c>
      <c r="O596" s="1" t="e">
        <f>Tabla32[[#This Row],[BN DC]]-#REF!</f>
        <v>#REF!</v>
      </c>
      <c r="P596" s="1" t="e">
        <f>Tabla32[[#This Row],[COLOR CARTA]]-#REF!</f>
        <v>#REF!</v>
      </c>
      <c r="Q596" s="1" t="e">
        <f>Tabla32[[#This Row],[COLOR OFICIO]]-#REF!</f>
        <v>#REF!</v>
      </c>
      <c r="R596" s="1" t="e">
        <f>Tabla32[[#This Row],[ENVIAR]]-#REF!</f>
        <v>#REF!</v>
      </c>
      <c r="S596" s="1" t="e">
        <f>Tabla32[[#This Row],[COPIAR]]-#REF!</f>
        <v>#REF!</v>
      </c>
    </row>
    <row r="597" spans="1:19" x14ac:dyDescent="0.25">
      <c r="A597" t="s">
        <v>10</v>
      </c>
      <c r="B597" t="s">
        <v>654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K597" t="s">
        <v>10</v>
      </c>
      <c r="L597" t="s">
        <v>654</v>
      </c>
      <c r="M597" s="1" t="e">
        <f>Tabla32[[#This Row],[BN CARTA]]-#REF!</f>
        <v>#REF!</v>
      </c>
      <c r="N597" s="1" t="e">
        <f>Tabla32[[#This Row],[BN OFICIO]]-#REF!</f>
        <v>#REF!</v>
      </c>
      <c r="O597" s="1" t="e">
        <f>Tabla32[[#This Row],[BN DC]]-#REF!</f>
        <v>#REF!</v>
      </c>
      <c r="P597" s="1" t="e">
        <f>Tabla32[[#This Row],[COLOR CARTA]]-#REF!</f>
        <v>#REF!</v>
      </c>
      <c r="Q597" s="1" t="e">
        <f>Tabla32[[#This Row],[COLOR OFICIO]]-#REF!</f>
        <v>#REF!</v>
      </c>
      <c r="R597" s="1" t="e">
        <f>Tabla32[[#This Row],[ENVIAR]]-#REF!</f>
        <v>#REF!</v>
      </c>
      <c r="S597" s="1" t="e">
        <f>Tabla32[[#This Row],[COPIAR]]-#REF!</f>
        <v>#REF!</v>
      </c>
    </row>
    <row r="598" spans="1:19" x14ac:dyDescent="0.25">
      <c r="A598" t="s">
        <v>10</v>
      </c>
      <c r="B598" t="s">
        <v>655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K598" t="s">
        <v>10</v>
      </c>
      <c r="L598" t="s">
        <v>655</v>
      </c>
      <c r="M598" s="1" t="e">
        <f>Tabla32[[#This Row],[BN CARTA]]-#REF!</f>
        <v>#REF!</v>
      </c>
      <c r="N598" s="1" t="e">
        <f>Tabla32[[#This Row],[BN OFICIO]]-#REF!</f>
        <v>#REF!</v>
      </c>
      <c r="O598" s="1" t="e">
        <f>Tabla32[[#This Row],[BN DC]]-#REF!</f>
        <v>#REF!</v>
      </c>
      <c r="P598" s="1" t="e">
        <f>Tabla32[[#This Row],[COLOR CARTA]]-#REF!</f>
        <v>#REF!</v>
      </c>
      <c r="Q598" s="1" t="e">
        <f>Tabla32[[#This Row],[COLOR OFICIO]]-#REF!</f>
        <v>#REF!</v>
      </c>
      <c r="R598" s="1" t="e">
        <f>Tabla32[[#This Row],[ENVIAR]]-#REF!</f>
        <v>#REF!</v>
      </c>
      <c r="S598" s="1" t="e">
        <f>Tabla32[[#This Row],[COPIAR]]-#REF!</f>
        <v>#REF!</v>
      </c>
    </row>
    <row r="599" spans="1:19" x14ac:dyDescent="0.25">
      <c r="A599" t="s">
        <v>10</v>
      </c>
      <c r="B599" t="s">
        <v>656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K599" t="s">
        <v>10</v>
      </c>
      <c r="L599" t="s">
        <v>656</v>
      </c>
      <c r="M599" s="1" t="e">
        <f>Tabla32[[#This Row],[BN CARTA]]-#REF!</f>
        <v>#REF!</v>
      </c>
      <c r="N599" s="1" t="e">
        <f>Tabla32[[#This Row],[BN OFICIO]]-#REF!</f>
        <v>#REF!</v>
      </c>
      <c r="O599" s="1" t="e">
        <f>Tabla32[[#This Row],[BN DC]]-#REF!</f>
        <v>#REF!</v>
      </c>
      <c r="P599" s="1" t="e">
        <f>Tabla32[[#This Row],[COLOR CARTA]]-#REF!</f>
        <v>#REF!</v>
      </c>
      <c r="Q599" s="1" t="e">
        <f>Tabla32[[#This Row],[COLOR OFICIO]]-#REF!</f>
        <v>#REF!</v>
      </c>
      <c r="R599" s="1" t="e">
        <f>Tabla32[[#This Row],[ENVIAR]]-#REF!</f>
        <v>#REF!</v>
      </c>
      <c r="S599" s="1" t="e">
        <f>Tabla32[[#This Row],[COPIAR]]-#REF!</f>
        <v>#REF!</v>
      </c>
    </row>
    <row r="600" spans="1:19" x14ac:dyDescent="0.25">
      <c r="A600" t="s">
        <v>10</v>
      </c>
      <c r="B600" t="s">
        <v>657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K600" t="s">
        <v>10</v>
      </c>
      <c r="L600" t="s">
        <v>657</v>
      </c>
      <c r="M600" s="1" t="e">
        <f>Tabla32[[#This Row],[BN CARTA]]-#REF!</f>
        <v>#REF!</v>
      </c>
      <c r="N600" s="1" t="e">
        <f>Tabla32[[#This Row],[BN OFICIO]]-#REF!</f>
        <v>#REF!</v>
      </c>
      <c r="O600" s="1" t="e">
        <f>Tabla32[[#This Row],[BN DC]]-#REF!</f>
        <v>#REF!</v>
      </c>
      <c r="P600" s="1" t="e">
        <f>Tabla32[[#This Row],[COLOR CARTA]]-#REF!</f>
        <v>#REF!</v>
      </c>
      <c r="Q600" s="1" t="e">
        <f>Tabla32[[#This Row],[COLOR OFICIO]]-#REF!</f>
        <v>#REF!</v>
      </c>
      <c r="R600" s="1" t="e">
        <f>Tabla32[[#This Row],[ENVIAR]]-#REF!</f>
        <v>#REF!</v>
      </c>
      <c r="S600" s="1" t="e">
        <f>Tabla32[[#This Row],[COPIAR]]-#REF!</f>
        <v>#REF!</v>
      </c>
    </row>
    <row r="601" spans="1:19" x14ac:dyDescent="0.25">
      <c r="A601" t="s">
        <v>10</v>
      </c>
      <c r="B601" t="s">
        <v>658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K601" t="s">
        <v>10</v>
      </c>
      <c r="L601" t="s">
        <v>658</v>
      </c>
      <c r="M601" s="1" t="e">
        <f>Tabla32[[#This Row],[BN CARTA]]-#REF!</f>
        <v>#REF!</v>
      </c>
      <c r="N601" s="1" t="e">
        <f>Tabla32[[#This Row],[BN OFICIO]]-#REF!</f>
        <v>#REF!</v>
      </c>
      <c r="O601" s="1" t="e">
        <f>Tabla32[[#This Row],[BN DC]]-#REF!</f>
        <v>#REF!</v>
      </c>
      <c r="P601" s="1" t="e">
        <f>Tabla32[[#This Row],[COLOR CARTA]]-#REF!</f>
        <v>#REF!</v>
      </c>
      <c r="Q601" s="1" t="e">
        <f>Tabla32[[#This Row],[COLOR OFICIO]]-#REF!</f>
        <v>#REF!</v>
      </c>
      <c r="R601" s="1" t="e">
        <f>Tabla32[[#This Row],[ENVIAR]]-#REF!</f>
        <v>#REF!</v>
      </c>
      <c r="S601" s="1" t="e">
        <f>Tabla32[[#This Row],[COPIAR]]-#REF!</f>
        <v>#REF!</v>
      </c>
    </row>
    <row r="602" spans="1:19" x14ac:dyDescent="0.25">
      <c r="A602" t="s">
        <v>10</v>
      </c>
      <c r="B602" t="s">
        <v>659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K602" t="s">
        <v>10</v>
      </c>
      <c r="L602" t="s">
        <v>659</v>
      </c>
      <c r="M602" s="1" t="e">
        <f>Tabla32[[#This Row],[BN CARTA]]-#REF!</f>
        <v>#REF!</v>
      </c>
      <c r="N602" s="1" t="e">
        <f>Tabla32[[#This Row],[BN OFICIO]]-#REF!</f>
        <v>#REF!</v>
      </c>
      <c r="O602" s="1" t="e">
        <f>Tabla32[[#This Row],[BN DC]]-#REF!</f>
        <v>#REF!</v>
      </c>
      <c r="P602" s="1" t="e">
        <f>Tabla32[[#This Row],[COLOR CARTA]]-#REF!</f>
        <v>#REF!</v>
      </c>
      <c r="Q602" s="1" t="e">
        <f>Tabla32[[#This Row],[COLOR OFICIO]]-#REF!</f>
        <v>#REF!</v>
      </c>
      <c r="R602" s="1" t="e">
        <f>Tabla32[[#This Row],[ENVIAR]]-#REF!</f>
        <v>#REF!</v>
      </c>
      <c r="S602" s="1" t="e">
        <f>Tabla32[[#This Row],[COPIAR]]-#REF!</f>
        <v>#REF!</v>
      </c>
    </row>
    <row r="603" spans="1:19" x14ac:dyDescent="0.25">
      <c r="A603" t="s">
        <v>10</v>
      </c>
      <c r="B603" t="s">
        <v>660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K603" t="s">
        <v>10</v>
      </c>
      <c r="L603" t="s">
        <v>660</v>
      </c>
      <c r="M603" s="1" t="e">
        <f>Tabla32[[#This Row],[BN CARTA]]-#REF!</f>
        <v>#REF!</v>
      </c>
      <c r="N603" s="1" t="e">
        <f>Tabla32[[#This Row],[BN OFICIO]]-#REF!</f>
        <v>#REF!</v>
      </c>
      <c r="O603" s="1" t="e">
        <f>Tabla32[[#This Row],[BN DC]]-#REF!</f>
        <v>#REF!</v>
      </c>
      <c r="P603" s="1" t="e">
        <f>Tabla32[[#This Row],[COLOR CARTA]]-#REF!</f>
        <v>#REF!</v>
      </c>
      <c r="Q603" s="1" t="e">
        <f>Tabla32[[#This Row],[COLOR OFICIO]]-#REF!</f>
        <v>#REF!</v>
      </c>
      <c r="R603" s="1" t="e">
        <f>Tabla32[[#This Row],[ENVIAR]]-#REF!</f>
        <v>#REF!</v>
      </c>
      <c r="S603" s="1" t="e">
        <f>Tabla32[[#This Row],[COPIAR]]-#REF!</f>
        <v>#REF!</v>
      </c>
    </row>
    <row r="604" spans="1:19" x14ac:dyDescent="0.25">
      <c r="A604" t="s">
        <v>123</v>
      </c>
      <c r="B604" t="s">
        <v>661</v>
      </c>
      <c r="C604">
        <v>68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K604" t="s">
        <v>123</v>
      </c>
      <c r="L604" t="s">
        <v>661</v>
      </c>
      <c r="M604" s="1" t="e">
        <f>Tabla32[[#This Row],[BN CARTA]]-#REF!</f>
        <v>#REF!</v>
      </c>
      <c r="N604" s="1" t="e">
        <f>Tabla32[[#This Row],[BN OFICIO]]-#REF!</f>
        <v>#REF!</v>
      </c>
      <c r="O604" s="1" t="e">
        <f>Tabla32[[#This Row],[BN DC]]-#REF!</f>
        <v>#REF!</v>
      </c>
      <c r="P604" s="1" t="e">
        <f>Tabla32[[#This Row],[COLOR CARTA]]-#REF!</f>
        <v>#REF!</v>
      </c>
      <c r="Q604" s="1" t="e">
        <f>Tabla32[[#This Row],[COLOR OFICIO]]-#REF!</f>
        <v>#REF!</v>
      </c>
      <c r="R604" s="1" t="e">
        <f>Tabla32[[#This Row],[ENVIAR]]-#REF!</f>
        <v>#REF!</v>
      </c>
      <c r="S604" s="1" t="e">
        <f>Tabla32[[#This Row],[COPIAR]]-#REF!</f>
        <v>#REF!</v>
      </c>
    </row>
    <row r="605" spans="1:19" x14ac:dyDescent="0.25">
      <c r="A605" t="s">
        <v>229</v>
      </c>
      <c r="B605" t="s">
        <v>662</v>
      </c>
      <c r="C605">
        <v>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K605" t="s">
        <v>229</v>
      </c>
      <c r="L605" t="s">
        <v>662</v>
      </c>
      <c r="M605" s="1" t="e">
        <f>Tabla32[[#This Row],[BN CARTA]]-#REF!</f>
        <v>#REF!</v>
      </c>
      <c r="N605" s="1" t="e">
        <f>Tabla32[[#This Row],[BN OFICIO]]-#REF!</f>
        <v>#REF!</v>
      </c>
      <c r="O605" s="1" t="e">
        <f>Tabla32[[#This Row],[BN DC]]-#REF!</f>
        <v>#REF!</v>
      </c>
      <c r="P605" s="1" t="e">
        <f>Tabla32[[#This Row],[COLOR CARTA]]-#REF!</f>
        <v>#REF!</v>
      </c>
      <c r="Q605" s="1" t="e">
        <f>Tabla32[[#This Row],[COLOR OFICIO]]-#REF!</f>
        <v>#REF!</v>
      </c>
      <c r="R605" s="1" t="e">
        <f>Tabla32[[#This Row],[ENVIAR]]-#REF!</f>
        <v>#REF!</v>
      </c>
      <c r="S605" s="1" t="e">
        <f>Tabla32[[#This Row],[COPIAR]]-#REF!</f>
        <v>#REF!</v>
      </c>
    </row>
    <row r="606" spans="1:19" x14ac:dyDescent="0.25">
      <c r="A606" t="s">
        <v>10</v>
      </c>
      <c r="B606" t="s">
        <v>663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K606" t="s">
        <v>10</v>
      </c>
      <c r="L606" t="s">
        <v>663</v>
      </c>
      <c r="M606" s="1" t="e">
        <f>Tabla32[[#This Row],[BN CARTA]]-#REF!</f>
        <v>#REF!</v>
      </c>
      <c r="N606" s="1" t="e">
        <f>Tabla32[[#This Row],[BN OFICIO]]-#REF!</f>
        <v>#REF!</v>
      </c>
      <c r="O606" s="1" t="e">
        <f>Tabla32[[#This Row],[BN DC]]-#REF!</f>
        <v>#REF!</v>
      </c>
      <c r="P606" s="1" t="e">
        <f>Tabla32[[#This Row],[COLOR CARTA]]-#REF!</f>
        <v>#REF!</v>
      </c>
      <c r="Q606" s="1" t="e">
        <f>Tabla32[[#This Row],[COLOR OFICIO]]-#REF!</f>
        <v>#REF!</v>
      </c>
      <c r="R606" s="1" t="e">
        <f>Tabla32[[#This Row],[ENVIAR]]-#REF!</f>
        <v>#REF!</v>
      </c>
      <c r="S606" s="1" t="e">
        <f>Tabla32[[#This Row],[COPIAR]]-#REF!</f>
        <v>#REF!</v>
      </c>
    </row>
    <row r="607" spans="1:19" x14ac:dyDescent="0.25">
      <c r="A607" t="s">
        <v>10</v>
      </c>
      <c r="B607" t="s">
        <v>664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K607" t="s">
        <v>10</v>
      </c>
      <c r="L607" t="s">
        <v>664</v>
      </c>
      <c r="M607" s="1" t="e">
        <f>Tabla32[[#This Row],[BN CARTA]]-#REF!</f>
        <v>#REF!</v>
      </c>
      <c r="N607" s="1" t="e">
        <f>Tabla32[[#This Row],[BN OFICIO]]-#REF!</f>
        <v>#REF!</v>
      </c>
      <c r="O607" s="1" t="e">
        <f>Tabla32[[#This Row],[BN DC]]-#REF!</f>
        <v>#REF!</v>
      </c>
      <c r="P607" s="1" t="e">
        <f>Tabla32[[#This Row],[COLOR CARTA]]-#REF!</f>
        <v>#REF!</v>
      </c>
      <c r="Q607" s="1" t="e">
        <f>Tabla32[[#This Row],[COLOR OFICIO]]-#REF!</f>
        <v>#REF!</v>
      </c>
      <c r="R607" s="1" t="e">
        <f>Tabla32[[#This Row],[ENVIAR]]-#REF!</f>
        <v>#REF!</v>
      </c>
      <c r="S607" s="1" t="e">
        <f>Tabla32[[#This Row],[COPIAR]]-#REF!</f>
        <v>#REF!</v>
      </c>
    </row>
    <row r="608" spans="1:19" x14ac:dyDescent="0.25">
      <c r="A608" t="s">
        <v>10</v>
      </c>
      <c r="B608" t="s">
        <v>665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K608" t="s">
        <v>10</v>
      </c>
      <c r="L608" t="s">
        <v>665</v>
      </c>
      <c r="M608" s="1" t="e">
        <f>Tabla32[[#This Row],[BN CARTA]]-#REF!</f>
        <v>#REF!</v>
      </c>
      <c r="N608" s="1" t="e">
        <f>Tabla32[[#This Row],[BN OFICIO]]-#REF!</f>
        <v>#REF!</v>
      </c>
      <c r="O608" s="1" t="e">
        <f>Tabla32[[#This Row],[BN DC]]-#REF!</f>
        <v>#REF!</v>
      </c>
      <c r="P608" s="1" t="e">
        <f>Tabla32[[#This Row],[COLOR CARTA]]-#REF!</f>
        <v>#REF!</v>
      </c>
      <c r="Q608" s="1" t="e">
        <f>Tabla32[[#This Row],[COLOR OFICIO]]-#REF!</f>
        <v>#REF!</v>
      </c>
      <c r="R608" s="1" t="e">
        <f>Tabla32[[#This Row],[ENVIAR]]-#REF!</f>
        <v>#REF!</v>
      </c>
      <c r="S608" s="1" t="e">
        <f>Tabla32[[#This Row],[COPIAR]]-#REF!</f>
        <v>#REF!</v>
      </c>
    </row>
    <row r="609" spans="1:19" x14ac:dyDescent="0.25">
      <c r="A609" t="s">
        <v>10</v>
      </c>
      <c r="B609" t="s">
        <v>666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K609" t="s">
        <v>10</v>
      </c>
      <c r="L609" t="s">
        <v>666</v>
      </c>
      <c r="M609" s="1" t="e">
        <f>Tabla32[[#This Row],[BN CARTA]]-#REF!</f>
        <v>#REF!</v>
      </c>
      <c r="N609" s="1" t="e">
        <f>Tabla32[[#This Row],[BN OFICIO]]-#REF!</f>
        <v>#REF!</v>
      </c>
      <c r="O609" s="1" t="e">
        <f>Tabla32[[#This Row],[BN DC]]-#REF!</f>
        <v>#REF!</v>
      </c>
      <c r="P609" s="1" t="e">
        <f>Tabla32[[#This Row],[COLOR CARTA]]-#REF!</f>
        <v>#REF!</v>
      </c>
      <c r="Q609" s="1" t="e">
        <f>Tabla32[[#This Row],[COLOR OFICIO]]-#REF!</f>
        <v>#REF!</v>
      </c>
      <c r="R609" s="1" t="e">
        <f>Tabla32[[#This Row],[ENVIAR]]-#REF!</f>
        <v>#REF!</v>
      </c>
      <c r="S609" s="1" t="e">
        <f>Tabla32[[#This Row],[COPIAR]]-#REF!</f>
        <v>#REF!</v>
      </c>
    </row>
    <row r="610" spans="1:19" x14ac:dyDescent="0.25">
      <c r="A610" t="s">
        <v>106</v>
      </c>
      <c r="B610" t="s">
        <v>667</v>
      </c>
      <c r="C610">
        <v>37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K610" t="s">
        <v>106</v>
      </c>
      <c r="L610" t="s">
        <v>667</v>
      </c>
      <c r="M610" s="1" t="e">
        <f>Tabla32[[#This Row],[BN CARTA]]-#REF!</f>
        <v>#REF!</v>
      </c>
      <c r="N610" s="1" t="e">
        <f>Tabla32[[#This Row],[BN OFICIO]]-#REF!</f>
        <v>#REF!</v>
      </c>
      <c r="O610" s="1" t="e">
        <f>Tabla32[[#This Row],[BN DC]]-#REF!</f>
        <v>#REF!</v>
      </c>
      <c r="P610" s="1" t="e">
        <f>Tabla32[[#This Row],[COLOR CARTA]]-#REF!</f>
        <v>#REF!</v>
      </c>
      <c r="Q610" s="1" t="e">
        <f>Tabla32[[#This Row],[COLOR OFICIO]]-#REF!</f>
        <v>#REF!</v>
      </c>
      <c r="R610" s="1" t="e">
        <f>Tabla32[[#This Row],[ENVIAR]]-#REF!</f>
        <v>#REF!</v>
      </c>
      <c r="S610" s="1" t="e">
        <f>Tabla32[[#This Row],[COPIAR]]-#REF!</f>
        <v>#REF!</v>
      </c>
    </row>
    <row r="611" spans="1:19" x14ac:dyDescent="0.25">
      <c r="A611" t="s">
        <v>10</v>
      </c>
      <c r="B611" t="s">
        <v>668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K611" t="s">
        <v>10</v>
      </c>
      <c r="L611" t="s">
        <v>668</v>
      </c>
      <c r="M611" s="1" t="e">
        <f>Tabla32[[#This Row],[BN CARTA]]-#REF!</f>
        <v>#REF!</v>
      </c>
      <c r="N611" s="1" t="e">
        <f>Tabla32[[#This Row],[BN OFICIO]]-#REF!</f>
        <v>#REF!</v>
      </c>
      <c r="O611" s="1" t="e">
        <f>Tabla32[[#This Row],[BN DC]]-#REF!</f>
        <v>#REF!</v>
      </c>
      <c r="P611" s="1" t="e">
        <f>Tabla32[[#This Row],[COLOR CARTA]]-#REF!</f>
        <v>#REF!</v>
      </c>
      <c r="Q611" s="1" t="e">
        <f>Tabla32[[#This Row],[COLOR OFICIO]]-#REF!</f>
        <v>#REF!</v>
      </c>
      <c r="R611" s="1" t="e">
        <f>Tabla32[[#This Row],[ENVIAR]]-#REF!</f>
        <v>#REF!</v>
      </c>
      <c r="S611" s="1" t="e">
        <f>Tabla32[[#This Row],[COPIAR]]-#REF!</f>
        <v>#REF!</v>
      </c>
    </row>
    <row r="612" spans="1:19" x14ac:dyDescent="0.25">
      <c r="A612" t="s">
        <v>10</v>
      </c>
      <c r="B612" t="s">
        <v>669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K612" t="s">
        <v>10</v>
      </c>
      <c r="L612" t="s">
        <v>669</v>
      </c>
      <c r="M612" s="1" t="e">
        <f>Tabla32[[#This Row],[BN CARTA]]-#REF!</f>
        <v>#REF!</v>
      </c>
      <c r="N612" s="1" t="e">
        <f>Tabla32[[#This Row],[BN OFICIO]]-#REF!</f>
        <v>#REF!</v>
      </c>
      <c r="O612" s="1" t="e">
        <f>Tabla32[[#This Row],[BN DC]]-#REF!</f>
        <v>#REF!</v>
      </c>
      <c r="P612" s="1" t="e">
        <f>Tabla32[[#This Row],[COLOR CARTA]]-#REF!</f>
        <v>#REF!</v>
      </c>
      <c r="Q612" s="1" t="e">
        <f>Tabla32[[#This Row],[COLOR OFICIO]]-#REF!</f>
        <v>#REF!</v>
      </c>
      <c r="R612" s="1" t="e">
        <f>Tabla32[[#This Row],[ENVIAR]]-#REF!</f>
        <v>#REF!</v>
      </c>
      <c r="S612" s="1" t="e">
        <f>Tabla32[[#This Row],[COPIAR]]-#REF!</f>
        <v>#REF!</v>
      </c>
    </row>
    <row r="613" spans="1:19" x14ac:dyDescent="0.25">
      <c r="A613" t="s">
        <v>10</v>
      </c>
      <c r="B613" t="s">
        <v>670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K613" t="s">
        <v>10</v>
      </c>
      <c r="L613" t="s">
        <v>670</v>
      </c>
      <c r="M613" s="1" t="e">
        <f>Tabla32[[#This Row],[BN CARTA]]-#REF!</f>
        <v>#REF!</v>
      </c>
      <c r="N613" s="1" t="e">
        <f>Tabla32[[#This Row],[BN OFICIO]]-#REF!</f>
        <v>#REF!</v>
      </c>
      <c r="O613" s="1" t="e">
        <f>Tabla32[[#This Row],[BN DC]]-#REF!</f>
        <v>#REF!</v>
      </c>
      <c r="P613" s="1" t="e">
        <f>Tabla32[[#This Row],[COLOR CARTA]]-#REF!</f>
        <v>#REF!</v>
      </c>
      <c r="Q613" s="1" t="e">
        <f>Tabla32[[#This Row],[COLOR OFICIO]]-#REF!</f>
        <v>#REF!</v>
      </c>
      <c r="R613" s="1" t="e">
        <f>Tabla32[[#This Row],[ENVIAR]]-#REF!</f>
        <v>#REF!</v>
      </c>
      <c r="S613" s="1" t="e">
        <f>Tabla32[[#This Row],[COPIAR]]-#REF!</f>
        <v>#REF!</v>
      </c>
    </row>
    <row r="614" spans="1:19" x14ac:dyDescent="0.25">
      <c r="A614" t="s">
        <v>10</v>
      </c>
      <c r="B614" t="s">
        <v>671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K614" t="s">
        <v>10</v>
      </c>
      <c r="L614" t="s">
        <v>671</v>
      </c>
      <c r="M614" s="1" t="e">
        <f>Tabla32[[#This Row],[BN CARTA]]-#REF!</f>
        <v>#REF!</v>
      </c>
      <c r="N614" s="1" t="e">
        <f>Tabla32[[#This Row],[BN OFICIO]]-#REF!</f>
        <v>#REF!</v>
      </c>
      <c r="O614" s="1" t="e">
        <f>Tabla32[[#This Row],[BN DC]]-#REF!</f>
        <v>#REF!</v>
      </c>
      <c r="P614" s="1" t="e">
        <f>Tabla32[[#This Row],[COLOR CARTA]]-#REF!</f>
        <v>#REF!</v>
      </c>
      <c r="Q614" s="1" t="e">
        <f>Tabla32[[#This Row],[COLOR OFICIO]]-#REF!</f>
        <v>#REF!</v>
      </c>
      <c r="R614" s="1" t="e">
        <f>Tabla32[[#This Row],[ENVIAR]]-#REF!</f>
        <v>#REF!</v>
      </c>
      <c r="S614" s="1" t="e">
        <f>Tabla32[[#This Row],[COPIAR]]-#REF!</f>
        <v>#REF!</v>
      </c>
    </row>
    <row r="615" spans="1:19" x14ac:dyDescent="0.25">
      <c r="A615" t="s">
        <v>10</v>
      </c>
      <c r="B615" t="s">
        <v>672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K615" t="s">
        <v>10</v>
      </c>
      <c r="L615" t="s">
        <v>672</v>
      </c>
      <c r="M615" s="1" t="e">
        <f>Tabla32[[#This Row],[BN CARTA]]-#REF!</f>
        <v>#REF!</v>
      </c>
      <c r="N615" s="1" t="e">
        <f>Tabla32[[#This Row],[BN OFICIO]]-#REF!</f>
        <v>#REF!</v>
      </c>
      <c r="O615" s="1" t="e">
        <f>Tabla32[[#This Row],[BN DC]]-#REF!</f>
        <v>#REF!</v>
      </c>
      <c r="P615" s="1" t="e">
        <f>Tabla32[[#This Row],[COLOR CARTA]]-#REF!</f>
        <v>#REF!</v>
      </c>
      <c r="Q615" s="1" t="e">
        <f>Tabla32[[#This Row],[COLOR OFICIO]]-#REF!</f>
        <v>#REF!</v>
      </c>
      <c r="R615" s="1" t="e">
        <f>Tabla32[[#This Row],[ENVIAR]]-#REF!</f>
        <v>#REF!</v>
      </c>
      <c r="S615" s="1" t="e">
        <f>Tabla32[[#This Row],[COPIAR]]-#REF!</f>
        <v>#REF!</v>
      </c>
    </row>
    <row r="616" spans="1:19" x14ac:dyDescent="0.25">
      <c r="A616" t="s">
        <v>33</v>
      </c>
      <c r="B616" t="s">
        <v>673</v>
      </c>
      <c r="C616">
        <v>83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K616" t="s">
        <v>33</v>
      </c>
      <c r="L616" t="s">
        <v>673</v>
      </c>
      <c r="M616" s="1" t="e">
        <f>Tabla32[[#This Row],[BN CARTA]]-#REF!</f>
        <v>#REF!</v>
      </c>
      <c r="N616" s="1" t="e">
        <f>Tabla32[[#This Row],[BN OFICIO]]-#REF!</f>
        <v>#REF!</v>
      </c>
      <c r="O616" s="1" t="e">
        <f>Tabla32[[#This Row],[BN DC]]-#REF!</f>
        <v>#REF!</v>
      </c>
      <c r="P616" s="1" t="e">
        <f>Tabla32[[#This Row],[COLOR CARTA]]-#REF!</f>
        <v>#REF!</v>
      </c>
      <c r="Q616" s="1" t="e">
        <f>Tabla32[[#This Row],[COLOR OFICIO]]-#REF!</f>
        <v>#REF!</v>
      </c>
      <c r="R616" s="1" t="e">
        <f>Tabla32[[#This Row],[ENVIAR]]-#REF!</f>
        <v>#REF!</v>
      </c>
      <c r="S616" s="1" t="e">
        <f>Tabla32[[#This Row],[COPIAR]]-#REF!</f>
        <v>#REF!</v>
      </c>
    </row>
    <row r="617" spans="1:19" x14ac:dyDescent="0.25">
      <c r="A617" t="s">
        <v>10</v>
      </c>
      <c r="B617" t="s">
        <v>674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K617" t="s">
        <v>10</v>
      </c>
      <c r="L617" t="s">
        <v>674</v>
      </c>
      <c r="M617" s="1" t="e">
        <f>Tabla32[[#This Row],[BN CARTA]]-#REF!</f>
        <v>#REF!</v>
      </c>
      <c r="N617" s="1" t="e">
        <f>Tabla32[[#This Row],[BN OFICIO]]-#REF!</f>
        <v>#REF!</v>
      </c>
      <c r="O617" s="1" t="e">
        <f>Tabla32[[#This Row],[BN DC]]-#REF!</f>
        <v>#REF!</v>
      </c>
      <c r="P617" s="1" t="e">
        <f>Tabla32[[#This Row],[COLOR CARTA]]-#REF!</f>
        <v>#REF!</v>
      </c>
      <c r="Q617" s="1" t="e">
        <f>Tabla32[[#This Row],[COLOR OFICIO]]-#REF!</f>
        <v>#REF!</v>
      </c>
      <c r="R617" s="1" t="e">
        <f>Tabla32[[#This Row],[ENVIAR]]-#REF!</f>
        <v>#REF!</v>
      </c>
      <c r="S617" s="1" t="e">
        <f>Tabla32[[#This Row],[COPIAR]]-#REF!</f>
        <v>#REF!</v>
      </c>
    </row>
    <row r="618" spans="1:19" x14ac:dyDescent="0.25">
      <c r="A618" t="s">
        <v>10</v>
      </c>
      <c r="B618" t="s">
        <v>675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K618" t="s">
        <v>10</v>
      </c>
      <c r="L618" t="s">
        <v>675</v>
      </c>
      <c r="M618" s="1" t="e">
        <f>Tabla32[[#This Row],[BN CARTA]]-#REF!</f>
        <v>#REF!</v>
      </c>
      <c r="N618" s="1" t="e">
        <f>Tabla32[[#This Row],[BN OFICIO]]-#REF!</f>
        <v>#REF!</v>
      </c>
      <c r="O618" s="1" t="e">
        <f>Tabla32[[#This Row],[BN DC]]-#REF!</f>
        <v>#REF!</v>
      </c>
      <c r="P618" s="1" t="e">
        <f>Tabla32[[#This Row],[COLOR CARTA]]-#REF!</f>
        <v>#REF!</v>
      </c>
      <c r="Q618" s="1" t="e">
        <f>Tabla32[[#This Row],[COLOR OFICIO]]-#REF!</f>
        <v>#REF!</v>
      </c>
      <c r="R618" s="1" t="e">
        <f>Tabla32[[#This Row],[ENVIAR]]-#REF!</f>
        <v>#REF!</v>
      </c>
      <c r="S618" s="1" t="e">
        <f>Tabla32[[#This Row],[COPIAR]]-#REF!</f>
        <v>#REF!</v>
      </c>
    </row>
    <row r="619" spans="1:19" x14ac:dyDescent="0.25">
      <c r="A619" t="s">
        <v>10</v>
      </c>
      <c r="B619" t="s">
        <v>676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K619" t="s">
        <v>10</v>
      </c>
      <c r="L619" t="s">
        <v>676</v>
      </c>
      <c r="M619" s="1" t="e">
        <f>Tabla32[[#This Row],[BN CARTA]]-#REF!</f>
        <v>#REF!</v>
      </c>
      <c r="N619" s="1" t="e">
        <f>Tabla32[[#This Row],[BN OFICIO]]-#REF!</f>
        <v>#REF!</v>
      </c>
      <c r="O619" s="1" t="e">
        <f>Tabla32[[#This Row],[BN DC]]-#REF!</f>
        <v>#REF!</v>
      </c>
      <c r="P619" s="1" t="e">
        <f>Tabla32[[#This Row],[COLOR CARTA]]-#REF!</f>
        <v>#REF!</v>
      </c>
      <c r="Q619" s="1" t="e">
        <f>Tabla32[[#This Row],[COLOR OFICIO]]-#REF!</f>
        <v>#REF!</v>
      </c>
      <c r="R619" s="1" t="e">
        <f>Tabla32[[#This Row],[ENVIAR]]-#REF!</f>
        <v>#REF!</v>
      </c>
      <c r="S619" s="1" t="e">
        <f>Tabla32[[#This Row],[COPIAR]]-#REF!</f>
        <v>#REF!</v>
      </c>
    </row>
    <row r="620" spans="1:19" x14ac:dyDescent="0.25">
      <c r="A620" t="s">
        <v>10</v>
      </c>
      <c r="B620" t="s">
        <v>677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K620" t="s">
        <v>10</v>
      </c>
      <c r="L620" t="s">
        <v>677</v>
      </c>
      <c r="M620" s="1" t="e">
        <f>Tabla32[[#This Row],[BN CARTA]]-#REF!</f>
        <v>#REF!</v>
      </c>
      <c r="N620" s="1" t="e">
        <f>Tabla32[[#This Row],[BN OFICIO]]-#REF!</f>
        <v>#REF!</v>
      </c>
      <c r="O620" s="1" t="e">
        <f>Tabla32[[#This Row],[BN DC]]-#REF!</f>
        <v>#REF!</v>
      </c>
      <c r="P620" s="1" t="e">
        <f>Tabla32[[#This Row],[COLOR CARTA]]-#REF!</f>
        <v>#REF!</v>
      </c>
      <c r="Q620" s="1" t="e">
        <f>Tabla32[[#This Row],[COLOR OFICIO]]-#REF!</f>
        <v>#REF!</v>
      </c>
      <c r="R620" s="1" t="e">
        <f>Tabla32[[#This Row],[ENVIAR]]-#REF!</f>
        <v>#REF!</v>
      </c>
      <c r="S620" s="1" t="e">
        <f>Tabla32[[#This Row],[COPIAR]]-#REF!</f>
        <v>#REF!</v>
      </c>
    </row>
    <row r="621" spans="1:19" x14ac:dyDescent="0.25">
      <c r="A621" t="s">
        <v>10</v>
      </c>
      <c r="B621" t="s">
        <v>678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K621" t="s">
        <v>10</v>
      </c>
      <c r="L621" t="s">
        <v>678</v>
      </c>
      <c r="M621" s="1" t="e">
        <f>Tabla32[[#This Row],[BN CARTA]]-#REF!</f>
        <v>#REF!</v>
      </c>
      <c r="N621" s="1" t="e">
        <f>Tabla32[[#This Row],[BN OFICIO]]-#REF!</f>
        <v>#REF!</v>
      </c>
      <c r="O621" s="1" t="e">
        <f>Tabla32[[#This Row],[BN DC]]-#REF!</f>
        <v>#REF!</v>
      </c>
      <c r="P621" s="1" t="e">
        <f>Tabla32[[#This Row],[COLOR CARTA]]-#REF!</f>
        <v>#REF!</v>
      </c>
      <c r="Q621" s="1" t="e">
        <f>Tabla32[[#This Row],[COLOR OFICIO]]-#REF!</f>
        <v>#REF!</v>
      </c>
      <c r="R621" s="1" t="e">
        <f>Tabla32[[#This Row],[ENVIAR]]-#REF!</f>
        <v>#REF!</v>
      </c>
      <c r="S621" s="1" t="e">
        <f>Tabla32[[#This Row],[COPIAR]]-#REF!</f>
        <v>#REF!</v>
      </c>
    </row>
    <row r="622" spans="1:19" x14ac:dyDescent="0.25">
      <c r="A622" t="s">
        <v>10</v>
      </c>
      <c r="B622" t="s">
        <v>679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K622" t="s">
        <v>10</v>
      </c>
      <c r="L622" t="s">
        <v>679</v>
      </c>
      <c r="M622" s="1" t="e">
        <f>Tabla32[[#This Row],[BN CARTA]]-#REF!</f>
        <v>#REF!</v>
      </c>
      <c r="N622" s="1" t="e">
        <f>Tabla32[[#This Row],[BN OFICIO]]-#REF!</f>
        <v>#REF!</v>
      </c>
      <c r="O622" s="1" t="e">
        <f>Tabla32[[#This Row],[BN DC]]-#REF!</f>
        <v>#REF!</v>
      </c>
      <c r="P622" s="1" t="e">
        <f>Tabla32[[#This Row],[COLOR CARTA]]-#REF!</f>
        <v>#REF!</v>
      </c>
      <c r="Q622" s="1" t="e">
        <f>Tabla32[[#This Row],[COLOR OFICIO]]-#REF!</f>
        <v>#REF!</v>
      </c>
      <c r="R622" s="1" t="e">
        <f>Tabla32[[#This Row],[ENVIAR]]-#REF!</f>
        <v>#REF!</v>
      </c>
      <c r="S622" s="1" t="e">
        <f>Tabla32[[#This Row],[COPIAR]]-#REF!</f>
        <v>#REF!</v>
      </c>
    </row>
    <row r="623" spans="1:19" x14ac:dyDescent="0.25">
      <c r="A623" t="s">
        <v>10</v>
      </c>
      <c r="B623" t="s">
        <v>680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K623" t="s">
        <v>10</v>
      </c>
      <c r="L623" t="s">
        <v>680</v>
      </c>
      <c r="M623" s="1" t="e">
        <f>Tabla32[[#This Row],[BN CARTA]]-#REF!</f>
        <v>#REF!</v>
      </c>
      <c r="N623" s="1" t="e">
        <f>Tabla32[[#This Row],[BN OFICIO]]-#REF!</f>
        <v>#REF!</v>
      </c>
      <c r="O623" s="1" t="e">
        <f>Tabla32[[#This Row],[BN DC]]-#REF!</f>
        <v>#REF!</v>
      </c>
      <c r="P623" s="1" t="e">
        <f>Tabla32[[#This Row],[COLOR CARTA]]-#REF!</f>
        <v>#REF!</v>
      </c>
      <c r="Q623" s="1" t="e">
        <f>Tabla32[[#This Row],[COLOR OFICIO]]-#REF!</f>
        <v>#REF!</v>
      </c>
      <c r="R623" s="1" t="e">
        <f>Tabla32[[#This Row],[ENVIAR]]-#REF!</f>
        <v>#REF!</v>
      </c>
      <c r="S623" s="1" t="e">
        <f>Tabla32[[#This Row],[COPIAR]]-#REF!</f>
        <v>#REF!</v>
      </c>
    </row>
    <row r="624" spans="1:19" x14ac:dyDescent="0.25">
      <c r="A624" t="s">
        <v>10</v>
      </c>
      <c r="B624" t="s">
        <v>681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K624" t="s">
        <v>10</v>
      </c>
      <c r="L624" t="s">
        <v>681</v>
      </c>
      <c r="M624" s="1" t="e">
        <f>Tabla32[[#This Row],[BN CARTA]]-#REF!</f>
        <v>#REF!</v>
      </c>
      <c r="N624" s="1" t="e">
        <f>Tabla32[[#This Row],[BN OFICIO]]-#REF!</f>
        <v>#REF!</v>
      </c>
      <c r="O624" s="1" t="e">
        <f>Tabla32[[#This Row],[BN DC]]-#REF!</f>
        <v>#REF!</v>
      </c>
      <c r="P624" s="1" t="e">
        <f>Tabla32[[#This Row],[COLOR CARTA]]-#REF!</f>
        <v>#REF!</v>
      </c>
      <c r="Q624" s="1" t="e">
        <f>Tabla32[[#This Row],[COLOR OFICIO]]-#REF!</f>
        <v>#REF!</v>
      </c>
      <c r="R624" s="1" t="e">
        <f>Tabla32[[#This Row],[ENVIAR]]-#REF!</f>
        <v>#REF!</v>
      </c>
      <c r="S624" s="1" t="e">
        <f>Tabla32[[#This Row],[COPIAR]]-#REF!</f>
        <v>#REF!</v>
      </c>
    </row>
    <row r="625" spans="1:19" x14ac:dyDescent="0.25">
      <c r="A625" t="s">
        <v>10</v>
      </c>
      <c r="B625" t="s">
        <v>682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K625" t="s">
        <v>10</v>
      </c>
      <c r="L625" t="s">
        <v>682</v>
      </c>
      <c r="M625" s="1" t="e">
        <f>Tabla32[[#This Row],[BN CARTA]]-#REF!</f>
        <v>#REF!</v>
      </c>
      <c r="N625" s="1" t="e">
        <f>Tabla32[[#This Row],[BN OFICIO]]-#REF!</f>
        <v>#REF!</v>
      </c>
      <c r="O625" s="1" t="e">
        <f>Tabla32[[#This Row],[BN DC]]-#REF!</f>
        <v>#REF!</v>
      </c>
      <c r="P625" s="1" t="e">
        <f>Tabla32[[#This Row],[COLOR CARTA]]-#REF!</f>
        <v>#REF!</v>
      </c>
      <c r="Q625" s="1" t="e">
        <f>Tabla32[[#This Row],[COLOR OFICIO]]-#REF!</f>
        <v>#REF!</v>
      </c>
      <c r="R625" s="1" t="e">
        <f>Tabla32[[#This Row],[ENVIAR]]-#REF!</f>
        <v>#REF!</v>
      </c>
      <c r="S625" s="1" t="e">
        <f>Tabla32[[#This Row],[COPIAR]]-#REF!</f>
        <v>#REF!</v>
      </c>
    </row>
    <row r="626" spans="1:19" x14ac:dyDescent="0.25">
      <c r="A626" t="s">
        <v>10</v>
      </c>
      <c r="B626" t="s">
        <v>683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K626" t="s">
        <v>10</v>
      </c>
      <c r="L626" t="s">
        <v>683</v>
      </c>
      <c r="M626" s="1" t="e">
        <f>Tabla32[[#This Row],[BN CARTA]]-#REF!</f>
        <v>#REF!</v>
      </c>
      <c r="N626" s="1" t="e">
        <f>Tabla32[[#This Row],[BN OFICIO]]-#REF!</f>
        <v>#REF!</v>
      </c>
      <c r="O626" s="1" t="e">
        <f>Tabla32[[#This Row],[BN DC]]-#REF!</f>
        <v>#REF!</v>
      </c>
      <c r="P626" s="1" t="e">
        <f>Tabla32[[#This Row],[COLOR CARTA]]-#REF!</f>
        <v>#REF!</v>
      </c>
      <c r="Q626" s="1" t="e">
        <f>Tabla32[[#This Row],[COLOR OFICIO]]-#REF!</f>
        <v>#REF!</v>
      </c>
      <c r="R626" s="1" t="e">
        <f>Tabla32[[#This Row],[ENVIAR]]-#REF!</f>
        <v>#REF!</v>
      </c>
      <c r="S626" s="1" t="e">
        <f>Tabla32[[#This Row],[COPIAR]]-#REF!</f>
        <v>#REF!</v>
      </c>
    </row>
    <row r="627" spans="1:19" x14ac:dyDescent="0.25">
      <c r="A627" t="s">
        <v>10</v>
      </c>
      <c r="B627" t="s">
        <v>684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K627" t="s">
        <v>10</v>
      </c>
      <c r="L627" t="s">
        <v>684</v>
      </c>
      <c r="M627" s="1" t="e">
        <f>Tabla32[[#This Row],[BN CARTA]]-#REF!</f>
        <v>#REF!</v>
      </c>
      <c r="N627" s="1" t="e">
        <f>Tabla32[[#This Row],[BN OFICIO]]-#REF!</f>
        <v>#REF!</v>
      </c>
      <c r="O627" s="1" t="e">
        <f>Tabla32[[#This Row],[BN DC]]-#REF!</f>
        <v>#REF!</v>
      </c>
      <c r="P627" s="1" t="e">
        <f>Tabla32[[#This Row],[COLOR CARTA]]-#REF!</f>
        <v>#REF!</v>
      </c>
      <c r="Q627" s="1" t="e">
        <f>Tabla32[[#This Row],[COLOR OFICIO]]-#REF!</f>
        <v>#REF!</v>
      </c>
      <c r="R627" s="1" t="e">
        <f>Tabla32[[#This Row],[ENVIAR]]-#REF!</f>
        <v>#REF!</v>
      </c>
      <c r="S627" s="1" t="e">
        <f>Tabla32[[#This Row],[COPIAR]]-#REF!</f>
        <v>#REF!</v>
      </c>
    </row>
    <row r="628" spans="1:19" x14ac:dyDescent="0.25">
      <c r="A628" t="s">
        <v>10</v>
      </c>
      <c r="B628" t="s">
        <v>685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K628" t="s">
        <v>10</v>
      </c>
      <c r="L628" t="s">
        <v>685</v>
      </c>
      <c r="M628" s="1" t="e">
        <f>Tabla32[[#This Row],[BN CARTA]]-#REF!</f>
        <v>#REF!</v>
      </c>
      <c r="N628" s="1" t="e">
        <f>Tabla32[[#This Row],[BN OFICIO]]-#REF!</f>
        <v>#REF!</v>
      </c>
      <c r="O628" s="1" t="e">
        <f>Tabla32[[#This Row],[BN DC]]-#REF!</f>
        <v>#REF!</v>
      </c>
      <c r="P628" s="1" t="e">
        <f>Tabla32[[#This Row],[COLOR CARTA]]-#REF!</f>
        <v>#REF!</v>
      </c>
      <c r="Q628" s="1" t="e">
        <f>Tabla32[[#This Row],[COLOR OFICIO]]-#REF!</f>
        <v>#REF!</v>
      </c>
      <c r="R628" s="1" t="e">
        <f>Tabla32[[#This Row],[ENVIAR]]-#REF!</f>
        <v>#REF!</v>
      </c>
      <c r="S628" s="1" t="e">
        <f>Tabla32[[#This Row],[COPIAR]]-#REF!</f>
        <v>#REF!</v>
      </c>
    </row>
    <row r="629" spans="1:19" x14ac:dyDescent="0.25">
      <c r="A629" t="s">
        <v>99</v>
      </c>
      <c r="B629" t="s">
        <v>686</v>
      </c>
      <c r="C629">
        <v>265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K629" t="s">
        <v>99</v>
      </c>
      <c r="L629" t="s">
        <v>686</v>
      </c>
      <c r="M629" s="1" t="e">
        <f>Tabla32[[#This Row],[BN CARTA]]-#REF!</f>
        <v>#REF!</v>
      </c>
      <c r="N629" s="1" t="e">
        <f>Tabla32[[#This Row],[BN OFICIO]]-#REF!</f>
        <v>#REF!</v>
      </c>
      <c r="O629" s="1" t="e">
        <f>Tabla32[[#This Row],[BN DC]]-#REF!</f>
        <v>#REF!</v>
      </c>
      <c r="P629" s="1" t="e">
        <f>Tabla32[[#This Row],[COLOR CARTA]]-#REF!</f>
        <v>#REF!</v>
      </c>
      <c r="Q629" s="1" t="e">
        <f>Tabla32[[#This Row],[COLOR OFICIO]]-#REF!</f>
        <v>#REF!</v>
      </c>
      <c r="R629" s="1" t="e">
        <f>Tabla32[[#This Row],[ENVIAR]]-#REF!</f>
        <v>#REF!</v>
      </c>
      <c r="S629" s="1" t="e">
        <f>Tabla32[[#This Row],[COPIAR]]-#REF!</f>
        <v>#REF!</v>
      </c>
    </row>
    <row r="630" spans="1:19" x14ac:dyDescent="0.25">
      <c r="A630" t="s">
        <v>52</v>
      </c>
      <c r="B630" t="s">
        <v>687</v>
      </c>
      <c r="C630">
        <v>266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K630" t="s">
        <v>52</v>
      </c>
      <c r="L630" t="s">
        <v>687</v>
      </c>
      <c r="M630" s="1" t="e">
        <f>Tabla32[[#This Row],[BN CARTA]]-#REF!</f>
        <v>#REF!</v>
      </c>
      <c r="N630" s="1" t="e">
        <f>Tabla32[[#This Row],[BN OFICIO]]-#REF!</f>
        <v>#REF!</v>
      </c>
      <c r="O630" s="1" t="e">
        <f>Tabla32[[#This Row],[BN DC]]-#REF!</f>
        <v>#REF!</v>
      </c>
      <c r="P630" s="1" t="e">
        <f>Tabla32[[#This Row],[COLOR CARTA]]-#REF!</f>
        <v>#REF!</v>
      </c>
      <c r="Q630" s="1" t="e">
        <f>Tabla32[[#This Row],[COLOR OFICIO]]-#REF!</f>
        <v>#REF!</v>
      </c>
      <c r="R630" s="1" t="e">
        <f>Tabla32[[#This Row],[ENVIAR]]-#REF!</f>
        <v>#REF!</v>
      </c>
      <c r="S630" s="1" t="e">
        <f>Tabla32[[#This Row],[COPIAR]]-#REF!</f>
        <v>#REF!</v>
      </c>
    </row>
    <row r="631" spans="1:19" x14ac:dyDescent="0.25">
      <c r="A631" t="s">
        <v>10</v>
      </c>
      <c r="B631" t="s">
        <v>688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K631" t="s">
        <v>10</v>
      </c>
      <c r="L631" t="s">
        <v>688</v>
      </c>
      <c r="M631" s="1" t="e">
        <f>Tabla32[[#This Row],[BN CARTA]]-#REF!</f>
        <v>#REF!</v>
      </c>
      <c r="N631" s="1" t="e">
        <f>Tabla32[[#This Row],[BN OFICIO]]-#REF!</f>
        <v>#REF!</v>
      </c>
      <c r="O631" s="1" t="e">
        <f>Tabla32[[#This Row],[BN DC]]-#REF!</f>
        <v>#REF!</v>
      </c>
      <c r="P631" s="1" t="e">
        <f>Tabla32[[#This Row],[COLOR CARTA]]-#REF!</f>
        <v>#REF!</v>
      </c>
      <c r="Q631" s="1" t="e">
        <f>Tabla32[[#This Row],[COLOR OFICIO]]-#REF!</f>
        <v>#REF!</v>
      </c>
      <c r="R631" s="1" t="e">
        <f>Tabla32[[#This Row],[ENVIAR]]-#REF!</f>
        <v>#REF!</v>
      </c>
      <c r="S631" s="1" t="e">
        <f>Tabla32[[#This Row],[COPIAR]]-#REF!</f>
        <v>#REF!</v>
      </c>
    </row>
    <row r="632" spans="1:19" x14ac:dyDescent="0.25">
      <c r="A632" t="s">
        <v>10</v>
      </c>
      <c r="B632" t="s">
        <v>689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K632" t="s">
        <v>10</v>
      </c>
      <c r="L632" t="s">
        <v>689</v>
      </c>
      <c r="M632" s="1" t="e">
        <f>Tabla32[[#This Row],[BN CARTA]]-#REF!</f>
        <v>#REF!</v>
      </c>
      <c r="N632" s="1" t="e">
        <f>Tabla32[[#This Row],[BN OFICIO]]-#REF!</f>
        <v>#REF!</v>
      </c>
      <c r="O632" s="1" t="e">
        <f>Tabla32[[#This Row],[BN DC]]-#REF!</f>
        <v>#REF!</v>
      </c>
      <c r="P632" s="1" t="e">
        <f>Tabla32[[#This Row],[COLOR CARTA]]-#REF!</f>
        <v>#REF!</v>
      </c>
      <c r="Q632" s="1" t="e">
        <f>Tabla32[[#This Row],[COLOR OFICIO]]-#REF!</f>
        <v>#REF!</v>
      </c>
      <c r="R632" s="1" t="e">
        <f>Tabla32[[#This Row],[ENVIAR]]-#REF!</f>
        <v>#REF!</v>
      </c>
      <c r="S632" s="1" t="e">
        <f>Tabla32[[#This Row],[COPIAR]]-#REF!</f>
        <v>#REF!</v>
      </c>
    </row>
    <row r="633" spans="1:19" x14ac:dyDescent="0.25">
      <c r="A633" t="s">
        <v>150</v>
      </c>
      <c r="B633" t="s">
        <v>690</v>
      </c>
      <c r="C633">
        <v>69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K633" t="s">
        <v>150</v>
      </c>
      <c r="L633" t="s">
        <v>690</v>
      </c>
      <c r="M633" s="1" t="e">
        <f>Tabla32[[#This Row],[BN CARTA]]-#REF!</f>
        <v>#REF!</v>
      </c>
      <c r="N633" s="1" t="e">
        <f>Tabla32[[#This Row],[BN OFICIO]]-#REF!</f>
        <v>#REF!</v>
      </c>
      <c r="O633" s="1" t="e">
        <f>Tabla32[[#This Row],[BN DC]]-#REF!</f>
        <v>#REF!</v>
      </c>
      <c r="P633" s="1" t="e">
        <f>Tabla32[[#This Row],[COLOR CARTA]]-#REF!</f>
        <v>#REF!</v>
      </c>
      <c r="Q633" s="1" t="e">
        <f>Tabla32[[#This Row],[COLOR OFICIO]]-#REF!</f>
        <v>#REF!</v>
      </c>
      <c r="R633" s="1" t="e">
        <f>Tabla32[[#This Row],[ENVIAR]]-#REF!</f>
        <v>#REF!</v>
      </c>
      <c r="S633" s="1" t="e">
        <f>Tabla32[[#This Row],[COPIAR]]-#REF!</f>
        <v>#REF!</v>
      </c>
    </row>
    <row r="634" spans="1:19" x14ac:dyDescent="0.25">
      <c r="A634" t="s">
        <v>50</v>
      </c>
      <c r="B634" t="s">
        <v>691</v>
      </c>
      <c r="C634">
        <v>25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K634" t="s">
        <v>50</v>
      </c>
      <c r="L634" t="s">
        <v>691</v>
      </c>
      <c r="M634" s="1" t="e">
        <f>Tabla32[[#This Row],[BN CARTA]]-#REF!</f>
        <v>#REF!</v>
      </c>
      <c r="N634" s="1" t="e">
        <f>Tabla32[[#This Row],[BN OFICIO]]-#REF!</f>
        <v>#REF!</v>
      </c>
      <c r="O634" s="1" t="e">
        <f>Tabla32[[#This Row],[BN DC]]-#REF!</f>
        <v>#REF!</v>
      </c>
      <c r="P634" s="1" t="e">
        <f>Tabla32[[#This Row],[COLOR CARTA]]-#REF!</f>
        <v>#REF!</v>
      </c>
      <c r="Q634" s="1" t="e">
        <f>Tabla32[[#This Row],[COLOR OFICIO]]-#REF!</f>
        <v>#REF!</v>
      </c>
      <c r="R634" s="1" t="e">
        <f>Tabla32[[#This Row],[ENVIAR]]-#REF!</f>
        <v>#REF!</v>
      </c>
      <c r="S634" s="1" t="e">
        <f>Tabla32[[#This Row],[COPIAR]]-#REF!</f>
        <v>#REF!</v>
      </c>
    </row>
    <row r="635" spans="1:19" x14ac:dyDescent="0.25">
      <c r="A635" t="s">
        <v>495</v>
      </c>
      <c r="B635" t="s">
        <v>692</v>
      </c>
      <c r="C635">
        <v>34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K635" t="s">
        <v>495</v>
      </c>
      <c r="L635" t="s">
        <v>692</v>
      </c>
      <c r="M635" s="1" t="e">
        <f>Tabla32[[#This Row],[BN CARTA]]-#REF!</f>
        <v>#REF!</v>
      </c>
      <c r="N635" s="1" t="e">
        <f>Tabla32[[#This Row],[BN OFICIO]]-#REF!</f>
        <v>#REF!</v>
      </c>
      <c r="O635" s="1" t="e">
        <f>Tabla32[[#This Row],[BN DC]]-#REF!</f>
        <v>#REF!</v>
      </c>
      <c r="P635" s="1" t="e">
        <f>Tabla32[[#This Row],[COLOR CARTA]]-#REF!</f>
        <v>#REF!</v>
      </c>
      <c r="Q635" s="1" t="e">
        <f>Tabla32[[#This Row],[COLOR OFICIO]]-#REF!</f>
        <v>#REF!</v>
      </c>
      <c r="R635" s="1" t="e">
        <f>Tabla32[[#This Row],[ENVIAR]]-#REF!</f>
        <v>#REF!</v>
      </c>
      <c r="S635" s="1" t="e">
        <f>Tabla32[[#This Row],[COPIAR]]-#REF!</f>
        <v>#REF!</v>
      </c>
    </row>
    <row r="636" spans="1:19" x14ac:dyDescent="0.25">
      <c r="A636" t="s">
        <v>10</v>
      </c>
      <c r="B636" t="s">
        <v>693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K636" t="s">
        <v>10</v>
      </c>
      <c r="L636" t="s">
        <v>693</v>
      </c>
      <c r="M636" s="1" t="e">
        <f>Tabla32[[#This Row],[BN CARTA]]-#REF!</f>
        <v>#REF!</v>
      </c>
      <c r="N636" s="1" t="e">
        <f>Tabla32[[#This Row],[BN OFICIO]]-#REF!</f>
        <v>#REF!</v>
      </c>
      <c r="O636" s="1" t="e">
        <f>Tabla32[[#This Row],[BN DC]]-#REF!</f>
        <v>#REF!</v>
      </c>
      <c r="P636" s="1" t="e">
        <f>Tabla32[[#This Row],[COLOR CARTA]]-#REF!</f>
        <v>#REF!</v>
      </c>
      <c r="Q636" s="1" t="e">
        <f>Tabla32[[#This Row],[COLOR OFICIO]]-#REF!</f>
        <v>#REF!</v>
      </c>
      <c r="R636" s="1" t="e">
        <f>Tabla32[[#This Row],[ENVIAR]]-#REF!</f>
        <v>#REF!</v>
      </c>
      <c r="S636" s="1" t="e">
        <f>Tabla32[[#This Row],[COPIAR]]-#REF!</f>
        <v>#REF!</v>
      </c>
    </row>
    <row r="637" spans="1:19" x14ac:dyDescent="0.25">
      <c r="A637" t="s">
        <v>10</v>
      </c>
      <c r="B637" t="s">
        <v>694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K637" t="s">
        <v>10</v>
      </c>
      <c r="L637" t="s">
        <v>694</v>
      </c>
      <c r="M637" s="1" t="e">
        <f>Tabla32[[#This Row],[BN CARTA]]-#REF!</f>
        <v>#REF!</v>
      </c>
      <c r="N637" s="1" t="e">
        <f>Tabla32[[#This Row],[BN OFICIO]]-#REF!</f>
        <v>#REF!</v>
      </c>
      <c r="O637" s="1" t="e">
        <f>Tabla32[[#This Row],[BN DC]]-#REF!</f>
        <v>#REF!</v>
      </c>
      <c r="P637" s="1" t="e">
        <f>Tabla32[[#This Row],[COLOR CARTA]]-#REF!</f>
        <v>#REF!</v>
      </c>
      <c r="Q637" s="1" t="e">
        <f>Tabla32[[#This Row],[COLOR OFICIO]]-#REF!</f>
        <v>#REF!</v>
      </c>
      <c r="R637" s="1" t="e">
        <f>Tabla32[[#This Row],[ENVIAR]]-#REF!</f>
        <v>#REF!</v>
      </c>
      <c r="S637" s="1" t="e">
        <f>Tabla32[[#This Row],[COPIAR]]-#REF!</f>
        <v>#REF!</v>
      </c>
    </row>
    <row r="638" spans="1:19" x14ac:dyDescent="0.25">
      <c r="A638" t="s">
        <v>72</v>
      </c>
      <c r="B638" t="s">
        <v>695</v>
      </c>
      <c r="C638">
        <v>42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K638" t="s">
        <v>72</v>
      </c>
      <c r="L638" t="s">
        <v>695</v>
      </c>
      <c r="M638" s="1" t="e">
        <f>Tabla32[[#This Row],[BN CARTA]]-#REF!</f>
        <v>#REF!</v>
      </c>
      <c r="N638" s="1" t="e">
        <f>Tabla32[[#This Row],[BN OFICIO]]-#REF!</f>
        <v>#REF!</v>
      </c>
      <c r="O638" s="1" t="e">
        <f>Tabla32[[#This Row],[BN DC]]-#REF!</f>
        <v>#REF!</v>
      </c>
      <c r="P638" s="1" t="e">
        <f>Tabla32[[#This Row],[COLOR CARTA]]-#REF!</f>
        <v>#REF!</v>
      </c>
      <c r="Q638" s="1" t="e">
        <f>Tabla32[[#This Row],[COLOR OFICIO]]-#REF!</f>
        <v>#REF!</v>
      </c>
      <c r="R638" s="1" t="e">
        <f>Tabla32[[#This Row],[ENVIAR]]-#REF!</f>
        <v>#REF!</v>
      </c>
      <c r="S638" s="1" t="e">
        <f>Tabla32[[#This Row],[COPIAR]]-#REF!</f>
        <v>#REF!</v>
      </c>
    </row>
    <row r="639" spans="1:19" x14ac:dyDescent="0.25">
      <c r="A639" t="s">
        <v>10</v>
      </c>
      <c r="B639" t="s">
        <v>696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K639" t="s">
        <v>10</v>
      </c>
      <c r="L639" t="s">
        <v>696</v>
      </c>
      <c r="M639" s="1" t="e">
        <f>Tabla32[[#This Row],[BN CARTA]]-#REF!</f>
        <v>#REF!</v>
      </c>
      <c r="N639" s="1" t="e">
        <f>Tabla32[[#This Row],[BN OFICIO]]-#REF!</f>
        <v>#REF!</v>
      </c>
      <c r="O639" s="1" t="e">
        <f>Tabla32[[#This Row],[BN DC]]-#REF!</f>
        <v>#REF!</v>
      </c>
      <c r="P639" s="1" t="e">
        <f>Tabla32[[#This Row],[COLOR CARTA]]-#REF!</f>
        <v>#REF!</v>
      </c>
      <c r="Q639" s="1" t="e">
        <f>Tabla32[[#This Row],[COLOR OFICIO]]-#REF!</f>
        <v>#REF!</v>
      </c>
      <c r="R639" s="1" t="e">
        <f>Tabla32[[#This Row],[ENVIAR]]-#REF!</f>
        <v>#REF!</v>
      </c>
      <c r="S639" s="1" t="e">
        <f>Tabla32[[#This Row],[COPIAR]]-#REF!</f>
        <v>#REF!</v>
      </c>
    </row>
    <row r="640" spans="1:19" x14ac:dyDescent="0.25">
      <c r="A640" t="s">
        <v>10</v>
      </c>
      <c r="B640" t="s">
        <v>697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K640" t="s">
        <v>10</v>
      </c>
      <c r="L640" t="s">
        <v>697</v>
      </c>
      <c r="M640" s="1" t="e">
        <f>Tabla32[[#This Row],[BN CARTA]]-#REF!</f>
        <v>#REF!</v>
      </c>
      <c r="N640" s="1" t="e">
        <f>Tabla32[[#This Row],[BN OFICIO]]-#REF!</f>
        <v>#REF!</v>
      </c>
      <c r="O640" s="1" t="e">
        <f>Tabla32[[#This Row],[BN DC]]-#REF!</f>
        <v>#REF!</v>
      </c>
      <c r="P640" s="1" t="e">
        <f>Tabla32[[#This Row],[COLOR CARTA]]-#REF!</f>
        <v>#REF!</v>
      </c>
      <c r="Q640" s="1" t="e">
        <f>Tabla32[[#This Row],[COLOR OFICIO]]-#REF!</f>
        <v>#REF!</v>
      </c>
      <c r="R640" s="1" t="e">
        <f>Tabla32[[#This Row],[ENVIAR]]-#REF!</f>
        <v>#REF!</v>
      </c>
      <c r="S640" s="1" t="e">
        <f>Tabla32[[#This Row],[COPIAR]]-#REF!</f>
        <v>#REF!</v>
      </c>
    </row>
    <row r="641" spans="1:19" x14ac:dyDescent="0.25">
      <c r="A641" t="s">
        <v>31</v>
      </c>
      <c r="B641" t="s">
        <v>698</v>
      </c>
      <c r="C641">
        <v>184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K641" t="s">
        <v>31</v>
      </c>
      <c r="L641" t="s">
        <v>698</v>
      </c>
      <c r="M641" s="1" t="e">
        <f>Tabla32[[#This Row],[BN CARTA]]-#REF!</f>
        <v>#REF!</v>
      </c>
      <c r="N641" s="1" t="e">
        <f>Tabla32[[#This Row],[BN OFICIO]]-#REF!</f>
        <v>#REF!</v>
      </c>
      <c r="O641" s="1" t="e">
        <f>Tabla32[[#This Row],[BN DC]]-#REF!</f>
        <v>#REF!</v>
      </c>
      <c r="P641" s="1" t="e">
        <f>Tabla32[[#This Row],[COLOR CARTA]]-#REF!</f>
        <v>#REF!</v>
      </c>
      <c r="Q641" s="1" t="e">
        <f>Tabla32[[#This Row],[COLOR OFICIO]]-#REF!</f>
        <v>#REF!</v>
      </c>
      <c r="R641" s="1" t="e">
        <f>Tabla32[[#This Row],[ENVIAR]]-#REF!</f>
        <v>#REF!</v>
      </c>
      <c r="S641" s="1" t="e">
        <f>Tabla32[[#This Row],[COPIAR]]-#REF!</f>
        <v>#REF!</v>
      </c>
    </row>
    <row r="642" spans="1:19" x14ac:dyDescent="0.25">
      <c r="A642" t="s">
        <v>10</v>
      </c>
      <c r="B642" t="s">
        <v>699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K642" t="s">
        <v>10</v>
      </c>
      <c r="L642" t="s">
        <v>699</v>
      </c>
      <c r="M642" s="1" t="e">
        <f>Tabla32[[#This Row],[BN CARTA]]-#REF!</f>
        <v>#REF!</v>
      </c>
      <c r="N642" s="1" t="e">
        <f>Tabla32[[#This Row],[BN OFICIO]]-#REF!</f>
        <v>#REF!</v>
      </c>
      <c r="O642" s="1" t="e">
        <f>Tabla32[[#This Row],[BN DC]]-#REF!</f>
        <v>#REF!</v>
      </c>
      <c r="P642" s="1" t="e">
        <f>Tabla32[[#This Row],[COLOR CARTA]]-#REF!</f>
        <v>#REF!</v>
      </c>
      <c r="Q642" s="1" t="e">
        <f>Tabla32[[#This Row],[COLOR OFICIO]]-#REF!</f>
        <v>#REF!</v>
      </c>
      <c r="R642" s="1" t="e">
        <f>Tabla32[[#This Row],[ENVIAR]]-#REF!</f>
        <v>#REF!</v>
      </c>
      <c r="S642" s="1" t="e">
        <f>Tabla32[[#This Row],[COPIAR]]-#REF!</f>
        <v>#REF!</v>
      </c>
    </row>
    <row r="643" spans="1:19" x14ac:dyDescent="0.25">
      <c r="A643" t="s">
        <v>113</v>
      </c>
      <c r="B643" t="s">
        <v>700</v>
      </c>
      <c r="C643">
        <v>418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K643" t="s">
        <v>113</v>
      </c>
      <c r="L643" t="s">
        <v>700</v>
      </c>
      <c r="M643" s="1" t="e">
        <f>Tabla32[[#This Row],[BN CARTA]]-#REF!</f>
        <v>#REF!</v>
      </c>
      <c r="N643" s="1" t="e">
        <f>Tabla32[[#This Row],[BN OFICIO]]-#REF!</f>
        <v>#REF!</v>
      </c>
      <c r="O643" s="1" t="e">
        <f>Tabla32[[#This Row],[BN DC]]-#REF!</f>
        <v>#REF!</v>
      </c>
      <c r="P643" s="1" t="e">
        <f>Tabla32[[#This Row],[COLOR CARTA]]-#REF!</f>
        <v>#REF!</v>
      </c>
      <c r="Q643" s="1" t="e">
        <f>Tabla32[[#This Row],[COLOR OFICIO]]-#REF!</f>
        <v>#REF!</v>
      </c>
      <c r="R643" s="1" t="e">
        <f>Tabla32[[#This Row],[ENVIAR]]-#REF!</f>
        <v>#REF!</v>
      </c>
      <c r="S643" s="1" t="e">
        <f>Tabla32[[#This Row],[COPIAR]]-#REF!</f>
        <v>#REF!</v>
      </c>
    </row>
    <row r="644" spans="1:19" x14ac:dyDescent="0.25">
      <c r="A644" t="s">
        <v>10</v>
      </c>
      <c r="B644" t="s">
        <v>701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K644" t="s">
        <v>10</v>
      </c>
      <c r="L644" t="s">
        <v>701</v>
      </c>
      <c r="M644" s="1" t="e">
        <f>Tabla32[[#This Row],[BN CARTA]]-#REF!</f>
        <v>#REF!</v>
      </c>
      <c r="N644" s="1" t="e">
        <f>Tabla32[[#This Row],[BN OFICIO]]-#REF!</f>
        <v>#REF!</v>
      </c>
      <c r="O644" s="1" t="e">
        <f>Tabla32[[#This Row],[BN DC]]-#REF!</f>
        <v>#REF!</v>
      </c>
      <c r="P644" s="1" t="e">
        <f>Tabla32[[#This Row],[COLOR CARTA]]-#REF!</f>
        <v>#REF!</v>
      </c>
      <c r="Q644" s="1" t="e">
        <f>Tabla32[[#This Row],[COLOR OFICIO]]-#REF!</f>
        <v>#REF!</v>
      </c>
      <c r="R644" s="1" t="e">
        <f>Tabla32[[#This Row],[ENVIAR]]-#REF!</f>
        <v>#REF!</v>
      </c>
      <c r="S644" s="1" t="e">
        <f>Tabla32[[#This Row],[COPIAR]]-#REF!</f>
        <v>#REF!</v>
      </c>
    </row>
    <row r="645" spans="1:19" x14ac:dyDescent="0.25">
      <c r="A645" t="s">
        <v>10</v>
      </c>
      <c r="B645" t="s">
        <v>702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K645" t="s">
        <v>10</v>
      </c>
      <c r="L645" t="s">
        <v>702</v>
      </c>
      <c r="M645" s="1" t="e">
        <f>Tabla32[[#This Row],[BN CARTA]]-#REF!</f>
        <v>#REF!</v>
      </c>
      <c r="N645" s="1" t="e">
        <f>Tabla32[[#This Row],[BN OFICIO]]-#REF!</f>
        <v>#REF!</v>
      </c>
      <c r="O645" s="1" t="e">
        <f>Tabla32[[#This Row],[BN DC]]-#REF!</f>
        <v>#REF!</v>
      </c>
      <c r="P645" s="1" t="e">
        <f>Tabla32[[#This Row],[COLOR CARTA]]-#REF!</f>
        <v>#REF!</v>
      </c>
      <c r="Q645" s="1" t="e">
        <f>Tabla32[[#This Row],[COLOR OFICIO]]-#REF!</f>
        <v>#REF!</v>
      </c>
      <c r="R645" s="1" t="e">
        <f>Tabla32[[#This Row],[ENVIAR]]-#REF!</f>
        <v>#REF!</v>
      </c>
      <c r="S645" s="1" t="e">
        <f>Tabla32[[#This Row],[COPIAR]]-#REF!</f>
        <v>#REF!</v>
      </c>
    </row>
    <row r="646" spans="1:19" x14ac:dyDescent="0.25">
      <c r="A646" t="s">
        <v>97</v>
      </c>
      <c r="B646" t="s">
        <v>703</v>
      </c>
      <c r="C646">
        <v>165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K646" t="s">
        <v>97</v>
      </c>
      <c r="L646" t="s">
        <v>703</v>
      </c>
      <c r="M646" s="1" t="e">
        <f>Tabla32[[#This Row],[BN CARTA]]-#REF!</f>
        <v>#REF!</v>
      </c>
      <c r="N646" s="1" t="e">
        <f>Tabla32[[#This Row],[BN OFICIO]]-#REF!</f>
        <v>#REF!</v>
      </c>
      <c r="O646" s="1" t="e">
        <f>Tabla32[[#This Row],[BN DC]]-#REF!</f>
        <v>#REF!</v>
      </c>
      <c r="P646" s="1" t="e">
        <f>Tabla32[[#This Row],[COLOR CARTA]]-#REF!</f>
        <v>#REF!</v>
      </c>
      <c r="Q646" s="1" t="e">
        <f>Tabla32[[#This Row],[COLOR OFICIO]]-#REF!</f>
        <v>#REF!</v>
      </c>
      <c r="R646" s="1" t="e">
        <f>Tabla32[[#This Row],[ENVIAR]]-#REF!</f>
        <v>#REF!</v>
      </c>
      <c r="S646" s="1" t="e">
        <f>Tabla32[[#This Row],[COPIAR]]-#REF!</f>
        <v>#REF!</v>
      </c>
    </row>
    <row r="647" spans="1:19" x14ac:dyDescent="0.25">
      <c r="A647" t="s">
        <v>146</v>
      </c>
      <c r="B647" t="s">
        <v>704</v>
      </c>
      <c r="C647">
        <v>42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K647" t="s">
        <v>146</v>
      </c>
      <c r="L647" t="s">
        <v>704</v>
      </c>
      <c r="M647" s="1" t="e">
        <f>Tabla32[[#This Row],[BN CARTA]]-#REF!</f>
        <v>#REF!</v>
      </c>
      <c r="N647" s="1" t="e">
        <f>Tabla32[[#This Row],[BN OFICIO]]-#REF!</f>
        <v>#REF!</v>
      </c>
      <c r="O647" s="1" t="e">
        <f>Tabla32[[#This Row],[BN DC]]-#REF!</f>
        <v>#REF!</v>
      </c>
      <c r="P647" s="1" t="e">
        <f>Tabla32[[#This Row],[COLOR CARTA]]-#REF!</f>
        <v>#REF!</v>
      </c>
      <c r="Q647" s="1" t="e">
        <f>Tabla32[[#This Row],[COLOR OFICIO]]-#REF!</f>
        <v>#REF!</v>
      </c>
      <c r="R647" s="1" t="e">
        <f>Tabla32[[#This Row],[ENVIAR]]-#REF!</f>
        <v>#REF!</v>
      </c>
      <c r="S647" s="1" t="e">
        <f>Tabla32[[#This Row],[COPIAR]]-#REF!</f>
        <v>#REF!</v>
      </c>
    </row>
    <row r="648" spans="1:19" x14ac:dyDescent="0.25">
      <c r="A648" t="s">
        <v>10</v>
      </c>
      <c r="B648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K648" t="s">
        <v>10</v>
      </c>
      <c r="L648" t="s">
        <v>705</v>
      </c>
      <c r="M648" s="1" t="e">
        <f>Tabla32[[#This Row],[BN CARTA]]-#REF!</f>
        <v>#REF!</v>
      </c>
      <c r="N648" s="1" t="e">
        <f>Tabla32[[#This Row],[BN OFICIO]]-#REF!</f>
        <v>#REF!</v>
      </c>
      <c r="O648" s="1" t="e">
        <f>Tabla32[[#This Row],[BN DC]]-#REF!</f>
        <v>#REF!</v>
      </c>
      <c r="P648" s="1" t="e">
        <f>Tabla32[[#This Row],[COLOR CARTA]]-#REF!</f>
        <v>#REF!</v>
      </c>
      <c r="Q648" s="1" t="e">
        <f>Tabla32[[#This Row],[COLOR OFICIO]]-#REF!</f>
        <v>#REF!</v>
      </c>
      <c r="R648" s="1" t="e">
        <f>Tabla32[[#This Row],[ENVIAR]]-#REF!</f>
        <v>#REF!</v>
      </c>
      <c r="S648" s="1" t="e">
        <f>Tabla32[[#This Row],[COPIAR]]-#REF!</f>
        <v>#REF!</v>
      </c>
    </row>
    <row r="649" spans="1:19" x14ac:dyDescent="0.25">
      <c r="A649" t="s">
        <v>10</v>
      </c>
      <c r="B649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K649" t="s">
        <v>10</v>
      </c>
      <c r="L649" t="s">
        <v>706</v>
      </c>
      <c r="M649" s="1" t="e">
        <f>Tabla32[[#This Row],[BN CARTA]]-#REF!</f>
        <v>#REF!</v>
      </c>
      <c r="N649" s="1" t="e">
        <f>Tabla32[[#This Row],[BN OFICIO]]-#REF!</f>
        <v>#REF!</v>
      </c>
      <c r="O649" s="1" t="e">
        <f>Tabla32[[#This Row],[BN DC]]-#REF!</f>
        <v>#REF!</v>
      </c>
      <c r="P649" s="1" t="e">
        <f>Tabla32[[#This Row],[COLOR CARTA]]-#REF!</f>
        <v>#REF!</v>
      </c>
      <c r="Q649" s="1" t="e">
        <f>Tabla32[[#This Row],[COLOR OFICIO]]-#REF!</f>
        <v>#REF!</v>
      </c>
      <c r="R649" s="1" t="e">
        <f>Tabla32[[#This Row],[ENVIAR]]-#REF!</f>
        <v>#REF!</v>
      </c>
      <c r="S649" s="1" t="e">
        <f>Tabla32[[#This Row],[COPIAR]]-#REF!</f>
        <v>#REF!</v>
      </c>
    </row>
    <row r="650" spans="1:19" x14ac:dyDescent="0.25">
      <c r="A650" t="s">
        <v>10</v>
      </c>
      <c r="B650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K650" t="s">
        <v>10</v>
      </c>
      <c r="L650" t="s">
        <v>707</v>
      </c>
      <c r="M650" s="1" t="e">
        <f>Tabla32[[#This Row],[BN CARTA]]-#REF!</f>
        <v>#REF!</v>
      </c>
      <c r="N650" s="1" t="e">
        <f>Tabla32[[#This Row],[BN OFICIO]]-#REF!</f>
        <v>#REF!</v>
      </c>
      <c r="O650" s="1" t="e">
        <f>Tabla32[[#This Row],[BN DC]]-#REF!</f>
        <v>#REF!</v>
      </c>
      <c r="P650" s="1" t="e">
        <f>Tabla32[[#This Row],[COLOR CARTA]]-#REF!</f>
        <v>#REF!</v>
      </c>
      <c r="Q650" s="1" t="e">
        <f>Tabla32[[#This Row],[COLOR OFICIO]]-#REF!</f>
        <v>#REF!</v>
      </c>
      <c r="R650" s="1" t="e">
        <f>Tabla32[[#This Row],[ENVIAR]]-#REF!</f>
        <v>#REF!</v>
      </c>
      <c r="S650" s="1" t="e">
        <f>Tabla32[[#This Row],[COPIAR]]-#REF!</f>
        <v>#REF!</v>
      </c>
    </row>
    <row r="651" spans="1:19" x14ac:dyDescent="0.25">
      <c r="A651" t="s">
        <v>108</v>
      </c>
      <c r="B651" t="s">
        <v>708</v>
      </c>
      <c r="C651">
        <v>159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K651" t="s">
        <v>108</v>
      </c>
      <c r="L651" t="s">
        <v>708</v>
      </c>
      <c r="M651" s="1" t="e">
        <f>Tabla32[[#This Row],[BN CARTA]]-#REF!</f>
        <v>#REF!</v>
      </c>
      <c r="N651" s="1" t="e">
        <f>Tabla32[[#This Row],[BN OFICIO]]-#REF!</f>
        <v>#REF!</v>
      </c>
      <c r="O651" s="1" t="e">
        <f>Tabla32[[#This Row],[BN DC]]-#REF!</f>
        <v>#REF!</v>
      </c>
      <c r="P651" s="1" t="e">
        <f>Tabla32[[#This Row],[COLOR CARTA]]-#REF!</f>
        <v>#REF!</v>
      </c>
      <c r="Q651" s="1" t="e">
        <f>Tabla32[[#This Row],[COLOR OFICIO]]-#REF!</f>
        <v>#REF!</v>
      </c>
      <c r="R651" s="1" t="e">
        <f>Tabla32[[#This Row],[ENVIAR]]-#REF!</f>
        <v>#REF!</v>
      </c>
      <c r="S651" s="1" t="e">
        <f>Tabla32[[#This Row],[COPIAR]]-#REF!</f>
        <v>#REF!</v>
      </c>
    </row>
    <row r="652" spans="1:19" x14ac:dyDescent="0.25">
      <c r="A652" t="s">
        <v>10</v>
      </c>
      <c r="B652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K652" t="s">
        <v>10</v>
      </c>
      <c r="L652" t="s">
        <v>709</v>
      </c>
      <c r="M652" s="1" t="e">
        <f>Tabla32[[#This Row],[BN CARTA]]-#REF!</f>
        <v>#REF!</v>
      </c>
      <c r="N652" s="1" t="e">
        <f>Tabla32[[#This Row],[BN OFICIO]]-#REF!</f>
        <v>#REF!</v>
      </c>
      <c r="O652" s="1" t="e">
        <f>Tabla32[[#This Row],[BN DC]]-#REF!</f>
        <v>#REF!</v>
      </c>
      <c r="P652" s="1" t="e">
        <f>Tabla32[[#This Row],[COLOR CARTA]]-#REF!</f>
        <v>#REF!</v>
      </c>
      <c r="Q652" s="1" t="e">
        <f>Tabla32[[#This Row],[COLOR OFICIO]]-#REF!</f>
        <v>#REF!</v>
      </c>
      <c r="R652" s="1" t="e">
        <f>Tabla32[[#This Row],[ENVIAR]]-#REF!</f>
        <v>#REF!</v>
      </c>
      <c r="S652" s="1" t="e">
        <f>Tabla32[[#This Row],[COPIAR]]-#REF!</f>
        <v>#REF!</v>
      </c>
    </row>
    <row r="653" spans="1:19" x14ac:dyDescent="0.25">
      <c r="A653" t="s">
        <v>104</v>
      </c>
      <c r="B653" t="s">
        <v>710</v>
      </c>
      <c r="C653">
        <v>38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K653" t="s">
        <v>104</v>
      </c>
      <c r="L653" t="s">
        <v>710</v>
      </c>
      <c r="M653" s="1" t="e">
        <f>Tabla32[[#This Row],[BN CARTA]]-#REF!</f>
        <v>#REF!</v>
      </c>
      <c r="N653" s="1" t="e">
        <f>Tabla32[[#This Row],[BN OFICIO]]-#REF!</f>
        <v>#REF!</v>
      </c>
      <c r="O653" s="1" t="e">
        <f>Tabla32[[#This Row],[BN DC]]-#REF!</f>
        <v>#REF!</v>
      </c>
      <c r="P653" s="1" t="e">
        <f>Tabla32[[#This Row],[COLOR CARTA]]-#REF!</f>
        <v>#REF!</v>
      </c>
      <c r="Q653" s="1" t="e">
        <f>Tabla32[[#This Row],[COLOR OFICIO]]-#REF!</f>
        <v>#REF!</v>
      </c>
      <c r="R653" s="1" t="e">
        <f>Tabla32[[#This Row],[ENVIAR]]-#REF!</f>
        <v>#REF!</v>
      </c>
      <c r="S653" s="1" t="e">
        <f>Tabla32[[#This Row],[COPIAR]]-#REF!</f>
        <v>#REF!</v>
      </c>
    </row>
    <row r="654" spans="1:19" x14ac:dyDescent="0.25">
      <c r="A654" t="s">
        <v>10</v>
      </c>
      <c r="B654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K654" t="s">
        <v>10</v>
      </c>
      <c r="L654" t="s">
        <v>711</v>
      </c>
      <c r="M654" s="1" t="e">
        <f>Tabla32[[#This Row],[BN CARTA]]-#REF!</f>
        <v>#REF!</v>
      </c>
      <c r="N654" s="1" t="e">
        <f>Tabla32[[#This Row],[BN OFICIO]]-#REF!</f>
        <v>#REF!</v>
      </c>
      <c r="O654" s="1" t="e">
        <f>Tabla32[[#This Row],[BN DC]]-#REF!</f>
        <v>#REF!</v>
      </c>
      <c r="P654" s="1" t="e">
        <f>Tabla32[[#This Row],[COLOR CARTA]]-#REF!</f>
        <v>#REF!</v>
      </c>
      <c r="Q654" s="1" t="e">
        <f>Tabla32[[#This Row],[COLOR OFICIO]]-#REF!</f>
        <v>#REF!</v>
      </c>
      <c r="R654" s="1" t="e">
        <f>Tabla32[[#This Row],[ENVIAR]]-#REF!</f>
        <v>#REF!</v>
      </c>
      <c r="S654" s="1" t="e">
        <f>Tabla32[[#This Row],[COPIAR]]-#REF!</f>
        <v>#REF!</v>
      </c>
    </row>
    <row r="655" spans="1:19" x14ac:dyDescent="0.25">
      <c r="A655" t="s">
        <v>10</v>
      </c>
      <c r="B655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K655" t="s">
        <v>10</v>
      </c>
      <c r="L655" t="s">
        <v>712</v>
      </c>
      <c r="M655" s="1" t="e">
        <f>Tabla32[[#This Row],[BN CARTA]]-#REF!</f>
        <v>#REF!</v>
      </c>
      <c r="N655" s="1" t="e">
        <f>Tabla32[[#This Row],[BN OFICIO]]-#REF!</f>
        <v>#REF!</v>
      </c>
      <c r="O655" s="1" t="e">
        <f>Tabla32[[#This Row],[BN DC]]-#REF!</f>
        <v>#REF!</v>
      </c>
      <c r="P655" s="1" t="e">
        <f>Tabla32[[#This Row],[COLOR CARTA]]-#REF!</f>
        <v>#REF!</v>
      </c>
      <c r="Q655" s="1" t="e">
        <f>Tabla32[[#This Row],[COLOR OFICIO]]-#REF!</f>
        <v>#REF!</v>
      </c>
      <c r="R655" s="1" t="e">
        <f>Tabla32[[#This Row],[ENVIAR]]-#REF!</f>
        <v>#REF!</v>
      </c>
      <c r="S655" s="1" t="e">
        <f>Tabla32[[#This Row],[COPIAR]]-#REF!</f>
        <v>#REF!</v>
      </c>
    </row>
    <row r="656" spans="1:19" x14ac:dyDescent="0.25">
      <c r="A656" t="s">
        <v>10</v>
      </c>
      <c r="B656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K656" t="s">
        <v>10</v>
      </c>
      <c r="L656" t="s">
        <v>713</v>
      </c>
      <c r="M656" s="1" t="e">
        <f>Tabla32[[#This Row],[BN CARTA]]-#REF!</f>
        <v>#REF!</v>
      </c>
      <c r="N656" s="1" t="e">
        <f>Tabla32[[#This Row],[BN OFICIO]]-#REF!</f>
        <v>#REF!</v>
      </c>
      <c r="O656" s="1" t="e">
        <f>Tabla32[[#This Row],[BN DC]]-#REF!</f>
        <v>#REF!</v>
      </c>
      <c r="P656" s="1" t="e">
        <f>Tabla32[[#This Row],[COLOR CARTA]]-#REF!</f>
        <v>#REF!</v>
      </c>
      <c r="Q656" s="1" t="e">
        <f>Tabla32[[#This Row],[COLOR OFICIO]]-#REF!</f>
        <v>#REF!</v>
      </c>
      <c r="R656" s="1" t="e">
        <f>Tabla32[[#This Row],[ENVIAR]]-#REF!</f>
        <v>#REF!</v>
      </c>
      <c r="S656" s="1" t="e">
        <f>Tabla32[[#This Row],[COPIAR]]-#REF!</f>
        <v>#REF!</v>
      </c>
    </row>
    <row r="657" spans="1:19" x14ac:dyDescent="0.25">
      <c r="A657" t="s">
        <v>10</v>
      </c>
      <c r="B657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K657" t="s">
        <v>10</v>
      </c>
      <c r="L657" t="s">
        <v>714</v>
      </c>
      <c r="M657" s="1" t="e">
        <f>Tabla32[[#This Row],[BN CARTA]]-#REF!</f>
        <v>#REF!</v>
      </c>
      <c r="N657" s="1" t="e">
        <f>Tabla32[[#This Row],[BN OFICIO]]-#REF!</f>
        <v>#REF!</v>
      </c>
      <c r="O657" s="1" t="e">
        <f>Tabla32[[#This Row],[BN DC]]-#REF!</f>
        <v>#REF!</v>
      </c>
      <c r="P657" s="1" t="e">
        <f>Tabla32[[#This Row],[COLOR CARTA]]-#REF!</f>
        <v>#REF!</v>
      </c>
      <c r="Q657" s="1" t="e">
        <f>Tabla32[[#This Row],[COLOR OFICIO]]-#REF!</f>
        <v>#REF!</v>
      </c>
      <c r="R657" s="1" t="e">
        <f>Tabla32[[#This Row],[ENVIAR]]-#REF!</f>
        <v>#REF!</v>
      </c>
      <c r="S657" s="1" t="e">
        <f>Tabla32[[#This Row],[COPIAR]]-#REF!</f>
        <v>#REF!</v>
      </c>
    </row>
    <row r="658" spans="1:19" x14ac:dyDescent="0.25">
      <c r="A658" t="s">
        <v>120</v>
      </c>
      <c r="B658" t="s">
        <v>715</v>
      </c>
      <c r="C658">
        <v>255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K658" t="s">
        <v>120</v>
      </c>
      <c r="L658" t="s">
        <v>715</v>
      </c>
      <c r="M658" s="1" t="e">
        <f>Tabla32[[#This Row],[BN CARTA]]-#REF!</f>
        <v>#REF!</v>
      </c>
      <c r="N658" s="1" t="e">
        <f>Tabla32[[#This Row],[BN OFICIO]]-#REF!</f>
        <v>#REF!</v>
      </c>
      <c r="O658" s="1" t="e">
        <f>Tabla32[[#This Row],[BN DC]]-#REF!</f>
        <v>#REF!</v>
      </c>
      <c r="P658" s="1" t="e">
        <f>Tabla32[[#This Row],[COLOR CARTA]]-#REF!</f>
        <v>#REF!</v>
      </c>
      <c r="Q658" s="1" t="e">
        <f>Tabla32[[#This Row],[COLOR OFICIO]]-#REF!</f>
        <v>#REF!</v>
      </c>
      <c r="R658" s="1" t="e">
        <f>Tabla32[[#This Row],[ENVIAR]]-#REF!</f>
        <v>#REF!</v>
      </c>
      <c r="S658" s="1" t="e">
        <f>Tabla32[[#This Row],[COPIAR]]-#REF!</f>
        <v>#REF!</v>
      </c>
    </row>
    <row r="659" spans="1:19" x14ac:dyDescent="0.25">
      <c r="A659" t="s">
        <v>146</v>
      </c>
      <c r="B659" t="s">
        <v>716</v>
      </c>
      <c r="C659">
        <v>39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K659" t="s">
        <v>146</v>
      </c>
      <c r="L659" t="s">
        <v>716</v>
      </c>
      <c r="M659" s="1" t="e">
        <f>Tabla32[[#This Row],[BN CARTA]]-#REF!</f>
        <v>#REF!</v>
      </c>
      <c r="N659" s="1" t="e">
        <f>Tabla32[[#This Row],[BN OFICIO]]-#REF!</f>
        <v>#REF!</v>
      </c>
      <c r="O659" s="1" t="e">
        <f>Tabla32[[#This Row],[BN DC]]-#REF!</f>
        <v>#REF!</v>
      </c>
      <c r="P659" s="1" t="e">
        <f>Tabla32[[#This Row],[COLOR CARTA]]-#REF!</f>
        <v>#REF!</v>
      </c>
      <c r="Q659" s="1" t="e">
        <f>Tabla32[[#This Row],[COLOR OFICIO]]-#REF!</f>
        <v>#REF!</v>
      </c>
      <c r="R659" s="1" t="e">
        <f>Tabla32[[#This Row],[ENVIAR]]-#REF!</f>
        <v>#REF!</v>
      </c>
      <c r="S659" s="1" t="e">
        <f>Tabla32[[#This Row],[COPIAR]]-#REF!</f>
        <v>#REF!</v>
      </c>
    </row>
    <row r="660" spans="1:19" x14ac:dyDescent="0.25">
      <c r="A660" t="s">
        <v>10</v>
      </c>
      <c r="B660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K660" t="s">
        <v>10</v>
      </c>
      <c r="L660" t="s">
        <v>717</v>
      </c>
      <c r="M660" s="1" t="e">
        <f>Tabla32[[#This Row],[BN CARTA]]-#REF!</f>
        <v>#REF!</v>
      </c>
      <c r="N660" s="1" t="e">
        <f>Tabla32[[#This Row],[BN OFICIO]]-#REF!</f>
        <v>#REF!</v>
      </c>
      <c r="O660" s="1" t="e">
        <f>Tabla32[[#This Row],[BN DC]]-#REF!</f>
        <v>#REF!</v>
      </c>
      <c r="P660" s="1" t="e">
        <f>Tabla32[[#This Row],[COLOR CARTA]]-#REF!</f>
        <v>#REF!</v>
      </c>
      <c r="Q660" s="1" t="e">
        <f>Tabla32[[#This Row],[COLOR OFICIO]]-#REF!</f>
        <v>#REF!</v>
      </c>
      <c r="R660" s="1" t="e">
        <f>Tabla32[[#This Row],[ENVIAR]]-#REF!</f>
        <v>#REF!</v>
      </c>
      <c r="S660" s="1" t="e">
        <f>Tabla32[[#This Row],[COPIAR]]-#REF!</f>
        <v>#REF!</v>
      </c>
    </row>
    <row r="661" spans="1:19" x14ac:dyDescent="0.25">
      <c r="A661" t="s">
        <v>146</v>
      </c>
      <c r="B661" t="s">
        <v>718</v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K661" t="s">
        <v>146</v>
      </c>
      <c r="L661" t="s">
        <v>718</v>
      </c>
      <c r="M661" s="1" t="e">
        <f>Tabla32[[#This Row],[BN CARTA]]-#REF!</f>
        <v>#REF!</v>
      </c>
      <c r="N661" s="1" t="e">
        <f>Tabla32[[#This Row],[BN OFICIO]]-#REF!</f>
        <v>#REF!</v>
      </c>
      <c r="O661" s="1" t="e">
        <f>Tabla32[[#This Row],[BN DC]]-#REF!</f>
        <v>#REF!</v>
      </c>
      <c r="P661" s="1" t="e">
        <f>Tabla32[[#This Row],[COLOR CARTA]]-#REF!</f>
        <v>#REF!</v>
      </c>
      <c r="Q661" s="1" t="e">
        <f>Tabla32[[#This Row],[COLOR OFICIO]]-#REF!</f>
        <v>#REF!</v>
      </c>
      <c r="R661" s="1" t="e">
        <f>Tabla32[[#This Row],[ENVIAR]]-#REF!</f>
        <v>#REF!</v>
      </c>
      <c r="S661" s="1" t="e">
        <f>Tabla32[[#This Row],[COPIAR]]-#REF!</f>
        <v>#REF!</v>
      </c>
    </row>
    <row r="662" spans="1:19" x14ac:dyDescent="0.25">
      <c r="A662" t="s">
        <v>10</v>
      </c>
      <c r="B662" t="s">
        <v>719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K662" t="s">
        <v>10</v>
      </c>
      <c r="L662" t="s">
        <v>719</v>
      </c>
      <c r="M662" s="1" t="e">
        <f>Tabla32[[#This Row],[BN CARTA]]-#REF!</f>
        <v>#REF!</v>
      </c>
      <c r="N662" s="1" t="e">
        <f>Tabla32[[#This Row],[BN OFICIO]]-#REF!</f>
        <v>#REF!</v>
      </c>
      <c r="O662" s="1" t="e">
        <f>Tabla32[[#This Row],[BN DC]]-#REF!</f>
        <v>#REF!</v>
      </c>
      <c r="P662" s="1" t="e">
        <f>Tabla32[[#This Row],[COLOR CARTA]]-#REF!</f>
        <v>#REF!</v>
      </c>
      <c r="Q662" s="1" t="e">
        <f>Tabla32[[#This Row],[COLOR OFICIO]]-#REF!</f>
        <v>#REF!</v>
      </c>
      <c r="R662" s="1" t="e">
        <f>Tabla32[[#This Row],[ENVIAR]]-#REF!</f>
        <v>#REF!</v>
      </c>
      <c r="S662" s="1" t="e">
        <f>Tabla32[[#This Row],[COPIAR]]-#REF!</f>
        <v>#REF!</v>
      </c>
    </row>
    <row r="663" spans="1:19" x14ac:dyDescent="0.25">
      <c r="A663" t="s">
        <v>10</v>
      </c>
      <c r="B663" t="s">
        <v>720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K663" t="s">
        <v>10</v>
      </c>
      <c r="L663" t="s">
        <v>720</v>
      </c>
      <c r="M663" s="1" t="e">
        <f>Tabla32[[#This Row],[BN CARTA]]-#REF!</f>
        <v>#REF!</v>
      </c>
      <c r="N663" s="1" t="e">
        <f>Tabla32[[#This Row],[BN OFICIO]]-#REF!</f>
        <v>#REF!</v>
      </c>
      <c r="O663" s="1" t="e">
        <f>Tabla32[[#This Row],[BN DC]]-#REF!</f>
        <v>#REF!</v>
      </c>
      <c r="P663" s="1" t="e">
        <f>Tabla32[[#This Row],[COLOR CARTA]]-#REF!</f>
        <v>#REF!</v>
      </c>
      <c r="Q663" s="1" t="e">
        <f>Tabla32[[#This Row],[COLOR OFICIO]]-#REF!</f>
        <v>#REF!</v>
      </c>
      <c r="R663" s="1" t="e">
        <f>Tabla32[[#This Row],[ENVIAR]]-#REF!</f>
        <v>#REF!</v>
      </c>
      <c r="S663" s="1" t="e">
        <f>Tabla32[[#This Row],[COPIAR]]-#REF!</f>
        <v>#REF!</v>
      </c>
    </row>
    <row r="664" spans="1:19" x14ac:dyDescent="0.25">
      <c r="A664" t="s">
        <v>131</v>
      </c>
      <c r="B664" t="s">
        <v>721</v>
      </c>
      <c r="C664">
        <v>85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K664" t="s">
        <v>131</v>
      </c>
      <c r="L664" t="s">
        <v>721</v>
      </c>
      <c r="M664" s="1" t="e">
        <f>Tabla32[[#This Row],[BN CARTA]]-#REF!</f>
        <v>#REF!</v>
      </c>
      <c r="N664" s="1" t="e">
        <f>Tabla32[[#This Row],[BN OFICIO]]-#REF!</f>
        <v>#REF!</v>
      </c>
      <c r="O664" s="1" t="e">
        <f>Tabla32[[#This Row],[BN DC]]-#REF!</f>
        <v>#REF!</v>
      </c>
      <c r="P664" s="1" t="e">
        <f>Tabla32[[#This Row],[COLOR CARTA]]-#REF!</f>
        <v>#REF!</v>
      </c>
      <c r="Q664" s="1" t="e">
        <f>Tabla32[[#This Row],[COLOR OFICIO]]-#REF!</f>
        <v>#REF!</v>
      </c>
      <c r="R664" s="1" t="e">
        <f>Tabla32[[#This Row],[ENVIAR]]-#REF!</f>
        <v>#REF!</v>
      </c>
      <c r="S664" s="1" t="e">
        <f>Tabla32[[#This Row],[COPIAR]]-#REF!</f>
        <v>#REF!</v>
      </c>
    </row>
    <row r="665" spans="1:19" x14ac:dyDescent="0.25">
      <c r="A665" t="s">
        <v>146</v>
      </c>
      <c r="B665" t="s">
        <v>722</v>
      </c>
      <c r="C665">
        <v>5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K665" t="s">
        <v>146</v>
      </c>
      <c r="L665" t="s">
        <v>722</v>
      </c>
      <c r="M665" s="1" t="e">
        <f>Tabla32[[#This Row],[BN CARTA]]-#REF!</f>
        <v>#REF!</v>
      </c>
      <c r="N665" s="1" t="e">
        <f>Tabla32[[#This Row],[BN OFICIO]]-#REF!</f>
        <v>#REF!</v>
      </c>
      <c r="O665" s="1" t="e">
        <f>Tabla32[[#This Row],[BN DC]]-#REF!</f>
        <v>#REF!</v>
      </c>
      <c r="P665" s="1" t="e">
        <f>Tabla32[[#This Row],[COLOR CARTA]]-#REF!</f>
        <v>#REF!</v>
      </c>
      <c r="Q665" s="1" t="e">
        <f>Tabla32[[#This Row],[COLOR OFICIO]]-#REF!</f>
        <v>#REF!</v>
      </c>
      <c r="R665" s="1" t="e">
        <f>Tabla32[[#This Row],[ENVIAR]]-#REF!</f>
        <v>#REF!</v>
      </c>
      <c r="S665" s="1" t="e">
        <f>Tabla32[[#This Row],[COPIAR]]-#REF!</f>
        <v>#REF!</v>
      </c>
    </row>
    <row r="666" spans="1:19" x14ac:dyDescent="0.25">
      <c r="A666" t="s">
        <v>10</v>
      </c>
      <c r="B666" t="s">
        <v>723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K666" t="s">
        <v>10</v>
      </c>
      <c r="L666" t="s">
        <v>723</v>
      </c>
      <c r="M666" s="1" t="e">
        <f>Tabla32[[#This Row],[BN CARTA]]-#REF!</f>
        <v>#REF!</v>
      </c>
      <c r="N666" s="1" t="e">
        <f>Tabla32[[#This Row],[BN OFICIO]]-#REF!</f>
        <v>#REF!</v>
      </c>
      <c r="O666" s="1" t="e">
        <f>Tabla32[[#This Row],[BN DC]]-#REF!</f>
        <v>#REF!</v>
      </c>
      <c r="P666" s="1" t="e">
        <f>Tabla32[[#This Row],[COLOR CARTA]]-#REF!</f>
        <v>#REF!</v>
      </c>
      <c r="Q666" s="1" t="e">
        <f>Tabla32[[#This Row],[COLOR OFICIO]]-#REF!</f>
        <v>#REF!</v>
      </c>
      <c r="R666" s="1" t="e">
        <f>Tabla32[[#This Row],[ENVIAR]]-#REF!</f>
        <v>#REF!</v>
      </c>
      <c r="S666" s="1" t="e">
        <f>Tabla32[[#This Row],[COPIAR]]-#REF!</f>
        <v>#REF!</v>
      </c>
    </row>
    <row r="667" spans="1:19" x14ac:dyDescent="0.25">
      <c r="A667" t="s">
        <v>131</v>
      </c>
      <c r="B667" t="s">
        <v>724</v>
      </c>
      <c r="C667">
        <v>429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K667" t="s">
        <v>131</v>
      </c>
      <c r="L667" t="s">
        <v>724</v>
      </c>
      <c r="M667" s="1" t="e">
        <f>Tabla32[[#This Row],[BN CARTA]]-#REF!</f>
        <v>#REF!</v>
      </c>
      <c r="N667" s="1" t="e">
        <f>Tabla32[[#This Row],[BN OFICIO]]-#REF!</f>
        <v>#REF!</v>
      </c>
      <c r="O667" s="1" t="e">
        <f>Tabla32[[#This Row],[BN DC]]-#REF!</f>
        <v>#REF!</v>
      </c>
      <c r="P667" s="1" t="e">
        <f>Tabla32[[#This Row],[COLOR CARTA]]-#REF!</f>
        <v>#REF!</v>
      </c>
      <c r="Q667" s="1" t="e">
        <f>Tabla32[[#This Row],[COLOR OFICIO]]-#REF!</f>
        <v>#REF!</v>
      </c>
      <c r="R667" s="1" t="e">
        <f>Tabla32[[#This Row],[ENVIAR]]-#REF!</f>
        <v>#REF!</v>
      </c>
      <c r="S667" s="1" t="e">
        <f>Tabla32[[#This Row],[COPIAR]]-#REF!</f>
        <v>#REF!</v>
      </c>
    </row>
    <row r="668" spans="1:19" x14ac:dyDescent="0.25">
      <c r="A668" t="s">
        <v>10</v>
      </c>
      <c r="B668" t="s">
        <v>725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K668" t="s">
        <v>10</v>
      </c>
      <c r="L668" t="s">
        <v>725</v>
      </c>
      <c r="M668" s="1" t="e">
        <f>Tabla32[[#This Row],[BN CARTA]]-#REF!</f>
        <v>#REF!</v>
      </c>
      <c r="N668" s="1" t="e">
        <f>Tabla32[[#This Row],[BN OFICIO]]-#REF!</f>
        <v>#REF!</v>
      </c>
      <c r="O668" s="1" t="e">
        <f>Tabla32[[#This Row],[BN DC]]-#REF!</f>
        <v>#REF!</v>
      </c>
      <c r="P668" s="1" t="e">
        <f>Tabla32[[#This Row],[COLOR CARTA]]-#REF!</f>
        <v>#REF!</v>
      </c>
      <c r="Q668" s="1" t="e">
        <f>Tabla32[[#This Row],[COLOR OFICIO]]-#REF!</f>
        <v>#REF!</v>
      </c>
      <c r="R668" s="1" t="e">
        <f>Tabla32[[#This Row],[ENVIAR]]-#REF!</f>
        <v>#REF!</v>
      </c>
      <c r="S668" s="1" t="e">
        <f>Tabla32[[#This Row],[COPIAR]]-#REF!</f>
        <v>#REF!</v>
      </c>
    </row>
    <row r="669" spans="1:19" x14ac:dyDescent="0.25">
      <c r="A669" t="s">
        <v>10</v>
      </c>
      <c r="B669" t="s">
        <v>726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K669" t="s">
        <v>10</v>
      </c>
      <c r="L669" t="s">
        <v>726</v>
      </c>
      <c r="M669" s="1" t="e">
        <f>Tabla32[[#This Row],[BN CARTA]]-#REF!</f>
        <v>#REF!</v>
      </c>
      <c r="N669" s="1" t="e">
        <f>Tabla32[[#This Row],[BN OFICIO]]-#REF!</f>
        <v>#REF!</v>
      </c>
      <c r="O669" s="1" t="e">
        <f>Tabla32[[#This Row],[BN DC]]-#REF!</f>
        <v>#REF!</v>
      </c>
      <c r="P669" s="1" t="e">
        <f>Tabla32[[#This Row],[COLOR CARTA]]-#REF!</f>
        <v>#REF!</v>
      </c>
      <c r="Q669" s="1" t="e">
        <f>Tabla32[[#This Row],[COLOR OFICIO]]-#REF!</f>
        <v>#REF!</v>
      </c>
      <c r="R669" s="1" t="e">
        <f>Tabla32[[#This Row],[ENVIAR]]-#REF!</f>
        <v>#REF!</v>
      </c>
      <c r="S669" s="1" t="e">
        <f>Tabla32[[#This Row],[COPIAR]]-#REF!</f>
        <v>#REF!</v>
      </c>
    </row>
    <row r="670" spans="1:19" x14ac:dyDescent="0.25">
      <c r="A670" t="s">
        <v>10</v>
      </c>
      <c r="B670" t="s">
        <v>727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K670" t="s">
        <v>10</v>
      </c>
      <c r="L670" t="s">
        <v>727</v>
      </c>
      <c r="M670" s="1" t="e">
        <f>Tabla32[[#This Row],[BN CARTA]]-#REF!</f>
        <v>#REF!</v>
      </c>
      <c r="N670" s="1" t="e">
        <f>Tabla32[[#This Row],[BN OFICIO]]-#REF!</f>
        <v>#REF!</v>
      </c>
      <c r="O670" s="1" t="e">
        <f>Tabla32[[#This Row],[BN DC]]-#REF!</f>
        <v>#REF!</v>
      </c>
      <c r="P670" s="1" t="e">
        <f>Tabla32[[#This Row],[COLOR CARTA]]-#REF!</f>
        <v>#REF!</v>
      </c>
      <c r="Q670" s="1" t="e">
        <f>Tabla32[[#This Row],[COLOR OFICIO]]-#REF!</f>
        <v>#REF!</v>
      </c>
      <c r="R670" s="1" t="e">
        <f>Tabla32[[#This Row],[ENVIAR]]-#REF!</f>
        <v>#REF!</v>
      </c>
      <c r="S670" s="1" t="e">
        <f>Tabla32[[#This Row],[COPIAR]]-#REF!</f>
        <v>#REF!</v>
      </c>
    </row>
    <row r="671" spans="1:19" x14ac:dyDescent="0.25">
      <c r="A671" t="s">
        <v>134</v>
      </c>
      <c r="B671" t="s">
        <v>728</v>
      </c>
      <c r="C671">
        <v>48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K671" t="s">
        <v>134</v>
      </c>
      <c r="L671" t="s">
        <v>728</v>
      </c>
      <c r="M671" s="1" t="e">
        <f>Tabla32[[#This Row],[BN CARTA]]-#REF!</f>
        <v>#REF!</v>
      </c>
      <c r="N671" s="1" t="e">
        <f>Tabla32[[#This Row],[BN OFICIO]]-#REF!</f>
        <v>#REF!</v>
      </c>
      <c r="O671" s="1" t="e">
        <f>Tabla32[[#This Row],[BN DC]]-#REF!</f>
        <v>#REF!</v>
      </c>
      <c r="P671" s="1" t="e">
        <f>Tabla32[[#This Row],[COLOR CARTA]]-#REF!</f>
        <v>#REF!</v>
      </c>
      <c r="Q671" s="1" t="e">
        <f>Tabla32[[#This Row],[COLOR OFICIO]]-#REF!</f>
        <v>#REF!</v>
      </c>
      <c r="R671" s="1" t="e">
        <f>Tabla32[[#This Row],[ENVIAR]]-#REF!</f>
        <v>#REF!</v>
      </c>
      <c r="S671" s="1" t="e">
        <f>Tabla32[[#This Row],[COPIAR]]-#REF!</f>
        <v>#REF!</v>
      </c>
    </row>
    <row r="672" spans="1:19" x14ac:dyDescent="0.25">
      <c r="A672" t="s">
        <v>10</v>
      </c>
      <c r="B672" t="s">
        <v>729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K672" t="s">
        <v>10</v>
      </c>
      <c r="L672" t="s">
        <v>729</v>
      </c>
      <c r="M672" s="1" t="e">
        <f>Tabla32[[#This Row],[BN CARTA]]-#REF!</f>
        <v>#REF!</v>
      </c>
      <c r="N672" s="1" t="e">
        <f>Tabla32[[#This Row],[BN OFICIO]]-#REF!</f>
        <v>#REF!</v>
      </c>
      <c r="O672" s="1" t="e">
        <f>Tabla32[[#This Row],[BN DC]]-#REF!</f>
        <v>#REF!</v>
      </c>
      <c r="P672" s="1" t="e">
        <f>Tabla32[[#This Row],[COLOR CARTA]]-#REF!</f>
        <v>#REF!</v>
      </c>
      <c r="Q672" s="1" t="e">
        <f>Tabla32[[#This Row],[COLOR OFICIO]]-#REF!</f>
        <v>#REF!</v>
      </c>
      <c r="R672" s="1" t="e">
        <f>Tabla32[[#This Row],[ENVIAR]]-#REF!</f>
        <v>#REF!</v>
      </c>
      <c r="S672" s="1" t="e">
        <f>Tabla32[[#This Row],[COPIAR]]-#REF!</f>
        <v>#REF!</v>
      </c>
    </row>
    <row r="673" spans="1:19" x14ac:dyDescent="0.25">
      <c r="A673" t="s">
        <v>10</v>
      </c>
      <c r="B673" t="s">
        <v>730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K673" t="s">
        <v>10</v>
      </c>
      <c r="L673" t="s">
        <v>730</v>
      </c>
      <c r="M673" s="1" t="e">
        <f>Tabla32[[#This Row],[BN CARTA]]-#REF!</f>
        <v>#REF!</v>
      </c>
      <c r="N673" s="1" t="e">
        <f>Tabla32[[#This Row],[BN OFICIO]]-#REF!</f>
        <v>#REF!</v>
      </c>
      <c r="O673" s="1" t="e">
        <f>Tabla32[[#This Row],[BN DC]]-#REF!</f>
        <v>#REF!</v>
      </c>
      <c r="P673" s="1" t="e">
        <f>Tabla32[[#This Row],[COLOR CARTA]]-#REF!</f>
        <v>#REF!</v>
      </c>
      <c r="Q673" s="1" t="e">
        <f>Tabla32[[#This Row],[COLOR OFICIO]]-#REF!</f>
        <v>#REF!</v>
      </c>
      <c r="R673" s="1" t="e">
        <f>Tabla32[[#This Row],[ENVIAR]]-#REF!</f>
        <v>#REF!</v>
      </c>
      <c r="S673" s="1" t="e">
        <f>Tabla32[[#This Row],[COPIAR]]-#REF!</f>
        <v>#REF!</v>
      </c>
    </row>
    <row r="674" spans="1:19" x14ac:dyDescent="0.25">
      <c r="A674" t="s">
        <v>10</v>
      </c>
      <c r="B674" t="s">
        <v>731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K674" t="s">
        <v>10</v>
      </c>
      <c r="L674" t="s">
        <v>731</v>
      </c>
      <c r="M674" s="1" t="e">
        <f>Tabla32[[#This Row],[BN CARTA]]-#REF!</f>
        <v>#REF!</v>
      </c>
      <c r="N674" s="1" t="e">
        <f>Tabla32[[#This Row],[BN OFICIO]]-#REF!</f>
        <v>#REF!</v>
      </c>
      <c r="O674" s="1" t="e">
        <f>Tabla32[[#This Row],[BN DC]]-#REF!</f>
        <v>#REF!</v>
      </c>
      <c r="P674" s="1" t="e">
        <f>Tabla32[[#This Row],[COLOR CARTA]]-#REF!</f>
        <v>#REF!</v>
      </c>
      <c r="Q674" s="1" t="e">
        <f>Tabla32[[#This Row],[COLOR OFICIO]]-#REF!</f>
        <v>#REF!</v>
      </c>
      <c r="R674" s="1" t="e">
        <f>Tabla32[[#This Row],[ENVIAR]]-#REF!</f>
        <v>#REF!</v>
      </c>
      <c r="S674" s="1" t="e">
        <f>Tabla32[[#This Row],[COPIAR]]-#REF!</f>
        <v>#REF!</v>
      </c>
    </row>
    <row r="675" spans="1:19" x14ac:dyDescent="0.25">
      <c r="A675" t="s">
        <v>10</v>
      </c>
      <c r="B675" t="s">
        <v>732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K675" t="s">
        <v>10</v>
      </c>
      <c r="L675" t="s">
        <v>732</v>
      </c>
      <c r="M675" s="1" t="e">
        <f>Tabla32[[#This Row],[BN CARTA]]-#REF!</f>
        <v>#REF!</v>
      </c>
      <c r="N675" s="1" t="e">
        <f>Tabla32[[#This Row],[BN OFICIO]]-#REF!</f>
        <v>#REF!</v>
      </c>
      <c r="O675" s="1" t="e">
        <f>Tabla32[[#This Row],[BN DC]]-#REF!</f>
        <v>#REF!</v>
      </c>
      <c r="P675" s="1" t="e">
        <f>Tabla32[[#This Row],[COLOR CARTA]]-#REF!</f>
        <v>#REF!</v>
      </c>
      <c r="Q675" s="1" t="e">
        <f>Tabla32[[#This Row],[COLOR OFICIO]]-#REF!</f>
        <v>#REF!</v>
      </c>
      <c r="R675" s="1" t="e">
        <f>Tabla32[[#This Row],[ENVIAR]]-#REF!</f>
        <v>#REF!</v>
      </c>
      <c r="S675" s="1" t="e">
        <f>Tabla32[[#This Row],[COPIAR]]-#REF!</f>
        <v>#REF!</v>
      </c>
    </row>
    <row r="676" spans="1:19" x14ac:dyDescent="0.25">
      <c r="A676" t="s">
        <v>10</v>
      </c>
      <c r="B676" t="s">
        <v>733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K676" t="s">
        <v>10</v>
      </c>
      <c r="L676" t="s">
        <v>733</v>
      </c>
      <c r="M676" s="1" t="e">
        <f>Tabla32[[#This Row],[BN CARTA]]-#REF!</f>
        <v>#REF!</v>
      </c>
      <c r="N676" s="1" t="e">
        <f>Tabla32[[#This Row],[BN OFICIO]]-#REF!</f>
        <v>#REF!</v>
      </c>
      <c r="O676" s="1" t="e">
        <f>Tabla32[[#This Row],[BN DC]]-#REF!</f>
        <v>#REF!</v>
      </c>
      <c r="P676" s="1" t="e">
        <f>Tabla32[[#This Row],[COLOR CARTA]]-#REF!</f>
        <v>#REF!</v>
      </c>
      <c r="Q676" s="1" t="e">
        <f>Tabla32[[#This Row],[COLOR OFICIO]]-#REF!</f>
        <v>#REF!</v>
      </c>
      <c r="R676" s="1" t="e">
        <f>Tabla32[[#This Row],[ENVIAR]]-#REF!</f>
        <v>#REF!</v>
      </c>
      <c r="S676" s="1" t="e">
        <f>Tabla32[[#This Row],[COPIAR]]-#REF!</f>
        <v>#REF!</v>
      </c>
    </row>
    <row r="677" spans="1:19" x14ac:dyDescent="0.25">
      <c r="A677" t="s">
        <v>10</v>
      </c>
      <c r="B677" t="s">
        <v>734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K677" t="s">
        <v>10</v>
      </c>
      <c r="L677" t="s">
        <v>734</v>
      </c>
      <c r="M677" s="1" t="e">
        <f>Tabla32[[#This Row],[BN CARTA]]-#REF!</f>
        <v>#REF!</v>
      </c>
      <c r="N677" s="1" t="e">
        <f>Tabla32[[#This Row],[BN OFICIO]]-#REF!</f>
        <v>#REF!</v>
      </c>
      <c r="O677" s="1" t="e">
        <f>Tabla32[[#This Row],[BN DC]]-#REF!</f>
        <v>#REF!</v>
      </c>
      <c r="P677" s="1" t="e">
        <f>Tabla32[[#This Row],[COLOR CARTA]]-#REF!</f>
        <v>#REF!</v>
      </c>
      <c r="Q677" s="1" t="e">
        <f>Tabla32[[#This Row],[COLOR OFICIO]]-#REF!</f>
        <v>#REF!</v>
      </c>
      <c r="R677" s="1" t="e">
        <f>Tabla32[[#This Row],[ENVIAR]]-#REF!</f>
        <v>#REF!</v>
      </c>
      <c r="S677" s="1" t="e">
        <f>Tabla32[[#This Row],[COPIAR]]-#REF!</f>
        <v>#REF!</v>
      </c>
    </row>
    <row r="678" spans="1:19" x14ac:dyDescent="0.25">
      <c r="A678" t="s">
        <v>10</v>
      </c>
      <c r="B678" t="s">
        <v>735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K678" t="s">
        <v>10</v>
      </c>
      <c r="L678" t="s">
        <v>735</v>
      </c>
      <c r="M678" s="1" t="e">
        <f>Tabla32[[#This Row],[BN CARTA]]-#REF!</f>
        <v>#REF!</v>
      </c>
      <c r="N678" s="1" t="e">
        <f>Tabla32[[#This Row],[BN OFICIO]]-#REF!</f>
        <v>#REF!</v>
      </c>
      <c r="O678" s="1" t="e">
        <f>Tabla32[[#This Row],[BN DC]]-#REF!</f>
        <v>#REF!</v>
      </c>
      <c r="P678" s="1" t="e">
        <f>Tabla32[[#This Row],[COLOR CARTA]]-#REF!</f>
        <v>#REF!</v>
      </c>
      <c r="Q678" s="1" t="e">
        <f>Tabla32[[#This Row],[COLOR OFICIO]]-#REF!</f>
        <v>#REF!</v>
      </c>
      <c r="R678" s="1" t="e">
        <f>Tabla32[[#This Row],[ENVIAR]]-#REF!</f>
        <v>#REF!</v>
      </c>
      <c r="S678" s="1" t="e">
        <f>Tabla32[[#This Row],[COPIAR]]-#REF!</f>
        <v>#REF!</v>
      </c>
    </row>
    <row r="679" spans="1:19" x14ac:dyDescent="0.25">
      <c r="A679" t="s">
        <v>10</v>
      </c>
      <c r="B679" t="s">
        <v>736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K679" t="s">
        <v>10</v>
      </c>
      <c r="L679" t="s">
        <v>736</v>
      </c>
      <c r="M679" s="1" t="e">
        <f>Tabla32[[#This Row],[BN CARTA]]-#REF!</f>
        <v>#REF!</v>
      </c>
      <c r="N679" s="1" t="e">
        <f>Tabla32[[#This Row],[BN OFICIO]]-#REF!</f>
        <v>#REF!</v>
      </c>
      <c r="O679" s="1" t="e">
        <f>Tabla32[[#This Row],[BN DC]]-#REF!</f>
        <v>#REF!</v>
      </c>
      <c r="P679" s="1" t="e">
        <f>Tabla32[[#This Row],[COLOR CARTA]]-#REF!</f>
        <v>#REF!</v>
      </c>
      <c r="Q679" s="1" t="e">
        <f>Tabla32[[#This Row],[COLOR OFICIO]]-#REF!</f>
        <v>#REF!</v>
      </c>
      <c r="R679" s="1" t="e">
        <f>Tabla32[[#This Row],[ENVIAR]]-#REF!</f>
        <v>#REF!</v>
      </c>
      <c r="S679" s="1" t="e">
        <f>Tabla32[[#This Row],[COPIAR]]-#REF!</f>
        <v>#REF!</v>
      </c>
    </row>
    <row r="680" spans="1:19" x14ac:dyDescent="0.25">
      <c r="A680" t="s">
        <v>10</v>
      </c>
      <c r="B680" t="s">
        <v>737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K680" t="s">
        <v>10</v>
      </c>
      <c r="L680" t="s">
        <v>737</v>
      </c>
      <c r="M680" s="1" t="e">
        <f>Tabla32[[#This Row],[BN CARTA]]-#REF!</f>
        <v>#REF!</v>
      </c>
      <c r="N680" s="1" t="e">
        <f>Tabla32[[#This Row],[BN OFICIO]]-#REF!</f>
        <v>#REF!</v>
      </c>
      <c r="O680" s="1" t="e">
        <f>Tabla32[[#This Row],[BN DC]]-#REF!</f>
        <v>#REF!</v>
      </c>
      <c r="P680" s="1" t="e">
        <f>Tabla32[[#This Row],[COLOR CARTA]]-#REF!</f>
        <v>#REF!</v>
      </c>
      <c r="Q680" s="1" t="e">
        <f>Tabla32[[#This Row],[COLOR OFICIO]]-#REF!</f>
        <v>#REF!</v>
      </c>
      <c r="R680" s="1" t="e">
        <f>Tabla32[[#This Row],[ENVIAR]]-#REF!</f>
        <v>#REF!</v>
      </c>
      <c r="S680" s="1" t="e">
        <f>Tabla32[[#This Row],[COPIAR]]-#REF!</f>
        <v>#REF!</v>
      </c>
    </row>
    <row r="681" spans="1:19" x14ac:dyDescent="0.25">
      <c r="A681" t="s">
        <v>10</v>
      </c>
      <c r="B681" t="s">
        <v>738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K681" t="s">
        <v>10</v>
      </c>
      <c r="L681" t="s">
        <v>738</v>
      </c>
      <c r="M681" s="1" t="e">
        <f>Tabla32[[#This Row],[BN CARTA]]-#REF!</f>
        <v>#REF!</v>
      </c>
      <c r="N681" s="1" t="e">
        <f>Tabla32[[#This Row],[BN OFICIO]]-#REF!</f>
        <v>#REF!</v>
      </c>
      <c r="O681" s="1" t="e">
        <f>Tabla32[[#This Row],[BN DC]]-#REF!</f>
        <v>#REF!</v>
      </c>
      <c r="P681" s="1" t="e">
        <f>Tabla32[[#This Row],[COLOR CARTA]]-#REF!</f>
        <v>#REF!</v>
      </c>
      <c r="Q681" s="1" t="e">
        <f>Tabla32[[#This Row],[COLOR OFICIO]]-#REF!</f>
        <v>#REF!</v>
      </c>
      <c r="R681" s="1" t="e">
        <f>Tabla32[[#This Row],[ENVIAR]]-#REF!</f>
        <v>#REF!</v>
      </c>
      <c r="S681" s="1" t="e">
        <f>Tabla32[[#This Row],[COPIAR]]-#REF!</f>
        <v>#REF!</v>
      </c>
    </row>
    <row r="682" spans="1:19" x14ac:dyDescent="0.25">
      <c r="A682" t="s">
        <v>10</v>
      </c>
      <c r="B682" t="s">
        <v>739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K682" t="s">
        <v>10</v>
      </c>
      <c r="L682" t="s">
        <v>739</v>
      </c>
      <c r="M682" s="1" t="e">
        <f>Tabla32[[#This Row],[BN CARTA]]-#REF!</f>
        <v>#REF!</v>
      </c>
      <c r="N682" s="1" t="e">
        <f>Tabla32[[#This Row],[BN OFICIO]]-#REF!</f>
        <v>#REF!</v>
      </c>
      <c r="O682" s="1" t="e">
        <f>Tabla32[[#This Row],[BN DC]]-#REF!</f>
        <v>#REF!</v>
      </c>
      <c r="P682" s="1" t="e">
        <f>Tabla32[[#This Row],[COLOR CARTA]]-#REF!</f>
        <v>#REF!</v>
      </c>
      <c r="Q682" s="1" t="e">
        <f>Tabla32[[#This Row],[COLOR OFICIO]]-#REF!</f>
        <v>#REF!</v>
      </c>
      <c r="R682" s="1" t="e">
        <f>Tabla32[[#This Row],[ENVIAR]]-#REF!</f>
        <v>#REF!</v>
      </c>
      <c r="S682" s="1" t="e">
        <f>Tabla32[[#This Row],[COPIAR]]-#REF!</f>
        <v>#REF!</v>
      </c>
    </row>
    <row r="683" spans="1:19" x14ac:dyDescent="0.25">
      <c r="A683" t="s">
        <v>10</v>
      </c>
      <c r="B683" t="s">
        <v>740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K683" t="s">
        <v>10</v>
      </c>
      <c r="L683" t="s">
        <v>740</v>
      </c>
      <c r="M683" s="1" t="e">
        <f>Tabla32[[#This Row],[BN CARTA]]-#REF!</f>
        <v>#REF!</v>
      </c>
      <c r="N683" s="1" t="e">
        <f>Tabla32[[#This Row],[BN OFICIO]]-#REF!</f>
        <v>#REF!</v>
      </c>
      <c r="O683" s="1" t="e">
        <f>Tabla32[[#This Row],[BN DC]]-#REF!</f>
        <v>#REF!</v>
      </c>
      <c r="P683" s="1" t="e">
        <f>Tabla32[[#This Row],[COLOR CARTA]]-#REF!</f>
        <v>#REF!</v>
      </c>
      <c r="Q683" s="1" t="e">
        <f>Tabla32[[#This Row],[COLOR OFICIO]]-#REF!</f>
        <v>#REF!</v>
      </c>
      <c r="R683" s="1" t="e">
        <f>Tabla32[[#This Row],[ENVIAR]]-#REF!</f>
        <v>#REF!</v>
      </c>
      <c r="S683" s="1" t="e">
        <f>Tabla32[[#This Row],[COPIAR]]-#REF!</f>
        <v>#REF!</v>
      </c>
    </row>
    <row r="684" spans="1:19" x14ac:dyDescent="0.25">
      <c r="A684" t="s">
        <v>134</v>
      </c>
      <c r="B684" t="s">
        <v>741</v>
      </c>
      <c r="C684">
        <v>27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K684" t="s">
        <v>134</v>
      </c>
      <c r="L684" t="s">
        <v>741</v>
      </c>
      <c r="M684" s="1" t="e">
        <f>Tabla32[[#This Row],[BN CARTA]]-#REF!</f>
        <v>#REF!</v>
      </c>
      <c r="N684" s="1" t="e">
        <f>Tabla32[[#This Row],[BN OFICIO]]-#REF!</f>
        <v>#REF!</v>
      </c>
      <c r="O684" s="1" t="e">
        <f>Tabla32[[#This Row],[BN DC]]-#REF!</f>
        <v>#REF!</v>
      </c>
      <c r="P684" s="1" t="e">
        <f>Tabla32[[#This Row],[COLOR CARTA]]-#REF!</f>
        <v>#REF!</v>
      </c>
      <c r="Q684" s="1" t="e">
        <f>Tabla32[[#This Row],[COLOR OFICIO]]-#REF!</f>
        <v>#REF!</v>
      </c>
      <c r="R684" s="1" t="e">
        <f>Tabla32[[#This Row],[ENVIAR]]-#REF!</f>
        <v>#REF!</v>
      </c>
      <c r="S684" s="1" t="e">
        <f>Tabla32[[#This Row],[COPIAR]]-#REF!</f>
        <v>#REF!</v>
      </c>
    </row>
    <row r="685" spans="1:19" x14ac:dyDescent="0.25">
      <c r="A685" t="s">
        <v>188</v>
      </c>
      <c r="B685" t="s">
        <v>742</v>
      </c>
      <c r="C685">
        <v>16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K685" t="s">
        <v>188</v>
      </c>
      <c r="L685" t="s">
        <v>742</v>
      </c>
      <c r="M685" s="1" t="e">
        <f>Tabla32[[#This Row],[BN CARTA]]-#REF!</f>
        <v>#REF!</v>
      </c>
      <c r="N685" s="1" t="e">
        <f>Tabla32[[#This Row],[BN OFICIO]]-#REF!</f>
        <v>#REF!</v>
      </c>
      <c r="O685" s="1" t="e">
        <f>Tabla32[[#This Row],[BN DC]]-#REF!</f>
        <v>#REF!</v>
      </c>
      <c r="P685" s="1" t="e">
        <f>Tabla32[[#This Row],[COLOR CARTA]]-#REF!</f>
        <v>#REF!</v>
      </c>
      <c r="Q685" s="1" t="e">
        <f>Tabla32[[#This Row],[COLOR OFICIO]]-#REF!</f>
        <v>#REF!</v>
      </c>
      <c r="R685" s="1" t="e">
        <f>Tabla32[[#This Row],[ENVIAR]]-#REF!</f>
        <v>#REF!</v>
      </c>
      <c r="S685" s="1" t="e">
        <f>Tabla32[[#This Row],[COPIAR]]-#REF!</f>
        <v>#REF!</v>
      </c>
    </row>
    <row r="686" spans="1:19" x14ac:dyDescent="0.25">
      <c r="A686" t="s">
        <v>10</v>
      </c>
      <c r="B686" t="s">
        <v>743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K686" t="s">
        <v>10</v>
      </c>
      <c r="L686" t="s">
        <v>743</v>
      </c>
      <c r="M686" s="1" t="e">
        <f>Tabla32[[#This Row],[BN CARTA]]-#REF!</f>
        <v>#REF!</v>
      </c>
      <c r="N686" s="1" t="e">
        <f>Tabla32[[#This Row],[BN OFICIO]]-#REF!</f>
        <v>#REF!</v>
      </c>
      <c r="O686" s="1" t="e">
        <f>Tabla32[[#This Row],[BN DC]]-#REF!</f>
        <v>#REF!</v>
      </c>
      <c r="P686" s="1" t="e">
        <f>Tabla32[[#This Row],[COLOR CARTA]]-#REF!</f>
        <v>#REF!</v>
      </c>
      <c r="Q686" s="1" t="e">
        <f>Tabla32[[#This Row],[COLOR OFICIO]]-#REF!</f>
        <v>#REF!</v>
      </c>
      <c r="R686" s="1" t="e">
        <f>Tabla32[[#This Row],[ENVIAR]]-#REF!</f>
        <v>#REF!</v>
      </c>
      <c r="S686" s="1" t="e">
        <f>Tabla32[[#This Row],[COPIAR]]-#REF!</f>
        <v>#REF!</v>
      </c>
    </row>
    <row r="687" spans="1:19" x14ac:dyDescent="0.25">
      <c r="A687" t="s">
        <v>10</v>
      </c>
      <c r="B687" t="s">
        <v>744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K687" t="s">
        <v>10</v>
      </c>
      <c r="L687" t="s">
        <v>744</v>
      </c>
      <c r="M687" s="1" t="e">
        <f>Tabla32[[#This Row],[BN CARTA]]-#REF!</f>
        <v>#REF!</v>
      </c>
      <c r="N687" s="1" t="e">
        <f>Tabla32[[#This Row],[BN OFICIO]]-#REF!</f>
        <v>#REF!</v>
      </c>
      <c r="O687" s="1" t="e">
        <f>Tabla32[[#This Row],[BN DC]]-#REF!</f>
        <v>#REF!</v>
      </c>
      <c r="P687" s="1" t="e">
        <f>Tabla32[[#This Row],[COLOR CARTA]]-#REF!</f>
        <v>#REF!</v>
      </c>
      <c r="Q687" s="1" t="e">
        <f>Tabla32[[#This Row],[COLOR OFICIO]]-#REF!</f>
        <v>#REF!</v>
      </c>
      <c r="R687" s="1" t="e">
        <f>Tabla32[[#This Row],[ENVIAR]]-#REF!</f>
        <v>#REF!</v>
      </c>
      <c r="S687" s="1" t="e">
        <f>Tabla32[[#This Row],[COPIAR]]-#REF!</f>
        <v>#REF!</v>
      </c>
    </row>
    <row r="688" spans="1:19" x14ac:dyDescent="0.25">
      <c r="A688" t="s">
        <v>10</v>
      </c>
      <c r="B688" t="s">
        <v>745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K688" t="s">
        <v>10</v>
      </c>
      <c r="L688" t="s">
        <v>745</v>
      </c>
      <c r="M688" s="1" t="e">
        <f>Tabla32[[#This Row],[BN CARTA]]-#REF!</f>
        <v>#REF!</v>
      </c>
      <c r="N688" s="1" t="e">
        <f>Tabla32[[#This Row],[BN OFICIO]]-#REF!</f>
        <v>#REF!</v>
      </c>
      <c r="O688" s="1" t="e">
        <f>Tabla32[[#This Row],[BN DC]]-#REF!</f>
        <v>#REF!</v>
      </c>
      <c r="P688" s="1" t="e">
        <f>Tabla32[[#This Row],[COLOR CARTA]]-#REF!</f>
        <v>#REF!</v>
      </c>
      <c r="Q688" s="1" t="e">
        <f>Tabla32[[#This Row],[COLOR OFICIO]]-#REF!</f>
        <v>#REF!</v>
      </c>
      <c r="R688" s="1" t="e">
        <f>Tabla32[[#This Row],[ENVIAR]]-#REF!</f>
        <v>#REF!</v>
      </c>
      <c r="S688" s="1" t="e">
        <f>Tabla32[[#This Row],[COPIAR]]-#REF!</f>
        <v>#REF!</v>
      </c>
    </row>
    <row r="689" spans="1:19" x14ac:dyDescent="0.25">
      <c r="A689" t="s">
        <v>10</v>
      </c>
      <c r="B689" t="s">
        <v>746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K689" t="s">
        <v>10</v>
      </c>
      <c r="L689" t="s">
        <v>746</v>
      </c>
      <c r="M689" s="1" t="e">
        <f>Tabla32[[#This Row],[BN CARTA]]-#REF!</f>
        <v>#REF!</v>
      </c>
      <c r="N689" s="1" t="e">
        <f>Tabla32[[#This Row],[BN OFICIO]]-#REF!</f>
        <v>#REF!</v>
      </c>
      <c r="O689" s="1" t="e">
        <f>Tabla32[[#This Row],[BN DC]]-#REF!</f>
        <v>#REF!</v>
      </c>
      <c r="P689" s="1" t="e">
        <f>Tabla32[[#This Row],[COLOR CARTA]]-#REF!</f>
        <v>#REF!</v>
      </c>
      <c r="Q689" s="1" t="e">
        <f>Tabla32[[#This Row],[COLOR OFICIO]]-#REF!</f>
        <v>#REF!</v>
      </c>
      <c r="R689" s="1" t="e">
        <f>Tabla32[[#This Row],[ENVIAR]]-#REF!</f>
        <v>#REF!</v>
      </c>
      <c r="S689" s="1" t="e">
        <f>Tabla32[[#This Row],[COPIAR]]-#REF!</f>
        <v>#REF!</v>
      </c>
    </row>
    <row r="690" spans="1:19" x14ac:dyDescent="0.25">
      <c r="A690" t="s">
        <v>10</v>
      </c>
      <c r="B690" t="s">
        <v>747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K690" t="s">
        <v>10</v>
      </c>
      <c r="L690" t="s">
        <v>747</v>
      </c>
      <c r="M690" s="1" t="e">
        <f>Tabla32[[#This Row],[BN CARTA]]-#REF!</f>
        <v>#REF!</v>
      </c>
      <c r="N690" s="1" t="e">
        <f>Tabla32[[#This Row],[BN OFICIO]]-#REF!</f>
        <v>#REF!</v>
      </c>
      <c r="O690" s="1" t="e">
        <f>Tabla32[[#This Row],[BN DC]]-#REF!</f>
        <v>#REF!</v>
      </c>
      <c r="P690" s="1" t="e">
        <f>Tabla32[[#This Row],[COLOR CARTA]]-#REF!</f>
        <v>#REF!</v>
      </c>
      <c r="Q690" s="1" t="e">
        <f>Tabla32[[#This Row],[COLOR OFICIO]]-#REF!</f>
        <v>#REF!</v>
      </c>
      <c r="R690" s="1" t="e">
        <f>Tabla32[[#This Row],[ENVIAR]]-#REF!</f>
        <v>#REF!</v>
      </c>
      <c r="S690" s="1" t="e">
        <f>Tabla32[[#This Row],[COPIAR]]-#REF!</f>
        <v>#REF!</v>
      </c>
    </row>
    <row r="691" spans="1:19" x14ac:dyDescent="0.25">
      <c r="A691" t="s">
        <v>10</v>
      </c>
      <c r="B691" t="s">
        <v>748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K691" t="s">
        <v>10</v>
      </c>
      <c r="L691" t="s">
        <v>748</v>
      </c>
      <c r="M691" s="1" t="e">
        <f>Tabla32[[#This Row],[BN CARTA]]-#REF!</f>
        <v>#REF!</v>
      </c>
      <c r="N691" s="1" t="e">
        <f>Tabla32[[#This Row],[BN OFICIO]]-#REF!</f>
        <v>#REF!</v>
      </c>
      <c r="O691" s="1" t="e">
        <f>Tabla32[[#This Row],[BN DC]]-#REF!</f>
        <v>#REF!</v>
      </c>
      <c r="P691" s="1" t="e">
        <f>Tabla32[[#This Row],[COLOR CARTA]]-#REF!</f>
        <v>#REF!</v>
      </c>
      <c r="Q691" s="1" t="e">
        <f>Tabla32[[#This Row],[COLOR OFICIO]]-#REF!</f>
        <v>#REF!</v>
      </c>
      <c r="R691" s="1" t="e">
        <f>Tabla32[[#This Row],[ENVIAR]]-#REF!</f>
        <v>#REF!</v>
      </c>
      <c r="S691" s="1" t="e">
        <f>Tabla32[[#This Row],[COPIAR]]-#REF!</f>
        <v>#REF!</v>
      </c>
    </row>
    <row r="692" spans="1:19" x14ac:dyDescent="0.25">
      <c r="A692" t="s">
        <v>10</v>
      </c>
      <c r="B692" t="s">
        <v>749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K692" t="s">
        <v>10</v>
      </c>
      <c r="L692" t="s">
        <v>749</v>
      </c>
      <c r="M692" s="1" t="e">
        <f>Tabla32[[#This Row],[BN CARTA]]-#REF!</f>
        <v>#REF!</v>
      </c>
      <c r="N692" s="1" t="e">
        <f>Tabla32[[#This Row],[BN OFICIO]]-#REF!</f>
        <v>#REF!</v>
      </c>
      <c r="O692" s="1" t="e">
        <f>Tabla32[[#This Row],[BN DC]]-#REF!</f>
        <v>#REF!</v>
      </c>
      <c r="P692" s="1" t="e">
        <f>Tabla32[[#This Row],[COLOR CARTA]]-#REF!</f>
        <v>#REF!</v>
      </c>
      <c r="Q692" s="1" t="e">
        <f>Tabla32[[#This Row],[COLOR OFICIO]]-#REF!</f>
        <v>#REF!</v>
      </c>
      <c r="R692" s="1" t="e">
        <f>Tabla32[[#This Row],[ENVIAR]]-#REF!</f>
        <v>#REF!</v>
      </c>
      <c r="S692" s="1" t="e">
        <f>Tabla32[[#This Row],[COPIAR]]-#REF!</f>
        <v>#REF!</v>
      </c>
    </row>
    <row r="693" spans="1:19" x14ac:dyDescent="0.25">
      <c r="A693" t="s">
        <v>226</v>
      </c>
      <c r="B693" t="s">
        <v>750</v>
      </c>
      <c r="C693">
        <v>59</v>
      </c>
      <c r="D693">
        <v>5</v>
      </c>
      <c r="E693">
        <v>0</v>
      </c>
      <c r="F693">
        <v>0</v>
      </c>
      <c r="G693">
        <v>0</v>
      </c>
      <c r="H693">
        <v>0</v>
      </c>
      <c r="I693">
        <v>0</v>
      </c>
      <c r="K693" t="s">
        <v>226</v>
      </c>
      <c r="L693" t="s">
        <v>750</v>
      </c>
      <c r="M693" s="1" t="e">
        <f>Tabla32[[#This Row],[BN CARTA]]-#REF!</f>
        <v>#REF!</v>
      </c>
      <c r="N693" s="1" t="e">
        <f>Tabla32[[#This Row],[BN OFICIO]]-#REF!</f>
        <v>#REF!</v>
      </c>
      <c r="O693" s="1" t="e">
        <f>Tabla32[[#This Row],[BN DC]]-#REF!</f>
        <v>#REF!</v>
      </c>
      <c r="P693" s="1" t="e">
        <f>Tabla32[[#This Row],[COLOR CARTA]]-#REF!</f>
        <v>#REF!</v>
      </c>
      <c r="Q693" s="1" t="e">
        <f>Tabla32[[#This Row],[COLOR OFICIO]]-#REF!</f>
        <v>#REF!</v>
      </c>
      <c r="R693" s="1" t="e">
        <f>Tabla32[[#This Row],[ENVIAR]]-#REF!</f>
        <v>#REF!</v>
      </c>
      <c r="S693" s="1" t="e">
        <f>Tabla32[[#This Row],[COPIAR]]-#REF!</f>
        <v>#REF!</v>
      </c>
    </row>
    <row r="694" spans="1:19" x14ac:dyDescent="0.25">
      <c r="A694" t="s">
        <v>10</v>
      </c>
      <c r="B694" t="s">
        <v>751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K694" t="s">
        <v>10</v>
      </c>
      <c r="L694" t="s">
        <v>751</v>
      </c>
      <c r="M694" s="1" t="e">
        <f>Tabla32[[#This Row],[BN CARTA]]-#REF!</f>
        <v>#REF!</v>
      </c>
      <c r="N694" s="1" t="e">
        <f>Tabla32[[#This Row],[BN OFICIO]]-#REF!</f>
        <v>#REF!</v>
      </c>
      <c r="O694" s="1" t="e">
        <f>Tabla32[[#This Row],[BN DC]]-#REF!</f>
        <v>#REF!</v>
      </c>
      <c r="P694" s="1" t="e">
        <f>Tabla32[[#This Row],[COLOR CARTA]]-#REF!</f>
        <v>#REF!</v>
      </c>
      <c r="Q694" s="1" t="e">
        <f>Tabla32[[#This Row],[COLOR OFICIO]]-#REF!</f>
        <v>#REF!</v>
      </c>
      <c r="R694" s="1" t="e">
        <f>Tabla32[[#This Row],[ENVIAR]]-#REF!</f>
        <v>#REF!</v>
      </c>
      <c r="S694" s="1" t="e">
        <f>Tabla32[[#This Row],[COPIAR]]-#REF!</f>
        <v>#REF!</v>
      </c>
    </row>
    <row r="695" spans="1:19" x14ac:dyDescent="0.25">
      <c r="A695" t="s">
        <v>10</v>
      </c>
      <c r="B695" t="s">
        <v>752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K695" t="s">
        <v>10</v>
      </c>
      <c r="L695" t="s">
        <v>752</v>
      </c>
      <c r="M695" s="1" t="e">
        <f>Tabla32[[#This Row],[BN CARTA]]-#REF!</f>
        <v>#REF!</v>
      </c>
      <c r="N695" s="1" t="e">
        <f>Tabla32[[#This Row],[BN OFICIO]]-#REF!</f>
        <v>#REF!</v>
      </c>
      <c r="O695" s="1" t="e">
        <f>Tabla32[[#This Row],[BN DC]]-#REF!</f>
        <v>#REF!</v>
      </c>
      <c r="P695" s="1" t="e">
        <f>Tabla32[[#This Row],[COLOR CARTA]]-#REF!</f>
        <v>#REF!</v>
      </c>
      <c r="Q695" s="1" t="e">
        <f>Tabla32[[#This Row],[COLOR OFICIO]]-#REF!</f>
        <v>#REF!</v>
      </c>
      <c r="R695" s="1" t="e">
        <f>Tabla32[[#This Row],[ENVIAR]]-#REF!</f>
        <v>#REF!</v>
      </c>
      <c r="S695" s="1" t="e">
        <f>Tabla32[[#This Row],[COPIAR]]-#REF!</f>
        <v>#REF!</v>
      </c>
    </row>
    <row r="696" spans="1:19" x14ac:dyDescent="0.25">
      <c r="A696" t="s">
        <v>69</v>
      </c>
      <c r="B696" t="s">
        <v>753</v>
      </c>
      <c r="C696">
        <v>1171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K696" t="s">
        <v>69</v>
      </c>
      <c r="L696" t="s">
        <v>753</v>
      </c>
      <c r="M696" s="1" t="e">
        <f>Tabla32[[#This Row],[BN CARTA]]-#REF!</f>
        <v>#REF!</v>
      </c>
      <c r="N696" s="1" t="e">
        <f>Tabla32[[#This Row],[BN OFICIO]]-#REF!</f>
        <v>#REF!</v>
      </c>
      <c r="O696" s="1" t="e">
        <f>Tabla32[[#This Row],[BN DC]]-#REF!</f>
        <v>#REF!</v>
      </c>
      <c r="P696" s="1" t="e">
        <f>Tabla32[[#This Row],[COLOR CARTA]]-#REF!</f>
        <v>#REF!</v>
      </c>
      <c r="Q696" s="1" t="e">
        <f>Tabla32[[#This Row],[COLOR OFICIO]]-#REF!</f>
        <v>#REF!</v>
      </c>
      <c r="R696" s="1" t="e">
        <f>Tabla32[[#This Row],[ENVIAR]]-#REF!</f>
        <v>#REF!</v>
      </c>
      <c r="S696" s="1" t="e">
        <f>Tabla32[[#This Row],[COPIAR]]-#REF!</f>
        <v>#REF!</v>
      </c>
    </row>
    <row r="697" spans="1:19" x14ac:dyDescent="0.25">
      <c r="A697" t="s">
        <v>10</v>
      </c>
      <c r="B697" t="s">
        <v>754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K697" t="s">
        <v>10</v>
      </c>
      <c r="L697" t="s">
        <v>754</v>
      </c>
      <c r="M697" s="1" t="e">
        <f>Tabla32[[#This Row],[BN CARTA]]-#REF!</f>
        <v>#REF!</v>
      </c>
      <c r="N697" s="1" t="e">
        <f>Tabla32[[#This Row],[BN OFICIO]]-#REF!</f>
        <v>#REF!</v>
      </c>
      <c r="O697" s="1" t="e">
        <f>Tabla32[[#This Row],[BN DC]]-#REF!</f>
        <v>#REF!</v>
      </c>
      <c r="P697" s="1" t="e">
        <f>Tabla32[[#This Row],[COLOR CARTA]]-#REF!</f>
        <v>#REF!</v>
      </c>
      <c r="Q697" s="1" t="e">
        <f>Tabla32[[#This Row],[COLOR OFICIO]]-#REF!</f>
        <v>#REF!</v>
      </c>
      <c r="R697" s="1" t="e">
        <f>Tabla32[[#This Row],[ENVIAR]]-#REF!</f>
        <v>#REF!</v>
      </c>
      <c r="S697" s="1" t="e">
        <f>Tabla32[[#This Row],[COPIAR]]-#REF!</f>
        <v>#REF!</v>
      </c>
    </row>
    <row r="698" spans="1:19" x14ac:dyDescent="0.25">
      <c r="A698" t="s">
        <v>10</v>
      </c>
      <c r="B698" t="s">
        <v>755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K698" t="s">
        <v>10</v>
      </c>
      <c r="L698" t="s">
        <v>755</v>
      </c>
      <c r="M698" s="1" t="e">
        <f>Tabla32[[#This Row],[BN CARTA]]-#REF!</f>
        <v>#REF!</v>
      </c>
      <c r="N698" s="1" t="e">
        <f>Tabla32[[#This Row],[BN OFICIO]]-#REF!</f>
        <v>#REF!</v>
      </c>
      <c r="O698" s="1" t="e">
        <f>Tabla32[[#This Row],[BN DC]]-#REF!</f>
        <v>#REF!</v>
      </c>
      <c r="P698" s="1" t="e">
        <f>Tabla32[[#This Row],[COLOR CARTA]]-#REF!</f>
        <v>#REF!</v>
      </c>
      <c r="Q698" s="1" t="e">
        <f>Tabla32[[#This Row],[COLOR OFICIO]]-#REF!</f>
        <v>#REF!</v>
      </c>
      <c r="R698" s="1" t="e">
        <f>Tabla32[[#This Row],[ENVIAR]]-#REF!</f>
        <v>#REF!</v>
      </c>
      <c r="S698" s="1" t="e">
        <f>Tabla32[[#This Row],[COPIAR]]-#REF!</f>
        <v>#REF!</v>
      </c>
    </row>
    <row r="699" spans="1:19" x14ac:dyDescent="0.25">
      <c r="A699" t="s">
        <v>10</v>
      </c>
      <c r="B699" t="s">
        <v>756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K699" t="s">
        <v>10</v>
      </c>
      <c r="L699" t="s">
        <v>756</v>
      </c>
      <c r="M699" s="1" t="e">
        <f>Tabla32[[#This Row],[BN CARTA]]-#REF!</f>
        <v>#REF!</v>
      </c>
      <c r="N699" s="1" t="e">
        <f>Tabla32[[#This Row],[BN OFICIO]]-#REF!</f>
        <v>#REF!</v>
      </c>
      <c r="O699" s="1" t="e">
        <f>Tabla32[[#This Row],[BN DC]]-#REF!</f>
        <v>#REF!</v>
      </c>
      <c r="P699" s="1" t="e">
        <f>Tabla32[[#This Row],[COLOR CARTA]]-#REF!</f>
        <v>#REF!</v>
      </c>
      <c r="Q699" s="1" t="e">
        <f>Tabla32[[#This Row],[COLOR OFICIO]]-#REF!</f>
        <v>#REF!</v>
      </c>
      <c r="R699" s="1" t="e">
        <f>Tabla32[[#This Row],[ENVIAR]]-#REF!</f>
        <v>#REF!</v>
      </c>
      <c r="S699" s="1" t="e">
        <f>Tabla32[[#This Row],[COPIAR]]-#REF!</f>
        <v>#REF!</v>
      </c>
    </row>
    <row r="700" spans="1:19" x14ac:dyDescent="0.25">
      <c r="A700" t="s">
        <v>120</v>
      </c>
      <c r="B700" t="s">
        <v>757</v>
      </c>
      <c r="C700">
        <v>581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K700" t="s">
        <v>120</v>
      </c>
      <c r="L700" t="s">
        <v>757</v>
      </c>
      <c r="M700" s="1" t="e">
        <f>Tabla32[[#This Row],[BN CARTA]]-#REF!</f>
        <v>#REF!</v>
      </c>
      <c r="N700" s="1" t="e">
        <f>Tabla32[[#This Row],[BN OFICIO]]-#REF!</f>
        <v>#REF!</v>
      </c>
      <c r="O700" s="1" t="e">
        <f>Tabla32[[#This Row],[BN DC]]-#REF!</f>
        <v>#REF!</v>
      </c>
      <c r="P700" s="1" t="e">
        <f>Tabla32[[#This Row],[COLOR CARTA]]-#REF!</f>
        <v>#REF!</v>
      </c>
      <c r="Q700" s="1" t="e">
        <f>Tabla32[[#This Row],[COLOR OFICIO]]-#REF!</f>
        <v>#REF!</v>
      </c>
      <c r="R700" s="1" t="e">
        <f>Tabla32[[#This Row],[ENVIAR]]-#REF!</f>
        <v>#REF!</v>
      </c>
      <c r="S700" s="1" t="e">
        <f>Tabla32[[#This Row],[COPIAR]]-#REF!</f>
        <v>#REF!</v>
      </c>
    </row>
    <row r="701" spans="1:19" x14ac:dyDescent="0.25">
      <c r="A701" t="s">
        <v>10</v>
      </c>
      <c r="B701" t="s">
        <v>758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K701" t="s">
        <v>10</v>
      </c>
      <c r="L701" t="s">
        <v>758</v>
      </c>
      <c r="M701" s="1" t="e">
        <f>Tabla32[[#This Row],[BN CARTA]]-#REF!</f>
        <v>#REF!</v>
      </c>
      <c r="N701" s="1" t="e">
        <f>Tabla32[[#This Row],[BN OFICIO]]-#REF!</f>
        <v>#REF!</v>
      </c>
      <c r="O701" s="1" t="e">
        <f>Tabla32[[#This Row],[BN DC]]-#REF!</f>
        <v>#REF!</v>
      </c>
      <c r="P701" s="1" t="e">
        <f>Tabla32[[#This Row],[COLOR CARTA]]-#REF!</f>
        <v>#REF!</v>
      </c>
      <c r="Q701" s="1" t="e">
        <f>Tabla32[[#This Row],[COLOR OFICIO]]-#REF!</f>
        <v>#REF!</v>
      </c>
      <c r="R701" s="1" t="e">
        <f>Tabla32[[#This Row],[ENVIAR]]-#REF!</f>
        <v>#REF!</v>
      </c>
      <c r="S701" s="1" t="e">
        <f>Tabla32[[#This Row],[COPIAR]]-#REF!</f>
        <v>#REF!</v>
      </c>
    </row>
    <row r="702" spans="1:19" x14ac:dyDescent="0.25">
      <c r="A702" t="s">
        <v>146</v>
      </c>
      <c r="B702" t="s">
        <v>759</v>
      </c>
      <c r="C702">
        <v>433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K702" t="s">
        <v>146</v>
      </c>
      <c r="L702" t="s">
        <v>759</v>
      </c>
      <c r="M702" s="1" t="e">
        <f>Tabla32[[#This Row],[BN CARTA]]-#REF!</f>
        <v>#REF!</v>
      </c>
      <c r="N702" s="1" t="e">
        <f>Tabla32[[#This Row],[BN OFICIO]]-#REF!</f>
        <v>#REF!</v>
      </c>
      <c r="O702" s="1" t="e">
        <f>Tabla32[[#This Row],[BN DC]]-#REF!</f>
        <v>#REF!</v>
      </c>
      <c r="P702" s="1" t="e">
        <f>Tabla32[[#This Row],[COLOR CARTA]]-#REF!</f>
        <v>#REF!</v>
      </c>
      <c r="Q702" s="1" t="e">
        <f>Tabla32[[#This Row],[COLOR OFICIO]]-#REF!</f>
        <v>#REF!</v>
      </c>
      <c r="R702" s="1" t="e">
        <f>Tabla32[[#This Row],[ENVIAR]]-#REF!</f>
        <v>#REF!</v>
      </c>
      <c r="S702" s="1" t="e">
        <f>Tabla32[[#This Row],[COPIAR]]-#REF!</f>
        <v>#REF!</v>
      </c>
    </row>
    <row r="703" spans="1:19" x14ac:dyDescent="0.25">
      <c r="A703" t="s">
        <v>10</v>
      </c>
      <c r="B703" t="s">
        <v>760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K703" t="s">
        <v>10</v>
      </c>
      <c r="L703" t="s">
        <v>760</v>
      </c>
      <c r="M703" s="1" t="e">
        <f>Tabla32[[#This Row],[BN CARTA]]-#REF!</f>
        <v>#REF!</v>
      </c>
      <c r="N703" s="1" t="e">
        <f>Tabla32[[#This Row],[BN OFICIO]]-#REF!</f>
        <v>#REF!</v>
      </c>
      <c r="O703" s="1" t="e">
        <f>Tabla32[[#This Row],[BN DC]]-#REF!</f>
        <v>#REF!</v>
      </c>
      <c r="P703" s="1" t="e">
        <f>Tabla32[[#This Row],[COLOR CARTA]]-#REF!</f>
        <v>#REF!</v>
      </c>
      <c r="Q703" s="1" t="e">
        <f>Tabla32[[#This Row],[COLOR OFICIO]]-#REF!</f>
        <v>#REF!</v>
      </c>
      <c r="R703" s="1" t="e">
        <f>Tabla32[[#This Row],[ENVIAR]]-#REF!</f>
        <v>#REF!</v>
      </c>
      <c r="S703" s="1" t="e">
        <f>Tabla32[[#This Row],[COPIAR]]-#REF!</f>
        <v>#REF!</v>
      </c>
    </row>
    <row r="704" spans="1:19" x14ac:dyDescent="0.25">
      <c r="A704" t="s">
        <v>10</v>
      </c>
      <c r="B704" t="s">
        <v>761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K704" t="s">
        <v>10</v>
      </c>
      <c r="L704" t="s">
        <v>761</v>
      </c>
      <c r="M704" s="1" t="e">
        <f>Tabla32[[#This Row],[BN CARTA]]-#REF!</f>
        <v>#REF!</v>
      </c>
      <c r="N704" s="1" t="e">
        <f>Tabla32[[#This Row],[BN OFICIO]]-#REF!</f>
        <v>#REF!</v>
      </c>
      <c r="O704" s="1" t="e">
        <f>Tabla32[[#This Row],[BN DC]]-#REF!</f>
        <v>#REF!</v>
      </c>
      <c r="P704" s="1" t="e">
        <f>Tabla32[[#This Row],[COLOR CARTA]]-#REF!</f>
        <v>#REF!</v>
      </c>
      <c r="Q704" s="1" t="e">
        <f>Tabla32[[#This Row],[COLOR OFICIO]]-#REF!</f>
        <v>#REF!</v>
      </c>
      <c r="R704" s="1" t="e">
        <f>Tabla32[[#This Row],[ENVIAR]]-#REF!</f>
        <v>#REF!</v>
      </c>
      <c r="S704" s="1" t="e">
        <f>Tabla32[[#This Row],[COPIAR]]-#REF!</f>
        <v>#REF!</v>
      </c>
    </row>
    <row r="705" spans="1:19" x14ac:dyDescent="0.25">
      <c r="A705" t="s">
        <v>10</v>
      </c>
      <c r="B705" t="s">
        <v>762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K705" t="s">
        <v>10</v>
      </c>
      <c r="L705" t="s">
        <v>762</v>
      </c>
      <c r="M705" s="1" t="e">
        <f>Tabla32[[#This Row],[BN CARTA]]-#REF!</f>
        <v>#REF!</v>
      </c>
      <c r="N705" s="1" t="e">
        <f>Tabla32[[#This Row],[BN OFICIO]]-#REF!</f>
        <v>#REF!</v>
      </c>
      <c r="O705" s="1" t="e">
        <f>Tabla32[[#This Row],[BN DC]]-#REF!</f>
        <v>#REF!</v>
      </c>
      <c r="P705" s="1" t="e">
        <f>Tabla32[[#This Row],[COLOR CARTA]]-#REF!</f>
        <v>#REF!</v>
      </c>
      <c r="Q705" s="1" t="e">
        <f>Tabla32[[#This Row],[COLOR OFICIO]]-#REF!</f>
        <v>#REF!</v>
      </c>
      <c r="R705" s="1" t="e">
        <f>Tabla32[[#This Row],[ENVIAR]]-#REF!</f>
        <v>#REF!</v>
      </c>
      <c r="S705" s="1" t="e">
        <f>Tabla32[[#This Row],[COPIAR]]-#REF!</f>
        <v>#REF!</v>
      </c>
    </row>
    <row r="706" spans="1:19" x14ac:dyDescent="0.25">
      <c r="A706" t="s">
        <v>138</v>
      </c>
      <c r="B706" t="s">
        <v>763</v>
      </c>
      <c r="C706">
        <v>1331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K706" t="s">
        <v>138</v>
      </c>
      <c r="L706" t="s">
        <v>763</v>
      </c>
      <c r="M706" s="1" t="e">
        <f>Tabla32[[#This Row],[BN CARTA]]-#REF!</f>
        <v>#REF!</v>
      </c>
      <c r="N706" s="1" t="e">
        <f>Tabla32[[#This Row],[BN OFICIO]]-#REF!</f>
        <v>#REF!</v>
      </c>
      <c r="O706" s="1" t="e">
        <f>Tabla32[[#This Row],[BN DC]]-#REF!</f>
        <v>#REF!</v>
      </c>
      <c r="P706" s="1" t="e">
        <f>Tabla32[[#This Row],[COLOR CARTA]]-#REF!</f>
        <v>#REF!</v>
      </c>
      <c r="Q706" s="1" t="e">
        <f>Tabla32[[#This Row],[COLOR OFICIO]]-#REF!</f>
        <v>#REF!</v>
      </c>
      <c r="R706" s="1" t="e">
        <f>Tabla32[[#This Row],[ENVIAR]]-#REF!</f>
        <v>#REF!</v>
      </c>
      <c r="S706" s="1" t="e">
        <f>Tabla32[[#This Row],[COPIAR]]-#REF!</f>
        <v>#REF!</v>
      </c>
    </row>
    <row r="707" spans="1:19" x14ac:dyDescent="0.25">
      <c r="A707" t="s">
        <v>10</v>
      </c>
      <c r="B707" t="s">
        <v>764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K707" t="s">
        <v>10</v>
      </c>
      <c r="L707" t="s">
        <v>764</v>
      </c>
      <c r="M707" s="1" t="e">
        <f>Tabla32[[#This Row],[BN CARTA]]-#REF!</f>
        <v>#REF!</v>
      </c>
      <c r="N707" s="1" t="e">
        <f>Tabla32[[#This Row],[BN OFICIO]]-#REF!</f>
        <v>#REF!</v>
      </c>
      <c r="O707" s="1" t="e">
        <f>Tabla32[[#This Row],[BN DC]]-#REF!</f>
        <v>#REF!</v>
      </c>
      <c r="P707" s="1" t="e">
        <f>Tabla32[[#This Row],[COLOR CARTA]]-#REF!</f>
        <v>#REF!</v>
      </c>
      <c r="Q707" s="1" t="e">
        <f>Tabla32[[#This Row],[COLOR OFICIO]]-#REF!</f>
        <v>#REF!</v>
      </c>
      <c r="R707" s="1" t="e">
        <f>Tabla32[[#This Row],[ENVIAR]]-#REF!</f>
        <v>#REF!</v>
      </c>
      <c r="S707" s="1" t="e">
        <f>Tabla32[[#This Row],[COPIAR]]-#REF!</f>
        <v>#REF!</v>
      </c>
    </row>
    <row r="708" spans="1:19" x14ac:dyDescent="0.25">
      <c r="A708" t="s">
        <v>10</v>
      </c>
      <c r="B708" t="s">
        <v>765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K708" t="s">
        <v>10</v>
      </c>
      <c r="L708" t="s">
        <v>765</v>
      </c>
      <c r="M708" s="1" t="e">
        <f>Tabla32[[#This Row],[BN CARTA]]-#REF!</f>
        <v>#REF!</v>
      </c>
      <c r="N708" s="1" t="e">
        <f>Tabla32[[#This Row],[BN OFICIO]]-#REF!</f>
        <v>#REF!</v>
      </c>
      <c r="O708" s="1" t="e">
        <f>Tabla32[[#This Row],[BN DC]]-#REF!</f>
        <v>#REF!</v>
      </c>
      <c r="P708" s="1" t="e">
        <f>Tabla32[[#This Row],[COLOR CARTA]]-#REF!</f>
        <v>#REF!</v>
      </c>
      <c r="Q708" s="1" t="e">
        <f>Tabla32[[#This Row],[COLOR OFICIO]]-#REF!</f>
        <v>#REF!</v>
      </c>
      <c r="R708" s="1" t="e">
        <f>Tabla32[[#This Row],[ENVIAR]]-#REF!</f>
        <v>#REF!</v>
      </c>
      <c r="S708" s="1" t="e">
        <f>Tabla32[[#This Row],[COPIAR]]-#REF!</f>
        <v>#REF!</v>
      </c>
    </row>
    <row r="709" spans="1:19" x14ac:dyDescent="0.25">
      <c r="A709" t="s">
        <v>10</v>
      </c>
      <c r="B709" t="s">
        <v>766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K709" t="s">
        <v>10</v>
      </c>
      <c r="L709" t="s">
        <v>766</v>
      </c>
      <c r="M709" s="1" t="e">
        <f>Tabla32[[#This Row],[BN CARTA]]-#REF!</f>
        <v>#REF!</v>
      </c>
      <c r="N709" s="1" t="e">
        <f>Tabla32[[#This Row],[BN OFICIO]]-#REF!</f>
        <v>#REF!</v>
      </c>
      <c r="O709" s="1" t="e">
        <f>Tabla32[[#This Row],[BN DC]]-#REF!</f>
        <v>#REF!</v>
      </c>
      <c r="P709" s="1" t="e">
        <f>Tabla32[[#This Row],[COLOR CARTA]]-#REF!</f>
        <v>#REF!</v>
      </c>
      <c r="Q709" s="1" t="e">
        <f>Tabla32[[#This Row],[COLOR OFICIO]]-#REF!</f>
        <v>#REF!</v>
      </c>
      <c r="R709" s="1" t="e">
        <f>Tabla32[[#This Row],[ENVIAR]]-#REF!</f>
        <v>#REF!</v>
      </c>
      <c r="S709" s="1" t="e">
        <f>Tabla32[[#This Row],[COPIAR]]-#REF!</f>
        <v>#REF!</v>
      </c>
    </row>
    <row r="710" spans="1:19" x14ac:dyDescent="0.25">
      <c r="A710" t="s">
        <v>131</v>
      </c>
      <c r="B710" t="s">
        <v>767</v>
      </c>
      <c r="C710">
        <v>282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K710" t="s">
        <v>131</v>
      </c>
      <c r="L710" t="s">
        <v>767</v>
      </c>
      <c r="M710" s="1" t="e">
        <f>Tabla32[[#This Row],[BN CARTA]]-#REF!</f>
        <v>#REF!</v>
      </c>
      <c r="N710" s="1" t="e">
        <f>Tabla32[[#This Row],[BN OFICIO]]-#REF!</f>
        <v>#REF!</v>
      </c>
      <c r="O710" s="1" t="e">
        <f>Tabla32[[#This Row],[BN DC]]-#REF!</f>
        <v>#REF!</v>
      </c>
      <c r="P710" s="1" t="e">
        <f>Tabla32[[#This Row],[COLOR CARTA]]-#REF!</f>
        <v>#REF!</v>
      </c>
      <c r="Q710" s="1" t="e">
        <f>Tabla32[[#This Row],[COLOR OFICIO]]-#REF!</f>
        <v>#REF!</v>
      </c>
      <c r="R710" s="1" t="e">
        <f>Tabla32[[#This Row],[ENVIAR]]-#REF!</f>
        <v>#REF!</v>
      </c>
      <c r="S710" s="1" t="e">
        <f>Tabla32[[#This Row],[COPIAR]]-#REF!</f>
        <v>#REF!</v>
      </c>
    </row>
    <row r="711" spans="1:19" x14ac:dyDescent="0.25">
      <c r="A711" t="s">
        <v>76</v>
      </c>
      <c r="B711" t="s">
        <v>768</v>
      </c>
      <c r="C711">
        <v>401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K711" t="s">
        <v>76</v>
      </c>
      <c r="L711" t="s">
        <v>768</v>
      </c>
      <c r="M711" s="1" t="e">
        <f>Tabla32[[#This Row],[BN CARTA]]-#REF!</f>
        <v>#REF!</v>
      </c>
      <c r="N711" s="1" t="e">
        <f>Tabla32[[#This Row],[BN OFICIO]]-#REF!</f>
        <v>#REF!</v>
      </c>
      <c r="O711" s="1" t="e">
        <f>Tabla32[[#This Row],[BN DC]]-#REF!</f>
        <v>#REF!</v>
      </c>
      <c r="P711" s="1" t="e">
        <f>Tabla32[[#This Row],[COLOR CARTA]]-#REF!</f>
        <v>#REF!</v>
      </c>
      <c r="Q711" s="1" t="e">
        <f>Tabla32[[#This Row],[COLOR OFICIO]]-#REF!</f>
        <v>#REF!</v>
      </c>
      <c r="R711" s="1" t="e">
        <f>Tabla32[[#This Row],[ENVIAR]]-#REF!</f>
        <v>#REF!</v>
      </c>
      <c r="S711" s="1" t="e">
        <f>Tabla32[[#This Row],[COPIAR]]-#REF!</f>
        <v>#REF!</v>
      </c>
    </row>
    <row r="712" spans="1:19" x14ac:dyDescent="0.25">
      <c r="A712" t="s">
        <v>101</v>
      </c>
      <c r="B712" t="s">
        <v>769</v>
      </c>
      <c r="C712">
        <v>805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K712" t="s">
        <v>101</v>
      </c>
      <c r="L712" t="s">
        <v>769</v>
      </c>
      <c r="M712" s="1" t="e">
        <f>Tabla32[[#This Row],[BN CARTA]]-#REF!</f>
        <v>#REF!</v>
      </c>
      <c r="N712" s="1" t="e">
        <f>Tabla32[[#This Row],[BN OFICIO]]-#REF!</f>
        <v>#REF!</v>
      </c>
      <c r="O712" s="1" t="e">
        <f>Tabla32[[#This Row],[BN DC]]-#REF!</f>
        <v>#REF!</v>
      </c>
      <c r="P712" s="1" t="e">
        <f>Tabla32[[#This Row],[COLOR CARTA]]-#REF!</f>
        <v>#REF!</v>
      </c>
      <c r="Q712" s="1" t="e">
        <f>Tabla32[[#This Row],[COLOR OFICIO]]-#REF!</f>
        <v>#REF!</v>
      </c>
      <c r="R712" s="1" t="e">
        <f>Tabla32[[#This Row],[ENVIAR]]-#REF!</f>
        <v>#REF!</v>
      </c>
      <c r="S712" s="1" t="e">
        <f>Tabla32[[#This Row],[COPIAR]]-#REF!</f>
        <v>#REF!</v>
      </c>
    </row>
    <row r="713" spans="1:19" x14ac:dyDescent="0.25">
      <c r="A713" t="s">
        <v>150</v>
      </c>
      <c r="B713" t="s">
        <v>770</v>
      </c>
      <c r="C713">
        <v>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K713" t="s">
        <v>150</v>
      </c>
      <c r="L713" t="s">
        <v>770</v>
      </c>
      <c r="M713" s="1" t="e">
        <f>Tabla32[[#This Row],[BN CARTA]]-#REF!</f>
        <v>#REF!</v>
      </c>
      <c r="N713" s="1" t="e">
        <f>Tabla32[[#This Row],[BN OFICIO]]-#REF!</f>
        <v>#REF!</v>
      </c>
      <c r="O713" s="1" t="e">
        <f>Tabla32[[#This Row],[BN DC]]-#REF!</f>
        <v>#REF!</v>
      </c>
      <c r="P713" s="1" t="e">
        <f>Tabla32[[#This Row],[COLOR CARTA]]-#REF!</f>
        <v>#REF!</v>
      </c>
      <c r="Q713" s="1" t="e">
        <f>Tabla32[[#This Row],[COLOR OFICIO]]-#REF!</f>
        <v>#REF!</v>
      </c>
      <c r="R713" s="1" t="e">
        <f>Tabla32[[#This Row],[ENVIAR]]-#REF!</f>
        <v>#REF!</v>
      </c>
      <c r="S713" s="1" t="e">
        <f>Tabla32[[#This Row],[COPIAR]]-#REF!</f>
        <v>#REF!</v>
      </c>
    </row>
    <row r="714" spans="1:19" x14ac:dyDescent="0.25">
      <c r="A714" t="s">
        <v>10</v>
      </c>
      <c r="B714" t="s">
        <v>771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K714" t="s">
        <v>10</v>
      </c>
      <c r="L714" t="s">
        <v>771</v>
      </c>
      <c r="M714" s="1" t="e">
        <f>Tabla32[[#This Row],[BN CARTA]]-#REF!</f>
        <v>#REF!</v>
      </c>
      <c r="N714" s="1" t="e">
        <f>Tabla32[[#This Row],[BN OFICIO]]-#REF!</f>
        <v>#REF!</v>
      </c>
      <c r="O714" s="1" t="e">
        <f>Tabla32[[#This Row],[BN DC]]-#REF!</f>
        <v>#REF!</v>
      </c>
      <c r="P714" s="1" t="e">
        <f>Tabla32[[#This Row],[COLOR CARTA]]-#REF!</f>
        <v>#REF!</v>
      </c>
      <c r="Q714" s="1" t="e">
        <f>Tabla32[[#This Row],[COLOR OFICIO]]-#REF!</f>
        <v>#REF!</v>
      </c>
      <c r="R714" s="1" t="e">
        <f>Tabla32[[#This Row],[ENVIAR]]-#REF!</f>
        <v>#REF!</v>
      </c>
      <c r="S714" s="1" t="e">
        <f>Tabla32[[#This Row],[COPIAR]]-#REF!</f>
        <v>#REF!</v>
      </c>
    </row>
    <row r="715" spans="1:19" x14ac:dyDescent="0.25">
      <c r="A715" t="s">
        <v>10</v>
      </c>
      <c r="B715" t="s">
        <v>772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K715" t="s">
        <v>10</v>
      </c>
      <c r="L715" t="s">
        <v>772</v>
      </c>
      <c r="M715" s="1" t="e">
        <f>Tabla32[[#This Row],[BN CARTA]]-#REF!</f>
        <v>#REF!</v>
      </c>
      <c r="N715" s="1" t="e">
        <f>Tabla32[[#This Row],[BN OFICIO]]-#REF!</f>
        <v>#REF!</v>
      </c>
      <c r="O715" s="1" t="e">
        <f>Tabla32[[#This Row],[BN DC]]-#REF!</f>
        <v>#REF!</v>
      </c>
      <c r="P715" s="1" t="e">
        <f>Tabla32[[#This Row],[COLOR CARTA]]-#REF!</f>
        <v>#REF!</v>
      </c>
      <c r="Q715" s="1" t="e">
        <f>Tabla32[[#This Row],[COLOR OFICIO]]-#REF!</f>
        <v>#REF!</v>
      </c>
      <c r="R715" s="1" t="e">
        <f>Tabla32[[#This Row],[ENVIAR]]-#REF!</f>
        <v>#REF!</v>
      </c>
      <c r="S715" s="1" t="e">
        <f>Tabla32[[#This Row],[COPIAR]]-#REF!</f>
        <v>#REF!</v>
      </c>
    </row>
    <row r="716" spans="1:19" x14ac:dyDescent="0.25">
      <c r="A716" t="s">
        <v>10</v>
      </c>
      <c r="B716" t="s">
        <v>773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K716" t="s">
        <v>10</v>
      </c>
      <c r="L716" t="s">
        <v>773</v>
      </c>
      <c r="M716" s="1" t="e">
        <f>Tabla32[[#This Row],[BN CARTA]]-#REF!</f>
        <v>#REF!</v>
      </c>
      <c r="N716" s="1" t="e">
        <f>Tabla32[[#This Row],[BN OFICIO]]-#REF!</f>
        <v>#REF!</v>
      </c>
      <c r="O716" s="1" t="e">
        <f>Tabla32[[#This Row],[BN DC]]-#REF!</f>
        <v>#REF!</v>
      </c>
      <c r="P716" s="1" t="e">
        <f>Tabla32[[#This Row],[COLOR CARTA]]-#REF!</f>
        <v>#REF!</v>
      </c>
      <c r="Q716" s="1" t="e">
        <f>Tabla32[[#This Row],[COLOR OFICIO]]-#REF!</f>
        <v>#REF!</v>
      </c>
      <c r="R716" s="1" t="e">
        <f>Tabla32[[#This Row],[ENVIAR]]-#REF!</f>
        <v>#REF!</v>
      </c>
      <c r="S716" s="1" t="e">
        <f>Tabla32[[#This Row],[COPIAR]]-#REF!</f>
        <v>#REF!</v>
      </c>
    </row>
    <row r="717" spans="1:19" x14ac:dyDescent="0.25">
      <c r="A717" t="s">
        <v>10</v>
      </c>
      <c r="B717" t="s">
        <v>774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K717" t="s">
        <v>10</v>
      </c>
      <c r="L717" t="s">
        <v>774</v>
      </c>
      <c r="M717" s="1" t="e">
        <f>Tabla32[[#This Row],[BN CARTA]]-#REF!</f>
        <v>#REF!</v>
      </c>
      <c r="N717" s="1" t="e">
        <f>Tabla32[[#This Row],[BN OFICIO]]-#REF!</f>
        <v>#REF!</v>
      </c>
      <c r="O717" s="1" t="e">
        <f>Tabla32[[#This Row],[BN DC]]-#REF!</f>
        <v>#REF!</v>
      </c>
      <c r="P717" s="1" t="e">
        <f>Tabla32[[#This Row],[COLOR CARTA]]-#REF!</f>
        <v>#REF!</v>
      </c>
      <c r="Q717" s="1" t="e">
        <f>Tabla32[[#This Row],[COLOR OFICIO]]-#REF!</f>
        <v>#REF!</v>
      </c>
      <c r="R717" s="1" t="e">
        <f>Tabla32[[#This Row],[ENVIAR]]-#REF!</f>
        <v>#REF!</v>
      </c>
      <c r="S717" s="1" t="e">
        <f>Tabla32[[#This Row],[COPIAR]]-#REF!</f>
        <v>#REF!</v>
      </c>
    </row>
    <row r="718" spans="1:19" x14ac:dyDescent="0.25">
      <c r="A718" t="s">
        <v>10</v>
      </c>
      <c r="B718" t="s">
        <v>775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K718" t="s">
        <v>10</v>
      </c>
      <c r="L718" t="s">
        <v>775</v>
      </c>
      <c r="M718" s="1" t="e">
        <f>Tabla32[[#This Row],[BN CARTA]]-#REF!</f>
        <v>#REF!</v>
      </c>
      <c r="N718" s="1" t="e">
        <f>Tabla32[[#This Row],[BN OFICIO]]-#REF!</f>
        <v>#REF!</v>
      </c>
      <c r="O718" s="1" t="e">
        <f>Tabla32[[#This Row],[BN DC]]-#REF!</f>
        <v>#REF!</v>
      </c>
      <c r="P718" s="1" t="e">
        <f>Tabla32[[#This Row],[COLOR CARTA]]-#REF!</f>
        <v>#REF!</v>
      </c>
      <c r="Q718" s="1" t="e">
        <f>Tabla32[[#This Row],[COLOR OFICIO]]-#REF!</f>
        <v>#REF!</v>
      </c>
      <c r="R718" s="1" t="e">
        <f>Tabla32[[#This Row],[ENVIAR]]-#REF!</f>
        <v>#REF!</v>
      </c>
      <c r="S718" s="1" t="e">
        <f>Tabla32[[#This Row],[COPIAR]]-#REF!</f>
        <v>#REF!</v>
      </c>
    </row>
    <row r="719" spans="1:19" x14ac:dyDescent="0.25">
      <c r="A719" t="s">
        <v>10</v>
      </c>
      <c r="B719" t="s">
        <v>776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K719" t="s">
        <v>10</v>
      </c>
      <c r="L719" t="s">
        <v>776</v>
      </c>
      <c r="M719" s="1" t="e">
        <f>Tabla32[[#This Row],[BN CARTA]]-#REF!</f>
        <v>#REF!</v>
      </c>
      <c r="N719" s="1" t="e">
        <f>Tabla32[[#This Row],[BN OFICIO]]-#REF!</f>
        <v>#REF!</v>
      </c>
      <c r="O719" s="1" t="e">
        <f>Tabla32[[#This Row],[BN DC]]-#REF!</f>
        <v>#REF!</v>
      </c>
      <c r="P719" s="1" t="e">
        <f>Tabla32[[#This Row],[COLOR CARTA]]-#REF!</f>
        <v>#REF!</v>
      </c>
      <c r="Q719" s="1" t="e">
        <f>Tabla32[[#This Row],[COLOR OFICIO]]-#REF!</f>
        <v>#REF!</v>
      </c>
      <c r="R719" s="1" t="e">
        <f>Tabla32[[#This Row],[ENVIAR]]-#REF!</f>
        <v>#REF!</v>
      </c>
      <c r="S719" s="1" t="e">
        <f>Tabla32[[#This Row],[COPIAR]]-#REF!</f>
        <v>#REF!</v>
      </c>
    </row>
    <row r="720" spans="1:19" x14ac:dyDescent="0.25">
      <c r="A720" t="s">
        <v>10</v>
      </c>
      <c r="B720" t="s">
        <v>777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K720" t="s">
        <v>10</v>
      </c>
      <c r="L720" t="s">
        <v>777</v>
      </c>
      <c r="M720" s="1" t="e">
        <f>Tabla32[[#This Row],[BN CARTA]]-#REF!</f>
        <v>#REF!</v>
      </c>
      <c r="N720" s="1" t="e">
        <f>Tabla32[[#This Row],[BN OFICIO]]-#REF!</f>
        <v>#REF!</v>
      </c>
      <c r="O720" s="1" t="e">
        <f>Tabla32[[#This Row],[BN DC]]-#REF!</f>
        <v>#REF!</v>
      </c>
      <c r="P720" s="1" t="e">
        <f>Tabla32[[#This Row],[COLOR CARTA]]-#REF!</f>
        <v>#REF!</v>
      </c>
      <c r="Q720" s="1" t="e">
        <f>Tabla32[[#This Row],[COLOR OFICIO]]-#REF!</f>
        <v>#REF!</v>
      </c>
      <c r="R720" s="1" t="e">
        <f>Tabla32[[#This Row],[ENVIAR]]-#REF!</f>
        <v>#REF!</v>
      </c>
      <c r="S720" s="1" t="e">
        <f>Tabla32[[#This Row],[COPIAR]]-#REF!</f>
        <v>#REF!</v>
      </c>
    </row>
    <row r="721" spans="1:19" x14ac:dyDescent="0.25">
      <c r="A721" t="s">
        <v>10</v>
      </c>
      <c r="B721" t="s">
        <v>778</v>
      </c>
      <c r="K721" t="s">
        <v>10</v>
      </c>
      <c r="L721" t="s">
        <v>778</v>
      </c>
      <c r="M721" s="1" t="e">
        <f>Tabla32[[#This Row],[BN CARTA]]-#REF!</f>
        <v>#REF!</v>
      </c>
      <c r="N721" t="e">
        <f>Tabla32[[#This Row],[BN OFICIO]]-#REF!</f>
        <v>#REF!</v>
      </c>
      <c r="O721" t="e">
        <f>Tabla32[[#This Row],[BN DC]]-#REF!</f>
        <v>#REF!</v>
      </c>
      <c r="P721" t="e">
        <f>Tabla32[[#This Row],[COLOR CARTA]]-#REF!</f>
        <v>#REF!</v>
      </c>
      <c r="Q721" t="e">
        <f>Tabla32[[#This Row],[COLOR OFICIO]]-#REF!</f>
        <v>#REF!</v>
      </c>
      <c r="R721" t="e">
        <f>Tabla32[[#This Row],[ENVIAR]]-#REF!</f>
        <v>#REF!</v>
      </c>
      <c r="S721" t="e">
        <f>Tabla32[[#This Row],[COPIAR]]-#REF!</f>
        <v>#REF!</v>
      </c>
    </row>
    <row r="722" spans="1:19" x14ac:dyDescent="0.25">
      <c r="A722" t="s">
        <v>10</v>
      </c>
      <c r="B722" t="s">
        <v>779</v>
      </c>
      <c r="K722" t="s">
        <v>10</v>
      </c>
      <c r="L722" t="s">
        <v>779</v>
      </c>
      <c r="M722" s="57" t="e">
        <f>Tabla32[[#This Row],[BN CARTA]]-#REF!</f>
        <v>#REF!</v>
      </c>
      <c r="N722" t="e">
        <f>Tabla32[[#This Row],[BN OFICIO]]-#REF!</f>
        <v>#REF!</v>
      </c>
      <c r="O722" t="e">
        <f>Tabla32[[#This Row],[BN DC]]-#REF!</f>
        <v>#REF!</v>
      </c>
      <c r="P722" t="e">
        <f>Tabla32[[#This Row],[COLOR CARTA]]-#REF!</f>
        <v>#REF!</v>
      </c>
      <c r="Q722" t="e">
        <f>Tabla32[[#This Row],[COLOR OFICIO]]-#REF!</f>
        <v>#REF!</v>
      </c>
      <c r="R722" t="e">
        <f>Tabla32[[#This Row],[ENVIAR]]-#REF!</f>
        <v>#REF!</v>
      </c>
      <c r="S722" t="e">
        <f>Tabla32[[#This Row],[COPIAR]]-#REF!</f>
        <v>#REF!</v>
      </c>
    </row>
    <row r="723" spans="1:19" x14ac:dyDescent="0.25">
      <c r="A723" t="s">
        <v>10</v>
      </c>
      <c r="B723" t="s">
        <v>780</v>
      </c>
      <c r="K723" t="s">
        <v>10</v>
      </c>
      <c r="L723" t="s">
        <v>780</v>
      </c>
      <c r="M723" s="1" t="e">
        <f>Tabla32[[#This Row],[BN CARTA]]-#REF!</f>
        <v>#REF!</v>
      </c>
      <c r="N723" t="e">
        <f>Tabla32[[#This Row],[BN OFICIO]]-#REF!</f>
        <v>#REF!</v>
      </c>
      <c r="O723" t="e">
        <f>Tabla32[[#This Row],[BN DC]]-#REF!</f>
        <v>#REF!</v>
      </c>
      <c r="P723" t="e">
        <f>Tabla32[[#This Row],[COLOR CARTA]]-#REF!</f>
        <v>#REF!</v>
      </c>
      <c r="Q723" t="e">
        <f>Tabla32[[#This Row],[COLOR OFICIO]]-#REF!</f>
        <v>#REF!</v>
      </c>
      <c r="R723" t="e">
        <f>Tabla32[[#This Row],[ENVIAR]]-#REF!</f>
        <v>#REF!</v>
      </c>
      <c r="S723" t="e">
        <f>Tabla32[[#This Row],[COPIAR]]-#REF!</f>
        <v>#REF!</v>
      </c>
    </row>
    <row r="724" spans="1:19" x14ac:dyDescent="0.25">
      <c r="A724" t="s">
        <v>10</v>
      </c>
      <c r="B724" t="s">
        <v>781</v>
      </c>
      <c r="K724" t="s">
        <v>10</v>
      </c>
      <c r="L724" t="s">
        <v>781</v>
      </c>
      <c r="M724" s="1" t="e">
        <f>Tabla32[[#This Row],[BN CARTA]]-#REF!</f>
        <v>#REF!</v>
      </c>
      <c r="N724" t="e">
        <f>Tabla32[[#This Row],[BN OFICIO]]-#REF!</f>
        <v>#REF!</v>
      </c>
      <c r="O724" t="e">
        <f>Tabla32[[#This Row],[BN DC]]-#REF!</f>
        <v>#REF!</v>
      </c>
      <c r="P724" t="e">
        <f>Tabla32[[#This Row],[COLOR CARTA]]-#REF!</f>
        <v>#REF!</v>
      </c>
      <c r="Q724" t="e">
        <f>Tabla32[[#This Row],[COLOR OFICIO]]-#REF!</f>
        <v>#REF!</v>
      </c>
      <c r="R724" t="e">
        <f>Tabla32[[#This Row],[ENVIAR]]-#REF!</f>
        <v>#REF!</v>
      </c>
      <c r="S724" t="e">
        <f>Tabla32[[#This Row],[COPIAR]]-#REF!</f>
        <v>#REF!</v>
      </c>
    </row>
    <row r="725" spans="1:19" x14ac:dyDescent="0.25">
      <c r="A725" t="s">
        <v>10</v>
      </c>
      <c r="B725" t="s">
        <v>782</v>
      </c>
      <c r="K725" t="s">
        <v>10</v>
      </c>
      <c r="L725" t="s">
        <v>782</v>
      </c>
      <c r="M725" s="1" t="e">
        <f>Tabla32[[#This Row],[BN CARTA]]-#REF!</f>
        <v>#REF!</v>
      </c>
      <c r="N725" t="e">
        <f>Tabla32[[#This Row],[BN OFICIO]]-#REF!</f>
        <v>#REF!</v>
      </c>
      <c r="O725" t="e">
        <f>Tabla32[[#This Row],[BN DC]]-#REF!</f>
        <v>#REF!</v>
      </c>
      <c r="P725" t="e">
        <f>Tabla32[[#This Row],[COLOR CARTA]]-#REF!</f>
        <v>#REF!</v>
      </c>
      <c r="Q725" t="e">
        <f>Tabla32[[#This Row],[COLOR OFICIO]]-#REF!</f>
        <v>#REF!</v>
      </c>
      <c r="R725" t="e">
        <f>Tabla32[[#This Row],[ENVIAR]]-#REF!</f>
        <v>#REF!</v>
      </c>
      <c r="S725" t="e">
        <f>Tabla32[[#This Row],[COPIAR]]-#REF!</f>
        <v>#REF!</v>
      </c>
    </row>
    <row r="726" spans="1:19" x14ac:dyDescent="0.25">
      <c r="A726" t="s">
        <v>10</v>
      </c>
      <c r="B726" t="s">
        <v>783</v>
      </c>
      <c r="K726" t="s">
        <v>10</v>
      </c>
      <c r="L726" t="s">
        <v>783</v>
      </c>
      <c r="M726" s="1" t="e">
        <f>Tabla32[[#This Row],[BN CARTA]]-#REF!</f>
        <v>#REF!</v>
      </c>
      <c r="N726" t="e">
        <f>Tabla32[[#This Row],[BN OFICIO]]-#REF!</f>
        <v>#REF!</v>
      </c>
      <c r="O726" t="e">
        <f>Tabla32[[#This Row],[BN DC]]-#REF!</f>
        <v>#REF!</v>
      </c>
      <c r="P726" t="e">
        <f>Tabla32[[#This Row],[COLOR CARTA]]-#REF!</f>
        <v>#REF!</v>
      </c>
      <c r="Q726" t="e">
        <f>Tabla32[[#This Row],[COLOR OFICIO]]-#REF!</f>
        <v>#REF!</v>
      </c>
      <c r="R726" t="e">
        <f>Tabla32[[#This Row],[ENVIAR]]-#REF!</f>
        <v>#REF!</v>
      </c>
      <c r="S726" t="e">
        <f>Tabla32[[#This Row],[COPIAR]]-#REF!</f>
        <v>#REF!</v>
      </c>
    </row>
    <row r="727" spans="1:19" x14ac:dyDescent="0.25">
      <c r="A727" t="s">
        <v>10</v>
      </c>
      <c r="B727" t="s">
        <v>784</v>
      </c>
      <c r="K727" t="s">
        <v>10</v>
      </c>
      <c r="L727" t="s">
        <v>784</v>
      </c>
      <c r="M727" s="1" t="e">
        <f>Tabla32[[#This Row],[BN CARTA]]-#REF!</f>
        <v>#REF!</v>
      </c>
      <c r="N727" t="e">
        <f>Tabla32[[#This Row],[BN OFICIO]]-#REF!</f>
        <v>#REF!</v>
      </c>
      <c r="O727" t="e">
        <f>Tabla32[[#This Row],[BN DC]]-#REF!</f>
        <v>#REF!</v>
      </c>
      <c r="P727" t="e">
        <f>Tabla32[[#This Row],[COLOR CARTA]]-#REF!</f>
        <v>#REF!</v>
      </c>
      <c r="Q727" t="e">
        <f>Tabla32[[#This Row],[COLOR OFICIO]]-#REF!</f>
        <v>#REF!</v>
      </c>
      <c r="R727" t="e">
        <f>Tabla32[[#This Row],[ENVIAR]]-#REF!</f>
        <v>#REF!</v>
      </c>
      <c r="S727" t="e">
        <f>Tabla32[[#This Row],[COPIAR]]-#REF!</f>
        <v>#REF!</v>
      </c>
    </row>
    <row r="728" spans="1:19" x14ac:dyDescent="0.25">
      <c r="A728" t="s">
        <v>10</v>
      </c>
      <c r="B728" t="s">
        <v>785</v>
      </c>
      <c r="K728" t="s">
        <v>10</v>
      </c>
      <c r="L728" t="s">
        <v>785</v>
      </c>
      <c r="M728" s="1" t="e">
        <f>Tabla32[[#This Row],[BN CARTA]]-#REF!</f>
        <v>#REF!</v>
      </c>
      <c r="N728" t="e">
        <f>Tabla32[[#This Row],[BN OFICIO]]-#REF!</f>
        <v>#REF!</v>
      </c>
      <c r="O728" t="e">
        <f>Tabla32[[#This Row],[BN DC]]-#REF!</f>
        <v>#REF!</v>
      </c>
      <c r="P728" t="e">
        <f>Tabla32[[#This Row],[COLOR CARTA]]-#REF!</f>
        <v>#REF!</v>
      </c>
      <c r="Q728" t="e">
        <f>Tabla32[[#This Row],[COLOR OFICIO]]-#REF!</f>
        <v>#REF!</v>
      </c>
      <c r="R728" t="e">
        <f>Tabla32[[#This Row],[ENVIAR]]-#REF!</f>
        <v>#REF!</v>
      </c>
      <c r="S728" t="e">
        <f>Tabla32[[#This Row],[COPIAR]]-#REF!</f>
        <v>#REF!</v>
      </c>
    </row>
    <row r="729" spans="1:19" x14ac:dyDescent="0.25">
      <c r="A729" t="s">
        <v>10</v>
      </c>
      <c r="B729" t="s">
        <v>786</v>
      </c>
      <c r="K729" t="s">
        <v>10</v>
      </c>
      <c r="L729" t="s">
        <v>786</v>
      </c>
      <c r="M729" s="1" t="e">
        <f>Tabla32[[#This Row],[BN CARTA]]-#REF!</f>
        <v>#REF!</v>
      </c>
      <c r="N729" t="e">
        <f>Tabla32[[#This Row],[BN OFICIO]]-#REF!</f>
        <v>#REF!</v>
      </c>
      <c r="O729" t="e">
        <f>Tabla32[[#This Row],[BN DC]]-#REF!</f>
        <v>#REF!</v>
      </c>
      <c r="P729" t="e">
        <f>Tabla32[[#This Row],[COLOR CARTA]]-#REF!</f>
        <v>#REF!</v>
      </c>
      <c r="Q729" t="e">
        <f>Tabla32[[#This Row],[COLOR OFICIO]]-#REF!</f>
        <v>#REF!</v>
      </c>
      <c r="R729" t="e">
        <f>Tabla32[[#This Row],[ENVIAR]]-#REF!</f>
        <v>#REF!</v>
      </c>
      <c r="S729" t="e">
        <f>Tabla32[[#This Row],[COPIAR]]-#REF!</f>
        <v>#REF!</v>
      </c>
    </row>
    <row r="730" spans="1:19" x14ac:dyDescent="0.25">
      <c r="M730" s="1"/>
      <c r="N730" s="1"/>
      <c r="O730" s="1"/>
      <c r="P730" s="1"/>
      <c r="Q730" s="1"/>
      <c r="R730" s="1"/>
      <c r="S730" s="1"/>
    </row>
  </sheetData>
  <phoneticPr fontId="2" type="noConversion"/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CB3D3-F702-427F-8178-084DAB172A63}">
  <sheetPr>
    <tabColor rgb="FFFFC000"/>
  </sheetPr>
  <dimension ref="A1:AC729"/>
  <sheetViews>
    <sheetView topLeftCell="A445" zoomScaleNormal="100" workbookViewId="0">
      <selection activeCell="A242" sqref="A242:I242"/>
    </sheetView>
  </sheetViews>
  <sheetFormatPr baseColWidth="10" defaultColWidth="11.42578125" defaultRowHeight="15" x14ac:dyDescent="0.25"/>
  <cols>
    <col min="1" max="1" width="11.85546875" bestFit="1" customWidth="1"/>
    <col min="2" max="2" width="13.85546875" bestFit="1" customWidth="1"/>
    <col min="3" max="3" width="12.140625" bestFit="1" customWidth="1"/>
    <col min="4" max="4" width="12.42578125" bestFit="1" customWidth="1"/>
    <col min="5" max="5" width="8.7109375" bestFit="1" customWidth="1"/>
    <col min="6" max="6" width="15.5703125" bestFit="1" customWidth="1"/>
    <col min="7" max="7" width="15.85546875" bestFit="1" customWidth="1"/>
    <col min="8" max="9" width="10" bestFit="1" customWidth="1"/>
    <col min="10" max="10" width="2.140625" customWidth="1"/>
    <col min="11" max="11" width="11.85546875" bestFit="1" customWidth="1"/>
    <col min="12" max="12" width="13.85546875" bestFit="1" customWidth="1"/>
    <col min="13" max="13" width="12.140625" bestFit="1" customWidth="1"/>
    <col min="14" max="14" width="12.42578125" bestFit="1" customWidth="1"/>
    <col min="15" max="15" width="8.7109375" bestFit="1" customWidth="1"/>
    <col min="16" max="16" width="15.5703125" bestFit="1" customWidth="1"/>
    <col min="17" max="17" width="15.85546875" bestFit="1" customWidth="1"/>
    <col min="18" max="19" width="10" bestFit="1" customWidth="1"/>
    <col min="20" max="20" width="2.140625" customWidth="1"/>
    <col min="21" max="21" width="11.85546875" bestFit="1" customWidth="1"/>
    <col min="22" max="22" width="13.85546875" bestFit="1" customWidth="1"/>
    <col min="23" max="23" width="12.5703125" bestFit="1" customWidth="1"/>
    <col min="24" max="24" width="12.42578125" bestFit="1" customWidth="1"/>
    <col min="25" max="25" width="8.7109375" bestFit="1" customWidth="1"/>
    <col min="26" max="26" width="15.5703125" bestFit="1" customWidth="1"/>
    <col min="27" max="27" width="15.85546875" bestFit="1" customWidth="1"/>
    <col min="28" max="28" width="11.5703125" bestFit="1" customWidth="1"/>
    <col min="29" max="29" width="12.57031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U1" t="s">
        <v>0</v>
      </c>
      <c r="V1" t="s">
        <v>1</v>
      </c>
      <c r="W1" t="s">
        <v>2</v>
      </c>
      <c r="X1" t="s">
        <v>3</v>
      </c>
      <c r="Y1" t="s">
        <v>4</v>
      </c>
      <c r="Z1" t="s">
        <v>5</v>
      </c>
      <c r="AA1" t="s">
        <v>6</v>
      </c>
      <c r="AB1" t="s">
        <v>7</v>
      </c>
      <c r="AC1" t="s">
        <v>8</v>
      </c>
    </row>
    <row r="2" spans="1:29" x14ac:dyDescent="0.25">
      <c r="A2" t="s">
        <v>10</v>
      </c>
      <c r="B2" t="s">
        <v>11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K2" t="s">
        <v>10</v>
      </c>
      <c r="L2" t="s">
        <v>11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10</v>
      </c>
      <c r="V2" t="s">
        <v>11</v>
      </c>
      <c r="W2">
        <f>Tabla35[[#This Row],[BN CARTA]]-Tabla34[[#This Row],[BN CARTA]]</f>
        <v>0</v>
      </c>
      <c r="X2">
        <f>Tabla35[[#This Row],[BN OFICIO]]-Tabla34[[#This Row],[BN OFICIO]]</f>
        <v>0</v>
      </c>
      <c r="Y2">
        <f>Tabla35[[#This Row],[BN DC]]-Tabla34[[#This Row],[BN DC]]</f>
        <v>0</v>
      </c>
      <c r="Z2">
        <f>Tabla35[[#This Row],[COLOR CARTA]]-Tabla34[[#This Row],[COLOR CARTA]]</f>
        <v>0</v>
      </c>
      <c r="AA2">
        <f>Tabla35[[#This Row],[COLOR OFICIO]]-Tabla34[[#This Row],[COLOR OFICIO]]</f>
        <v>0</v>
      </c>
      <c r="AB2">
        <f>Tabla35[[#This Row],[ENVIAR]]-Tabla34[[#This Row],[ENVIAR]]</f>
        <v>0</v>
      </c>
      <c r="AC2">
        <f>Tabla35[[#This Row],[COPIAR]]-Tabla34[[#This Row],[COPIAR]]</f>
        <v>0</v>
      </c>
    </row>
    <row r="3" spans="1:29" x14ac:dyDescent="0.25">
      <c r="A3" t="s">
        <v>10</v>
      </c>
      <c r="B3" t="s">
        <v>12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K3" t="s">
        <v>10</v>
      </c>
      <c r="L3" t="s">
        <v>12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U3" t="s">
        <v>10</v>
      </c>
      <c r="V3" t="s">
        <v>12</v>
      </c>
      <c r="W3">
        <f>Tabla35[[#This Row],[BN CARTA]]-Tabla34[[#This Row],[BN CARTA]]</f>
        <v>0</v>
      </c>
      <c r="X3">
        <f>Tabla35[[#This Row],[BN OFICIO]]-Tabla34[[#This Row],[BN OFICIO]]</f>
        <v>0</v>
      </c>
      <c r="Y3">
        <f>Tabla35[[#This Row],[BN DC]]-Tabla34[[#This Row],[BN DC]]</f>
        <v>0</v>
      </c>
      <c r="Z3">
        <f>Tabla35[[#This Row],[COLOR CARTA]]-Tabla34[[#This Row],[COLOR CARTA]]</f>
        <v>0</v>
      </c>
      <c r="AA3">
        <f>Tabla35[[#This Row],[COLOR OFICIO]]-Tabla34[[#This Row],[COLOR OFICIO]]</f>
        <v>0</v>
      </c>
      <c r="AB3">
        <f>Tabla35[[#This Row],[ENVIAR]]-Tabla34[[#This Row],[ENVIAR]]</f>
        <v>0</v>
      </c>
      <c r="AC3">
        <f>Tabla35[[#This Row],[COPIAR]]-Tabla34[[#This Row],[COPIAR]]</f>
        <v>0</v>
      </c>
    </row>
    <row r="4" spans="1:29" x14ac:dyDescent="0.25">
      <c r="A4" t="s">
        <v>10</v>
      </c>
      <c r="B4" t="s">
        <v>13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K4" t="s">
        <v>10</v>
      </c>
      <c r="L4" t="s">
        <v>13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U4" t="s">
        <v>10</v>
      </c>
      <c r="V4" t="s">
        <v>13</v>
      </c>
      <c r="W4">
        <f>Tabla35[[#This Row],[BN CARTA]]-Tabla34[[#This Row],[BN CARTA]]</f>
        <v>0</v>
      </c>
      <c r="X4">
        <f>Tabla35[[#This Row],[BN OFICIO]]-Tabla34[[#This Row],[BN OFICIO]]</f>
        <v>0</v>
      </c>
      <c r="Y4">
        <f>Tabla35[[#This Row],[BN DC]]-Tabla34[[#This Row],[BN DC]]</f>
        <v>0</v>
      </c>
      <c r="Z4">
        <f>Tabla35[[#This Row],[COLOR CARTA]]-Tabla34[[#This Row],[COLOR CARTA]]</f>
        <v>0</v>
      </c>
      <c r="AA4">
        <f>Tabla35[[#This Row],[COLOR OFICIO]]-Tabla34[[#This Row],[COLOR OFICIO]]</f>
        <v>0</v>
      </c>
      <c r="AB4">
        <f>Tabla35[[#This Row],[ENVIAR]]-Tabla34[[#This Row],[ENVIAR]]</f>
        <v>0</v>
      </c>
      <c r="AC4">
        <f>Tabla35[[#This Row],[COPIAR]]-Tabla34[[#This Row],[COPIAR]]</f>
        <v>0</v>
      </c>
    </row>
    <row r="5" spans="1:29" x14ac:dyDescent="0.25">
      <c r="A5" t="s">
        <v>10</v>
      </c>
      <c r="B5" t="s">
        <v>14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K5" t="s">
        <v>10</v>
      </c>
      <c r="L5" t="s">
        <v>14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U5" t="s">
        <v>10</v>
      </c>
      <c r="V5" t="s">
        <v>14</v>
      </c>
      <c r="W5">
        <f>Tabla35[[#This Row],[BN CARTA]]-Tabla34[[#This Row],[BN CARTA]]</f>
        <v>0</v>
      </c>
      <c r="X5">
        <f>Tabla35[[#This Row],[BN OFICIO]]-Tabla34[[#This Row],[BN OFICIO]]</f>
        <v>0</v>
      </c>
      <c r="Y5">
        <f>Tabla35[[#This Row],[BN DC]]-Tabla34[[#This Row],[BN DC]]</f>
        <v>0</v>
      </c>
      <c r="Z5">
        <f>Tabla35[[#This Row],[COLOR CARTA]]-Tabla34[[#This Row],[COLOR CARTA]]</f>
        <v>0</v>
      </c>
      <c r="AA5">
        <f>Tabla35[[#This Row],[COLOR OFICIO]]-Tabla34[[#This Row],[COLOR OFICIO]]</f>
        <v>0</v>
      </c>
      <c r="AB5">
        <f>Tabla35[[#This Row],[ENVIAR]]-Tabla34[[#This Row],[ENVIAR]]</f>
        <v>0</v>
      </c>
      <c r="AC5">
        <f>Tabla35[[#This Row],[COPIAR]]-Tabla34[[#This Row],[COPIAR]]</f>
        <v>0</v>
      </c>
    </row>
    <row r="6" spans="1:29" x14ac:dyDescent="0.25">
      <c r="A6" t="s">
        <v>10</v>
      </c>
      <c r="B6" t="s">
        <v>15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K6" t="s">
        <v>10</v>
      </c>
      <c r="L6" t="s">
        <v>15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U6" t="s">
        <v>10</v>
      </c>
      <c r="V6" t="s">
        <v>15</v>
      </c>
      <c r="W6">
        <f>Tabla35[[#This Row],[BN CARTA]]-Tabla34[[#This Row],[BN CARTA]]</f>
        <v>0</v>
      </c>
      <c r="X6">
        <f>Tabla35[[#This Row],[BN OFICIO]]-Tabla34[[#This Row],[BN OFICIO]]</f>
        <v>0</v>
      </c>
      <c r="Y6">
        <f>Tabla35[[#This Row],[BN DC]]-Tabla34[[#This Row],[BN DC]]</f>
        <v>0</v>
      </c>
      <c r="Z6">
        <f>Tabla35[[#This Row],[COLOR CARTA]]-Tabla34[[#This Row],[COLOR CARTA]]</f>
        <v>0</v>
      </c>
      <c r="AA6">
        <f>Tabla35[[#This Row],[COLOR OFICIO]]-Tabla34[[#This Row],[COLOR OFICIO]]</f>
        <v>0</v>
      </c>
      <c r="AB6">
        <f>Tabla35[[#This Row],[ENVIAR]]-Tabla34[[#This Row],[ENVIAR]]</f>
        <v>0</v>
      </c>
      <c r="AC6">
        <f>Tabla35[[#This Row],[COPIAR]]-Tabla34[[#This Row],[COPIAR]]</f>
        <v>0</v>
      </c>
    </row>
    <row r="7" spans="1:29" x14ac:dyDescent="0.25">
      <c r="A7" t="s">
        <v>10</v>
      </c>
      <c r="B7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K7" t="s">
        <v>10</v>
      </c>
      <c r="L7" t="s">
        <v>16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U7" t="s">
        <v>10</v>
      </c>
      <c r="V7" t="s">
        <v>16</v>
      </c>
      <c r="W7">
        <f>Tabla35[[#This Row],[BN CARTA]]-Tabla34[[#This Row],[BN CARTA]]</f>
        <v>0</v>
      </c>
      <c r="X7">
        <f>Tabla35[[#This Row],[BN OFICIO]]-Tabla34[[#This Row],[BN OFICIO]]</f>
        <v>0</v>
      </c>
      <c r="Y7">
        <f>Tabla35[[#This Row],[BN DC]]-Tabla34[[#This Row],[BN DC]]</f>
        <v>0</v>
      </c>
      <c r="Z7">
        <f>Tabla35[[#This Row],[COLOR CARTA]]-Tabla34[[#This Row],[COLOR CARTA]]</f>
        <v>0</v>
      </c>
      <c r="AA7">
        <f>Tabla35[[#This Row],[COLOR OFICIO]]-Tabla34[[#This Row],[COLOR OFICIO]]</f>
        <v>0</v>
      </c>
      <c r="AB7">
        <f>Tabla35[[#This Row],[ENVIAR]]-Tabla34[[#This Row],[ENVIAR]]</f>
        <v>0</v>
      </c>
      <c r="AC7">
        <f>Tabla35[[#This Row],[COPIAR]]-Tabla34[[#This Row],[COPIAR]]</f>
        <v>0</v>
      </c>
    </row>
    <row r="8" spans="1:29" x14ac:dyDescent="0.25">
      <c r="A8" t="s">
        <v>10</v>
      </c>
      <c r="B8" t="s">
        <v>17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K8" t="s">
        <v>10</v>
      </c>
      <c r="L8" t="s">
        <v>17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U8" t="s">
        <v>10</v>
      </c>
      <c r="V8" t="s">
        <v>17</v>
      </c>
      <c r="W8">
        <f>Tabla35[[#This Row],[BN CARTA]]-Tabla34[[#This Row],[BN CARTA]]</f>
        <v>0</v>
      </c>
      <c r="X8">
        <f>Tabla35[[#This Row],[BN OFICIO]]-Tabla34[[#This Row],[BN OFICIO]]</f>
        <v>0</v>
      </c>
      <c r="Y8">
        <f>Tabla35[[#This Row],[BN DC]]-Tabla34[[#This Row],[BN DC]]</f>
        <v>0</v>
      </c>
      <c r="Z8">
        <f>Tabla35[[#This Row],[COLOR CARTA]]-Tabla34[[#This Row],[COLOR CARTA]]</f>
        <v>0</v>
      </c>
      <c r="AA8">
        <f>Tabla35[[#This Row],[COLOR OFICIO]]-Tabla34[[#This Row],[COLOR OFICIO]]</f>
        <v>0</v>
      </c>
      <c r="AB8">
        <f>Tabla35[[#This Row],[ENVIAR]]-Tabla34[[#This Row],[ENVIAR]]</f>
        <v>0</v>
      </c>
      <c r="AC8">
        <f>Tabla35[[#This Row],[COPIAR]]-Tabla34[[#This Row],[COPIAR]]</f>
        <v>0</v>
      </c>
    </row>
    <row r="9" spans="1:29" x14ac:dyDescent="0.25">
      <c r="A9" t="s">
        <v>10</v>
      </c>
      <c r="B9" t="s">
        <v>18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K9" t="s">
        <v>10</v>
      </c>
      <c r="L9" t="s">
        <v>18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U9" t="s">
        <v>10</v>
      </c>
      <c r="V9" t="s">
        <v>18</v>
      </c>
      <c r="W9">
        <f>Tabla35[[#This Row],[BN CARTA]]-Tabla34[[#This Row],[BN CARTA]]</f>
        <v>0</v>
      </c>
      <c r="X9">
        <f>Tabla35[[#This Row],[BN OFICIO]]-Tabla34[[#This Row],[BN OFICIO]]</f>
        <v>0</v>
      </c>
      <c r="Y9">
        <f>Tabla35[[#This Row],[BN DC]]-Tabla34[[#This Row],[BN DC]]</f>
        <v>0</v>
      </c>
      <c r="Z9">
        <f>Tabla35[[#This Row],[COLOR CARTA]]-Tabla34[[#This Row],[COLOR CARTA]]</f>
        <v>0</v>
      </c>
      <c r="AA9">
        <f>Tabla35[[#This Row],[COLOR OFICIO]]-Tabla34[[#This Row],[COLOR OFICIO]]</f>
        <v>0</v>
      </c>
      <c r="AB9">
        <f>Tabla35[[#This Row],[ENVIAR]]-Tabla34[[#This Row],[ENVIAR]]</f>
        <v>0</v>
      </c>
      <c r="AC9">
        <f>Tabla35[[#This Row],[COPIAR]]-Tabla34[[#This Row],[COPIAR]]</f>
        <v>0</v>
      </c>
    </row>
    <row r="10" spans="1:29" x14ac:dyDescent="0.25">
      <c r="A10" t="s">
        <v>10</v>
      </c>
      <c r="B10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K10" t="s">
        <v>10</v>
      </c>
      <c r="L10" t="s">
        <v>19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U10" t="s">
        <v>10</v>
      </c>
      <c r="V10" t="s">
        <v>19</v>
      </c>
      <c r="W10">
        <f>Tabla35[[#This Row],[BN CARTA]]-Tabla34[[#This Row],[BN CARTA]]</f>
        <v>0</v>
      </c>
      <c r="X10">
        <f>Tabla35[[#This Row],[BN OFICIO]]-Tabla34[[#This Row],[BN OFICIO]]</f>
        <v>0</v>
      </c>
      <c r="Y10">
        <f>Tabla35[[#This Row],[BN DC]]-Tabla34[[#This Row],[BN DC]]</f>
        <v>0</v>
      </c>
      <c r="Z10">
        <f>Tabla35[[#This Row],[COLOR CARTA]]-Tabla34[[#This Row],[COLOR CARTA]]</f>
        <v>0</v>
      </c>
      <c r="AA10">
        <f>Tabla35[[#This Row],[COLOR OFICIO]]-Tabla34[[#This Row],[COLOR OFICIO]]</f>
        <v>0</v>
      </c>
      <c r="AB10">
        <f>Tabla35[[#This Row],[ENVIAR]]-Tabla34[[#This Row],[ENVIAR]]</f>
        <v>0</v>
      </c>
      <c r="AC10">
        <f>Tabla35[[#This Row],[COPIAR]]-Tabla34[[#This Row],[COPIAR]]</f>
        <v>0</v>
      </c>
    </row>
    <row r="11" spans="1:29" x14ac:dyDescent="0.25">
      <c r="A11" t="s">
        <v>10</v>
      </c>
      <c r="B11" t="s">
        <v>20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K11" t="s">
        <v>10</v>
      </c>
      <c r="L11" t="s">
        <v>20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U11" t="s">
        <v>10</v>
      </c>
      <c r="V11" t="s">
        <v>20</v>
      </c>
      <c r="W11">
        <f>Tabla35[[#This Row],[BN CARTA]]-Tabla34[[#This Row],[BN CARTA]]</f>
        <v>0</v>
      </c>
      <c r="X11">
        <f>Tabla35[[#This Row],[BN OFICIO]]-Tabla34[[#This Row],[BN OFICIO]]</f>
        <v>0</v>
      </c>
      <c r="Y11">
        <f>Tabla35[[#This Row],[BN DC]]-Tabla34[[#This Row],[BN DC]]</f>
        <v>0</v>
      </c>
      <c r="Z11">
        <f>Tabla35[[#This Row],[COLOR CARTA]]-Tabla34[[#This Row],[COLOR CARTA]]</f>
        <v>0</v>
      </c>
      <c r="AA11">
        <f>Tabla35[[#This Row],[COLOR OFICIO]]-Tabla34[[#This Row],[COLOR OFICIO]]</f>
        <v>0</v>
      </c>
      <c r="AB11">
        <f>Tabla35[[#This Row],[ENVIAR]]-Tabla34[[#This Row],[ENVIAR]]</f>
        <v>0</v>
      </c>
      <c r="AC11">
        <f>Tabla35[[#This Row],[COPIAR]]-Tabla34[[#This Row],[COPIAR]]</f>
        <v>0</v>
      </c>
    </row>
    <row r="12" spans="1:29" x14ac:dyDescent="0.25">
      <c r="A12" t="s">
        <v>10</v>
      </c>
      <c r="B12" t="s">
        <v>21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K12" t="s">
        <v>10</v>
      </c>
      <c r="L12" t="s">
        <v>21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U12" t="s">
        <v>10</v>
      </c>
      <c r="V12" t="s">
        <v>21</v>
      </c>
      <c r="W12">
        <f>Tabla35[[#This Row],[BN CARTA]]-Tabla34[[#This Row],[BN CARTA]]</f>
        <v>0</v>
      </c>
      <c r="X12">
        <f>Tabla35[[#This Row],[BN OFICIO]]-Tabla34[[#This Row],[BN OFICIO]]</f>
        <v>0</v>
      </c>
      <c r="Y12">
        <f>Tabla35[[#This Row],[BN DC]]-Tabla34[[#This Row],[BN DC]]</f>
        <v>0</v>
      </c>
      <c r="Z12">
        <f>Tabla35[[#This Row],[COLOR CARTA]]-Tabla34[[#This Row],[COLOR CARTA]]</f>
        <v>0</v>
      </c>
      <c r="AA12">
        <f>Tabla35[[#This Row],[COLOR OFICIO]]-Tabla34[[#This Row],[COLOR OFICIO]]</f>
        <v>0</v>
      </c>
      <c r="AB12">
        <f>Tabla35[[#This Row],[ENVIAR]]-Tabla34[[#This Row],[ENVIAR]]</f>
        <v>0</v>
      </c>
      <c r="AC12">
        <f>Tabla35[[#This Row],[COPIAR]]-Tabla34[[#This Row],[COPIAR]]</f>
        <v>0</v>
      </c>
    </row>
    <row r="13" spans="1:29" x14ac:dyDescent="0.25">
      <c r="A13" t="s">
        <v>10</v>
      </c>
      <c r="B13" t="s">
        <v>22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K13" t="s">
        <v>10</v>
      </c>
      <c r="L13" t="s">
        <v>22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U13" t="s">
        <v>10</v>
      </c>
      <c r="V13" t="s">
        <v>22</v>
      </c>
      <c r="W13">
        <f>Tabla35[[#This Row],[BN CARTA]]-Tabla34[[#This Row],[BN CARTA]]</f>
        <v>0</v>
      </c>
      <c r="X13">
        <f>Tabla35[[#This Row],[BN OFICIO]]-Tabla34[[#This Row],[BN OFICIO]]</f>
        <v>0</v>
      </c>
      <c r="Y13">
        <f>Tabla35[[#This Row],[BN DC]]-Tabla34[[#This Row],[BN DC]]</f>
        <v>0</v>
      </c>
      <c r="Z13">
        <f>Tabla35[[#This Row],[COLOR CARTA]]-Tabla34[[#This Row],[COLOR CARTA]]</f>
        <v>0</v>
      </c>
      <c r="AA13">
        <f>Tabla35[[#This Row],[COLOR OFICIO]]-Tabla34[[#This Row],[COLOR OFICIO]]</f>
        <v>0</v>
      </c>
      <c r="AB13">
        <f>Tabla35[[#This Row],[ENVIAR]]-Tabla34[[#This Row],[ENVIAR]]</f>
        <v>0</v>
      </c>
      <c r="AC13">
        <f>Tabla35[[#This Row],[COPIAR]]-Tabla34[[#This Row],[COPIAR]]</f>
        <v>0</v>
      </c>
    </row>
    <row r="14" spans="1:29" x14ac:dyDescent="0.25">
      <c r="A14" t="s">
        <v>10</v>
      </c>
      <c r="B14" t="s">
        <v>23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K14" t="s">
        <v>10</v>
      </c>
      <c r="L14" t="s">
        <v>23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U14" t="s">
        <v>10</v>
      </c>
      <c r="V14" t="s">
        <v>23</v>
      </c>
      <c r="W14">
        <f>Tabla35[[#This Row],[BN CARTA]]-Tabla34[[#This Row],[BN CARTA]]</f>
        <v>0</v>
      </c>
      <c r="X14">
        <f>Tabla35[[#This Row],[BN OFICIO]]-Tabla34[[#This Row],[BN OFICIO]]</f>
        <v>0</v>
      </c>
      <c r="Y14">
        <f>Tabla35[[#This Row],[BN DC]]-Tabla34[[#This Row],[BN DC]]</f>
        <v>0</v>
      </c>
      <c r="Z14">
        <f>Tabla35[[#This Row],[COLOR CARTA]]-Tabla34[[#This Row],[COLOR CARTA]]</f>
        <v>0</v>
      </c>
      <c r="AA14">
        <f>Tabla35[[#This Row],[COLOR OFICIO]]-Tabla34[[#This Row],[COLOR OFICIO]]</f>
        <v>0</v>
      </c>
      <c r="AB14">
        <f>Tabla35[[#This Row],[ENVIAR]]-Tabla34[[#This Row],[ENVIAR]]</f>
        <v>0</v>
      </c>
      <c r="AC14">
        <f>Tabla35[[#This Row],[COPIAR]]-Tabla34[[#This Row],[COPIAR]]</f>
        <v>0</v>
      </c>
    </row>
    <row r="15" spans="1:29" x14ac:dyDescent="0.25">
      <c r="A15" t="s">
        <v>10</v>
      </c>
      <c r="B15" t="s">
        <v>24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K15" t="s">
        <v>10</v>
      </c>
      <c r="L15" t="s">
        <v>24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U15" t="s">
        <v>10</v>
      </c>
      <c r="V15" t="s">
        <v>24</v>
      </c>
      <c r="W15">
        <f>Tabla35[[#This Row],[BN CARTA]]-Tabla34[[#This Row],[BN CARTA]]</f>
        <v>0</v>
      </c>
      <c r="X15">
        <f>Tabla35[[#This Row],[BN OFICIO]]-Tabla34[[#This Row],[BN OFICIO]]</f>
        <v>0</v>
      </c>
      <c r="Y15">
        <f>Tabla35[[#This Row],[BN DC]]-Tabla34[[#This Row],[BN DC]]</f>
        <v>0</v>
      </c>
      <c r="Z15">
        <f>Tabla35[[#This Row],[COLOR CARTA]]-Tabla34[[#This Row],[COLOR CARTA]]</f>
        <v>0</v>
      </c>
      <c r="AA15">
        <f>Tabla35[[#This Row],[COLOR OFICIO]]-Tabla34[[#This Row],[COLOR OFICIO]]</f>
        <v>0</v>
      </c>
      <c r="AB15">
        <f>Tabla35[[#This Row],[ENVIAR]]-Tabla34[[#This Row],[ENVIAR]]</f>
        <v>0</v>
      </c>
      <c r="AC15">
        <f>Tabla35[[#This Row],[COPIAR]]-Tabla34[[#This Row],[COPIAR]]</f>
        <v>0</v>
      </c>
    </row>
    <row r="16" spans="1:29" x14ac:dyDescent="0.25">
      <c r="A16" t="s">
        <v>10</v>
      </c>
      <c r="B16" t="s">
        <v>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K16" t="s">
        <v>10</v>
      </c>
      <c r="L16" t="s">
        <v>25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U16" t="s">
        <v>10</v>
      </c>
      <c r="V16" t="s">
        <v>25</v>
      </c>
      <c r="W16">
        <f>Tabla35[[#This Row],[BN CARTA]]-Tabla34[[#This Row],[BN CARTA]]</f>
        <v>0</v>
      </c>
      <c r="X16">
        <f>Tabla35[[#This Row],[BN OFICIO]]-Tabla34[[#This Row],[BN OFICIO]]</f>
        <v>0</v>
      </c>
      <c r="Y16">
        <f>Tabla35[[#This Row],[BN DC]]-Tabla34[[#This Row],[BN DC]]</f>
        <v>0</v>
      </c>
      <c r="Z16">
        <f>Tabla35[[#This Row],[COLOR CARTA]]-Tabla34[[#This Row],[COLOR CARTA]]</f>
        <v>0</v>
      </c>
      <c r="AA16">
        <f>Tabla35[[#This Row],[COLOR OFICIO]]-Tabla34[[#This Row],[COLOR OFICIO]]</f>
        <v>0</v>
      </c>
      <c r="AB16">
        <f>Tabla35[[#This Row],[ENVIAR]]-Tabla34[[#This Row],[ENVIAR]]</f>
        <v>0</v>
      </c>
      <c r="AC16">
        <f>Tabla35[[#This Row],[COPIAR]]-Tabla34[[#This Row],[COPIAR]]</f>
        <v>0</v>
      </c>
    </row>
    <row r="17" spans="1:29" x14ac:dyDescent="0.25">
      <c r="A17" t="s">
        <v>10</v>
      </c>
      <c r="B17" t="s">
        <v>26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K17" t="s">
        <v>10</v>
      </c>
      <c r="L17" t="s">
        <v>26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U17" t="s">
        <v>10</v>
      </c>
      <c r="V17" t="s">
        <v>26</v>
      </c>
      <c r="W17">
        <f>Tabla35[[#This Row],[BN CARTA]]-Tabla34[[#This Row],[BN CARTA]]</f>
        <v>0</v>
      </c>
      <c r="X17">
        <f>Tabla35[[#This Row],[BN OFICIO]]-Tabla34[[#This Row],[BN OFICIO]]</f>
        <v>0</v>
      </c>
      <c r="Y17">
        <f>Tabla35[[#This Row],[BN DC]]-Tabla34[[#This Row],[BN DC]]</f>
        <v>0</v>
      </c>
      <c r="Z17">
        <f>Tabla35[[#This Row],[COLOR CARTA]]-Tabla34[[#This Row],[COLOR CARTA]]</f>
        <v>0</v>
      </c>
      <c r="AA17">
        <f>Tabla35[[#This Row],[COLOR OFICIO]]-Tabla34[[#This Row],[COLOR OFICIO]]</f>
        <v>0</v>
      </c>
      <c r="AB17">
        <f>Tabla35[[#This Row],[ENVIAR]]-Tabla34[[#This Row],[ENVIAR]]</f>
        <v>0</v>
      </c>
      <c r="AC17">
        <f>Tabla35[[#This Row],[COPIAR]]-Tabla34[[#This Row],[COPIAR]]</f>
        <v>0</v>
      </c>
    </row>
    <row r="18" spans="1:29" x14ac:dyDescent="0.25">
      <c r="A18" t="s">
        <v>10</v>
      </c>
      <c r="B18" t="s">
        <v>27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K18" t="s">
        <v>10</v>
      </c>
      <c r="L18" t="s">
        <v>27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U18" t="s">
        <v>10</v>
      </c>
      <c r="V18" t="s">
        <v>27</v>
      </c>
      <c r="W18">
        <f>Tabla35[[#This Row],[BN CARTA]]-Tabla34[[#This Row],[BN CARTA]]</f>
        <v>0</v>
      </c>
      <c r="X18">
        <f>Tabla35[[#This Row],[BN OFICIO]]-Tabla34[[#This Row],[BN OFICIO]]</f>
        <v>0</v>
      </c>
      <c r="Y18">
        <f>Tabla35[[#This Row],[BN DC]]-Tabla34[[#This Row],[BN DC]]</f>
        <v>0</v>
      </c>
      <c r="Z18">
        <f>Tabla35[[#This Row],[COLOR CARTA]]-Tabla34[[#This Row],[COLOR CARTA]]</f>
        <v>0</v>
      </c>
      <c r="AA18">
        <f>Tabla35[[#This Row],[COLOR OFICIO]]-Tabla34[[#This Row],[COLOR OFICIO]]</f>
        <v>0</v>
      </c>
      <c r="AB18">
        <f>Tabla35[[#This Row],[ENVIAR]]-Tabla34[[#This Row],[ENVIAR]]</f>
        <v>0</v>
      </c>
      <c r="AC18">
        <f>Tabla35[[#This Row],[COPIAR]]-Tabla34[[#This Row],[COPIAR]]</f>
        <v>0</v>
      </c>
    </row>
    <row r="19" spans="1:29" x14ac:dyDescent="0.25">
      <c r="A19" t="s">
        <v>10</v>
      </c>
      <c r="B19" t="s">
        <v>28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K19" t="s">
        <v>10</v>
      </c>
      <c r="L19" t="s">
        <v>28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U19" t="s">
        <v>10</v>
      </c>
      <c r="V19" t="s">
        <v>28</v>
      </c>
      <c r="W19">
        <f>Tabla35[[#This Row],[BN CARTA]]-Tabla34[[#This Row],[BN CARTA]]</f>
        <v>0</v>
      </c>
      <c r="X19">
        <f>Tabla35[[#This Row],[BN OFICIO]]-Tabla34[[#This Row],[BN OFICIO]]</f>
        <v>0</v>
      </c>
      <c r="Y19">
        <f>Tabla35[[#This Row],[BN DC]]-Tabla34[[#This Row],[BN DC]]</f>
        <v>0</v>
      </c>
      <c r="Z19">
        <f>Tabla35[[#This Row],[COLOR CARTA]]-Tabla34[[#This Row],[COLOR CARTA]]</f>
        <v>0</v>
      </c>
      <c r="AA19">
        <f>Tabla35[[#This Row],[COLOR OFICIO]]-Tabla34[[#This Row],[COLOR OFICIO]]</f>
        <v>0</v>
      </c>
      <c r="AB19">
        <f>Tabla35[[#This Row],[ENVIAR]]-Tabla34[[#This Row],[ENVIAR]]</f>
        <v>0</v>
      </c>
      <c r="AC19">
        <f>Tabla35[[#This Row],[COPIAR]]-Tabla34[[#This Row],[COPIAR]]</f>
        <v>0</v>
      </c>
    </row>
    <row r="20" spans="1:29" x14ac:dyDescent="0.25">
      <c r="A20" t="s">
        <v>10</v>
      </c>
      <c r="B20" t="s">
        <v>29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K20" t="s">
        <v>10</v>
      </c>
      <c r="L20" t="s">
        <v>29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U20" t="s">
        <v>10</v>
      </c>
      <c r="V20" t="s">
        <v>29</v>
      </c>
      <c r="W20">
        <f>Tabla35[[#This Row],[BN CARTA]]-Tabla34[[#This Row],[BN CARTA]]</f>
        <v>0</v>
      </c>
      <c r="X20">
        <f>Tabla35[[#This Row],[BN OFICIO]]-Tabla34[[#This Row],[BN OFICIO]]</f>
        <v>0</v>
      </c>
      <c r="Y20">
        <f>Tabla35[[#This Row],[BN DC]]-Tabla34[[#This Row],[BN DC]]</f>
        <v>0</v>
      </c>
      <c r="Z20">
        <f>Tabla35[[#This Row],[COLOR CARTA]]-Tabla34[[#This Row],[COLOR CARTA]]</f>
        <v>0</v>
      </c>
      <c r="AA20">
        <f>Tabla35[[#This Row],[COLOR OFICIO]]-Tabla34[[#This Row],[COLOR OFICIO]]</f>
        <v>0</v>
      </c>
      <c r="AB20">
        <f>Tabla35[[#This Row],[ENVIAR]]-Tabla34[[#This Row],[ENVIAR]]</f>
        <v>0</v>
      </c>
      <c r="AC20">
        <f>Tabla35[[#This Row],[COPIAR]]-Tabla34[[#This Row],[COPIAR]]</f>
        <v>0</v>
      </c>
    </row>
    <row r="21" spans="1:29" x14ac:dyDescent="0.25">
      <c r="A21" t="s">
        <v>10</v>
      </c>
      <c r="B21" t="s">
        <v>30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K21" t="s">
        <v>10</v>
      </c>
      <c r="L21" t="s">
        <v>30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U21" t="s">
        <v>10</v>
      </c>
      <c r="V21" t="s">
        <v>30</v>
      </c>
      <c r="W21">
        <f>Tabla35[[#This Row],[BN CARTA]]-Tabla34[[#This Row],[BN CARTA]]</f>
        <v>0</v>
      </c>
      <c r="X21">
        <f>Tabla35[[#This Row],[BN OFICIO]]-Tabla34[[#This Row],[BN OFICIO]]</f>
        <v>0</v>
      </c>
      <c r="Y21">
        <f>Tabla35[[#This Row],[BN DC]]-Tabla34[[#This Row],[BN DC]]</f>
        <v>0</v>
      </c>
      <c r="Z21">
        <f>Tabla35[[#This Row],[COLOR CARTA]]-Tabla34[[#This Row],[COLOR CARTA]]</f>
        <v>0</v>
      </c>
      <c r="AA21">
        <f>Tabla35[[#This Row],[COLOR OFICIO]]-Tabla34[[#This Row],[COLOR OFICIO]]</f>
        <v>0</v>
      </c>
      <c r="AB21">
        <f>Tabla35[[#This Row],[ENVIAR]]-Tabla34[[#This Row],[ENVIAR]]</f>
        <v>0</v>
      </c>
      <c r="AC21">
        <f>Tabla35[[#This Row],[COPIAR]]-Tabla34[[#This Row],[COPIAR]]</f>
        <v>0</v>
      </c>
    </row>
    <row r="22" spans="1:29" x14ac:dyDescent="0.25">
      <c r="A22" t="s">
        <v>31</v>
      </c>
      <c r="B22" t="s">
        <v>32</v>
      </c>
      <c r="C22">
        <v>1567</v>
      </c>
      <c r="D22">
        <v>0</v>
      </c>
      <c r="E22">
        <v>0</v>
      </c>
      <c r="F22">
        <v>0</v>
      </c>
      <c r="G22">
        <v>0</v>
      </c>
      <c r="H22">
        <v>352</v>
      </c>
      <c r="I22">
        <v>147</v>
      </c>
      <c r="K22" t="s">
        <v>31</v>
      </c>
      <c r="L22" t="s">
        <v>32</v>
      </c>
      <c r="M22">
        <v>2220</v>
      </c>
      <c r="N22">
        <v>0</v>
      </c>
      <c r="O22">
        <v>0</v>
      </c>
      <c r="P22">
        <v>0</v>
      </c>
      <c r="Q22">
        <v>0</v>
      </c>
      <c r="R22">
        <v>1151</v>
      </c>
      <c r="S22">
        <v>234</v>
      </c>
      <c r="U22" t="s">
        <v>31</v>
      </c>
      <c r="V22" t="s">
        <v>32</v>
      </c>
      <c r="W22">
        <f>Tabla35[[#This Row],[BN CARTA]]-Tabla34[[#This Row],[BN CARTA]]</f>
        <v>653</v>
      </c>
      <c r="X22">
        <f>Tabla35[[#This Row],[BN OFICIO]]-Tabla34[[#This Row],[BN OFICIO]]</f>
        <v>0</v>
      </c>
      <c r="Y22">
        <f>Tabla35[[#This Row],[BN DC]]-Tabla34[[#This Row],[BN DC]]</f>
        <v>0</v>
      </c>
      <c r="Z22">
        <f>Tabla35[[#This Row],[COLOR CARTA]]-Tabla34[[#This Row],[COLOR CARTA]]</f>
        <v>0</v>
      </c>
      <c r="AA22">
        <f>Tabla35[[#This Row],[COLOR OFICIO]]-Tabla34[[#This Row],[COLOR OFICIO]]</f>
        <v>0</v>
      </c>
      <c r="AB22">
        <f>Tabla35[[#This Row],[ENVIAR]]-Tabla34[[#This Row],[ENVIAR]]</f>
        <v>799</v>
      </c>
      <c r="AC22">
        <f>Tabla35[[#This Row],[COPIAR]]-Tabla34[[#This Row],[COPIAR]]</f>
        <v>87</v>
      </c>
    </row>
    <row r="23" spans="1:29" x14ac:dyDescent="0.25">
      <c r="A23" t="s">
        <v>33</v>
      </c>
      <c r="B23" t="s">
        <v>34</v>
      </c>
      <c r="C23">
        <v>413</v>
      </c>
      <c r="D23">
        <v>0</v>
      </c>
      <c r="E23">
        <v>0</v>
      </c>
      <c r="F23">
        <v>0</v>
      </c>
      <c r="G23">
        <v>0</v>
      </c>
      <c r="H23">
        <v>212</v>
      </c>
      <c r="I23">
        <v>451</v>
      </c>
      <c r="K23" t="s">
        <v>33</v>
      </c>
      <c r="L23" t="s">
        <v>34</v>
      </c>
      <c r="M23">
        <v>413</v>
      </c>
      <c r="N23">
        <v>0</v>
      </c>
      <c r="O23">
        <v>0</v>
      </c>
      <c r="P23">
        <v>0</v>
      </c>
      <c r="Q23">
        <v>0</v>
      </c>
      <c r="R23">
        <v>212</v>
      </c>
      <c r="S23">
        <v>451</v>
      </c>
      <c r="U23" t="s">
        <v>33</v>
      </c>
      <c r="V23" t="s">
        <v>34</v>
      </c>
      <c r="W23">
        <f>Tabla35[[#This Row],[BN CARTA]]-Tabla34[[#This Row],[BN CARTA]]</f>
        <v>0</v>
      </c>
      <c r="X23">
        <f>Tabla35[[#This Row],[BN OFICIO]]-Tabla34[[#This Row],[BN OFICIO]]</f>
        <v>0</v>
      </c>
      <c r="Y23">
        <f>Tabla35[[#This Row],[BN DC]]-Tabla34[[#This Row],[BN DC]]</f>
        <v>0</v>
      </c>
      <c r="Z23">
        <f>Tabla35[[#This Row],[COLOR CARTA]]-Tabla34[[#This Row],[COLOR CARTA]]</f>
        <v>0</v>
      </c>
      <c r="AA23">
        <f>Tabla35[[#This Row],[COLOR OFICIO]]-Tabla34[[#This Row],[COLOR OFICIO]]</f>
        <v>0</v>
      </c>
      <c r="AB23">
        <f>Tabla35[[#This Row],[ENVIAR]]-Tabla34[[#This Row],[ENVIAR]]</f>
        <v>0</v>
      </c>
      <c r="AC23">
        <f>Tabla35[[#This Row],[COPIAR]]-Tabla34[[#This Row],[COPIAR]]</f>
        <v>0</v>
      </c>
    </row>
    <row r="24" spans="1:29" x14ac:dyDescent="0.25">
      <c r="A24" t="s">
        <v>10</v>
      </c>
      <c r="B24" t="s">
        <v>35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K24" t="s">
        <v>150</v>
      </c>
      <c r="L24" t="s">
        <v>35</v>
      </c>
      <c r="M24">
        <v>2308</v>
      </c>
      <c r="N24">
        <v>0</v>
      </c>
      <c r="O24">
        <v>0</v>
      </c>
      <c r="P24">
        <v>0</v>
      </c>
      <c r="Q24">
        <v>0</v>
      </c>
      <c r="R24">
        <v>1038</v>
      </c>
      <c r="S24">
        <v>174</v>
      </c>
      <c r="U24" t="s">
        <v>150</v>
      </c>
      <c r="V24" t="s">
        <v>35</v>
      </c>
      <c r="W24">
        <f>Tabla35[[#This Row],[BN CARTA]]-Tabla34[[#This Row],[BN CARTA]]</f>
        <v>2308</v>
      </c>
      <c r="X24">
        <f>Tabla35[[#This Row],[BN OFICIO]]-Tabla34[[#This Row],[BN OFICIO]]</f>
        <v>0</v>
      </c>
      <c r="Y24">
        <f>Tabla35[[#This Row],[BN DC]]-Tabla34[[#This Row],[BN DC]]</f>
        <v>0</v>
      </c>
      <c r="Z24">
        <f>Tabla35[[#This Row],[COLOR CARTA]]-Tabla34[[#This Row],[COLOR CARTA]]</f>
        <v>0</v>
      </c>
      <c r="AA24">
        <f>Tabla35[[#This Row],[COLOR OFICIO]]-Tabla34[[#This Row],[COLOR OFICIO]]</f>
        <v>0</v>
      </c>
      <c r="AB24">
        <f>Tabla35[[#This Row],[ENVIAR]]-Tabla34[[#This Row],[ENVIAR]]</f>
        <v>1038</v>
      </c>
      <c r="AC24">
        <f>Tabla35[[#This Row],[COPIAR]]-Tabla34[[#This Row],[COPIAR]]</f>
        <v>174</v>
      </c>
    </row>
    <row r="25" spans="1:29" x14ac:dyDescent="0.25">
      <c r="A25" t="s">
        <v>36</v>
      </c>
      <c r="B25" t="s">
        <v>37</v>
      </c>
      <c r="C25">
        <v>553</v>
      </c>
      <c r="D25">
        <v>0</v>
      </c>
      <c r="E25">
        <v>0</v>
      </c>
      <c r="F25">
        <v>0</v>
      </c>
      <c r="G25">
        <v>0</v>
      </c>
      <c r="H25">
        <v>245</v>
      </c>
      <c r="I25">
        <v>67</v>
      </c>
      <c r="K25" t="s">
        <v>36</v>
      </c>
      <c r="L25" t="s">
        <v>37</v>
      </c>
      <c r="M25">
        <v>1548</v>
      </c>
      <c r="N25">
        <v>0</v>
      </c>
      <c r="O25">
        <v>0</v>
      </c>
      <c r="P25">
        <v>0</v>
      </c>
      <c r="Q25">
        <v>0</v>
      </c>
      <c r="R25">
        <v>1162</v>
      </c>
      <c r="S25">
        <v>261</v>
      </c>
      <c r="U25" t="s">
        <v>36</v>
      </c>
      <c r="V25" t="s">
        <v>37</v>
      </c>
      <c r="W25">
        <f>Tabla35[[#This Row],[BN CARTA]]-Tabla34[[#This Row],[BN CARTA]]</f>
        <v>995</v>
      </c>
      <c r="X25">
        <f>Tabla35[[#This Row],[BN OFICIO]]-Tabla34[[#This Row],[BN OFICIO]]</f>
        <v>0</v>
      </c>
      <c r="Y25">
        <f>Tabla35[[#This Row],[BN DC]]-Tabla34[[#This Row],[BN DC]]</f>
        <v>0</v>
      </c>
      <c r="Z25">
        <f>Tabla35[[#This Row],[COLOR CARTA]]-Tabla34[[#This Row],[COLOR CARTA]]</f>
        <v>0</v>
      </c>
      <c r="AA25">
        <f>Tabla35[[#This Row],[COLOR OFICIO]]-Tabla34[[#This Row],[COLOR OFICIO]]</f>
        <v>0</v>
      </c>
      <c r="AB25">
        <f>Tabla35[[#This Row],[ENVIAR]]-Tabla34[[#This Row],[ENVIAR]]</f>
        <v>917</v>
      </c>
      <c r="AC25">
        <f>Tabla35[[#This Row],[COPIAR]]-Tabla34[[#This Row],[COPIAR]]</f>
        <v>194</v>
      </c>
    </row>
    <row r="26" spans="1:29" x14ac:dyDescent="0.25">
      <c r="A26" t="s">
        <v>38</v>
      </c>
      <c r="B26" t="s">
        <v>39</v>
      </c>
      <c r="C26">
        <v>325</v>
      </c>
      <c r="D26">
        <v>0</v>
      </c>
      <c r="E26">
        <v>0</v>
      </c>
      <c r="F26">
        <v>0</v>
      </c>
      <c r="G26">
        <v>0</v>
      </c>
      <c r="H26">
        <v>501</v>
      </c>
      <c r="I26">
        <v>102</v>
      </c>
      <c r="K26" t="s">
        <v>38</v>
      </c>
      <c r="L26" t="s">
        <v>39</v>
      </c>
      <c r="M26">
        <v>822</v>
      </c>
      <c r="N26">
        <v>0</v>
      </c>
      <c r="O26">
        <v>0</v>
      </c>
      <c r="P26">
        <v>0</v>
      </c>
      <c r="Q26">
        <v>0</v>
      </c>
      <c r="R26">
        <v>1608</v>
      </c>
      <c r="S26">
        <v>371</v>
      </c>
      <c r="U26" t="s">
        <v>38</v>
      </c>
      <c r="V26" t="s">
        <v>39</v>
      </c>
      <c r="W26">
        <f>Tabla35[[#This Row],[BN CARTA]]-Tabla34[[#This Row],[BN CARTA]]</f>
        <v>497</v>
      </c>
      <c r="X26">
        <f>Tabla35[[#This Row],[BN OFICIO]]-Tabla34[[#This Row],[BN OFICIO]]</f>
        <v>0</v>
      </c>
      <c r="Y26">
        <f>Tabla35[[#This Row],[BN DC]]-Tabla34[[#This Row],[BN DC]]</f>
        <v>0</v>
      </c>
      <c r="Z26">
        <f>Tabla35[[#This Row],[COLOR CARTA]]-Tabla34[[#This Row],[COLOR CARTA]]</f>
        <v>0</v>
      </c>
      <c r="AA26">
        <f>Tabla35[[#This Row],[COLOR OFICIO]]-Tabla34[[#This Row],[COLOR OFICIO]]</f>
        <v>0</v>
      </c>
      <c r="AB26">
        <f>Tabla35[[#This Row],[ENVIAR]]-Tabla34[[#This Row],[ENVIAR]]</f>
        <v>1107</v>
      </c>
      <c r="AC26">
        <f>Tabla35[[#This Row],[COPIAR]]-Tabla34[[#This Row],[COPIAR]]</f>
        <v>269</v>
      </c>
    </row>
    <row r="27" spans="1:29" x14ac:dyDescent="0.25">
      <c r="A27" t="s">
        <v>40</v>
      </c>
      <c r="B27" t="s">
        <v>41</v>
      </c>
      <c r="C27">
        <v>1045</v>
      </c>
      <c r="D27">
        <v>0</v>
      </c>
      <c r="E27">
        <v>0</v>
      </c>
      <c r="F27">
        <v>0</v>
      </c>
      <c r="G27">
        <v>0</v>
      </c>
      <c r="H27">
        <v>241</v>
      </c>
      <c r="I27">
        <v>227</v>
      </c>
      <c r="K27" t="s">
        <v>40</v>
      </c>
      <c r="L27" t="s">
        <v>41</v>
      </c>
      <c r="M27">
        <v>2543</v>
      </c>
      <c r="N27">
        <v>32</v>
      </c>
      <c r="O27">
        <v>0</v>
      </c>
      <c r="P27">
        <v>0</v>
      </c>
      <c r="Q27">
        <v>0</v>
      </c>
      <c r="R27">
        <v>787</v>
      </c>
      <c r="S27">
        <v>546</v>
      </c>
      <c r="U27" t="s">
        <v>40</v>
      </c>
      <c r="V27" t="s">
        <v>41</v>
      </c>
      <c r="W27">
        <f>Tabla35[[#This Row],[BN CARTA]]-Tabla34[[#This Row],[BN CARTA]]</f>
        <v>1498</v>
      </c>
      <c r="X27">
        <f>Tabla35[[#This Row],[BN OFICIO]]-Tabla34[[#This Row],[BN OFICIO]]</f>
        <v>32</v>
      </c>
      <c r="Y27">
        <f>Tabla35[[#This Row],[BN DC]]-Tabla34[[#This Row],[BN DC]]</f>
        <v>0</v>
      </c>
      <c r="Z27">
        <f>Tabla35[[#This Row],[COLOR CARTA]]-Tabla34[[#This Row],[COLOR CARTA]]</f>
        <v>0</v>
      </c>
      <c r="AA27">
        <f>Tabla35[[#This Row],[COLOR OFICIO]]-Tabla34[[#This Row],[COLOR OFICIO]]</f>
        <v>0</v>
      </c>
      <c r="AB27">
        <f>Tabla35[[#This Row],[ENVIAR]]-Tabla34[[#This Row],[ENVIAR]]</f>
        <v>546</v>
      </c>
      <c r="AC27">
        <f>Tabla35[[#This Row],[COPIAR]]-Tabla34[[#This Row],[COPIAR]]</f>
        <v>319</v>
      </c>
    </row>
    <row r="28" spans="1:29" x14ac:dyDescent="0.25">
      <c r="A28" t="s">
        <v>10</v>
      </c>
      <c r="B28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K28" t="s">
        <v>787</v>
      </c>
      <c r="L28" t="s">
        <v>42</v>
      </c>
      <c r="M28">
        <v>894</v>
      </c>
      <c r="N28">
        <v>4</v>
      </c>
      <c r="O28">
        <v>0</v>
      </c>
      <c r="P28">
        <v>0</v>
      </c>
      <c r="Q28">
        <v>0</v>
      </c>
      <c r="R28">
        <v>259</v>
      </c>
      <c r="S28">
        <v>147</v>
      </c>
      <c r="U28" t="s">
        <v>787</v>
      </c>
      <c r="V28" t="s">
        <v>42</v>
      </c>
      <c r="W28">
        <f>Tabla35[[#This Row],[BN CARTA]]-Tabla34[[#This Row],[BN CARTA]]</f>
        <v>894</v>
      </c>
      <c r="X28">
        <f>Tabla35[[#This Row],[BN OFICIO]]-Tabla34[[#This Row],[BN OFICIO]]</f>
        <v>4</v>
      </c>
      <c r="Y28">
        <f>Tabla35[[#This Row],[BN DC]]-Tabla34[[#This Row],[BN DC]]</f>
        <v>0</v>
      </c>
      <c r="Z28">
        <f>Tabla35[[#This Row],[COLOR CARTA]]-Tabla34[[#This Row],[COLOR CARTA]]</f>
        <v>0</v>
      </c>
      <c r="AA28">
        <f>Tabla35[[#This Row],[COLOR OFICIO]]-Tabla34[[#This Row],[COLOR OFICIO]]</f>
        <v>0</v>
      </c>
      <c r="AB28">
        <f>Tabla35[[#This Row],[ENVIAR]]-Tabla34[[#This Row],[ENVIAR]]</f>
        <v>259</v>
      </c>
      <c r="AC28">
        <f>Tabla35[[#This Row],[COPIAR]]-Tabla34[[#This Row],[COPIAR]]</f>
        <v>147</v>
      </c>
    </row>
    <row r="29" spans="1:29" x14ac:dyDescent="0.25">
      <c r="A29" t="s">
        <v>43</v>
      </c>
      <c r="B29" t="s">
        <v>44</v>
      </c>
      <c r="C29">
        <v>692</v>
      </c>
      <c r="D29">
        <v>1</v>
      </c>
      <c r="E29">
        <v>0</v>
      </c>
      <c r="F29">
        <v>0</v>
      </c>
      <c r="G29">
        <v>0</v>
      </c>
      <c r="H29">
        <v>289</v>
      </c>
      <c r="I29">
        <v>113</v>
      </c>
      <c r="K29" t="s">
        <v>43</v>
      </c>
      <c r="L29" t="s">
        <v>44</v>
      </c>
      <c r="M29">
        <v>1945</v>
      </c>
      <c r="N29">
        <v>9</v>
      </c>
      <c r="O29">
        <v>0</v>
      </c>
      <c r="P29">
        <v>0</v>
      </c>
      <c r="Q29">
        <v>0</v>
      </c>
      <c r="R29">
        <v>885</v>
      </c>
      <c r="S29">
        <v>381</v>
      </c>
      <c r="U29" t="s">
        <v>43</v>
      </c>
      <c r="V29" t="s">
        <v>44</v>
      </c>
      <c r="W29">
        <f>Tabla35[[#This Row],[BN CARTA]]-Tabla34[[#This Row],[BN CARTA]]</f>
        <v>1253</v>
      </c>
      <c r="X29">
        <f>Tabla35[[#This Row],[BN OFICIO]]-Tabla34[[#This Row],[BN OFICIO]]</f>
        <v>8</v>
      </c>
      <c r="Y29">
        <f>Tabla35[[#This Row],[BN DC]]-Tabla34[[#This Row],[BN DC]]</f>
        <v>0</v>
      </c>
      <c r="Z29">
        <f>Tabla35[[#This Row],[COLOR CARTA]]-Tabla34[[#This Row],[COLOR CARTA]]</f>
        <v>0</v>
      </c>
      <c r="AA29">
        <f>Tabla35[[#This Row],[COLOR OFICIO]]-Tabla34[[#This Row],[COLOR OFICIO]]</f>
        <v>0</v>
      </c>
      <c r="AB29">
        <f>Tabla35[[#This Row],[ENVIAR]]-Tabla34[[#This Row],[ENVIAR]]</f>
        <v>596</v>
      </c>
      <c r="AC29">
        <f>Tabla35[[#This Row],[COPIAR]]-Tabla34[[#This Row],[COPIAR]]</f>
        <v>268</v>
      </c>
    </row>
    <row r="30" spans="1:29" x14ac:dyDescent="0.25">
      <c r="A30" t="s">
        <v>45</v>
      </c>
      <c r="B30" t="s">
        <v>46</v>
      </c>
      <c r="C30">
        <v>178</v>
      </c>
      <c r="D30">
        <v>0</v>
      </c>
      <c r="E30">
        <v>0</v>
      </c>
      <c r="F30">
        <v>0</v>
      </c>
      <c r="G30">
        <v>0</v>
      </c>
      <c r="H30">
        <v>133</v>
      </c>
      <c r="I30">
        <v>23</v>
      </c>
      <c r="K30" t="s">
        <v>45</v>
      </c>
      <c r="L30" t="s">
        <v>46</v>
      </c>
      <c r="M30">
        <v>636</v>
      </c>
      <c r="N30">
        <v>0</v>
      </c>
      <c r="O30">
        <v>0</v>
      </c>
      <c r="P30">
        <v>0</v>
      </c>
      <c r="Q30">
        <v>0</v>
      </c>
      <c r="R30">
        <v>440</v>
      </c>
      <c r="S30">
        <v>140</v>
      </c>
      <c r="U30" t="s">
        <v>45</v>
      </c>
      <c r="V30" t="s">
        <v>46</v>
      </c>
      <c r="W30">
        <f>Tabla35[[#This Row],[BN CARTA]]-Tabla34[[#This Row],[BN CARTA]]</f>
        <v>458</v>
      </c>
      <c r="X30">
        <f>Tabla35[[#This Row],[BN OFICIO]]-Tabla34[[#This Row],[BN OFICIO]]</f>
        <v>0</v>
      </c>
      <c r="Y30">
        <f>Tabla35[[#This Row],[BN DC]]-Tabla34[[#This Row],[BN DC]]</f>
        <v>0</v>
      </c>
      <c r="Z30">
        <f>Tabla35[[#This Row],[COLOR CARTA]]-Tabla34[[#This Row],[COLOR CARTA]]</f>
        <v>0</v>
      </c>
      <c r="AA30">
        <f>Tabla35[[#This Row],[COLOR OFICIO]]-Tabla34[[#This Row],[COLOR OFICIO]]</f>
        <v>0</v>
      </c>
      <c r="AB30">
        <f>Tabla35[[#This Row],[ENVIAR]]-Tabla34[[#This Row],[ENVIAR]]</f>
        <v>307</v>
      </c>
      <c r="AC30">
        <f>Tabla35[[#This Row],[COPIAR]]-Tabla34[[#This Row],[COPIAR]]</f>
        <v>117</v>
      </c>
    </row>
    <row r="31" spans="1:29" x14ac:dyDescent="0.25">
      <c r="A31" t="s">
        <v>47</v>
      </c>
      <c r="B31" t="s">
        <v>48</v>
      </c>
      <c r="C31">
        <v>1254</v>
      </c>
      <c r="D31">
        <v>10</v>
      </c>
      <c r="E31">
        <v>0</v>
      </c>
      <c r="F31">
        <v>0</v>
      </c>
      <c r="G31">
        <v>0</v>
      </c>
      <c r="H31">
        <v>261</v>
      </c>
      <c r="I31">
        <v>211</v>
      </c>
      <c r="K31" t="s">
        <v>47</v>
      </c>
      <c r="L31" t="s">
        <v>48</v>
      </c>
      <c r="M31">
        <v>2389</v>
      </c>
      <c r="N31">
        <v>17</v>
      </c>
      <c r="O31">
        <v>0</v>
      </c>
      <c r="P31">
        <v>0</v>
      </c>
      <c r="Q31">
        <v>0</v>
      </c>
      <c r="R31">
        <v>1289</v>
      </c>
      <c r="S31">
        <v>349</v>
      </c>
      <c r="U31" t="s">
        <v>47</v>
      </c>
      <c r="V31" t="s">
        <v>48</v>
      </c>
      <c r="W31">
        <f>Tabla35[[#This Row],[BN CARTA]]-Tabla34[[#This Row],[BN CARTA]]</f>
        <v>1135</v>
      </c>
      <c r="X31">
        <f>Tabla35[[#This Row],[BN OFICIO]]-Tabla34[[#This Row],[BN OFICIO]]</f>
        <v>7</v>
      </c>
      <c r="Y31">
        <f>Tabla35[[#This Row],[BN DC]]-Tabla34[[#This Row],[BN DC]]</f>
        <v>0</v>
      </c>
      <c r="Z31">
        <f>Tabla35[[#This Row],[COLOR CARTA]]-Tabla34[[#This Row],[COLOR CARTA]]</f>
        <v>0</v>
      </c>
      <c r="AA31">
        <f>Tabla35[[#This Row],[COLOR OFICIO]]-Tabla34[[#This Row],[COLOR OFICIO]]</f>
        <v>0</v>
      </c>
      <c r="AB31">
        <f>Tabla35[[#This Row],[ENVIAR]]-Tabla34[[#This Row],[ENVIAR]]</f>
        <v>1028</v>
      </c>
      <c r="AC31">
        <f>Tabla35[[#This Row],[COPIAR]]-Tabla34[[#This Row],[COPIAR]]</f>
        <v>138</v>
      </c>
    </row>
    <row r="32" spans="1:29" x14ac:dyDescent="0.25">
      <c r="A32" t="s">
        <v>10</v>
      </c>
      <c r="B32" t="s">
        <v>49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K32" t="s">
        <v>10</v>
      </c>
      <c r="L32" t="s">
        <v>49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U32" t="s">
        <v>10</v>
      </c>
      <c r="V32" t="s">
        <v>49</v>
      </c>
      <c r="W32">
        <f>Tabla35[[#This Row],[BN CARTA]]-Tabla34[[#This Row],[BN CARTA]]</f>
        <v>0</v>
      </c>
      <c r="X32">
        <f>Tabla35[[#This Row],[BN OFICIO]]-Tabla34[[#This Row],[BN OFICIO]]</f>
        <v>0</v>
      </c>
      <c r="Y32">
        <f>Tabla35[[#This Row],[BN DC]]-Tabla34[[#This Row],[BN DC]]</f>
        <v>0</v>
      </c>
      <c r="Z32">
        <f>Tabla35[[#This Row],[COLOR CARTA]]-Tabla34[[#This Row],[COLOR CARTA]]</f>
        <v>0</v>
      </c>
      <c r="AA32">
        <f>Tabla35[[#This Row],[COLOR OFICIO]]-Tabla34[[#This Row],[COLOR OFICIO]]</f>
        <v>0</v>
      </c>
      <c r="AB32">
        <f>Tabla35[[#This Row],[ENVIAR]]-Tabla34[[#This Row],[ENVIAR]]</f>
        <v>0</v>
      </c>
      <c r="AC32">
        <f>Tabla35[[#This Row],[COPIAR]]-Tabla34[[#This Row],[COPIAR]]</f>
        <v>0</v>
      </c>
    </row>
    <row r="33" spans="1:29" x14ac:dyDescent="0.25">
      <c r="A33" t="s">
        <v>50</v>
      </c>
      <c r="B33" t="s">
        <v>51</v>
      </c>
      <c r="C33">
        <v>229</v>
      </c>
      <c r="D33">
        <v>0</v>
      </c>
      <c r="E33">
        <v>0</v>
      </c>
      <c r="F33">
        <v>0</v>
      </c>
      <c r="G33">
        <v>0</v>
      </c>
      <c r="H33">
        <v>252</v>
      </c>
      <c r="I33">
        <v>0</v>
      </c>
      <c r="K33" t="s">
        <v>50</v>
      </c>
      <c r="L33" t="s">
        <v>51</v>
      </c>
      <c r="M33">
        <v>229</v>
      </c>
      <c r="N33">
        <v>0</v>
      </c>
      <c r="O33">
        <v>0</v>
      </c>
      <c r="P33">
        <v>0</v>
      </c>
      <c r="Q33">
        <v>0</v>
      </c>
      <c r="R33">
        <v>252</v>
      </c>
      <c r="S33">
        <v>0</v>
      </c>
      <c r="U33" t="s">
        <v>50</v>
      </c>
      <c r="V33" t="s">
        <v>51</v>
      </c>
      <c r="W33">
        <f>Tabla35[[#This Row],[BN CARTA]]-Tabla34[[#This Row],[BN CARTA]]</f>
        <v>0</v>
      </c>
      <c r="X33">
        <f>Tabla35[[#This Row],[BN OFICIO]]-Tabla34[[#This Row],[BN OFICIO]]</f>
        <v>0</v>
      </c>
      <c r="Y33">
        <f>Tabla35[[#This Row],[BN DC]]-Tabla34[[#This Row],[BN DC]]</f>
        <v>0</v>
      </c>
      <c r="Z33">
        <f>Tabla35[[#This Row],[COLOR CARTA]]-Tabla34[[#This Row],[COLOR CARTA]]</f>
        <v>0</v>
      </c>
      <c r="AA33">
        <f>Tabla35[[#This Row],[COLOR OFICIO]]-Tabla34[[#This Row],[COLOR OFICIO]]</f>
        <v>0</v>
      </c>
      <c r="AB33">
        <f>Tabla35[[#This Row],[ENVIAR]]-Tabla34[[#This Row],[ENVIAR]]</f>
        <v>0</v>
      </c>
      <c r="AC33">
        <f>Tabla35[[#This Row],[COPIAR]]-Tabla34[[#This Row],[COPIAR]]</f>
        <v>0</v>
      </c>
    </row>
    <row r="34" spans="1:29" x14ac:dyDescent="0.25">
      <c r="A34" t="s">
        <v>52</v>
      </c>
      <c r="B34" t="s">
        <v>53</v>
      </c>
      <c r="C34">
        <v>897</v>
      </c>
      <c r="D34">
        <v>0</v>
      </c>
      <c r="E34">
        <v>0</v>
      </c>
      <c r="F34">
        <v>0</v>
      </c>
      <c r="G34">
        <v>0</v>
      </c>
      <c r="H34">
        <v>513</v>
      </c>
      <c r="I34">
        <v>345</v>
      </c>
      <c r="K34" t="s">
        <v>52</v>
      </c>
      <c r="L34" t="s">
        <v>53</v>
      </c>
      <c r="M34">
        <v>2755</v>
      </c>
      <c r="N34">
        <v>0</v>
      </c>
      <c r="O34">
        <v>0</v>
      </c>
      <c r="P34">
        <v>0</v>
      </c>
      <c r="Q34">
        <v>0</v>
      </c>
      <c r="R34">
        <v>1786</v>
      </c>
      <c r="S34">
        <v>1129</v>
      </c>
      <c r="U34" t="s">
        <v>52</v>
      </c>
      <c r="V34" t="s">
        <v>53</v>
      </c>
      <c r="W34">
        <f>Tabla35[[#This Row],[BN CARTA]]-Tabla34[[#This Row],[BN CARTA]]</f>
        <v>1858</v>
      </c>
      <c r="X34">
        <f>Tabla35[[#This Row],[BN OFICIO]]-Tabla34[[#This Row],[BN OFICIO]]</f>
        <v>0</v>
      </c>
      <c r="Y34">
        <f>Tabla35[[#This Row],[BN DC]]-Tabla34[[#This Row],[BN DC]]</f>
        <v>0</v>
      </c>
      <c r="Z34">
        <f>Tabla35[[#This Row],[COLOR CARTA]]-Tabla34[[#This Row],[COLOR CARTA]]</f>
        <v>0</v>
      </c>
      <c r="AA34">
        <f>Tabla35[[#This Row],[COLOR OFICIO]]-Tabla34[[#This Row],[COLOR OFICIO]]</f>
        <v>0</v>
      </c>
      <c r="AB34">
        <f>Tabla35[[#This Row],[ENVIAR]]-Tabla34[[#This Row],[ENVIAR]]</f>
        <v>1273</v>
      </c>
      <c r="AC34">
        <f>Tabla35[[#This Row],[COPIAR]]-Tabla34[[#This Row],[COPIAR]]</f>
        <v>784</v>
      </c>
    </row>
    <row r="35" spans="1:29" x14ac:dyDescent="0.25">
      <c r="A35" t="s">
        <v>54</v>
      </c>
      <c r="B35" t="s">
        <v>55</v>
      </c>
      <c r="C35">
        <v>665</v>
      </c>
      <c r="D35">
        <v>10</v>
      </c>
      <c r="E35">
        <v>0</v>
      </c>
      <c r="F35">
        <v>0</v>
      </c>
      <c r="G35">
        <v>0</v>
      </c>
      <c r="H35">
        <v>781</v>
      </c>
      <c r="I35">
        <v>423</v>
      </c>
      <c r="K35" t="s">
        <v>54</v>
      </c>
      <c r="L35" t="s">
        <v>55</v>
      </c>
      <c r="M35">
        <v>1699</v>
      </c>
      <c r="N35">
        <v>10</v>
      </c>
      <c r="O35">
        <v>0</v>
      </c>
      <c r="P35">
        <v>0</v>
      </c>
      <c r="Q35">
        <v>0</v>
      </c>
      <c r="R35">
        <v>1709</v>
      </c>
      <c r="S35">
        <v>654</v>
      </c>
      <c r="U35" t="s">
        <v>54</v>
      </c>
      <c r="V35" t="s">
        <v>55</v>
      </c>
      <c r="W35">
        <f>Tabla35[[#This Row],[BN CARTA]]-Tabla34[[#This Row],[BN CARTA]]</f>
        <v>1034</v>
      </c>
      <c r="X35">
        <f>Tabla35[[#This Row],[BN OFICIO]]-Tabla34[[#This Row],[BN OFICIO]]</f>
        <v>0</v>
      </c>
      <c r="Y35">
        <f>Tabla35[[#This Row],[BN DC]]-Tabla34[[#This Row],[BN DC]]</f>
        <v>0</v>
      </c>
      <c r="Z35">
        <f>Tabla35[[#This Row],[COLOR CARTA]]-Tabla34[[#This Row],[COLOR CARTA]]</f>
        <v>0</v>
      </c>
      <c r="AA35">
        <f>Tabla35[[#This Row],[COLOR OFICIO]]-Tabla34[[#This Row],[COLOR OFICIO]]</f>
        <v>0</v>
      </c>
      <c r="AB35">
        <f>Tabla35[[#This Row],[ENVIAR]]-Tabla34[[#This Row],[ENVIAR]]</f>
        <v>928</v>
      </c>
      <c r="AC35">
        <f>Tabla35[[#This Row],[COPIAR]]-Tabla34[[#This Row],[COPIAR]]</f>
        <v>231</v>
      </c>
    </row>
    <row r="36" spans="1:29" x14ac:dyDescent="0.25">
      <c r="A36" t="s">
        <v>10</v>
      </c>
      <c r="B36" t="s">
        <v>56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K36" t="s">
        <v>788</v>
      </c>
      <c r="L36" t="s">
        <v>56</v>
      </c>
      <c r="M36">
        <v>3070</v>
      </c>
      <c r="N36">
        <v>90</v>
      </c>
      <c r="O36">
        <v>0</v>
      </c>
      <c r="P36">
        <v>0</v>
      </c>
      <c r="Q36">
        <v>0</v>
      </c>
      <c r="R36">
        <v>643</v>
      </c>
      <c r="S36">
        <v>1012</v>
      </c>
      <c r="U36" t="s">
        <v>788</v>
      </c>
      <c r="V36" t="s">
        <v>56</v>
      </c>
      <c r="W36">
        <f>Tabla35[[#This Row],[BN CARTA]]-Tabla34[[#This Row],[BN CARTA]]</f>
        <v>3070</v>
      </c>
      <c r="X36">
        <f>Tabla35[[#This Row],[BN OFICIO]]-Tabla34[[#This Row],[BN OFICIO]]</f>
        <v>90</v>
      </c>
      <c r="Y36">
        <f>Tabla35[[#This Row],[BN DC]]-Tabla34[[#This Row],[BN DC]]</f>
        <v>0</v>
      </c>
      <c r="Z36">
        <f>Tabla35[[#This Row],[COLOR CARTA]]-Tabla34[[#This Row],[COLOR CARTA]]</f>
        <v>0</v>
      </c>
      <c r="AA36">
        <f>Tabla35[[#This Row],[COLOR OFICIO]]-Tabla34[[#This Row],[COLOR OFICIO]]</f>
        <v>0</v>
      </c>
      <c r="AB36">
        <f>Tabla35[[#This Row],[ENVIAR]]-Tabla34[[#This Row],[ENVIAR]]</f>
        <v>643</v>
      </c>
      <c r="AC36">
        <f>Tabla35[[#This Row],[COPIAR]]-Tabla34[[#This Row],[COPIAR]]</f>
        <v>1012</v>
      </c>
    </row>
    <row r="37" spans="1:29" x14ac:dyDescent="0.25">
      <c r="A37" t="s">
        <v>10</v>
      </c>
      <c r="B37" t="s">
        <v>57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K37" t="s">
        <v>10</v>
      </c>
      <c r="L37" t="s">
        <v>57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U37" t="s">
        <v>10</v>
      </c>
      <c r="V37" t="s">
        <v>57</v>
      </c>
      <c r="W37">
        <f>Tabla35[[#This Row],[BN CARTA]]-Tabla34[[#This Row],[BN CARTA]]</f>
        <v>0</v>
      </c>
      <c r="X37">
        <f>Tabla35[[#This Row],[BN OFICIO]]-Tabla34[[#This Row],[BN OFICIO]]</f>
        <v>0</v>
      </c>
      <c r="Y37">
        <f>Tabla35[[#This Row],[BN DC]]-Tabla34[[#This Row],[BN DC]]</f>
        <v>0</v>
      </c>
      <c r="Z37">
        <f>Tabla35[[#This Row],[COLOR CARTA]]-Tabla34[[#This Row],[COLOR CARTA]]</f>
        <v>0</v>
      </c>
      <c r="AA37">
        <f>Tabla35[[#This Row],[COLOR OFICIO]]-Tabla34[[#This Row],[COLOR OFICIO]]</f>
        <v>0</v>
      </c>
      <c r="AB37">
        <f>Tabla35[[#This Row],[ENVIAR]]-Tabla34[[#This Row],[ENVIAR]]</f>
        <v>0</v>
      </c>
      <c r="AC37">
        <f>Tabla35[[#This Row],[COPIAR]]-Tabla34[[#This Row],[COPIAR]]</f>
        <v>0</v>
      </c>
    </row>
    <row r="38" spans="1:29" x14ac:dyDescent="0.25">
      <c r="A38" t="s">
        <v>10</v>
      </c>
      <c r="B38" t="s">
        <v>58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K38" t="s">
        <v>10</v>
      </c>
      <c r="L38" t="s">
        <v>58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U38" t="s">
        <v>10</v>
      </c>
      <c r="V38" t="s">
        <v>58</v>
      </c>
      <c r="W38">
        <f>Tabla35[[#This Row],[BN CARTA]]-Tabla34[[#This Row],[BN CARTA]]</f>
        <v>0</v>
      </c>
      <c r="X38">
        <f>Tabla35[[#This Row],[BN OFICIO]]-Tabla34[[#This Row],[BN OFICIO]]</f>
        <v>0</v>
      </c>
      <c r="Y38">
        <f>Tabla35[[#This Row],[BN DC]]-Tabla34[[#This Row],[BN DC]]</f>
        <v>0</v>
      </c>
      <c r="Z38">
        <f>Tabla35[[#This Row],[COLOR CARTA]]-Tabla34[[#This Row],[COLOR CARTA]]</f>
        <v>0</v>
      </c>
      <c r="AA38">
        <f>Tabla35[[#This Row],[COLOR OFICIO]]-Tabla34[[#This Row],[COLOR OFICIO]]</f>
        <v>0</v>
      </c>
      <c r="AB38">
        <f>Tabla35[[#This Row],[ENVIAR]]-Tabla34[[#This Row],[ENVIAR]]</f>
        <v>0</v>
      </c>
      <c r="AC38">
        <f>Tabla35[[#This Row],[COPIAR]]-Tabla34[[#This Row],[COPIAR]]</f>
        <v>0</v>
      </c>
    </row>
    <row r="39" spans="1:29" x14ac:dyDescent="0.25">
      <c r="A39" t="s">
        <v>59</v>
      </c>
      <c r="B39" t="s">
        <v>60</v>
      </c>
      <c r="C39">
        <v>272</v>
      </c>
      <c r="D39">
        <v>0</v>
      </c>
      <c r="E39">
        <v>0</v>
      </c>
      <c r="F39">
        <v>0</v>
      </c>
      <c r="G39">
        <v>0</v>
      </c>
      <c r="H39">
        <v>311</v>
      </c>
      <c r="I39">
        <v>107</v>
      </c>
      <c r="K39" t="s">
        <v>59</v>
      </c>
      <c r="L39" t="s">
        <v>60</v>
      </c>
      <c r="M39">
        <v>775</v>
      </c>
      <c r="N39">
        <v>0</v>
      </c>
      <c r="O39">
        <v>0</v>
      </c>
      <c r="P39">
        <v>0</v>
      </c>
      <c r="Q39">
        <v>0</v>
      </c>
      <c r="R39">
        <v>884</v>
      </c>
      <c r="S39">
        <v>276</v>
      </c>
      <c r="U39" t="s">
        <v>59</v>
      </c>
      <c r="V39" t="s">
        <v>60</v>
      </c>
      <c r="W39">
        <f>Tabla35[[#This Row],[BN CARTA]]-Tabla34[[#This Row],[BN CARTA]]</f>
        <v>503</v>
      </c>
      <c r="X39">
        <f>Tabla35[[#This Row],[BN OFICIO]]-Tabla34[[#This Row],[BN OFICIO]]</f>
        <v>0</v>
      </c>
      <c r="Y39">
        <f>Tabla35[[#This Row],[BN DC]]-Tabla34[[#This Row],[BN DC]]</f>
        <v>0</v>
      </c>
      <c r="Z39">
        <f>Tabla35[[#This Row],[COLOR CARTA]]-Tabla34[[#This Row],[COLOR CARTA]]</f>
        <v>0</v>
      </c>
      <c r="AA39">
        <f>Tabla35[[#This Row],[COLOR OFICIO]]-Tabla34[[#This Row],[COLOR OFICIO]]</f>
        <v>0</v>
      </c>
      <c r="AB39">
        <f>Tabla35[[#This Row],[ENVIAR]]-Tabla34[[#This Row],[ENVIAR]]</f>
        <v>573</v>
      </c>
      <c r="AC39">
        <f>Tabla35[[#This Row],[COPIAR]]-Tabla34[[#This Row],[COPIAR]]</f>
        <v>169</v>
      </c>
    </row>
    <row r="40" spans="1:29" x14ac:dyDescent="0.25">
      <c r="A40" t="s">
        <v>61</v>
      </c>
      <c r="B40" t="s">
        <v>62</v>
      </c>
      <c r="C40">
        <v>357</v>
      </c>
      <c r="D40">
        <v>0</v>
      </c>
      <c r="E40">
        <v>0</v>
      </c>
      <c r="F40">
        <v>0</v>
      </c>
      <c r="G40">
        <v>0</v>
      </c>
      <c r="H40">
        <v>159</v>
      </c>
      <c r="I40">
        <v>144</v>
      </c>
      <c r="K40" t="s">
        <v>61</v>
      </c>
      <c r="L40" t="s">
        <v>62</v>
      </c>
      <c r="M40">
        <v>1509</v>
      </c>
      <c r="N40">
        <v>0</v>
      </c>
      <c r="O40">
        <v>0</v>
      </c>
      <c r="P40">
        <v>0</v>
      </c>
      <c r="Q40">
        <v>0</v>
      </c>
      <c r="R40">
        <v>1497</v>
      </c>
      <c r="S40">
        <v>529</v>
      </c>
      <c r="U40" t="s">
        <v>61</v>
      </c>
      <c r="V40" t="s">
        <v>62</v>
      </c>
      <c r="W40">
        <f>Tabla35[[#This Row],[BN CARTA]]-Tabla34[[#This Row],[BN CARTA]]</f>
        <v>1152</v>
      </c>
      <c r="X40">
        <f>Tabla35[[#This Row],[BN OFICIO]]-Tabla34[[#This Row],[BN OFICIO]]</f>
        <v>0</v>
      </c>
      <c r="Y40">
        <f>Tabla35[[#This Row],[BN DC]]-Tabla34[[#This Row],[BN DC]]</f>
        <v>0</v>
      </c>
      <c r="Z40">
        <f>Tabla35[[#This Row],[COLOR CARTA]]-Tabla34[[#This Row],[COLOR CARTA]]</f>
        <v>0</v>
      </c>
      <c r="AA40">
        <f>Tabla35[[#This Row],[COLOR OFICIO]]-Tabla34[[#This Row],[COLOR OFICIO]]</f>
        <v>0</v>
      </c>
      <c r="AB40">
        <f>Tabla35[[#This Row],[ENVIAR]]-Tabla34[[#This Row],[ENVIAR]]</f>
        <v>1338</v>
      </c>
      <c r="AC40">
        <f>Tabla35[[#This Row],[COPIAR]]-Tabla34[[#This Row],[COPIAR]]</f>
        <v>385</v>
      </c>
    </row>
    <row r="41" spans="1:29" x14ac:dyDescent="0.25">
      <c r="A41" t="s">
        <v>10</v>
      </c>
      <c r="B41" t="s">
        <v>63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K41" t="s">
        <v>789</v>
      </c>
      <c r="L41" t="s">
        <v>63</v>
      </c>
      <c r="M41">
        <v>4002</v>
      </c>
      <c r="N41">
        <v>21</v>
      </c>
      <c r="O41">
        <v>0</v>
      </c>
      <c r="P41">
        <v>0</v>
      </c>
      <c r="Q41">
        <v>0</v>
      </c>
      <c r="R41">
        <v>2047</v>
      </c>
      <c r="S41">
        <v>1005</v>
      </c>
      <c r="U41" t="s">
        <v>789</v>
      </c>
      <c r="V41" t="s">
        <v>63</v>
      </c>
      <c r="W41">
        <f>Tabla35[[#This Row],[BN CARTA]]-Tabla34[[#This Row],[BN CARTA]]</f>
        <v>4002</v>
      </c>
      <c r="X41">
        <f>Tabla35[[#This Row],[BN OFICIO]]-Tabla34[[#This Row],[BN OFICIO]]</f>
        <v>21</v>
      </c>
      <c r="Y41">
        <f>Tabla35[[#This Row],[BN DC]]-Tabla34[[#This Row],[BN DC]]</f>
        <v>0</v>
      </c>
      <c r="Z41">
        <f>Tabla35[[#This Row],[COLOR CARTA]]-Tabla34[[#This Row],[COLOR CARTA]]</f>
        <v>0</v>
      </c>
      <c r="AA41">
        <f>Tabla35[[#This Row],[COLOR OFICIO]]-Tabla34[[#This Row],[COLOR OFICIO]]</f>
        <v>0</v>
      </c>
      <c r="AB41">
        <f>Tabla35[[#This Row],[ENVIAR]]-Tabla34[[#This Row],[ENVIAR]]</f>
        <v>2047</v>
      </c>
      <c r="AC41">
        <f>Tabla35[[#This Row],[COPIAR]]-Tabla34[[#This Row],[COPIAR]]</f>
        <v>1005</v>
      </c>
    </row>
    <row r="42" spans="1:29" x14ac:dyDescent="0.25">
      <c r="A42" t="s">
        <v>10</v>
      </c>
      <c r="B42" t="s">
        <v>64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K42" t="s">
        <v>790</v>
      </c>
      <c r="L42" t="s">
        <v>64</v>
      </c>
      <c r="M42">
        <v>533</v>
      </c>
      <c r="N42">
        <v>0</v>
      </c>
      <c r="O42">
        <v>0</v>
      </c>
      <c r="P42">
        <v>0</v>
      </c>
      <c r="Q42">
        <v>0</v>
      </c>
      <c r="R42">
        <v>509</v>
      </c>
      <c r="S42">
        <v>39</v>
      </c>
      <c r="U42" t="s">
        <v>790</v>
      </c>
      <c r="V42" t="s">
        <v>64</v>
      </c>
      <c r="W42">
        <f>Tabla35[[#This Row],[BN CARTA]]-Tabla34[[#This Row],[BN CARTA]]</f>
        <v>533</v>
      </c>
      <c r="X42">
        <f>Tabla35[[#This Row],[BN OFICIO]]-Tabla34[[#This Row],[BN OFICIO]]</f>
        <v>0</v>
      </c>
      <c r="Y42">
        <f>Tabla35[[#This Row],[BN DC]]-Tabla34[[#This Row],[BN DC]]</f>
        <v>0</v>
      </c>
      <c r="Z42">
        <f>Tabla35[[#This Row],[COLOR CARTA]]-Tabla34[[#This Row],[COLOR CARTA]]</f>
        <v>0</v>
      </c>
      <c r="AA42">
        <f>Tabla35[[#This Row],[COLOR OFICIO]]-Tabla34[[#This Row],[COLOR OFICIO]]</f>
        <v>0</v>
      </c>
      <c r="AB42">
        <f>Tabla35[[#This Row],[ENVIAR]]-Tabla34[[#This Row],[ENVIAR]]</f>
        <v>509</v>
      </c>
      <c r="AC42">
        <f>Tabla35[[#This Row],[COPIAR]]-Tabla34[[#This Row],[COPIAR]]</f>
        <v>39</v>
      </c>
    </row>
    <row r="43" spans="1:29" x14ac:dyDescent="0.25">
      <c r="A43" t="s">
        <v>10</v>
      </c>
      <c r="B43" t="s">
        <v>65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K43" t="s">
        <v>10</v>
      </c>
      <c r="L43" t="s">
        <v>65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U43" t="s">
        <v>10</v>
      </c>
      <c r="V43" t="s">
        <v>65</v>
      </c>
      <c r="W43">
        <f>Tabla35[[#This Row],[BN CARTA]]-Tabla34[[#This Row],[BN CARTA]]</f>
        <v>0</v>
      </c>
      <c r="X43">
        <f>Tabla35[[#This Row],[BN OFICIO]]-Tabla34[[#This Row],[BN OFICIO]]</f>
        <v>0</v>
      </c>
      <c r="Y43">
        <f>Tabla35[[#This Row],[BN DC]]-Tabla34[[#This Row],[BN DC]]</f>
        <v>0</v>
      </c>
      <c r="Z43">
        <f>Tabla35[[#This Row],[COLOR CARTA]]-Tabla34[[#This Row],[COLOR CARTA]]</f>
        <v>0</v>
      </c>
      <c r="AA43">
        <f>Tabla35[[#This Row],[COLOR OFICIO]]-Tabla34[[#This Row],[COLOR OFICIO]]</f>
        <v>0</v>
      </c>
      <c r="AB43">
        <f>Tabla35[[#This Row],[ENVIAR]]-Tabla34[[#This Row],[ENVIAR]]</f>
        <v>0</v>
      </c>
      <c r="AC43">
        <f>Tabla35[[#This Row],[COPIAR]]-Tabla34[[#This Row],[COPIAR]]</f>
        <v>0</v>
      </c>
    </row>
    <row r="44" spans="1:29" x14ac:dyDescent="0.25">
      <c r="A44" t="s">
        <v>10</v>
      </c>
      <c r="B44" t="s">
        <v>66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K44" t="s">
        <v>10</v>
      </c>
      <c r="L44" t="s">
        <v>66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U44" t="s">
        <v>10</v>
      </c>
      <c r="V44" t="s">
        <v>66</v>
      </c>
      <c r="W44">
        <f>Tabla35[[#This Row],[BN CARTA]]-Tabla34[[#This Row],[BN CARTA]]</f>
        <v>0</v>
      </c>
      <c r="X44">
        <f>Tabla35[[#This Row],[BN OFICIO]]-Tabla34[[#This Row],[BN OFICIO]]</f>
        <v>0</v>
      </c>
      <c r="Y44">
        <f>Tabla35[[#This Row],[BN DC]]-Tabla34[[#This Row],[BN DC]]</f>
        <v>0</v>
      </c>
      <c r="Z44">
        <f>Tabla35[[#This Row],[COLOR CARTA]]-Tabla34[[#This Row],[COLOR CARTA]]</f>
        <v>0</v>
      </c>
      <c r="AA44">
        <f>Tabla35[[#This Row],[COLOR OFICIO]]-Tabla34[[#This Row],[COLOR OFICIO]]</f>
        <v>0</v>
      </c>
      <c r="AB44">
        <f>Tabla35[[#This Row],[ENVIAR]]-Tabla34[[#This Row],[ENVIAR]]</f>
        <v>0</v>
      </c>
      <c r="AC44">
        <f>Tabla35[[#This Row],[COPIAR]]-Tabla34[[#This Row],[COPIAR]]</f>
        <v>0</v>
      </c>
    </row>
    <row r="45" spans="1:29" x14ac:dyDescent="0.25">
      <c r="A45" t="s">
        <v>67</v>
      </c>
      <c r="B45" t="s">
        <v>68</v>
      </c>
      <c r="C45">
        <v>105</v>
      </c>
      <c r="D45">
        <v>0</v>
      </c>
      <c r="E45">
        <v>0</v>
      </c>
      <c r="F45">
        <v>0</v>
      </c>
      <c r="G45">
        <v>0</v>
      </c>
      <c r="H45">
        <v>65</v>
      </c>
      <c r="I45">
        <v>26</v>
      </c>
      <c r="K45" t="s">
        <v>67</v>
      </c>
      <c r="L45" t="s">
        <v>68</v>
      </c>
      <c r="M45">
        <v>105</v>
      </c>
      <c r="N45">
        <v>0</v>
      </c>
      <c r="O45">
        <v>0</v>
      </c>
      <c r="P45">
        <v>0</v>
      </c>
      <c r="Q45">
        <v>0</v>
      </c>
      <c r="R45">
        <v>65</v>
      </c>
      <c r="S45">
        <v>26</v>
      </c>
      <c r="U45" t="s">
        <v>67</v>
      </c>
      <c r="V45" t="s">
        <v>68</v>
      </c>
      <c r="W45">
        <f>Tabla35[[#This Row],[BN CARTA]]-Tabla34[[#This Row],[BN CARTA]]</f>
        <v>0</v>
      </c>
      <c r="X45">
        <f>Tabla35[[#This Row],[BN OFICIO]]-Tabla34[[#This Row],[BN OFICIO]]</f>
        <v>0</v>
      </c>
      <c r="Y45">
        <f>Tabla35[[#This Row],[BN DC]]-Tabla34[[#This Row],[BN DC]]</f>
        <v>0</v>
      </c>
      <c r="Z45">
        <f>Tabla35[[#This Row],[COLOR CARTA]]-Tabla34[[#This Row],[COLOR CARTA]]</f>
        <v>0</v>
      </c>
      <c r="AA45">
        <f>Tabla35[[#This Row],[COLOR OFICIO]]-Tabla34[[#This Row],[COLOR OFICIO]]</f>
        <v>0</v>
      </c>
      <c r="AB45">
        <f>Tabla35[[#This Row],[ENVIAR]]-Tabla34[[#This Row],[ENVIAR]]</f>
        <v>0</v>
      </c>
      <c r="AC45">
        <f>Tabla35[[#This Row],[COPIAR]]-Tabla34[[#This Row],[COPIAR]]</f>
        <v>0</v>
      </c>
    </row>
    <row r="46" spans="1:29" x14ac:dyDescent="0.25">
      <c r="A46" t="s">
        <v>69</v>
      </c>
      <c r="B46" t="s">
        <v>70</v>
      </c>
      <c r="C46">
        <v>6930</v>
      </c>
      <c r="D46">
        <v>3</v>
      </c>
      <c r="E46">
        <v>0</v>
      </c>
      <c r="F46">
        <v>0</v>
      </c>
      <c r="G46">
        <v>0</v>
      </c>
      <c r="H46">
        <v>7818</v>
      </c>
      <c r="I46">
        <v>1085</v>
      </c>
      <c r="K46" t="s">
        <v>69</v>
      </c>
      <c r="L46" t="s">
        <v>70</v>
      </c>
      <c r="M46">
        <v>21871</v>
      </c>
      <c r="N46">
        <v>53</v>
      </c>
      <c r="O46">
        <v>0</v>
      </c>
      <c r="P46">
        <v>0</v>
      </c>
      <c r="Q46">
        <v>0</v>
      </c>
      <c r="R46">
        <v>21822</v>
      </c>
      <c r="S46">
        <v>3749</v>
      </c>
      <c r="U46" t="s">
        <v>69</v>
      </c>
      <c r="V46" t="s">
        <v>70</v>
      </c>
      <c r="W46">
        <f>Tabla35[[#This Row],[BN CARTA]]-Tabla34[[#This Row],[BN CARTA]]</f>
        <v>14941</v>
      </c>
      <c r="X46">
        <f>Tabla35[[#This Row],[BN OFICIO]]-Tabla34[[#This Row],[BN OFICIO]]</f>
        <v>50</v>
      </c>
      <c r="Y46">
        <f>Tabla35[[#This Row],[BN DC]]-Tabla34[[#This Row],[BN DC]]</f>
        <v>0</v>
      </c>
      <c r="Z46">
        <f>Tabla35[[#This Row],[COLOR CARTA]]-Tabla34[[#This Row],[COLOR CARTA]]</f>
        <v>0</v>
      </c>
      <c r="AA46">
        <f>Tabla35[[#This Row],[COLOR OFICIO]]-Tabla34[[#This Row],[COLOR OFICIO]]</f>
        <v>0</v>
      </c>
      <c r="AB46">
        <f>Tabla35[[#This Row],[ENVIAR]]-Tabla34[[#This Row],[ENVIAR]]</f>
        <v>14004</v>
      </c>
      <c r="AC46">
        <f>Tabla35[[#This Row],[COPIAR]]-Tabla34[[#This Row],[COPIAR]]</f>
        <v>2664</v>
      </c>
    </row>
    <row r="47" spans="1:29" x14ac:dyDescent="0.25">
      <c r="A47" t="s">
        <v>10</v>
      </c>
      <c r="B47" t="s">
        <v>71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K47" t="s">
        <v>10</v>
      </c>
      <c r="L47" t="s">
        <v>71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U47" t="s">
        <v>10</v>
      </c>
      <c r="V47" t="s">
        <v>71</v>
      </c>
      <c r="W47">
        <f>Tabla35[[#This Row],[BN CARTA]]-Tabla34[[#This Row],[BN CARTA]]</f>
        <v>0</v>
      </c>
      <c r="X47">
        <f>Tabla35[[#This Row],[BN OFICIO]]-Tabla34[[#This Row],[BN OFICIO]]</f>
        <v>0</v>
      </c>
      <c r="Y47">
        <f>Tabla35[[#This Row],[BN DC]]-Tabla34[[#This Row],[BN DC]]</f>
        <v>0</v>
      </c>
      <c r="Z47">
        <f>Tabla35[[#This Row],[COLOR CARTA]]-Tabla34[[#This Row],[COLOR CARTA]]</f>
        <v>0</v>
      </c>
      <c r="AA47">
        <f>Tabla35[[#This Row],[COLOR OFICIO]]-Tabla34[[#This Row],[COLOR OFICIO]]</f>
        <v>0</v>
      </c>
      <c r="AB47">
        <f>Tabla35[[#This Row],[ENVIAR]]-Tabla34[[#This Row],[ENVIAR]]</f>
        <v>0</v>
      </c>
      <c r="AC47">
        <f>Tabla35[[#This Row],[COPIAR]]-Tabla34[[#This Row],[COPIAR]]</f>
        <v>0</v>
      </c>
    </row>
    <row r="48" spans="1:29" x14ac:dyDescent="0.25">
      <c r="A48" t="s">
        <v>72</v>
      </c>
      <c r="B48" t="s">
        <v>73</v>
      </c>
      <c r="C48">
        <v>73</v>
      </c>
      <c r="D48">
        <v>0</v>
      </c>
      <c r="E48">
        <v>0</v>
      </c>
      <c r="F48">
        <v>0</v>
      </c>
      <c r="G48">
        <v>0</v>
      </c>
      <c r="H48">
        <v>54</v>
      </c>
      <c r="I48">
        <v>8</v>
      </c>
      <c r="K48" t="s">
        <v>72</v>
      </c>
      <c r="L48" t="s">
        <v>73</v>
      </c>
      <c r="M48">
        <v>2313</v>
      </c>
      <c r="N48">
        <v>54</v>
      </c>
      <c r="O48">
        <v>0</v>
      </c>
      <c r="P48">
        <v>0</v>
      </c>
      <c r="Q48">
        <v>0</v>
      </c>
      <c r="R48">
        <v>950</v>
      </c>
      <c r="S48">
        <v>139</v>
      </c>
      <c r="U48" t="s">
        <v>72</v>
      </c>
      <c r="V48" t="s">
        <v>73</v>
      </c>
      <c r="W48">
        <f>Tabla35[[#This Row],[BN CARTA]]-Tabla34[[#This Row],[BN CARTA]]</f>
        <v>2240</v>
      </c>
      <c r="X48">
        <f>Tabla35[[#This Row],[BN OFICIO]]-Tabla34[[#This Row],[BN OFICIO]]</f>
        <v>54</v>
      </c>
      <c r="Y48">
        <f>Tabla35[[#This Row],[BN DC]]-Tabla34[[#This Row],[BN DC]]</f>
        <v>0</v>
      </c>
      <c r="Z48">
        <f>Tabla35[[#This Row],[COLOR CARTA]]-Tabla34[[#This Row],[COLOR CARTA]]</f>
        <v>0</v>
      </c>
      <c r="AA48">
        <f>Tabla35[[#This Row],[COLOR OFICIO]]-Tabla34[[#This Row],[COLOR OFICIO]]</f>
        <v>0</v>
      </c>
      <c r="AB48">
        <f>Tabla35[[#This Row],[ENVIAR]]-Tabla34[[#This Row],[ENVIAR]]</f>
        <v>896</v>
      </c>
      <c r="AC48">
        <f>Tabla35[[#This Row],[COPIAR]]-Tabla34[[#This Row],[COPIAR]]</f>
        <v>131</v>
      </c>
    </row>
    <row r="49" spans="1:29" x14ac:dyDescent="0.25">
      <c r="A49" t="s">
        <v>10</v>
      </c>
      <c r="B49" t="s">
        <v>74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K49" t="s">
        <v>10</v>
      </c>
      <c r="L49" t="s">
        <v>74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U49" t="s">
        <v>10</v>
      </c>
      <c r="V49" t="s">
        <v>74</v>
      </c>
      <c r="W49">
        <f>Tabla35[[#This Row],[BN CARTA]]-Tabla34[[#This Row],[BN CARTA]]</f>
        <v>0</v>
      </c>
      <c r="X49">
        <f>Tabla35[[#This Row],[BN OFICIO]]-Tabla34[[#This Row],[BN OFICIO]]</f>
        <v>0</v>
      </c>
      <c r="Y49">
        <f>Tabla35[[#This Row],[BN DC]]-Tabla34[[#This Row],[BN DC]]</f>
        <v>0</v>
      </c>
      <c r="Z49">
        <f>Tabla35[[#This Row],[COLOR CARTA]]-Tabla34[[#This Row],[COLOR CARTA]]</f>
        <v>0</v>
      </c>
      <c r="AA49">
        <f>Tabla35[[#This Row],[COLOR OFICIO]]-Tabla34[[#This Row],[COLOR OFICIO]]</f>
        <v>0</v>
      </c>
      <c r="AB49">
        <f>Tabla35[[#This Row],[ENVIAR]]-Tabla34[[#This Row],[ENVIAR]]</f>
        <v>0</v>
      </c>
      <c r="AC49">
        <f>Tabla35[[#This Row],[COPIAR]]-Tabla34[[#This Row],[COPIAR]]</f>
        <v>0</v>
      </c>
    </row>
    <row r="50" spans="1:29" x14ac:dyDescent="0.25">
      <c r="A50" t="s">
        <v>10</v>
      </c>
      <c r="B50" t="s">
        <v>75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K50" t="s">
        <v>146</v>
      </c>
      <c r="L50" t="s">
        <v>75</v>
      </c>
      <c r="M50">
        <v>1089</v>
      </c>
      <c r="N50">
        <v>0</v>
      </c>
      <c r="O50">
        <v>0</v>
      </c>
      <c r="P50">
        <v>0</v>
      </c>
      <c r="Q50">
        <v>0</v>
      </c>
      <c r="R50">
        <v>2132</v>
      </c>
      <c r="S50">
        <v>719</v>
      </c>
      <c r="U50" t="s">
        <v>146</v>
      </c>
      <c r="V50" t="s">
        <v>75</v>
      </c>
      <c r="W50">
        <f>Tabla35[[#This Row],[BN CARTA]]-Tabla34[[#This Row],[BN CARTA]]</f>
        <v>1089</v>
      </c>
      <c r="X50">
        <f>Tabla35[[#This Row],[BN OFICIO]]-Tabla34[[#This Row],[BN OFICIO]]</f>
        <v>0</v>
      </c>
      <c r="Y50">
        <f>Tabla35[[#This Row],[BN DC]]-Tabla34[[#This Row],[BN DC]]</f>
        <v>0</v>
      </c>
      <c r="Z50">
        <f>Tabla35[[#This Row],[COLOR CARTA]]-Tabla34[[#This Row],[COLOR CARTA]]</f>
        <v>0</v>
      </c>
      <c r="AA50">
        <f>Tabla35[[#This Row],[COLOR OFICIO]]-Tabla34[[#This Row],[COLOR OFICIO]]</f>
        <v>0</v>
      </c>
      <c r="AB50">
        <f>Tabla35[[#This Row],[ENVIAR]]-Tabla34[[#This Row],[ENVIAR]]</f>
        <v>2132</v>
      </c>
      <c r="AC50">
        <f>Tabla35[[#This Row],[COPIAR]]-Tabla34[[#This Row],[COPIAR]]</f>
        <v>719</v>
      </c>
    </row>
    <row r="51" spans="1:29" x14ac:dyDescent="0.25">
      <c r="A51" t="s">
        <v>76</v>
      </c>
      <c r="B51" t="s">
        <v>77</v>
      </c>
      <c r="C51">
        <v>594</v>
      </c>
      <c r="D51">
        <v>0</v>
      </c>
      <c r="E51">
        <v>0</v>
      </c>
      <c r="F51">
        <v>0</v>
      </c>
      <c r="G51">
        <v>0</v>
      </c>
      <c r="H51">
        <v>40</v>
      </c>
      <c r="I51">
        <v>42</v>
      </c>
      <c r="K51" t="s">
        <v>76</v>
      </c>
      <c r="L51" t="s">
        <v>77</v>
      </c>
      <c r="M51">
        <v>2525</v>
      </c>
      <c r="N51">
        <v>24</v>
      </c>
      <c r="O51">
        <v>0</v>
      </c>
      <c r="P51">
        <v>0</v>
      </c>
      <c r="Q51">
        <v>0</v>
      </c>
      <c r="R51">
        <v>364</v>
      </c>
      <c r="S51">
        <v>419</v>
      </c>
      <c r="U51" t="s">
        <v>76</v>
      </c>
      <c r="V51" t="s">
        <v>77</v>
      </c>
      <c r="W51">
        <f>Tabla35[[#This Row],[BN CARTA]]-Tabla34[[#This Row],[BN CARTA]]</f>
        <v>1931</v>
      </c>
      <c r="X51">
        <f>Tabla35[[#This Row],[BN OFICIO]]-Tabla34[[#This Row],[BN OFICIO]]</f>
        <v>24</v>
      </c>
      <c r="Y51">
        <f>Tabla35[[#This Row],[BN DC]]-Tabla34[[#This Row],[BN DC]]</f>
        <v>0</v>
      </c>
      <c r="Z51">
        <f>Tabla35[[#This Row],[COLOR CARTA]]-Tabla34[[#This Row],[COLOR CARTA]]</f>
        <v>0</v>
      </c>
      <c r="AA51">
        <f>Tabla35[[#This Row],[COLOR OFICIO]]-Tabla34[[#This Row],[COLOR OFICIO]]</f>
        <v>0</v>
      </c>
      <c r="AB51">
        <f>Tabla35[[#This Row],[ENVIAR]]-Tabla34[[#This Row],[ENVIAR]]</f>
        <v>324</v>
      </c>
      <c r="AC51">
        <f>Tabla35[[#This Row],[COPIAR]]-Tabla34[[#This Row],[COPIAR]]</f>
        <v>377</v>
      </c>
    </row>
    <row r="52" spans="1:29" x14ac:dyDescent="0.25">
      <c r="A52" t="s">
        <v>10</v>
      </c>
      <c r="B52" t="s">
        <v>78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K52" t="s">
        <v>10</v>
      </c>
      <c r="L52" t="s">
        <v>78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U52" t="s">
        <v>10</v>
      </c>
      <c r="V52" t="s">
        <v>78</v>
      </c>
      <c r="W52">
        <f>Tabla35[[#This Row],[BN CARTA]]-Tabla34[[#This Row],[BN CARTA]]</f>
        <v>0</v>
      </c>
      <c r="X52">
        <f>Tabla35[[#This Row],[BN OFICIO]]-Tabla34[[#This Row],[BN OFICIO]]</f>
        <v>0</v>
      </c>
      <c r="Y52">
        <f>Tabla35[[#This Row],[BN DC]]-Tabla34[[#This Row],[BN DC]]</f>
        <v>0</v>
      </c>
      <c r="Z52">
        <f>Tabla35[[#This Row],[COLOR CARTA]]-Tabla34[[#This Row],[COLOR CARTA]]</f>
        <v>0</v>
      </c>
      <c r="AA52">
        <f>Tabla35[[#This Row],[COLOR OFICIO]]-Tabla34[[#This Row],[COLOR OFICIO]]</f>
        <v>0</v>
      </c>
      <c r="AB52">
        <f>Tabla35[[#This Row],[ENVIAR]]-Tabla34[[#This Row],[ENVIAR]]</f>
        <v>0</v>
      </c>
      <c r="AC52">
        <f>Tabla35[[#This Row],[COPIAR]]-Tabla34[[#This Row],[COPIAR]]</f>
        <v>0</v>
      </c>
    </row>
    <row r="53" spans="1:29" x14ac:dyDescent="0.25">
      <c r="A53" t="s">
        <v>10</v>
      </c>
      <c r="B53" t="s">
        <v>79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K53" t="s">
        <v>10</v>
      </c>
      <c r="L53" t="s">
        <v>79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U53" t="s">
        <v>10</v>
      </c>
      <c r="V53" t="s">
        <v>79</v>
      </c>
      <c r="W53">
        <f>Tabla35[[#This Row],[BN CARTA]]-Tabla34[[#This Row],[BN CARTA]]</f>
        <v>0</v>
      </c>
      <c r="X53">
        <f>Tabla35[[#This Row],[BN OFICIO]]-Tabla34[[#This Row],[BN OFICIO]]</f>
        <v>0</v>
      </c>
      <c r="Y53">
        <f>Tabla35[[#This Row],[BN DC]]-Tabla34[[#This Row],[BN DC]]</f>
        <v>0</v>
      </c>
      <c r="Z53">
        <f>Tabla35[[#This Row],[COLOR CARTA]]-Tabla34[[#This Row],[COLOR CARTA]]</f>
        <v>0</v>
      </c>
      <c r="AA53">
        <f>Tabla35[[#This Row],[COLOR OFICIO]]-Tabla34[[#This Row],[COLOR OFICIO]]</f>
        <v>0</v>
      </c>
      <c r="AB53">
        <f>Tabla35[[#This Row],[ENVIAR]]-Tabla34[[#This Row],[ENVIAR]]</f>
        <v>0</v>
      </c>
      <c r="AC53">
        <f>Tabla35[[#This Row],[COPIAR]]-Tabla34[[#This Row],[COPIAR]]</f>
        <v>0</v>
      </c>
    </row>
    <row r="54" spans="1:29" x14ac:dyDescent="0.25">
      <c r="A54" t="s">
        <v>10</v>
      </c>
      <c r="B54" t="s">
        <v>80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K54" t="s">
        <v>10</v>
      </c>
      <c r="L54" t="s">
        <v>80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U54" t="s">
        <v>10</v>
      </c>
      <c r="V54" t="s">
        <v>80</v>
      </c>
      <c r="W54">
        <f>Tabla35[[#This Row],[BN CARTA]]-Tabla34[[#This Row],[BN CARTA]]</f>
        <v>0</v>
      </c>
      <c r="X54">
        <f>Tabla35[[#This Row],[BN OFICIO]]-Tabla34[[#This Row],[BN OFICIO]]</f>
        <v>0</v>
      </c>
      <c r="Y54">
        <f>Tabla35[[#This Row],[BN DC]]-Tabla34[[#This Row],[BN DC]]</f>
        <v>0</v>
      </c>
      <c r="Z54">
        <f>Tabla35[[#This Row],[COLOR CARTA]]-Tabla34[[#This Row],[COLOR CARTA]]</f>
        <v>0</v>
      </c>
      <c r="AA54">
        <f>Tabla35[[#This Row],[COLOR OFICIO]]-Tabla34[[#This Row],[COLOR OFICIO]]</f>
        <v>0</v>
      </c>
      <c r="AB54">
        <f>Tabla35[[#This Row],[ENVIAR]]-Tabla34[[#This Row],[ENVIAR]]</f>
        <v>0</v>
      </c>
      <c r="AC54">
        <f>Tabla35[[#This Row],[COPIAR]]-Tabla34[[#This Row],[COPIAR]]</f>
        <v>0</v>
      </c>
    </row>
    <row r="55" spans="1:29" x14ac:dyDescent="0.25">
      <c r="A55" t="s">
        <v>10</v>
      </c>
      <c r="B55" t="s">
        <v>81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K55" t="s">
        <v>10</v>
      </c>
      <c r="L55" t="s">
        <v>81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U55" t="s">
        <v>10</v>
      </c>
      <c r="V55" t="s">
        <v>81</v>
      </c>
      <c r="W55">
        <f>Tabla35[[#This Row],[BN CARTA]]-Tabla34[[#This Row],[BN CARTA]]</f>
        <v>0</v>
      </c>
      <c r="X55">
        <f>Tabla35[[#This Row],[BN OFICIO]]-Tabla34[[#This Row],[BN OFICIO]]</f>
        <v>0</v>
      </c>
      <c r="Y55">
        <f>Tabla35[[#This Row],[BN DC]]-Tabla34[[#This Row],[BN DC]]</f>
        <v>0</v>
      </c>
      <c r="Z55">
        <f>Tabla35[[#This Row],[COLOR CARTA]]-Tabla34[[#This Row],[COLOR CARTA]]</f>
        <v>0</v>
      </c>
      <c r="AA55">
        <f>Tabla35[[#This Row],[COLOR OFICIO]]-Tabla34[[#This Row],[COLOR OFICIO]]</f>
        <v>0</v>
      </c>
      <c r="AB55">
        <f>Tabla35[[#This Row],[ENVIAR]]-Tabla34[[#This Row],[ENVIAR]]</f>
        <v>0</v>
      </c>
      <c r="AC55">
        <f>Tabla35[[#This Row],[COPIAR]]-Tabla34[[#This Row],[COPIAR]]</f>
        <v>0</v>
      </c>
    </row>
    <row r="56" spans="1:29" x14ac:dyDescent="0.25">
      <c r="A56" t="s">
        <v>76</v>
      </c>
      <c r="B56" t="s">
        <v>82</v>
      </c>
      <c r="C56">
        <v>1778</v>
      </c>
      <c r="D56">
        <v>53</v>
      </c>
      <c r="E56">
        <v>0</v>
      </c>
      <c r="F56">
        <v>0</v>
      </c>
      <c r="G56">
        <v>0</v>
      </c>
      <c r="H56">
        <v>592</v>
      </c>
      <c r="I56">
        <v>446</v>
      </c>
      <c r="K56" t="s">
        <v>76</v>
      </c>
      <c r="L56" t="s">
        <v>82</v>
      </c>
      <c r="M56">
        <v>4778</v>
      </c>
      <c r="N56">
        <v>54</v>
      </c>
      <c r="O56">
        <v>0</v>
      </c>
      <c r="P56">
        <v>0</v>
      </c>
      <c r="Q56">
        <v>0</v>
      </c>
      <c r="R56">
        <v>1038</v>
      </c>
      <c r="S56">
        <v>636</v>
      </c>
      <c r="U56" t="s">
        <v>76</v>
      </c>
      <c r="V56" t="s">
        <v>82</v>
      </c>
      <c r="W56">
        <f>Tabla35[[#This Row],[BN CARTA]]-Tabla34[[#This Row],[BN CARTA]]</f>
        <v>3000</v>
      </c>
      <c r="X56">
        <f>Tabla35[[#This Row],[BN OFICIO]]-Tabla34[[#This Row],[BN OFICIO]]</f>
        <v>1</v>
      </c>
      <c r="Y56">
        <f>Tabla35[[#This Row],[BN DC]]-Tabla34[[#This Row],[BN DC]]</f>
        <v>0</v>
      </c>
      <c r="Z56">
        <f>Tabla35[[#This Row],[COLOR CARTA]]-Tabla34[[#This Row],[COLOR CARTA]]</f>
        <v>0</v>
      </c>
      <c r="AA56">
        <f>Tabla35[[#This Row],[COLOR OFICIO]]-Tabla34[[#This Row],[COLOR OFICIO]]</f>
        <v>0</v>
      </c>
      <c r="AB56">
        <f>Tabla35[[#This Row],[ENVIAR]]-Tabla34[[#This Row],[ENVIAR]]</f>
        <v>446</v>
      </c>
      <c r="AC56">
        <f>Tabla35[[#This Row],[COPIAR]]-Tabla34[[#This Row],[COPIAR]]</f>
        <v>190</v>
      </c>
    </row>
    <row r="57" spans="1:29" x14ac:dyDescent="0.25">
      <c r="A57" t="s">
        <v>83</v>
      </c>
      <c r="B57" t="s">
        <v>84</v>
      </c>
      <c r="C57">
        <v>1300</v>
      </c>
      <c r="D57">
        <v>0</v>
      </c>
      <c r="E57">
        <v>0</v>
      </c>
      <c r="F57">
        <v>0</v>
      </c>
      <c r="G57">
        <v>0</v>
      </c>
      <c r="H57">
        <v>1211</v>
      </c>
      <c r="I57">
        <v>633</v>
      </c>
      <c r="K57" t="s">
        <v>83</v>
      </c>
      <c r="L57" t="s">
        <v>84</v>
      </c>
      <c r="M57">
        <v>1300</v>
      </c>
      <c r="N57">
        <v>0</v>
      </c>
      <c r="O57">
        <v>0</v>
      </c>
      <c r="P57">
        <v>0</v>
      </c>
      <c r="Q57">
        <v>0</v>
      </c>
      <c r="R57">
        <v>1211</v>
      </c>
      <c r="S57">
        <v>633</v>
      </c>
      <c r="U57" t="s">
        <v>83</v>
      </c>
      <c r="V57" t="s">
        <v>84</v>
      </c>
      <c r="W57">
        <f>Tabla35[[#This Row],[BN CARTA]]-Tabla34[[#This Row],[BN CARTA]]</f>
        <v>0</v>
      </c>
      <c r="X57">
        <f>Tabla35[[#This Row],[BN OFICIO]]-Tabla34[[#This Row],[BN OFICIO]]</f>
        <v>0</v>
      </c>
      <c r="Y57">
        <f>Tabla35[[#This Row],[BN DC]]-Tabla34[[#This Row],[BN DC]]</f>
        <v>0</v>
      </c>
      <c r="Z57">
        <f>Tabla35[[#This Row],[COLOR CARTA]]-Tabla34[[#This Row],[COLOR CARTA]]</f>
        <v>0</v>
      </c>
      <c r="AA57">
        <f>Tabla35[[#This Row],[COLOR OFICIO]]-Tabla34[[#This Row],[COLOR OFICIO]]</f>
        <v>0</v>
      </c>
      <c r="AB57">
        <f>Tabla35[[#This Row],[ENVIAR]]-Tabla34[[#This Row],[ENVIAR]]</f>
        <v>0</v>
      </c>
      <c r="AC57">
        <f>Tabla35[[#This Row],[COPIAR]]-Tabla34[[#This Row],[COPIAR]]</f>
        <v>0</v>
      </c>
    </row>
    <row r="58" spans="1:29" x14ac:dyDescent="0.25">
      <c r="A58" t="s">
        <v>10</v>
      </c>
      <c r="B58" t="s">
        <v>85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K58" t="s">
        <v>10</v>
      </c>
      <c r="L58" t="s">
        <v>85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U58" t="s">
        <v>10</v>
      </c>
      <c r="V58" t="s">
        <v>85</v>
      </c>
      <c r="W58">
        <f>Tabla35[[#This Row],[BN CARTA]]-Tabla34[[#This Row],[BN CARTA]]</f>
        <v>0</v>
      </c>
      <c r="X58">
        <f>Tabla35[[#This Row],[BN OFICIO]]-Tabla34[[#This Row],[BN OFICIO]]</f>
        <v>0</v>
      </c>
      <c r="Y58">
        <f>Tabla35[[#This Row],[BN DC]]-Tabla34[[#This Row],[BN DC]]</f>
        <v>0</v>
      </c>
      <c r="Z58">
        <f>Tabla35[[#This Row],[COLOR CARTA]]-Tabla34[[#This Row],[COLOR CARTA]]</f>
        <v>0</v>
      </c>
      <c r="AA58">
        <f>Tabla35[[#This Row],[COLOR OFICIO]]-Tabla34[[#This Row],[COLOR OFICIO]]</f>
        <v>0</v>
      </c>
      <c r="AB58">
        <f>Tabla35[[#This Row],[ENVIAR]]-Tabla34[[#This Row],[ENVIAR]]</f>
        <v>0</v>
      </c>
      <c r="AC58">
        <f>Tabla35[[#This Row],[COPIAR]]-Tabla34[[#This Row],[COPIAR]]</f>
        <v>0</v>
      </c>
    </row>
    <row r="59" spans="1:29" x14ac:dyDescent="0.25">
      <c r="A59" t="s">
        <v>10</v>
      </c>
      <c r="B59" t="s">
        <v>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K59" t="s">
        <v>10</v>
      </c>
      <c r="L59" t="s">
        <v>86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U59" t="s">
        <v>10</v>
      </c>
      <c r="V59" t="s">
        <v>86</v>
      </c>
      <c r="W59">
        <f>Tabla35[[#This Row],[BN CARTA]]-Tabla34[[#This Row],[BN CARTA]]</f>
        <v>0</v>
      </c>
      <c r="X59">
        <f>Tabla35[[#This Row],[BN OFICIO]]-Tabla34[[#This Row],[BN OFICIO]]</f>
        <v>0</v>
      </c>
      <c r="Y59">
        <f>Tabla35[[#This Row],[BN DC]]-Tabla34[[#This Row],[BN DC]]</f>
        <v>0</v>
      </c>
      <c r="Z59">
        <f>Tabla35[[#This Row],[COLOR CARTA]]-Tabla34[[#This Row],[COLOR CARTA]]</f>
        <v>0</v>
      </c>
      <c r="AA59">
        <f>Tabla35[[#This Row],[COLOR OFICIO]]-Tabla34[[#This Row],[COLOR OFICIO]]</f>
        <v>0</v>
      </c>
      <c r="AB59">
        <f>Tabla35[[#This Row],[ENVIAR]]-Tabla34[[#This Row],[ENVIAR]]</f>
        <v>0</v>
      </c>
      <c r="AC59">
        <f>Tabla35[[#This Row],[COPIAR]]-Tabla34[[#This Row],[COPIAR]]</f>
        <v>0</v>
      </c>
    </row>
    <row r="60" spans="1:29" x14ac:dyDescent="0.25">
      <c r="A60" t="s">
        <v>10</v>
      </c>
      <c r="B60" t="s">
        <v>87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K60" t="s">
        <v>10</v>
      </c>
      <c r="L60" t="s">
        <v>87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U60" t="s">
        <v>10</v>
      </c>
      <c r="V60" t="s">
        <v>87</v>
      </c>
      <c r="W60">
        <f>Tabla35[[#This Row],[BN CARTA]]-Tabla34[[#This Row],[BN CARTA]]</f>
        <v>0</v>
      </c>
      <c r="X60">
        <f>Tabla35[[#This Row],[BN OFICIO]]-Tabla34[[#This Row],[BN OFICIO]]</f>
        <v>0</v>
      </c>
      <c r="Y60">
        <f>Tabla35[[#This Row],[BN DC]]-Tabla34[[#This Row],[BN DC]]</f>
        <v>0</v>
      </c>
      <c r="Z60">
        <f>Tabla35[[#This Row],[COLOR CARTA]]-Tabla34[[#This Row],[COLOR CARTA]]</f>
        <v>0</v>
      </c>
      <c r="AA60">
        <f>Tabla35[[#This Row],[COLOR OFICIO]]-Tabla34[[#This Row],[COLOR OFICIO]]</f>
        <v>0</v>
      </c>
      <c r="AB60">
        <f>Tabla35[[#This Row],[ENVIAR]]-Tabla34[[#This Row],[ENVIAR]]</f>
        <v>0</v>
      </c>
      <c r="AC60">
        <f>Tabla35[[#This Row],[COPIAR]]-Tabla34[[#This Row],[COPIAR]]</f>
        <v>0</v>
      </c>
    </row>
    <row r="61" spans="1:29" x14ac:dyDescent="0.25">
      <c r="A61" t="s">
        <v>10</v>
      </c>
      <c r="B61" t="s">
        <v>88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K61" t="s">
        <v>791</v>
      </c>
      <c r="L61" t="s">
        <v>88</v>
      </c>
      <c r="M61">
        <v>1682</v>
      </c>
      <c r="N61">
        <v>2</v>
      </c>
      <c r="O61">
        <v>0</v>
      </c>
      <c r="P61">
        <v>0</v>
      </c>
      <c r="Q61">
        <v>0</v>
      </c>
      <c r="R61">
        <v>252</v>
      </c>
      <c r="S61">
        <v>615</v>
      </c>
      <c r="U61" t="s">
        <v>791</v>
      </c>
      <c r="V61" t="s">
        <v>88</v>
      </c>
      <c r="W61">
        <f>Tabla35[[#This Row],[BN CARTA]]-Tabla34[[#This Row],[BN CARTA]]</f>
        <v>1682</v>
      </c>
      <c r="X61">
        <f>Tabla35[[#This Row],[BN OFICIO]]-Tabla34[[#This Row],[BN OFICIO]]</f>
        <v>2</v>
      </c>
      <c r="Y61">
        <f>Tabla35[[#This Row],[BN DC]]-Tabla34[[#This Row],[BN DC]]</f>
        <v>0</v>
      </c>
      <c r="Z61">
        <f>Tabla35[[#This Row],[COLOR CARTA]]-Tabla34[[#This Row],[COLOR CARTA]]</f>
        <v>0</v>
      </c>
      <c r="AA61">
        <f>Tabla35[[#This Row],[COLOR OFICIO]]-Tabla34[[#This Row],[COLOR OFICIO]]</f>
        <v>0</v>
      </c>
      <c r="AB61">
        <f>Tabla35[[#This Row],[ENVIAR]]-Tabla34[[#This Row],[ENVIAR]]</f>
        <v>252</v>
      </c>
      <c r="AC61">
        <f>Tabla35[[#This Row],[COPIAR]]-Tabla34[[#This Row],[COPIAR]]</f>
        <v>615</v>
      </c>
    </row>
    <row r="62" spans="1:29" x14ac:dyDescent="0.25">
      <c r="A62" t="s">
        <v>10</v>
      </c>
      <c r="B62" t="s">
        <v>89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K62" t="s">
        <v>10</v>
      </c>
      <c r="L62" t="s">
        <v>89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U62" t="s">
        <v>10</v>
      </c>
      <c r="V62" t="s">
        <v>89</v>
      </c>
      <c r="W62">
        <f>Tabla35[[#This Row],[BN CARTA]]-Tabla34[[#This Row],[BN CARTA]]</f>
        <v>0</v>
      </c>
      <c r="X62">
        <f>Tabla35[[#This Row],[BN OFICIO]]-Tabla34[[#This Row],[BN OFICIO]]</f>
        <v>0</v>
      </c>
      <c r="Y62">
        <f>Tabla35[[#This Row],[BN DC]]-Tabla34[[#This Row],[BN DC]]</f>
        <v>0</v>
      </c>
      <c r="Z62">
        <f>Tabla35[[#This Row],[COLOR CARTA]]-Tabla34[[#This Row],[COLOR CARTA]]</f>
        <v>0</v>
      </c>
      <c r="AA62">
        <f>Tabla35[[#This Row],[COLOR OFICIO]]-Tabla34[[#This Row],[COLOR OFICIO]]</f>
        <v>0</v>
      </c>
      <c r="AB62">
        <f>Tabla35[[#This Row],[ENVIAR]]-Tabla34[[#This Row],[ENVIAR]]</f>
        <v>0</v>
      </c>
      <c r="AC62">
        <f>Tabla35[[#This Row],[COPIAR]]-Tabla34[[#This Row],[COPIAR]]</f>
        <v>0</v>
      </c>
    </row>
    <row r="63" spans="1:29" x14ac:dyDescent="0.25">
      <c r="A63" t="s">
        <v>10</v>
      </c>
      <c r="B63" t="s">
        <v>90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K63" t="s">
        <v>792</v>
      </c>
      <c r="L63" t="s">
        <v>90</v>
      </c>
      <c r="M63">
        <v>2078</v>
      </c>
      <c r="N63">
        <v>7</v>
      </c>
      <c r="O63">
        <v>0</v>
      </c>
      <c r="P63">
        <v>0</v>
      </c>
      <c r="Q63">
        <v>0</v>
      </c>
      <c r="R63">
        <v>201</v>
      </c>
      <c r="S63">
        <v>542</v>
      </c>
      <c r="U63" t="s">
        <v>792</v>
      </c>
      <c r="V63" t="s">
        <v>90</v>
      </c>
      <c r="W63">
        <f>Tabla35[[#This Row],[BN CARTA]]-Tabla34[[#This Row],[BN CARTA]]</f>
        <v>2078</v>
      </c>
      <c r="X63">
        <f>Tabla35[[#This Row],[BN OFICIO]]-Tabla34[[#This Row],[BN OFICIO]]</f>
        <v>7</v>
      </c>
      <c r="Y63">
        <f>Tabla35[[#This Row],[BN DC]]-Tabla34[[#This Row],[BN DC]]</f>
        <v>0</v>
      </c>
      <c r="Z63">
        <f>Tabla35[[#This Row],[COLOR CARTA]]-Tabla34[[#This Row],[COLOR CARTA]]</f>
        <v>0</v>
      </c>
      <c r="AA63">
        <f>Tabla35[[#This Row],[COLOR OFICIO]]-Tabla34[[#This Row],[COLOR OFICIO]]</f>
        <v>0</v>
      </c>
      <c r="AB63">
        <f>Tabla35[[#This Row],[ENVIAR]]-Tabla34[[#This Row],[ENVIAR]]</f>
        <v>201</v>
      </c>
      <c r="AC63">
        <f>Tabla35[[#This Row],[COPIAR]]-Tabla34[[#This Row],[COPIAR]]</f>
        <v>542</v>
      </c>
    </row>
    <row r="64" spans="1:29" x14ac:dyDescent="0.25">
      <c r="A64" t="s">
        <v>10</v>
      </c>
      <c r="B64" t="s">
        <v>91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K64" t="s">
        <v>10</v>
      </c>
      <c r="L64" t="s">
        <v>91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U64" t="s">
        <v>10</v>
      </c>
      <c r="V64" t="s">
        <v>91</v>
      </c>
      <c r="W64">
        <f>Tabla35[[#This Row],[BN CARTA]]-Tabla34[[#This Row],[BN CARTA]]</f>
        <v>0</v>
      </c>
      <c r="X64">
        <f>Tabla35[[#This Row],[BN OFICIO]]-Tabla34[[#This Row],[BN OFICIO]]</f>
        <v>0</v>
      </c>
      <c r="Y64">
        <f>Tabla35[[#This Row],[BN DC]]-Tabla34[[#This Row],[BN DC]]</f>
        <v>0</v>
      </c>
      <c r="Z64">
        <f>Tabla35[[#This Row],[COLOR CARTA]]-Tabla34[[#This Row],[COLOR CARTA]]</f>
        <v>0</v>
      </c>
      <c r="AA64">
        <f>Tabla35[[#This Row],[COLOR OFICIO]]-Tabla34[[#This Row],[COLOR OFICIO]]</f>
        <v>0</v>
      </c>
      <c r="AB64">
        <f>Tabla35[[#This Row],[ENVIAR]]-Tabla34[[#This Row],[ENVIAR]]</f>
        <v>0</v>
      </c>
      <c r="AC64">
        <f>Tabla35[[#This Row],[COPIAR]]-Tabla34[[#This Row],[COPIAR]]</f>
        <v>0</v>
      </c>
    </row>
    <row r="65" spans="1:29" x14ac:dyDescent="0.25">
      <c r="A65" t="s">
        <v>10</v>
      </c>
      <c r="B65" t="s">
        <v>92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K65" t="s">
        <v>10</v>
      </c>
      <c r="L65" t="s">
        <v>92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U65" t="s">
        <v>10</v>
      </c>
      <c r="V65" t="s">
        <v>92</v>
      </c>
      <c r="W65">
        <f>Tabla35[[#This Row],[BN CARTA]]-Tabla34[[#This Row],[BN CARTA]]</f>
        <v>0</v>
      </c>
      <c r="X65">
        <f>Tabla35[[#This Row],[BN OFICIO]]-Tabla34[[#This Row],[BN OFICIO]]</f>
        <v>0</v>
      </c>
      <c r="Y65">
        <f>Tabla35[[#This Row],[BN DC]]-Tabla34[[#This Row],[BN DC]]</f>
        <v>0</v>
      </c>
      <c r="Z65">
        <f>Tabla35[[#This Row],[COLOR CARTA]]-Tabla34[[#This Row],[COLOR CARTA]]</f>
        <v>0</v>
      </c>
      <c r="AA65">
        <f>Tabla35[[#This Row],[COLOR OFICIO]]-Tabla34[[#This Row],[COLOR OFICIO]]</f>
        <v>0</v>
      </c>
      <c r="AB65">
        <f>Tabla35[[#This Row],[ENVIAR]]-Tabla34[[#This Row],[ENVIAR]]</f>
        <v>0</v>
      </c>
      <c r="AC65">
        <f>Tabla35[[#This Row],[COPIAR]]-Tabla34[[#This Row],[COPIAR]]</f>
        <v>0</v>
      </c>
    </row>
    <row r="66" spans="1:29" x14ac:dyDescent="0.25">
      <c r="A66" t="s">
        <v>10</v>
      </c>
      <c r="B66" t="s">
        <v>93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K66" t="s">
        <v>10</v>
      </c>
      <c r="L66" t="s">
        <v>93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U66" t="s">
        <v>10</v>
      </c>
      <c r="V66" t="s">
        <v>93</v>
      </c>
      <c r="W66">
        <f>Tabla35[[#This Row],[BN CARTA]]-Tabla34[[#This Row],[BN CARTA]]</f>
        <v>0</v>
      </c>
      <c r="X66">
        <f>Tabla35[[#This Row],[BN OFICIO]]-Tabla34[[#This Row],[BN OFICIO]]</f>
        <v>0</v>
      </c>
      <c r="Y66">
        <f>Tabla35[[#This Row],[BN DC]]-Tabla34[[#This Row],[BN DC]]</f>
        <v>0</v>
      </c>
      <c r="Z66">
        <f>Tabla35[[#This Row],[COLOR CARTA]]-Tabla34[[#This Row],[COLOR CARTA]]</f>
        <v>0</v>
      </c>
      <c r="AA66">
        <f>Tabla35[[#This Row],[COLOR OFICIO]]-Tabla34[[#This Row],[COLOR OFICIO]]</f>
        <v>0</v>
      </c>
      <c r="AB66">
        <f>Tabla35[[#This Row],[ENVIAR]]-Tabla34[[#This Row],[ENVIAR]]</f>
        <v>0</v>
      </c>
      <c r="AC66">
        <f>Tabla35[[#This Row],[COPIAR]]-Tabla34[[#This Row],[COPIAR]]</f>
        <v>0</v>
      </c>
    </row>
    <row r="67" spans="1:29" x14ac:dyDescent="0.25">
      <c r="A67" t="s">
        <v>10</v>
      </c>
      <c r="B67" t="s">
        <v>94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K67" t="s">
        <v>791</v>
      </c>
      <c r="L67" t="s">
        <v>94</v>
      </c>
      <c r="M67">
        <v>842</v>
      </c>
      <c r="N67">
        <v>0</v>
      </c>
      <c r="O67">
        <v>0</v>
      </c>
      <c r="P67">
        <v>0</v>
      </c>
      <c r="Q67">
        <v>0</v>
      </c>
      <c r="R67">
        <v>606</v>
      </c>
      <c r="S67">
        <v>228</v>
      </c>
      <c r="U67" t="s">
        <v>791</v>
      </c>
      <c r="V67" t="s">
        <v>94</v>
      </c>
      <c r="W67">
        <f>Tabla35[[#This Row],[BN CARTA]]-Tabla34[[#This Row],[BN CARTA]]</f>
        <v>842</v>
      </c>
      <c r="X67">
        <f>Tabla35[[#This Row],[BN OFICIO]]-Tabla34[[#This Row],[BN OFICIO]]</f>
        <v>0</v>
      </c>
      <c r="Y67">
        <f>Tabla35[[#This Row],[BN DC]]-Tabla34[[#This Row],[BN DC]]</f>
        <v>0</v>
      </c>
      <c r="Z67">
        <f>Tabla35[[#This Row],[COLOR CARTA]]-Tabla34[[#This Row],[COLOR CARTA]]</f>
        <v>0</v>
      </c>
      <c r="AA67">
        <f>Tabla35[[#This Row],[COLOR OFICIO]]-Tabla34[[#This Row],[COLOR OFICIO]]</f>
        <v>0</v>
      </c>
      <c r="AB67">
        <f>Tabla35[[#This Row],[ENVIAR]]-Tabla34[[#This Row],[ENVIAR]]</f>
        <v>606</v>
      </c>
      <c r="AC67">
        <f>Tabla35[[#This Row],[COPIAR]]-Tabla34[[#This Row],[COPIAR]]</f>
        <v>228</v>
      </c>
    </row>
    <row r="68" spans="1:29" x14ac:dyDescent="0.25">
      <c r="A68" t="s">
        <v>10</v>
      </c>
      <c r="B68" t="s">
        <v>95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K68" t="s">
        <v>792</v>
      </c>
      <c r="L68" t="s">
        <v>95</v>
      </c>
      <c r="M68">
        <v>477</v>
      </c>
      <c r="N68">
        <v>4</v>
      </c>
      <c r="O68">
        <v>0</v>
      </c>
      <c r="P68">
        <v>0</v>
      </c>
      <c r="Q68">
        <v>0</v>
      </c>
      <c r="R68">
        <v>191</v>
      </c>
      <c r="S68">
        <v>44</v>
      </c>
      <c r="U68" t="s">
        <v>792</v>
      </c>
      <c r="V68" t="s">
        <v>95</v>
      </c>
      <c r="W68">
        <f>Tabla35[[#This Row],[BN CARTA]]-Tabla34[[#This Row],[BN CARTA]]</f>
        <v>477</v>
      </c>
      <c r="X68">
        <f>Tabla35[[#This Row],[BN OFICIO]]-Tabla34[[#This Row],[BN OFICIO]]</f>
        <v>4</v>
      </c>
      <c r="Y68">
        <f>Tabla35[[#This Row],[BN DC]]-Tabla34[[#This Row],[BN DC]]</f>
        <v>0</v>
      </c>
      <c r="Z68">
        <f>Tabla35[[#This Row],[COLOR CARTA]]-Tabla34[[#This Row],[COLOR CARTA]]</f>
        <v>0</v>
      </c>
      <c r="AA68">
        <f>Tabla35[[#This Row],[COLOR OFICIO]]-Tabla34[[#This Row],[COLOR OFICIO]]</f>
        <v>0</v>
      </c>
      <c r="AB68">
        <f>Tabla35[[#This Row],[ENVIAR]]-Tabla34[[#This Row],[ENVIAR]]</f>
        <v>191</v>
      </c>
      <c r="AC68">
        <f>Tabla35[[#This Row],[COPIAR]]-Tabla34[[#This Row],[COPIAR]]</f>
        <v>44</v>
      </c>
    </row>
    <row r="69" spans="1:29" x14ac:dyDescent="0.25">
      <c r="A69" t="s">
        <v>10</v>
      </c>
      <c r="B69" t="s">
        <v>96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K69" t="s">
        <v>10</v>
      </c>
      <c r="L69" t="s">
        <v>96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U69" t="s">
        <v>10</v>
      </c>
      <c r="V69" t="s">
        <v>96</v>
      </c>
      <c r="W69">
        <f>Tabla35[[#This Row],[BN CARTA]]-Tabla34[[#This Row],[BN CARTA]]</f>
        <v>0</v>
      </c>
      <c r="X69">
        <f>Tabla35[[#This Row],[BN OFICIO]]-Tabla34[[#This Row],[BN OFICIO]]</f>
        <v>0</v>
      </c>
      <c r="Y69">
        <f>Tabla35[[#This Row],[BN DC]]-Tabla34[[#This Row],[BN DC]]</f>
        <v>0</v>
      </c>
      <c r="Z69">
        <f>Tabla35[[#This Row],[COLOR CARTA]]-Tabla34[[#This Row],[COLOR CARTA]]</f>
        <v>0</v>
      </c>
      <c r="AA69">
        <f>Tabla35[[#This Row],[COLOR OFICIO]]-Tabla34[[#This Row],[COLOR OFICIO]]</f>
        <v>0</v>
      </c>
      <c r="AB69">
        <f>Tabla35[[#This Row],[ENVIAR]]-Tabla34[[#This Row],[ENVIAR]]</f>
        <v>0</v>
      </c>
      <c r="AC69">
        <f>Tabla35[[#This Row],[COPIAR]]-Tabla34[[#This Row],[COPIAR]]</f>
        <v>0</v>
      </c>
    </row>
    <row r="70" spans="1:29" x14ac:dyDescent="0.25">
      <c r="A70" t="s">
        <v>97</v>
      </c>
      <c r="B70" t="s">
        <v>98</v>
      </c>
      <c r="C70">
        <v>347</v>
      </c>
      <c r="D70">
        <v>0</v>
      </c>
      <c r="E70">
        <v>0</v>
      </c>
      <c r="F70">
        <v>0</v>
      </c>
      <c r="G70">
        <v>0</v>
      </c>
      <c r="H70">
        <v>100</v>
      </c>
      <c r="I70">
        <v>140</v>
      </c>
      <c r="K70" t="s">
        <v>97</v>
      </c>
      <c r="L70" t="s">
        <v>98</v>
      </c>
      <c r="M70">
        <v>716</v>
      </c>
      <c r="N70">
        <v>1</v>
      </c>
      <c r="O70">
        <v>0</v>
      </c>
      <c r="P70">
        <v>0</v>
      </c>
      <c r="Q70">
        <v>0</v>
      </c>
      <c r="R70">
        <v>248</v>
      </c>
      <c r="S70">
        <v>294</v>
      </c>
      <c r="U70" t="s">
        <v>97</v>
      </c>
      <c r="V70" t="s">
        <v>98</v>
      </c>
      <c r="W70">
        <f>Tabla35[[#This Row],[BN CARTA]]-Tabla34[[#This Row],[BN CARTA]]</f>
        <v>369</v>
      </c>
      <c r="X70">
        <f>Tabla35[[#This Row],[BN OFICIO]]-Tabla34[[#This Row],[BN OFICIO]]</f>
        <v>1</v>
      </c>
      <c r="Y70">
        <f>Tabla35[[#This Row],[BN DC]]-Tabla34[[#This Row],[BN DC]]</f>
        <v>0</v>
      </c>
      <c r="Z70">
        <f>Tabla35[[#This Row],[COLOR CARTA]]-Tabla34[[#This Row],[COLOR CARTA]]</f>
        <v>0</v>
      </c>
      <c r="AA70">
        <f>Tabla35[[#This Row],[COLOR OFICIO]]-Tabla34[[#This Row],[COLOR OFICIO]]</f>
        <v>0</v>
      </c>
      <c r="AB70">
        <f>Tabla35[[#This Row],[ENVIAR]]-Tabla34[[#This Row],[ENVIAR]]</f>
        <v>148</v>
      </c>
      <c r="AC70">
        <f>Tabla35[[#This Row],[COPIAR]]-Tabla34[[#This Row],[COPIAR]]</f>
        <v>154</v>
      </c>
    </row>
    <row r="71" spans="1:29" x14ac:dyDescent="0.25">
      <c r="A71" t="s">
        <v>99</v>
      </c>
      <c r="B71" t="s">
        <v>100</v>
      </c>
      <c r="C71">
        <v>384</v>
      </c>
      <c r="D71">
        <v>25</v>
      </c>
      <c r="E71">
        <v>0</v>
      </c>
      <c r="F71">
        <v>0</v>
      </c>
      <c r="G71">
        <v>0</v>
      </c>
      <c r="H71">
        <v>688</v>
      </c>
      <c r="I71">
        <v>93</v>
      </c>
      <c r="K71" t="s">
        <v>99</v>
      </c>
      <c r="L71" t="s">
        <v>100</v>
      </c>
      <c r="M71">
        <v>847</v>
      </c>
      <c r="N71">
        <v>100</v>
      </c>
      <c r="O71">
        <v>0</v>
      </c>
      <c r="P71">
        <v>0</v>
      </c>
      <c r="Q71">
        <v>0</v>
      </c>
      <c r="R71">
        <v>1174</v>
      </c>
      <c r="S71">
        <v>205</v>
      </c>
      <c r="U71" t="s">
        <v>99</v>
      </c>
      <c r="V71" t="s">
        <v>100</v>
      </c>
      <c r="W71">
        <f>Tabla35[[#This Row],[BN CARTA]]-Tabla34[[#This Row],[BN CARTA]]</f>
        <v>463</v>
      </c>
      <c r="X71">
        <f>Tabla35[[#This Row],[BN OFICIO]]-Tabla34[[#This Row],[BN OFICIO]]</f>
        <v>75</v>
      </c>
      <c r="Y71">
        <f>Tabla35[[#This Row],[BN DC]]-Tabla34[[#This Row],[BN DC]]</f>
        <v>0</v>
      </c>
      <c r="Z71">
        <f>Tabla35[[#This Row],[COLOR CARTA]]-Tabla34[[#This Row],[COLOR CARTA]]</f>
        <v>0</v>
      </c>
      <c r="AA71">
        <f>Tabla35[[#This Row],[COLOR OFICIO]]-Tabla34[[#This Row],[COLOR OFICIO]]</f>
        <v>0</v>
      </c>
      <c r="AB71">
        <f>Tabla35[[#This Row],[ENVIAR]]-Tabla34[[#This Row],[ENVIAR]]</f>
        <v>486</v>
      </c>
      <c r="AC71">
        <f>Tabla35[[#This Row],[COPIAR]]-Tabla34[[#This Row],[COPIAR]]</f>
        <v>112</v>
      </c>
    </row>
    <row r="72" spans="1:29" x14ac:dyDescent="0.25">
      <c r="A72" t="s">
        <v>101</v>
      </c>
      <c r="B72" t="s">
        <v>102</v>
      </c>
      <c r="C72">
        <v>698</v>
      </c>
      <c r="D72">
        <v>0</v>
      </c>
      <c r="E72">
        <v>0</v>
      </c>
      <c r="F72">
        <v>0</v>
      </c>
      <c r="G72">
        <v>0</v>
      </c>
      <c r="H72">
        <v>457</v>
      </c>
      <c r="I72">
        <v>103</v>
      </c>
      <c r="K72" t="s">
        <v>101</v>
      </c>
      <c r="L72" t="s">
        <v>102</v>
      </c>
      <c r="M72">
        <v>698</v>
      </c>
      <c r="N72">
        <v>0</v>
      </c>
      <c r="O72">
        <v>0</v>
      </c>
      <c r="P72">
        <v>0</v>
      </c>
      <c r="Q72">
        <v>0</v>
      </c>
      <c r="R72">
        <v>457</v>
      </c>
      <c r="S72">
        <v>103</v>
      </c>
      <c r="U72" t="s">
        <v>101</v>
      </c>
      <c r="V72" t="s">
        <v>102</v>
      </c>
      <c r="W72">
        <f>Tabla35[[#This Row],[BN CARTA]]-Tabla34[[#This Row],[BN CARTA]]</f>
        <v>0</v>
      </c>
      <c r="X72">
        <f>Tabla35[[#This Row],[BN OFICIO]]-Tabla34[[#This Row],[BN OFICIO]]</f>
        <v>0</v>
      </c>
      <c r="Y72">
        <f>Tabla35[[#This Row],[BN DC]]-Tabla34[[#This Row],[BN DC]]</f>
        <v>0</v>
      </c>
      <c r="Z72">
        <f>Tabla35[[#This Row],[COLOR CARTA]]-Tabla34[[#This Row],[COLOR CARTA]]</f>
        <v>0</v>
      </c>
      <c r="AA72">
        <f>Tabla35[[#This Row],[COLOR OFICIO]]-Tabla34[[#This Row],[COLOR OFICIO]]</f>
        <v>0</v>
      </c>
      <c r="AB72">
        <f>Tabla35[[#This Row],[ENVIAR]]-Tabla34[[#This Row],[ENVIAR]]</f>
        <v>0</v>
      </c>
      <c r="AC72">
        <f>Tabla35[[#This Row],[COPIAR]]-Tabla34[[#This Row],[COPIAR]]</f>
        <v>0</v>
      </c>
    </row>
    <row r="73" spans="1:29" x14ac:dyDescent="0.25">
      <c r="A73" t="s">
        <v>10</v>
      </c>
      <c r="B73" t="s">
        <v>103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K73" t="s">
        <v>512</v>
      </c>
      <c r="L73" t="s">
        <v>103</v>
      </c>
      <c r="M73">
        <v>47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U73" t="s">
        <v>512</v>
      </c>
      <c r="V73" t="s">
        <v>103</v>
      </c>
      <c r="W73">
        <f>Tabla35[[#This Row],[BN CARTA]]-Tabla34[[#This Row],[BN CARTA]]</f>
        <v>47</v>
      </c>
      <c r="X73">
        <f>Tabla35[[#This Row],[BN OFICIO]]-Tabla34[[#This Row],[BN OFICIO]]</f>
        <v>0</v>
      </c>
      <c r="Y73">
        <f>Tabla35[[#This Row],[BN DC]]-Tabla34[[#This Row],[BN DC]]</f>
        <v>0</v>
      </c>
      <c r="Z73">
        <f>Tabla35[[#This Row],[COLOR CARTA]]-Tabla34[[#This Row],[COLOR CARTA]]</f>
        <v>0</v>
      </c>
      <c r="AA73">
        <f>Tabla35[[#This Row],[COLOR OFICIO]]-Tabla34[[#This Row],[COLOR OFICIO]]</f>
        <v>0</v>
      </c>
      <c r="AB73">
        <f>Tabla35[[#This Row],[ENVIAR]]-Tabla34[[#This Row],[ENVIAR]]</f>
        <v>0</v>
      </c>
      <c r="AC73">
        <f>Tabla35[[#This Row],[COPIAR]]-Tabla34[[#This Row],[COPIAR]]</f>
        <v>0</v>
      </c>
    </row>
    <row r="74" spans="1:29" x14ac:dyDescent="0.25">
      <c r="A74" t="s">
        <v>104</v>
      </c>
      <c r="B74" t="s">
        <v>105</v>
      </c>
      <c r="C74">
        <v>305</v>
      </c>
      <c r="D74">
        <v>0</v>
      </c>
      <c r="E74">
        <v>0</v>
      </c>
      <c r="F74">
        <v>0</v>
      </c>
      <c r="G74">
        <v>0</v>
      </c>
      <c r="H74">
        <v>312</v>
      </c>
      <c r="I74">
        <v>61</v>
      </c>
      <c r="K74" t="s">
        <v>104</v>
      </c>
      <c r="L74" t="s">
        <v>105</v>
      </c>
      <c r="M74">
        <v>305</v>
      </c>
      <c r="N74">
        <v>0</v>
      </c>
      <c r="O74">
        <v>0</v>
      </c>
      <c r="P74">
        <v>0</v>
      </c>
      <c r="Q74">
        <v>0</v>
      </c>
      <c r="R74">
        <v>312</v>
      </c>
      <c r="S74">
        <v>61</v>
      </c>
      <c r="U74" t="s">
        <v>104</v>
      </c>
      <c r="V74" t="s">
        <v>105</v>
      </c>
      <c r="W74">
        <f>Tabla35[[#This Row],[BN CARTA]]-Tabla34[[#This Row],[BN CARTA]]</f>
        <v>0</v>
      </c>
      <c r="X74">
        <f>Tabla35[[#This Row],[BN OFICIO]]-Tabla34[[#This Row],[BN OFICIO]]</f>
        <v>0</v>
      </c>
      <c r="Y74">
        <f>Tabla35[[#This Row],[BN DC]]-Tabla34[[#This Row],[BN DC]]</f>
        <v>0</v>
      </c>
      <c r="Z74">
        <f>Tabla35[[#This Row],[COLOR CARTA]]-Tabla34[[#This Row],[COLOR CARTA]]</f>
        <v>0</v>
      </c>
      <c r="AA74">
        <f>Tabla35[[#This Row],[COLOR OFICIO]]-Tabla34[[#This Row],[COLOR OFICIO]]</f>
        <v>0</v>
      </c>
      <c r="AB74">
        <f>Tabla35[[#This Row],[ENVIAR]]-Tabla34[[#This Row],[ENVIAR]]</f>
        <v>0</v>
      </c>
      <c r="AC74">
        <f>Tabla35[[#This Row],[COPIAR]]-Tabla34[[#This Row],[COPIAR]]</f>
        <v>0</v>
      </c>
    </row>
    <row r="75" spans="1:29" x14ac:dyDescent="0.25">
      <c r="A75" t="s">
        <v>106</v>
      </c>
      <c r="B75" t="s">
        <v>107</v>
      </c>
      <c r="C75">
        <v>1157</v>
      </c>
      <c r="D75">
        <v>0</v>
      </c>
      <c r="E75">
        <v>0</v>
      </c>
      <c r="F75">
        <v>0</v>
      </c>
      <c r="G75">
        <v>0</v>
      </c>
      <c r="H75">
        <v>813</v>
      </c>
      <c r="I75">
        <v>85</v>
      </c>
      <c r="K75" t="s">
        <v>106</v>
      </c>
      <c r="L75" t="s">
        <v>107</v>
      </c>
      <c r="M75">
        <v>5111</v>
      </c>
      <c r="N75">
        <v>4</v>
      </c>
      <c r="O75">
        <v>0</v>
      </c>
      <c r="P75">
        <v>0</v>
      </c>
      <c r="Q75">
        <v>0</v>
      </c>
      <c r="R75">
        <v>1629</v>
      </c>
      <c r="S75">
        <v>522</v>
      </c>
      <c r="U75" t="s">
        <v>106</v>
      </c>
      <c r="V75" t="s">
        <v>107</v>
      </c>
      <c r="W75">
        <f>Tabla35[[#This Row],[BN CARTA]]-Tabla34[[#This Row],[BN CARTA]]</f>
        <v>3954</v>
      </c>
      <c r="X75">
        <f>Tabla35[[#This Row],[BN OFICIO]]-Tabla34[[#This Row],[BN OFICIO]]</f>
        <v>4</v>
      </c>
      <c r="Y75">
        <f>Tabla35[[#This Row],[BN DC]]-Tabla34[[#This Row],[BN DC]]</f>
        <v>0</v>
      </c>
      <c r="Z75">
        <f>Tabla35[[#This Row],[COLOR CARTA]]-Tabla34[[#This Row],[COLOR CARTA]]</f>
        <v>0</v>
      </c>
      <c r="AA75">
        <f>Tabla35[[#This Row],[COLOR OFICIO]]-Tabla34[[#This Row],[COLOR OFICIO]]</f>
        <v>0</v>
      </c>
      <c r="AB75">
        <f>Tabla35[[#This Row],[ENVIAR]]-Tabla34[[#This Row],[ENVIAR]]</f>
        <v>816</v>
      </c>
      <c r="AC75">
        <f>Tabla35[[#This Row],[COPIAR]]-Tabla34[[#This Row],[COPIAR]]</f>
        <v>437</v>
      </c>
    </row>
    <row r="76" spans="1:29" x14ac:dyDescent="0.25">
      <c r="A76" t="s">
        <v>108</v>
      </c>
      <c r="B76" t="s">
        <v>109</v>
      </c>
      <c r="C76">
        <v>493</v>
      </c>
      <c r="D76">
        <v>0</v>
      </c>
      <c r="E76">
        <v>0</v>
      </c>
      <c r="F76">
        <v>0</v>
      </c>
      <c r="G76">
        <v>0</v>
      </c>
      <c r="H76">
        <v>413</v>
      </c>
      <c r="I76">
        <v>114</v>
      </c>
      <c r="K76" t="s">
        <v>108</v>
      </c>
      <c r="L76" t="s">
        <v>109</v>
      </c>
      <c r="M76">
        <v>1537</v>
      </c>
      <c r="N76">
        <v>56</v>
      </c>
      <c r="O76">
        <v>0</v>
      </c>
      <c r="P76">
        <v>0</v>
      </c>
      <c r="Q76">
        <v>0</v>
      </c>
      <c r="R76">
        <v>981</v>
      </c>
      <c r="S76">
        <v>392</v>
      </c>
      <c r="U76" t="s">
        <v>108</v>
      </c>
      <c r="V76" t="s">
        <v>109</v>
      </c>
      <c r="W76">
        <f>Tabla35[[#This Row],[BN CARTA]]-Tabla34[[#This Row],[BN CARTA]]</f>
        <v>1044</v>
      </c>
      <c r="X76">
        <f>Tabla35[[#This Row],[BN OFICIO]]-Tabla34[[#This Row],[BN OFICIO]]</f>
        <v>56</v>
      </c>
      <c r="Y76">
        <f>Tabla35[[#This Row],[BN DC]]-Tabla34[[#This Row],[BN DC]]</f>
        <v>0</v>
      </c>
      <c r="Z76">
        <f>Tabla35[[#This Row],[COLOR CARTA]]-Tabla34[[#This Row],[COLOR CARTA]]</f>
        <v>0</v>
      </c>
      <c r="AA76">
        <f>Tabla35[[#This Row],[COLOR OFICIO]]-Tabla34[[#This Row],[COLOR OFICIO]]</f>
        <v>0</v>
      </c>
      <c r="AB76">
        <f>Tabla35[[#This Row],[ENVIAR]]-Tabla34[[#This Row],[ENVIAR]]</f>
        <v>568</v>
      </c>
      <c r="AC76">
        <f>Tabla35[[#This Row],[COPIAR]]-Tabla34[[#This Row],[COPIAR]]</f>
        <v>278</v>
      </c>
    </row>
    <row r="77" spans="1:29" x14ac:dyDescent="0.25">
      <c r="A77" t="s">
        <v>110</v>
      </c>
      <c r="B77" t="s">
        <v>111</v>
      </c>
      <c r="C77">
        <v>272</v>
      </c>
      <c r="D77">
        <v>0</v>
      </c>
      <c r="E77">
        <v>0</v>
      </c>
      <c r="F77">
        <v>0</v>
      </c>
      <c r="G77">
        <v>0</v>
      </c>
      <c r="H77">
        <v>179</v>
      </c>
      <c r="I77">
        <v>62</v>
      </c>
      <c r="K77" t="s">
        <v>110</v>
      </c>
      <c r="L77" t="s">
        <v>111</v>
      </c>
      <c r="M77">
        <v>705</v>
      </c>
      <c r="N77">
        <v>4</v>
      </c>
      <c r="O77">
        <v>0</v>
      </c>
      <c r="P77">
        <v>0</v>
      </c>
      <c r="Q77">
        <v>0</v>
      </c>
      <c r="R77">
        <v>804</v>
      </c>
      <c r="S77">
        <v>266</v>
      </c>
      <c r="U77" t="s">
        <v>110</v>
      </c>
      <c r="V77" t="s">
        <v>111</v>
      </c>
      <c r="W77">
        <f>Tabla35[[#This Row],[BN CARTA]]-Tabla34[[#This Row],[BN CARTA]]</f>
        <v>433</v>
      </c>
      <c r="X77">
        <f>Tabla35[[#This Row],[BN OFICIO]]-Tabla34[[#This Row],[BN OFICIO]]</f>
        <v>4</v>
      </c>
      <c r="Y77">
        <f>Tabla35[[#This Row],[BN DC]]-Tabla34[[#This Row],[BN DC]]</f>
        <v>0</v>
      </c>
      <c r="Z77">
        <f>Tabla35[[#This Row],[COLOR CARTA]]-Tabla34[[#This Row],[COLOR CARTA]]</f>
        <v>0</v>
      </c>
      <c r="AA77">
        <f>Tabla35[[#This Row],[COLOR OFICIO]]-Tabla34[[#This Row],[COLOR OFICIO]]</f>
        <v>0</v>
      </c>
      <c r="AB77">
        <f>Tabla35[[#This Row],[ENVIAR]]-Tabla34[[#This Row],[ENVIAR]]</f>
        <v>625</v>
      </c>
      <c r="AC77">
        <f>Tabla35[[#This Row],[COPIAR]]-Tabla34[[#This Row],[COPIAR]]</f>
        <v>204</v>
      </c>
    </row>
    <row r="78" spans="1:29" x14ac:dyDescent="0.25">
      <c r="A78" t="s">
        <v>101</v>
      </c>
      <c r="B78" t="s">
        <v>112</v>
      </c>
      <c r="C78">
        <v>1365</v>
      </c>
      <c r="D78">
        <v>0</v>
      </c>
      <c r="E78">
        <v>0</v>
      </c>
      <c r="F78">
        <v>0</v>
      </c>
      <c r="G78">
        <v>0</v>
      </c>
      <c r="H78">
        <v>38</v>
      </c>
      <c r="I78">
        <v>9</v>
      </c>
      <c r="K78" t="s">
        <v>101</v>
      </c>
      <c r="L78" t="s">
        <v>112</v>
      </c>
      <c r="M78">
        <v>1365</v>
      </c>
      <c r="N78">
        <v>0</v>
      </c>
      <c r="O78">
        <v>0</v>
      </c>
      <c r="P78">
        <v>0</v>
      </c>
      <c r="Q78">
        <v>0</v>
      </c>
      <c r="R78">
        <v>38</v>
      </c>
      <c r="S78">
        <v>9</v>
      </c>
      <c r="U78" t="s">
        <v>101</v>
      </c>
      <c r="V78" t="s">
        <v>112</v>
      </c>
      <c r="W78">
        <f>Tabla35[[#This Row],[BN CARTA]]-Tabla34[[#This Row],[BN CARTA]]</f>
        <v>0</v>
      </c>
      <c r="X78">
        <f>Tabla35[[#This Row],[BN OFICIO]]-Tabla34[[#This Row],[BN OFICIO]]</f>
        <v>0</v>
      </c>
      <c r="Y78">
        <f>Tabla35[[#This Row],[BN DC]]-Tabla34[[#This Row],[BN DC]]</f>
        <v>0</v>
      </c>
      <c r="Z78">
        <f>Tabla35[[#This Row],[COLOR CARTA]]-Tabla34[[#This Row],[COLOR CARTA]]</f>
        <v>0</v>
      </c>
      <c r="AA78">
        <f>Tabla35[[#This Row],[COLOR OFICIO]]-Tabla34[[#This Row],[COLOR OFICIO]]</f>
        <v>0</v>
      </c>
      <c r="AB78">
        <f>Tabla35[[#This Row],[ENVIAR]]-Tabla34[[#This Row],[ENVIAR]]</f>
        <v>0</v>
      </c>
      <c r="AC78">
        <f>Tabla35[[#This Row],[COPIAR]]-Tabla34[[#This Row],[COPIAR]]</f>
        <v>0</v>
      </c>
    </row>
    <row r="79" spans="1:29" x14ac:dyDescent="0.25">
      <c r="A79" t="s">
        <v>113</v>
      </c>
      <c r="B79" t="s">
        <v>114</v>
      </c>
      <c r="C79">
        <v>177</v>
      </c>
      <c r="D79">
        <v>4</v>
      </c>
      <c r="E79">
        <v>0</v>
      </c>
      <c r="F79">
        <v>0</v>
      </c>
      <c r="G79">
        <v>0</v>
      </c>
      <c r="H79">
        <v>311</v>
      </c>
      <c r="I79">
        <v>121</v>
      </c>
      <c r="K79" t="s">
        <v>113</v>
      </c>
      <c r="L79" t="s">
        <v>114</v>
      </c>
      <c r="M79">
        <v>429</v>
      </c>
      <c r="N79">
        <v>6</v>
      </c>
      <c r="O79">
        <v>0</v>
      </c>
      <c r="P79">
        <v>0</v>
      </c>
      <c r="Q79">
        <v>0</v>
      </c>
      <c r="R79">
        <v>1192</v>
      </c>
      <c r="S79">
        <v>299</v>
      </c>
      <c r="U79" t="s">
        <v>113</v>
      </c>
      <c r="V79" t="s">
        <v>114</v>
      </c>
      <c r="W79">
        <f>Tabla35[[#This Row],[BN CARTA]]-Tabla34[[#This Row],[BN CARTA]]</f>
        <v>252</v>
      </c>
      <c r="X79">
        <f>Tabla35[[#This Row],[BN OFICIO]]-Tabla34[[#This Row],[BN OFICIO]]</f>
        <v>2</v>
      </c>
      <c r="Y79">
        <f>Tabla35[[#This Row],[BN DC]]-Tabla34[[#This Row],[BN DC]]</f>
        <v>0</v>
      </c>
      <c r="Z79">
        <f>Tabla35[[#This Row],[COLOR CARTA]]-Tabla34[[#This Row],[COLOR CARTA]]</f>
        <v>0</v>
      </c>
      <c r="AA79">
        <f>Tabla35[[#This Row],[COLOR OFICIO]]-Tabla34[[#This Row],[COLOR OFICIO]]</f>
        <v>0</v>
      </c>
      <c r="AB79">
        <f>Tabla35[[#This Row],[ENVIAR]]-Tabla34[[#This Row],[ENVIAR]]</f>
        <v>881</v>
      </c>
      <c r="AC79">
        <f>Tabla35[[#This Row],[COPIAR]]-Tabla34[[#This Row],[COPIAR]]</f>
        <v>178</v>
      </c>
    </row>
    <row r="80" spans="1:29" x14ac:dyDescent="0.25">
      <c r="A80" t="s">
        <v>115</v>
      </c>
      <c r="B80" t="s">
        <v>116</v>
      </c>
      <c r="C80">
        <v>384</v>
      </c>
      <c r="D80">
        <v>13</v>
      </c>
      <c r="E80">
        <v>0</v>
      </c>
      <c r="F80">
        <v>0</v>
      </c>
      <c r="G80">
        <v>0</v>
      </c>
      <c r="H80">
        <v>182</v>
      </c>
      <c r="I80">
        <v>78</v>
      </c>
      <c r="K80" t="s">
        <v>115</v>
      </c>
      <c r="L80" t="s">
        <v>116</v>
      </c>
      <c r="M80">
        <v>2005</v>
      </c>
      <c r="N80">
        <v>27</v>
      </c>
      <c r="O80">
        <v>0</v>
      </c>
      <c r="P80">
        <v>0</v>
      </c>
      <c r="Q80">
        <v>0</v>
      </c>
      <c r="R80">
        <v>537</v>
      </c>
      <c r="S80">
        <v>386</v>
      </c>
      <c r="U80" t="s">
        <v>115</v>
      </c>
      <c r="V80" t="s">
        <v>116</v>
      </c>
      <c r="W80">
        <f>Tabla35[[#This Row],[BN CARTA]]-Tabla34[[#This Row],[BN CARTA]]</f>
        <v>1621</v>
      </c>
      <c r="X80">
        <f>Tabla35[[#This Row],[BN OFICIO]]-Tabla34[[#This Row],[BN OFICIO]]</f>
        <v>14</v>
      </c>
      <c r="Y80">
        <f>Tabla35[[#This Row],[BN DC]]-Tabla34[[#This Row],[BN DC]]</f>
        <v>0</v>
      </c>
      <c r="Z80">
        <f>Tabla35[[#This Row],[COLOR CARTA]]-Tabla34[[#This Row],[COLOR CARTA]]</f>
        <v>0</v>
      </c>
      <c r="AA80">
        <f>Tabla35[[#This Row],[COLOR OFICIO]]-Tabla34[[#This Row],[COLOR OFICIO]]</f>
        <v>0</v>
      </c>
      <c r="AB80">
        <f>Tabla35[[#This Row],[ENVIAR]]-Tabla34[[#This Row],[ENVIAR]]</f>
        <v>355</v>
      </c>
      <c r="AC80">
        <f>Tabla35[[#This Row],[COPIAR]]-Tabla34[[#This Row],[COPIAR]]</f>
        <v>308</v>
      </c>
    </row>
    <row r="81" spans="1:29" x14ac:dyDescent="0.25">
      <c r="A81" t="s">
        <v>10</v>
      </c>
      <c r="B81" t="s">
        <v>117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K81" t="s">
        <v>10</v>
      </c>
      <c r="L81" t="s">
        <v>117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U81" t="s">
        <v>10</v>
      </c>
      <c r="V81" t="s">
        <v>117</v>
      </c>
      <c r="W81">
        <f>Tabla35[[#This Row],[BN CARTA]]-Tabla34[[#This Row],[BN CARTA]]</f>
        <v>0</v>
      </c>
      <c r="X81">
        <f>Tabla35[[#This Row],[BN OFICIO]]-Tabla34[[#This Row],[BN OFICIO]]</f>
        <v>0</v>
      </c>
      <c r="Y81">
        <f>Tabla35[[#This Row],[BN DC]]-Tabla34[[#This Row],[BN DC]]</f>
        <v>0</v>
      </c>
      <c r="Z81">
        <f>Tabla35[[#This Row],[COLOR CARTA]]-Tabla34[[#This Row],[COLOR CARTA]]</f>
        <v>0</v>
      </c>
      <c r="AA81">
        <f>Tabla35[[#This Row],[COLOR OFICIO]]-Tabla34[[#This Row],[COLOR OFICIO]]</f>
        <v>0</v>
      </c>
      <c r="AB81">
        <f>Tabla35[[#This Row],[ENVIAR]]-Tabla34[[#This Row],[ENVIAR]]</f>
        <v>0</v>
      </c>
      <c r="AC81">
        <f>Tabla35[[#This Row],[COPIAR]]-Tabla34[[#This Row],[COPIAR]]</f>
        <v>0</v>
      </c>
    </row>
    <row r="82" spans="1:29" x14ac:dyDescent="0.25">
      <c r="A82" t="s">
        <v>118</v>
      </c>
      <c r="B82" t="s">
        <v>119</v>
      </c>
      <c r="C82">
        <v>916</v>
      </c>
      <c r="D82">
        <v>0</v>
      </c>
      <c r="E82">
        <v>0</v>
      </c>
      <c r="F82">
        <v>0</v>
      </c>
      <c r="G82">
        <v>0</v>
      </c>
      <c r="H82">
        <v>306</v>
      </c>
      <c r="I82">
        <v>156</v>
      </c>
      <c r="K82" t="s">
        <v>118</v>
      </c>
      <c r="L82" t="s">
        <v>119</v>
      </c>
      <c r="M82">
        <v>2562</v>
      </c>
      <c r="N82">
        <v>4</v>
      </c>
      <c r="O82">
        <v>0</v>
      </c>
      <c r="P82">
        <v>0</v>
      </c>
      <c r="Q82">
        <v>0</v>
      </c>
      <c r="R82">
        <v>1045</v>
      </c>
      <c r="S82">
        <v>519</v>
      </c>
      <c r="U82" t="s">
        <v>118</v>
      </c>
      <c r="V82" t="s">
        <v>119</v>
      </c>
      <c r="W82">
        <f>Tabla35[[#This Row],[BN CARTA]]-Tabla34[[#This Row],[BN CARTA]]</f>
        <v>1646</v>
      </c>
      <c r="X82">
        <f>Tabla35[[#This Row],[BN OFICIO]]-Tabla34[[#This Row],[BN OFICIO]]</f>
        <v>4</v>
      </c>
      <c r="Y82">
        <f>Tabla35[[#This Row],[BN DC]]-Tabla34[[#This Row],[BN DC]]</f>
        <v>0</v>
      </c>
      <c r="Z82">
        <f>Tabla35[[#This Row],[COLOR CARTA]]-Tabla34[[#This Row],[COLOR CARTA]]</f>
        <v>0</v>
      </c>
      <c r="AA82">
        <f>Tabla35[[#This Row],[COLOR OFICIO]]-Tabla34[[#This Row],[COLOR OFICIO]]</f>
        <v>0</v>
      </c>
      <c r="AB82">
        <f>Tabla35[[#This Row],[ENVIAR]]-Tabla34[[#This Row],[ENVIAR]]</f>
        <v>739</v>
      </c>
      <c r="AC82">
        <f>Tabla35[[#This Row],[COPIAR]]-Tabla34[[#This Row],[COPIAR]]</f>
        <v>363</v>
      </c>
    </row>
    <row r="83" spans="1:29" x14ac:dyDescent="0.25">
      <c r="A83" t="s">
        <v>120</v>
      </c>
      <c r="B83" t="s">
        <v>121</v>
      </c>
      <c r="C83">
        <v>25</v>
      </c>
      <c r="D83">
        <v>0</v>
      </c>
      <c r="E83">
        <v>0</v>
      </c>
      <c r="F83">
        <v>0</v>
      </c>
      <c r="G83">
        <v>0</v>
      </c>
      <c r="H83">
        <v>2</v>
      </c>
      <c r="I83">
        <v>6</v>
      </c>
      <c r="K83" t="s">
        <v>120</v>
      </c>
      <c r="L83" t="s">
        <v>121</v>
      </c>
      <c r="M83">
        <v>748</v>
      </c>
      <c r="N83">
        <v>0</v>
      </c>
      <c r="O83">
        <v>0</v>
      </c>
      <c r="P83">
        <v>0</v>
      </c>
      <c r="Q83">
        <v>0</v>
      </c>
      <c r="R83">
        <v>2</v>
      </c>
      <c r="S83">
        <v>182</v>
      </c>
      <c r="U83" t="s">
        <v>120</v>
      </c>
      <c r="V83" t="s">
        <v>121</v>
      </c>
      <c r="W83">
        <f>Tabla35[[#This Row],[BN CARTA]]-Tabla34[[#This Row],[BN CARTA]]</f>
        <v>723</v>
      </c>
      <c r="X83">
        <f>Tabla35[[#This Row],[BN OFICIO]]-Tabla34[[#This Row],[BN OFICIO]]</f>
        <v>0</v>
      </c>
      <c r="Y83">
        <f>Tabla35[[#This Row],[BN DC]]-Tabla34[[#This Row],[BN DC]]</f>
        <v>0</v>
      </c>
      <c r="Z83">
        <f>Tabla35[[#This Row],[COLOR CARTA]]-Tabla34[[#This Row],[COLOR CARTA]]</f>
        <v>0</v>
      </c>
      <c r="AA83">
        <f>Tabla35[[#This Row],[COLOR OFICIO]]-Tabla34[[#This Row],[COLOR OFICIO]]</f>
        <v>0</v>
      </c>
      <c r="AB83">
        <f>Tabla35[[#This Row],[ENVIAR]]-Tabla34[[#This Row],[ENVIAR]]</f>
        <v>0</v>
      </c>
      <c r="AC83">
        <f>Tabla35[[#This Row],[COPIAR]]-Tabla34[[#This Row],[COPIAR]]</f>
        <v>176</v>
      </c>
    </row>
    <row r="84" spans="1:29" x14ac:dyDescent="0.25">
      <c r="A84" t="s">
        <v>10</v>
      </c>
      <c r="B84" t="s">
        <v>122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K84" t="s">
        <v>793</v>
      </c>
      <c r="L84" t="s">
        <v>122</v>
      </c>
      <c r="M84">
        <v>1669</v>
      </c>
      <c r="N84">
        <v>0</v>
      </c>
      <c r="O84">
        <v>0</v>
      </c>
      <c r="P84">
        <v>0</v>
      </c>
      <c r="Q84">
        <v>0</v>
      </c>
      <c r="R84">
        <v>697</v>
      </c>
      <c r="S84">
        <v>421</v>
      </c>
      <c r="U84" t="s">
        <v>793</v>
      </c>
      <c r="V84" t="s">
        <v>122</v>
      </c>
      <c r="W84">
        <f>Tabla35[[#This Row],[BN CARTA]]-Tabla34[[#This Row],[BN CARTA]]</f>
        <v>1669</v>
      </c>
      <c r="X84">
        <f>Tabla35[[#This Row],[BN OFICIO]]-Tabla34[[#This Row],[BN OFICIO]]</f>
        <v>0</v>
      </c>
      <c r="Y84">
        <f>Tabla35[[#This Row],[BN DC]]-Tabla34[[#This Row],[BN DC]]</f>
        <v>0</v>
      </c>
      <c r="Z84">
        <f>Tabla35[[#This Row],[COLOR CARTA]]-Tabla34[[#This Row],[COLOR CARTA]]</f>
        <v>0</v>
      </c>
      <c r="AA84">
        <f>Tabla35[[#This Row],[COLOR OFICIO]]-Tabla34[[#This Row],[COLOR OFICIO]]</f>
        <v>0</v>
      </c>
      <c r="AB84">
        <f>Tabla35[[#This Row],[ENVIAR]]-Tabla34[[#This Row],[ENVIAR]]</f>
        <v>697</v>
      </c>
      <c r="AC84">
        <f>Tabla35[[#This Row],[COPIAR]]-Tabla34[[#This Row],[COPIAR]]</f>
        <v>421</v>
      </c>
    </row>
    <row r="85" spans="1:29" x14ac:dyDescent="0.25">
      <c r="A85" t="s">
        <v>123</v>
      </c>
      <c r="B85" t="s">
        <v>124</v>
      </c>
      <c r="C85">
        <v>509</v>
      </c>
      <c r="D85">
        <v>0</v>
      </c>
      <c r="E85">
        <v>0</v>
      </c>
      <c r="F85">
        <v>0</v>
      </c>
      <c r="G85">
        <v>0</v>
      </c>
      <c r="H85">
        <v>194</v>
      </c>
      <c r="I85">
        <v>108</v>
      </c>
      <c r="K85" t="s">
        <v>123</v>
      </c>
      <c r="L85" t="s">
        <v>124</v>
      </c>
      <c r="M85">
        <v>1313</v>
      </c>
      <c r="N85">
        <v>0</v>
      </c>
      <c r="O85">
        <v>0</v>
      </c>
      <c r="P85">
        <v>0</v>
      </c>
      <c r="Q85">
        <v>0</v>
      </c>
      <c r="R85">
        <v>705</v>
      </c>
      <c r="S85">
        <v>227</v>
      </c>
      <c r="U85" t="s">
        <v>123</v>
      </c>
      <c r="V85" t="s">
        <v>124</v>
      </c>
      <c r="W85">
        <f>Tabla35[[#This Row],[BN CARTA]]-Tabla34[[#This Row],[BN CARTA]]</f>
        <v>804</v>
      </c>
      <c r="X85">
        <f>Tabla35[[#This Row],[BN OFICIO]]-Tabla34[[#This Row],[BN OFICIO]]</f>
        <v>0</v>
      </c>
      <c r="Y85">
        <f>Tabla35[[#This Row],[BN DC]]-Tabla34[[#This Row],[BN DC]]</f>
        <v>0</v>
      </c>
      <c r="Z85">
        <f>Tabla35[[#This Row],[COLOR CARTA]]-Tabla34[[#This Row],[COLOR CARTA]]</f>
        <v>0</v>
      </c>
      <c r="AA85">
        <f>Tabla35[[#This Row],[COLOR OFICIO]]-Tabla34[[#This Row],[COLOR OFICIO]]</f>
        <v>0</v>
      </c>
      <c r="AB85">
        <f>Tabla35[[#This Row],[ENVIAR]]-Tabla34[[#This Row],[ENVIAR]]</f>
        <v>511</v>
      </c>
      <c r="AC85">
        <f>Tabla35[[#This Row],[COPIAR]]-Tabla34[[#This Row],[COPIAR]]</f>
        <v>119</v>
      </c>
    </row>
    <row r="86" spans="1:29" x14ac:dyDescent="0.25">
      <c r="A86" t="s">
        <v>10</v>
      </c>
      <c r="B86" t="s">
        <v>125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K86" t="s">
        <v>10</v>
      </c>
      <c r="L86" t="s">
        <v>125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U86" t="s">
        <v>10</v>
      </c>
      <c r="V86" t="s">
        <v>125</v>
      </c>
      <c r="W86">
        <f>Tabla35[[#This Row],[BN CARTA]]-Tabla34[[#This Row],[BN CARTA]]</f>
        <v>0</v>
      </c>
      <c r="X86">
        <f>Tabla35[[#This Row],[BN OFICIO]]-Tabla34[[#This Row],[BN OFICIO]]</f>
        <v>0</v>
      </c>
      <c r="Y86">
        <f>Tabla35[[#This Row],[BN DC]]-Tabla34[[#This Row],[BN DC]]</f>
        <v>0</v>
      </c>
      <c r="Z86">
        <f>Tabla35[[#This Row],[COLOR CARTA]]-Tabla34[[#This Row],[COLOR CARTA]]</f>
        <v>0</v>
      </c>
      <c r="AA86">
        <f>Tabla35[[#This Row],[COLOR OFICIO]]-Tabla34[[#This Row],[COLOR OFICIO]]</f>
        <v>0</v>
      </c>
      <c r="AB86">
        <f>Tabla35[[#This Row],[ENVIAR]]-Tabla34[[#This Row],[ENVIAR]]</f>
        <v>0</v>
      </c>
      <c r="AC86">
        <f>Tabla35[[#This Row],[COPIAR]]-Tabla34[[#This Row],[COPIAR]]</f>
        <v>0</v>
      </c>
    </row>
    <row r="87" spans="1:29" x14ac:dyDescent="0.25">
      <c r="A87" t="s">
        <v>10</v>
      </c>
      <c r="B87" t="s">
        <v>126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K87" t="s">
        <v>10</v>
      </c>
      <c r="L87" t="s">
        <v>126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U87" t="s">
        <v>10</v>
      </c>
      <c r="V87" t="s">
        <v>126</v>
      </c>
      <c r="W87">
        <f>Tabla35[[#This Row],[BN CARTA]]-Tabla34[[#This Row],[BN CARTA]]</f>
        <v>0</v>
      </c>
      <c r="X87">
        <f>Tabla35[[#This Row],[BN OFICIO]]-Tabla34[[#This Row],[BN OFICIO]]</f>
        <v>0</v>
      </c>
      <c r="Y87">
        <f>Tabla35[[#This Row],[BN DC]]-Tabla34[[#This Row],[BN DC]]</f>
        <v>0</v>
      </c>
      <c r="Z87">
        <f>Tabla35[[#This Row],[COLOR CARTA]]-Tabla34[[#This Row],[COLOR CARTA]]</f>
        <v>0</v>
      </c>
      <c r="AA87">
        <f>Tabla35[[#This Row],[COLOR OFICIO]]-Tabla34[[#This Row],[COLOR OFICIO]]</f>
        <v>0</v>
      </c>
      <c r="AB87">
        <f>Tabla35[[#This Row],[ENVIAR]]-Tabla34[[#This Row],[ENVIAR]]</f>
        <v>0</v>
      </c>
      <c r="AC87">
        <f>Tabla35[[#This Row],[COPIAR]]-Tabla34[[#This Row],[COPIAR]]</f>
        <v>0</v>
      </c>
    </row>
    <row r="88" spans="1:29" x14ac:dyDescent="0.25">
      <c r="A88" t="s">
        <v>10</v>
      </c>
      <c r="B88" t="s">
        <v>127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K88" t="s">
        <v>10</v>
      </c>
      <c r="L88" t="s">
        <v>127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U88" t="s">
        <v>10</v>
      </c>
      <c r="V88" t="s">
        <v>127</v>
      </c>
      <c r="W88">
        <f>Tabla35[[#This Row],[BN CARTA]]-Tabla34[[#This Row],[BN CARTA]]</f>
        <v>0</v>
      </c>
      <c r="X88">
        <f>Tabla35[[#This Row],[BN OFICIO]]-Tabla34[[#This Row],[BN OFICIO]]</f>
        <v>0</v>
      </c>
      <c r="Y88">
        <f>Tabla35[[#This Row],[BN DC]]-Tabla34[[#This Row],[BN DC]]</f>
        <v>0</v>
      </c>
      <c r="Z88">
        <f>Tabla35[[#This Row],[COLOR CARTA]]-Tabla34[[#This Row],[COLOR CARTA]]</f>
        <v>0</v>
      </c>
      <c r="AA88">
        <f>Tabla35[[#This Row],[COLOR OFICIO]]-Tabla34[[#This Row],[COLOR OFICIO]]</f>
        <v>0</v>
      </c>
      <c r="AB88">
        <f>Tabla35[[#This Row],[ENVIAR]]-Tabla34[[#This Row],[ENVIAR]]</f>
        <v>0</v>
      </c>
      <c r="AC88">
        <f>Tabla35[[#This Row],[COPIAR]]-Tabla34[[#This Row],[COPIAR]]</f>
        <v>0</v>
      </c>
    </row>
    <row r="89" spans="1:29" x14ac:dyDescent="0.25">
      <c r="A89" t="s">
        <v>128</v>
      </c>
      <c r="B89" t="s">
        <v>129</v>
      </c>
      <c r="C89">
        <v>1161</v>
      </c>
      <c r="D89">
        <v>0</v>
      </c>
      <c r="E89">
        <v>0</v>
      </c>
      <c r="F89">
        <v>0</v>
      </c>
      <c r="G89">
        <v>0</v>
      </c>
      <c r="H89">
        <v>602</v>
      </c>
      <c r="I89">
        <v>259</v>
      </c>
      <c r="K89" t="s">
        <v>128</v>
      </c>
      <c r="L89" t="s">
        <v>129</v>
      </c>
      <c r="M89">
        <v>2442</v>
      </c>
      <c r="N89">
        <v>0</v>
      </c>
      <c r="O89">
        <v>0</v>
      </c>
      <c r="P89">
        <v>0</v>
      </c>
      <c r="Q89">
        <v>0</v>
      </c>
      <c r="R89">
        <v>1076</v>
      </c>
      <c r="S89">
        <v>657</v>
      </c>
      <c r="U89" t="s">
        <v>128</v>
      </c>
      <c r="V89" t="s">
        <v>129</v>
      </c>
      <c r="W89">
        <f>Tabla35[[#This Row],[BN CARTA]]-Tabla34[[#This Row],[BN CARTA]]</f>
        <v>1281</v>
      </c>
      <c r="X89">
        <f>Tabla35[[#This Row],[BN OFICIO]]-Tabla34[[#This Row],[BN OFICIO]]</f>
        <v>0</v>
      </c>
      <c r="Y89">
        <f>Tabla35[[#This Row],[BN DC]]-Tabla34[[#This Row],[BN DC]]</f>
        <v>0</v>
      </c>
      <c r="Z89">
        <f>Tabla35[[#This Row],[COLOR CARTA]]-Tabla34[[#This Row],[COLOR CARTA]]</f>
        <v>0</v>
      </c>
      <c r="AA89">
        <f>Tabla35[[#This Row],[COLOR OFICIO]]-Tabla34[[#This Row],[COLOR OFICIO]]</f>
        <v>0</v>
      </c>
      <c r="AB89">
        <f>Tabla35[[#This Row],[ENVIAR]]-Tabla34[[#This Row],[ENVIAR]]</f>
        <v>474</v>
      </c>
      <c r="AC89">
        <f>Tabla35[[#This Row],[COPIAR]]-Tabla34[[#This Row],[COPIAR]]</f>
        <v>398</v>
      </c>
    </row>
    <row r="90" spans="1:29" x14ac:dyDescent="0.25">
      <c r="A90" t="s">
        <v>10</v>
      </c>
      <c r="B90" t="s">
        <v>130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K90" t="s">
        <v>794</v>
      </c>
      <c r="L90" t="s">
        <v>130</v>
      </c>
      <c r="M90">
        <v>1931</v>
      </c>
      <c r="N90">
        <v>0</v>
      </c>
      <c r="O90">
        <v>0</v>
      </c>
      <c r="P90">
        <v>0</v>
      </c>
      <c r="Q90">
        <v>0</v>
      </c>
      <c r="R90">
        <v>338</v>
      </c>
      <c r="S90">
        <v>83</v>
      </c>
      <c r="U90" t="s">
        <v>794</v>
      </c>
      <c r="V90" t="s">
        <v>130</v>
      </c>
      <c r="W90">
        <f>Tabla35[[#This Row],[BN CARTA]]-Tabla34[[#This Row],[BN CARTA]]</f>
        <v>1931</v>
      </c>
      <c r="X90">
        <f>Tabla35[[#This Row],[BN OFICIO]]-Tabla34[[#This Row],[BN OFICIO]]</f>
        <v>0</v>
      </c>
      <c r="Y90">
        <f>Tabla35[[#This Row],[BN DC]]-Tabla34[[#This Row],[BN DC]]</f>
        <v>0</v>
      </c>
      <c r="Z90">
        <f>Tabla35[[#This Row],[COLOR CARTA]]-Tabla34[[#This Row],[COLOR CARTA]]</f>
        <v>0</v>
      </c>
      <c r="AA90">
        <f>Tabla35[[#This Row],[COLOR OFICIO]]-Tabla34[[#This Row],[COLOR OFICIO]]</f>
        <v>0</v>
      </c>
      <c r="AB90">
        <f>Tabla35[[#This Row],[ENVIAR]]-Tabla34[[#This Row],[ENVIAR]]</f>
        <v>338</v>
      </c>
      <c r="AC90">
        <f>Tabla35[[#This Row],[COPIAR]]-Tabla34[[#This Row],[COPIAR]]</f>
        <v>83</v>
      </c>
    </row>
    <row r="91" spans="1:29" x14ac:dyDescent="0.25">
      <c r="A91" t="s">
        <v>131</v>
      </c>
      <c r="B91" t="s">
        <v>132</v>
      </c>
      <c r="C91">
        <v>125</v>
      </c>
      <c r="D91">
        <v>0</v>
      </c>
      <c r="E91">
        <v>0</v>
      </c>
      <c r="F91">
        <v>0</v>
      </c>
      <c r="G91">
        <v>0</v>
      </c>
      <c r="H91">
        <v>108</v>
      </c>
      <c r="I91">
        <v>30</v>
      </c>
      <c r="K91" t="s">
        <v>131</v>
      </c>
      <c r="L91" t="s">
        <v>132</v>
      </c>
      <c r="M91">
        <v>125</v>
      </c>
      <c r="N91">
        <v>0</v>
      </c>
      <c r="O91">
        <v>0</v>
      </c>
      <c r="P91">
        <v>0</v>
      </c>
      <c r="Q91">
        <v>0</v>
      </c>
      <c r="R91">
        <v>108</v>
      </c>
      <c r="S91">
        <v>30</v>
      </c>
      <c r="U91" t="s">
        <v>131</v>
      </c>
      <c r="V91" t="s">
        <v>132</v>
      </c>
      <c r="W91">
        <f>Tabla35[[#This Row],[BN CARTA]]-Tabla34[[#This Row],[BN CARTA]]</f>
        <v>0</v>
      </c>
      <c r="X91">
        <f>Tabla35[[#This Row],[BN OFICIO]]-Tabla34[[#This Row],[BN OFICIO]]</f>
        <v>0</v>
      </c>
      <c r="Y91">
        <f>Tabla35[[#This Row],[BN DC]]-Tabla34[[#This Row],[BN DC]]</f>
        <v>0</v>
      </c>
      <c r="Z91">
        <f>Tabla35[[#This Row],[COLOR CARTA]]-Tabla34[[#This Row],[COLOR CARTA]]</f>
        <v>0</v>
      </c>
      <c r="AA91">
        <f>Tabla35[[#This Row],[COLOR OFICIO]]-Tabla34[[#This Row],[COLOR OFICIO]]</f>
        <v>0</v>
      </c>
      <c r="AB91">
        <f>Tabla35[[#This Row],[ENVIAR]]-Tabla34[[#This Row],[ENVIAR]]</f>
        <v>0</v>
      </c>
      <c r="AC91">
        <f>Tabla35[[#This Row],[COPIAR]]-Tabla34[[#This Row],[COPIAR]]</f>
        <v>0</v>
      </c>
    </row>
    <row r="92" spans="1:29" x14ac:dyDescent="0.25">
      <c r="A92" t="s">
        <v>10</v>
      </c>
      <c r="B92" t="s">
        <v>133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K92" t="s">
        <v>10</v>
      </c>
      <c r="L92" t="s">
        <v>133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U92" t="s">
        <v>10</v>
      </c>
      <c r="V92" t="s">
        <v>133</v>
      </c>
      <c r="W92">
        <f>Tabla35[[#This Row],[BN CARTA]]-Tabla34[[#This Row],[BN CARTA]]</f>
        <v>0</v>
      </c>
      <c r="X92">
        <f>Tabla35[[#This Row],[BN OFICIO]]-Tabla34[[#This Row],[BN OFICIO]]</f>
        <v>0</v>
      </c>
      <c r="Y92">
        <f>Tabla35[[#This Row],[BN DC]]-Tabla34[[#This Row],[BN DC]]</f>
        <v>0</v>
      </c>
      <c r="Z92">
        <f>Tabla35[[#This Row],[COLOR CARTA]]-Tabla34[[#This Row],[COLOR CARTA]]</f>
        <v>0</v>
      </c>
      <c r="AA92">
        <f>Tabla35[[#This Row],[COLOR OFICIO]]-Tabla34[[#This Row],[COLOR OFICIO]]</f>
        <v>0</v>
      </c>
      <c r="AB92">
        <f>Tabla35[[#This Row],[ENVIAR]]-Tabla34[[#This Row],[ENVIAR]]</f>
        <v>0</v>
      </c>
      <c r="AC92">
        <f>Tabla35[[#This Row],[COPIAR]]-Tabla34[[#This Row],[COPIAR]]</f>
        <v>0</v>
      </c>
    </row>
    <row r="93" spans="1:29" x14ac:dyDescent="0.25">
      <c r="A93" t="s">
        <v>134</v>
      </c>
      <c r="B93" t="s">
        <v>135</v>
      </c>
      <c r="C93">
        <v>609</v>
      </c>
      <c r="D93">
        <v>0</v>
      </c>
      <c r="E93">
        <v>0</v>
      </c>
      <c r="F93">
        <v>0</v>
      </c>
      <c r="G93">
        <v>0</v>
      </c>
      <c r="H93">
        <v>741</v>
      </c>
      <c r="I93">
        <v>240</v>
      </c>
      <c r="K93" t="s">
        <v>134</v>
      </c>
      <c r="L93" t="s">
        <v>135</v>
      </c>
      <c r="M93">
        <v>2358</v>
      </c>
      <c r="N93">
        <v>0</v>
      </c>
      <c r="O93">
        <v>0</v>
      </c>
      <c r="P93">
        <v>0</v>
      </c>
      <c r="Q93">
        <v>0</v>
      </c>
      <c r="R93">
        <v>2203</v>
      </c>
      <c r="S93">
        <v>920</v>
      </c>
      <c r="U93" t="s">
        <v>134</v>
      </c>
      <c r="V93" t="s">
        <v>135</v>
      </c>
      <c r="W93">
        <f>Tabla35[[#This Row],[BN CARTA]]-Tabla34[[#This Row],[BN CARTA]]</f>
        <v>1749</v>
      </c>
      <c r="X93">
        <f>Tabla35[[#This Row],[BN OFICIO]]-Tabla34[[#This Row],[BN OFICIO]]</f>
        <v>0</v>
      </c>
      <c r="Y93">
        <f>Tabla35[[#This Row],[BN DC]]-Tabla34[[#This Row],[BN DC]]</f>
        <v>0</v>
      </c>
      <c r="Z93">
        <f>Tabla35[[#This Row],[COLOR CARTA]]-Tabla34[[#This Row],[COLOR CARTA]]</f>
        <v>0</v>
      </c>
      <c r="AA93">
        <f>Tabla35[[#This Row],[COLOR OFICIO]]-Tabla34[[#This Row],[COLOR OFICIO]]</f>
        <v>0</v>
      </c>
      <c r="AB93">
        <f>Tabla35[[#This Row],[ENVIAR]]-Tabla34[[#This Row],[ENVIAR]]</f>
        <v>1462</v>
      </c>
      <c r="AC93">
        <f>Tabla35[[#This Row],[COPIAR]]-Tabla34[[#This Row],[COPIAR]]</f>
        <v>680</v>
      </c>
    </row>
    <row r="94" spans="1:29" x14ac:dyDescent="0.25">
      <c r="A94" t="s">
        <v>10</v>
      </c>
      <c r="B94" t="s">
        <v>136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K94" t="s">
        <v>795</v>
      </c>
      <c r="L94" t="s">
        <v>136</v>
      </c>
      <c r="M94">
        <v>1288</v>
      </c>
      <c r="N94">
        <v>0</v>
      </c>
      <c r="O94">
        <v>0</v>
      </c>
      <c r="P94">
        <v>0</v>
      </c>
      <c r="Q94">
        <v>0</v>
      </c>
      <c r="R94">
        <v>270</v>
      </c>
      <c r="S94">
        <v>344</v>
      </c>
      <c r="U94" t="s">
        <v>795</v>
      </c>
      <c r="V94" t="s">
        <v>136</v>
      </c>
      <c r="W94">
        <f>Tabla35[[#This Row],[BN CARTA]]-Tabla34[[#This Row],[BN CARTA]]</f>
        <v>1288</v>
      </c>
      <c r="X94">
        <f>Tabla35[[#This Row],[BN OFICIO]]-Tabla34[[#This Row],[BN OFICIO]]</f>
        <v>0</v>
      </c>
      <c r="Y94">
        <f>Tabla35[[#This Row],[BN DC]]-Tabla34[[#This Row],[BN DC]]</f>
        <v>0</v>
      </c>
      <c r="Z94">
        <f>Tabla35[[#This Row],[COLOR CARTA]]-Tabla34[[#This Row],[COLOR CARTA]]</f>
        <v>0</v>
      </c>
      <c r="AA94">
        <f>Tabla35[[#This Row],[COLOR OFICIO]]-Tabla34[[#This Row],[COLOR OFICIO]]</f>
        <v>0</v>
      </c>
      <c r="AB94">
        <f>Tabla35[[#This Row],[ENVIAR]]-Tabla34[[#This Row],[ENVIAR]]</f>
        <v>270</v>
      </c>
      <c r="AC94">
        <f>Tabla35[[#This Row],[COPIAR]]-Tabla34[[#This Row],[COPIAR]]</f>
        <v>344</v>
      </c>
    </row>
    <row r="95" spans="1:29" x14ac:dyDescent="0.25">
      <c r="A95" t="s">
        <v>120</v>
      </c>
      <c r="B95" t="s">
        <v>137</v>
      </c>
      <c r="C95">
        <v>36</v>
      </c>
      <c r="D95">
        <v>0</v>
      </c>
      <c r="E95">
        <v>0</v>
      </c>
      <c r="F95">
        <v>0</v>
      </c>
      <c r="G95">
        <v>0</v>
      </c>
      <c r="H95">
        <v>1</v>
      </c>
      <c r="I95">
        <v>9</v>
      </c>
      <c r="K95" t="s">
        <v>120</v>
      </c>
      <c r="L95" t="s">
        <v>137</v>
      </c>
      <c r="M95">
        <v>669</v>
      </c>
      <c r="N95">
        <v>0</v>
      </c>
      <c r="O95">
        <v>0</v>
      </c>
      <c r="P95">
        <v>0</v>
      </c>
      <c r="Q95">
        <v>0</v>
      </c>
      <c r="R95">
        <v>66</v>
      </c>
      <c r="S95">
        <v>80</v>
      </c>
      <c r="U95" t="s">
        <v>120</v>
      </c>
      <c r="V95" t="s">
        <v>137</v>
      </c>
      <c r="W95">
        <f>Tabla35[[#This Row],[BN CARTA]]-Tabla34[[#This Row],[BN CARTA]]</f>
        <v>633</v>
      </c>
      <c r="X95">
        <f>Tabla35[[#This Row],[BN OFICIO]]-Tabla34[[#This Row],[BN OFICIO]]</f>
        <v>0</v>
      </c>
      <c r="Y95">
        <f>Tabla35[[#This Row],[BN DC]]-Tabla34[[#This Row],[BN DC]]</f>
        <v>0</v>
      </c>
      <c r="Z95">
        <f>Tabla35[[#This Row],[COLOR CARTA]]-Tabla34[[#This Row],[COLOR CARTA]]</f>
        <v>0</v>
      </c>
      <c r="AA95">
        <f>Tabla35[[#This Row],[COLOR OFICIO]]-Tabla34[[#This Row],[COLOR OFICIO]]</f>
        <v>0</v>
      </c>
      <c r="AB95">
        <f>Tabla35[[#This Row],[ENVIAR]]-Tabla34[[#This Row],[ENVIAR]]</f>
        <v>65</v>
      </c>
      <c r="AC95">
        <f>Tabla35[[#This Row],[COPIAR]]-Tabla34[[#This Row],[COPIAR]]</f>
        <v>71</v>
      </c>
    </row>
    <row r="96" spans="1:29" x14ac:dyDescent="0.25">
      <c r="A96" t="s">
        <v>138</v>
      </c>
      <c r="B96" t="s">
        <v>139</v>
      </c>
      <c r="C96">
        <v>558</v>
      </c>
      <c r="D96">
        <v>0</v>
      </c>
      <c r="E96">
        <v>0</v>
      </c>
      <c r="F96">
        <v>0</v>
      </c>
      <c r="G96">
        <v>0</v>
      </c>
      <c r="H96">
        <v>358</v>
      </c>
      <c r="I96">
        <v>26</v>
      </c>
      <c r="K96" t="s">
        <v>138</v>
      </c>
      <c r="L96" t="s">
        <v>139</v>
      </c>
      <c r="M96">
        <v>558</v>
      </c>
      <c r="N96">
        <v>0</v>
      </c>
      <c r="O96">
        <v>0</v>
      </c>
      <c r="P96">
        <v>0</v>
      </c>
      <c r="Q96">
        <v>0</v>
      </c>
      <c r="R96">
        <v>358</v>
      </c>
      <c r="S96">
        <v>26</v>
      </c>
      <c r="U96" t="s">
        <v>138</v>
      </c>
      <c r="V96" t="s">
        <v>139</v>
      </c>
      <c r="W96">
        <f>Tabla35[[#This Row],[BN CARTA]]-Tabla34[[#This Row],[BN CARTA]]</f>
        <v>0</v>
      </c>
      <c r="X96">
        <f>Tabla35[[#This Row],[BN OFICIO]]-Tabla34[[#This Row],[BN OFICIO]]</f>
        <v>0</v>
      </c>
      <c r="Y96">
        <f>Tabla35[[#This Row],[BN DC]]-Tabla34[[#This Row],[BN DC]]</f>
        <v>0</v>
      </c>
      <c r="Z96">
        <f>Tabla35[[#This Row],[COLOR CARTA]]-Tabla34[[#This Row],[COLOR CARTA]]</f>
        <v>0</v>
      </c>
      <c r="AA96">
        <f>Tabla35[[#This Row],[COLOR OFICIO]]-Tabla34[[#This Row],[COLOR OFICIO]]</f>
        <v>0</v>
      </c>
      <c r="AB96">
        <f>Tabla35[[#This Row],[ENVIAR]]-Tabla34[[#This Row],[ENVIAR]]</f>
        <v>0</v>
      </c>
      <c r="AC96">
        <f>Tabla35[[#This Row],[COPIAR]]-Tabla34[[#This Row],[COPIAR]]</f>
        <v>0</v>
      </c>
    </row>
    <row r="97" spans="1:29" x14ac:dyDescent="0.25">
      <c r="A97" t="s">
        <v>140</v>
      </c>
      <c r="B97" t="s">
        <v>141</v>
      </c>
      <c r="C97">
        <v>30</v>
      </c>
      <c r="D97">
        <v>0</v>
      </c>
      <c r="E97">
        <v>0</v>
      </c>
      <c r="F97">
        <v>0</v>
      </c>
      <c r="G97">
        <v>0</v>
      </c>
      <c r="H97">
        <v>17</v>
      </c>
      <c r="I97">
        <v>3</v>
      </c>
      <c r="K97" t="s">
        <v>140</v>
      </c>
      <c r="L97" t="s">
        <v>141</v>
      </c>
      <c r="M97">
        <v>76</v>
      </c>
      <c r="N97">
        <v>0</v>
      </c>
      <c r="O97">
        <v>0</v>
      </c>
      <c r="P97">
        <v>0</v>
      </c>
      <c r="Q97">
        <v>0</v>
      </c>
      <c r="R97">
        <v>47</v>
      </c>
      <c r="S97">
        <v>27</v>
      </c>
      <c r="U97" t="s">
        <v>140</v>
      </c>
      <c r="V97" t="s">
        <v>141</v>
      </c>
      <c r="W97">
        <f>Tabla35[[#This Row],[BN CARTA]]-Tabla34[[#This Row],[BN CARTA]]</f>
        <v>46</v>
      </c>
      <c r="X97">
        <f>Tabla35[[#This Row],[BN OFICIO]]-Tabla34[[#This Row],[BN OFICIO]]</f>
        <v>0</v>
      </c>
      <c r="Y97">
        <f>Tabla35[[#This Row],[BN DC]]-Tabla34[[#This Row],[BN DC]]</f>
        <v>0</v>
      </c>
      <c r="Z97">
        <f>Tabla35[[#This Row],[COLOR CARTA]]-Tabla34[[#This Row],[COLOR CARTA]]</f>
        <v>0</v>
      </c>
      <c r="AA97">
        <f>Tabla35[[#This Row],[COLOR OFICIO]]-Tabla34[[#This Row],[COLOR OFICIO]]</f>
        <v>0</v>
      </c>
      <c r="AB97">
        <f>Tabla35[[#This Row],[ENVIAR]]-Tabla34[[#This Row],[ENVIAR]]</f>
        <v>30</v>
      </c>
      <c r="AC97">
        <f>Tabla35[[#This Row],[COPIAR]]-Tabla34[[#This Row],[COPIAR]]</f>
        <v>24</v>
      </c>
    </row>
    <row r="98" spans="1:29" x14ac:dyDescent="0.25">
      <c r="A98" t="s">
        <v>67</v>
      </c>
      <c r="B98" t="s">
        <v>142</v>
      </c>
      <c r="C98">
        <v>262</v>
      </c>
      <c r="D98">
        <v>0</v>
      </c>
      <c r="E98">
        <v>0</v>
      </c>
      <c r="F98">
        <v>0</v>
      </c>
      <c r="G98">
        <v>0</v>
      </c>
      <c r="H98">
        <v>0</v>
      </c>
      <c r="I98">
        <v>55</v>
      </c>
      <c r="K98" t="s">
        <v>67</v>
      </c>
      <c r="L98" t="s">
        <v>142</v>
      </c>
      <c r="M98">
        <v>262</v>
      </c>
      <c r="N98">
        <v>0</v>
      </c>
      <c r="O98">
        <v>0</v>
      </c>
      <c r="P98">
        <v>0</v>
      </c>
      <c r="Q98">
        <v>0</v>
      </c>
      <c r="R98">
        <v>0</v>
      </c>
      <c r="S98">
        <v>55</v>
      </c>
      <c r="U98" t="s">
        <v>67</v>
      </c>
      <c r="V98" t="s">
        <v>142</v>
      </c>
      <c r="W98">
        <f>Tabla35[[#This Row],[BN CARTA]]-Tabla34[[#This Row],[BN CARTA]]</f>
        <v>0</v>
      </c>
      <c r="X98">
        <f>Tabla35[[#This Row],[BN OFICIO]]-Tabla34[[#This Row],[BN OFICIO]]</f>
        <v>0</v>
      </c>
      <c r="Y98">
        <f>Tabla35[[#This Row],[BN DC]]-Tabla34[[#This Row],[BN DC]]</f>
        <v>0</v>
      </c>
      <c r="Z98">
        <f>Tabla35[[#This Row],[COLOR CARTA]]-Tabla34[[#This Row],[COLOR CARTA]]</f>
        <v>0</v>
      </c>
      <c r="AA98">
        <f>Tabla35[[#This Row],[COLOR OFICIO]]-Tabla34[[#This Row],[COLOR OFICIO]]</f>
        <v>0</v>
      </c>
      <c r="AB98">
        <f>Tabla35[[#This Row],[ENVIAR]]-Tabla34[[#This Row],[ENVIAR]]</f>
        <v>0</v>
      </c>
      <c r="AC98">
        <f>Tabla35[[#This Row],[COPIAR]]-Tabla34[[#This Row],[COPIAR]]</f>
        <v>0</v>
      </c>
    </row>
    <row r="99" spans="1:29" x14ac:dyDescent="0.25">
      <c r="A99" t="s">
        <v>10</v>
      </c>
      <c r="B99" t="s">
        <v>143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K99" t="s">
        <v>10</v>
      </c>
      <c r="L99" t="s">
        <v>143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U99" t="s">
        <v>10</v>
      </c>
      <c r="V99" t="s">
        <v>143</v>
      </c>
      <c r="W99">
        <f>Tabla35[[#This Row],[BN CARTA]]-Tabla34[[#This Row],[BN CARTA]]</f>
        <v>0</v>
      </c>
      <c r="X99">
        <f>Tabla35[[#This Row],[BN OFICIO]]-Tabla34[[#This Row],[BN OFICIO]]</f>
        <v>0</v>
      </c>
      <c r="Y99">
        <f>Tabla35[[#This Row],[BN DC]]-Tabla34[[#This Row],[BN DC]]</f>
        <v>0</v>
      </c>
      <c r="Z99">
        <f>Tabla35[[#This Row],[COLOR CARTA]]-Tabla34[[#This Row],[COLOR CARTA]]</f>
        <v>0</v>
      </c>
      <c r="AA99">
        <f>Tabla35[[#This Row],[COLOR OFICIO]]-Tabla34[[#This Row],[COLOR OFICIO]]</f>
        <v>0</v>
      </c>
      <c r="AB99">
        <f>Tabla35[[#This Row],[ENVIAR]]-Tabla34[[#This Row],[ENVIAR]]</f>
        <v>0</v>
      </c>
      <c r="AC99">
        <f>Tabla35[[#This Row],[COPIAR]]-Tabla34[[#This Row],[COPIAR]]</f>
        <v>0</v>
      </c>
    </row>
    <row r="100" spans="1:29" x14ac:dyDescent="0.25">
      <c r="A100" t="s">
        <v>10</v>
      </c>
      <c r="B100" t="s">
        <v>144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K100" t="s">
        <v>792</v>
      </c>
      <c r="L100" t="s">
        <v>144</v>
      </c>
      <c r="M100">
        <v>1224</v>
      </c>
      <c r="N100">
        <v>138</v>
      </c>
      <c r="O100">
        <v>0</v>
      </c>
      <c r="P100">
        <v>0</v>
      </c>
      <c r="Q100">
        <v>0</v>
      </c>
      <c r="R100">
        <v>772</v>
      </c>
      <c r="S100">
        <v>415</v>
      </c>
      <c r="U100" t="s">
        <v>792</v>
      </c>
      <c r="V100" t="s">
        <v>144</v>
      </c>
      <c r="W100">
        <f>Tabla35[[#This Row],[BN CARTA]]-Tabla34[[#This Row],[BN CARTA]]</f>
        <v>1224</v>
      </c>
      <c r="X100">
        <f>Tabla35[[#This Row],[BN OFICIO]]-Tabla34[[#This Row],[BN OFICIO]]</f>
        <v>138</v>
      </c>
      <c r="Y100">
        <f>Tabla35[[#This Row],[BN DC]]-Tabla34[[#This Row],[BN DC]]</f>
        <v>0</v>
      </c>
      <c r="Z100">
        <f>Tabla35[[#This Row],[COLOR CARTA]]-Tabla34[[#This Row],[COLOR CARTA]]</f>
        <v>0</v>
      </c>
      <c r="AA100">
        <f>Tabla35[[#This Row],[COLOR OFICIO]]-Tabla34[[#This Row],[COLOR OFICIO]]</f>
        <v>0</v>
      </c>
      <c r="AB100">
        <f>Tabla35[[#This Row],[ENVIAR]]-Tabla34[[#This Row],[ENVIAR]]</f>
        <v>772</v>
      </c>
      <c r="AC100">
        <f>Tabla35[[#This Row],[COPIAR]]-Tabla34[[#This Row],[COPIAR]]</f>
        <v>415</v>
      </c>
    </row>
    <row r="101" spans="1:29" x14ac:dyDescent="0.25">
      <c r="A101" t="s">
        <v>10</v>
      </c>
      <c r="B101" t="s">
        <v>145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K101" t="s">
        <v>10</v>
      </c>
      <c r="L101" t="s">
        <v>145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U101" t="s">
        <v>10</v>
      </c>
      <c r="V101" t="s">
        <v>145</v>
      </c>
      <c r="W101">
        <f>Tabla35[[#This Row],[BN CARTA]]-Tabla34[[#This Row],[BN CARTA]]</f>
        <v>0</v>
      </c>
      <c r="X101">
        <f>Tabla35[[#This Row],[BN OFICIO]]-Tabla34[[#This Row],[BN OFICIO]]</f>
        <v>0</v>
      </c>
      <c r="Y101">
        <f>Tabla35[[#This Row],[BN DC]]-Tabla34[[#This Row],[BN DC]]</f>
        <v>0</v>
      </c>
      <c r="Z101">
        <f>Tabla35[[#This Row],[COLOR CARTA]]-Tabla34[[#This Row],[COLOR CARTA]]</f>
        <v>0</v>
      </c>
      <c r="AA101">
        <f>Tabla35[[#This Row],[COLOR OFICIO]]-Tabla34[[#This Row],[COLOR OFICIO]]</f>
        <v>0</v>
      </c>
      <c r="AB101">
        <f>Tabla35[[#This Row],[ENVIAR]]-Tabla34[[#This Row],[ENVIAR]]</f>
        <v>0</v>
      </c>
      <c r="AC101">
        <f>Tabla35[[#This Row],[COPIAR]]-Tabla34[[#This Row],[COPIAR]]</f>
        <v>0</v>
      </c>
    </row>
    <row r="102" spans="1:29" x14ac:dyDescent="0.25">
      <c r="A102" t="s">
        <v>146</v>
      </c>
      <c r="B102" t="s">
        <v>147</v>
      </c>
      <c r="C102">
        <v>1300</v>
      </c>
      <c r="D102">
        <v>0</v>
      </c>
      <c r="E102">
        <v>0</v>
      </c>
      <c r="F102">
        <v>0</v>
      </c>
      <c r="G102">
        <v>0</v>
      </c>
      <c r="H102">
        <v>437</v>
      </c>
      <c r="I102">
        <v>734</v>
      </c>
      <c r="K102" t="s">
        <v>146</v>
      </c>
      <c r="L102" t="s">
        <v>147</v>
      </c>
      <c r="M102">
        <v>3551</v>
      </c>
      <c r="N102">
        <v>0</v>
      </c>
      <c r="O102">
        <v>0</v>
      </c>
      <c r="P102">
        <v>0</v>
      </c>
      <c r="Q102">
        <v>0</v>
      </c>
      <c r="R102">
        <v>3155</v>
      </c>
      <c r="S102">
        <v>1188</v>
      </c>
      <c r="U102" t="s">
        <v>146</v>
      </c>
      <c r="V102" t="s">
        <v>147</v>
      </c>
      <c r="W102">
        <f>Tabla35[[#This Row],[BN CARTA]]-Tabla34[[#This Row],[BN CARTA]]</f>
        <v>2251</v>
      </c>
      <c r="X102">
        <f>Tabla35[[#This Row],[BN OFICIO]]-Tabla34[[#This Row],[BN OFICIO]]</f>
        <v>0</v>
      </c>
      <c r="Y102">
        <f>Tabla35[[#This Row],[BN DC]]-Tabla34[[#This Row],[BN DC]]</f>
        <v>0</v>
      </c>
      <c r="Z102">
        <f>Tabla35[[#This Row],[COLOR CARTA]]-Tabla34[[#This Row],[COLOR CARTA]]</f>
        <v>0</v>
      </c>
      <c r="AA102">
        <f>Tabla35[[#This Row],[COLOR OFICIO]]-Tabla34[[#This Row],[COLOR OFICIO]]</f>
        <v>0</v>
      </c>
      <c r="AB102">
        <f>Tabla35[[#This Row],[ENVIAR]]-Tabla34[[#This Row],[ENVIAR]]</f>
        <v>2718</v>
      </c>
      <c r="AC102">
        <f>Tabla35[[#This Row],[COPIAR]]-Tabla34[[#This Row],[COPIAR]]</f>
        <v>454</v>
      </c>
    </row>
    <row r="103" spans="1:29" x14ac:dyDescent="0.25">
      <c r="A103" t="s">
        <v>69</v>
      </c>
      <c r="B103" t="s">
        <v>148</v>
      </c>
      <c r="C103">
        <v>4328</v>
      </c>
      <c r="D103">
        <v>0</v>
      </c>
      <c r="E103">
        <v>0</v>
      </c>
      <c r="F103">
        <v>0</v>
      </c>
      <c r="G103">
        <v>0</v>
      </c>
      <c r="H103">
        <v>7248</v>
      </c>
      <c r="I103">
        <v>762</v>
      </c>
      <c r="K103" t="s">
        <v>69</v>
      </c>
      <c r="L103" t="s">
        <v>148</v>
      </c>
      <c r="M103">
        <v>13170</v>
      </c>
      <c r="N103">
        <v>0</v>
      </c>
      <c r="O103">
        <v>0</v>
      </c>
      <c r="P103">
        <v>0</v>
      </c>
      <c r="Q103">
        <v>0</v>
      </c>
      <c r="R103">
        <v>20893</v>
      </c>
      <c r="S103">
        <v>2983</v>
      </c>
      <c r="U103" t="s">
        <v>69</v>
      </c>
      <c r="V103" t="s">
        <v>148</v>
      </c>
      <c r="W103">
        <f>Tabla35[[#This Row],[BN CARTA]]-Tabla34[[#This Row],[BN CARTA]]</f>
        <v>8842</v>
      </c>
      <c r="X103">
        <f>Tabla35[[#This Row],[BN OFICIO]]-Tabla34[[#This Row],[BN OFICIO]]</f>
        <v>0</v>
      </c>
      <c r="Y103">
        <f>Tabla35[[#This Row],[BN DC]]-Tabla34[[#This Row],[BN DC]]</f>
        <v>0</v>
      </c>
      <c r="Z103">
        <f>Tabla35[[#This Row],[COLOR CARTA]]-Tabla34[[#This Row],[COLOR CARTA]]</f>
        <v>0</v>
      </c>
      <c r="AA103">
        <f>Tabla35[[#This Row],[COLOR OFICIO]]-Tabla34[[#This Row],[COLOR OFICIO]]</f>
        <v>0</v>
      </c>
      <c r="AB103">
        <f>Tabla35[[#This Row],[ENVIAR]]-Tabla34[[#This Row],[ENVIAR]]</f>
        <v>13645</v>
      </c>
      <c r="AC103">
        <f>Tabla35[[#This Row],[COPIAR]]-Tabla34[[#This Row],[COPIAR]]</f>
        <v>2221</v>
      </c>
    </row>
    <row r="104" spans="1:29" x14ac:dyDescent="0.25">
      <c r="A104" t="s">
        <v>10</v>
      </c>
      <c r="B104" t="s">
        <v>149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K104" t="s">
        <v>10</v>
      </c>
      <c r="L104" t="s">
        <v>149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U104" t="s">
        <v>10</v>
      </c>
      <c r="V104" t="s">
        <v>149</v>
      </c>
      <c r="W104">
        <f>Tabla35[[#This Row],[BN CARTA]]-Tabla34[[#This Row],[BN CARTA]]</f>
        <v>0</v>
      </c>
      <c r="X104">
        <f>Tabla35[[#This Row],[BN OFICIO]]-Tabla34[[#This Row],[BN OFICIO]]</f>
        <v>0</v>
      </c>
      <c r="Y104">
        <f>Tabla35[[#This Row],[BN DC]]-Tabla34[[#This Row],[BN DC]]</f>
        <v>0</v>
      </c>
      <c r="Z104">
        <f>Tabla35[[#This Row],[COLOR CARTA]]-Tabla34[[#This Row],[COLOR CARTA]]</f>
        <v>0</v>
      </c>
      <c r="AA104">
        <f>Tabla35[[#This Row],[COLOR OFICIO]]-Tabla34[[#This Row],[COLOR OFICIO]]</f>
        <v>0</v>
      </c>
      <c r="AB104">
        <f>Tabla35[[#This Row],[ENVIAR]]-Tabla34[[#This Row],[ENVIAR]]</f>
        <v>0</v>
      </c>
      <c r="AC104">
        <f>Tabla35[[#This Row],[COPIAR]]-Tabla34[[#This Row],[COPIAR]]</f>
        <v>0</v>
      </c>
    </row>
    <row r="105" spans="1:29" x14ac:dyDescent="0.25">
      <c r="A105" t="s">
        <v>150</v>
      </c>
      <c r="B105" t="s">
        <v>151</v>
      </c>
      <c r="C105">
        <v>15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K105" t="s">
        <v>150</v>
      </c>
      <c r="L105" t="s">
        <v>151</v>
      </c>
      <c r="M105">
        <v>1328</v>
      </c>
      <c r="N105">
        <v>0</v>
      </c>
      <c r="O105">
        <v>0</v>
      </c>
      <c r="P105">
        <v>0</v>
      </c>
      <c r="Q105">
        <v>0</v>
      </c>
      <c r="R105">
        <v>10</v>
      </c>
      <c r="S105">
        <v>23</v>
      </c>
      <c r="U105" t="s">
        <v>150</v>
      </c>
      <c r="V105" t="s">
        <v>151</v>
      </c>
      <c r="W105">
        <f>Tabla35[[#This Row],[BN CARTA]]-Tabla34[[#This Row],[BN CARTA]]</f>
        <v>1313</v>
      </c>
      <c r="X105">
        <f>Tabla35[[#This Row],[BN OFICIO]]-Tabla34[[#This Row],[BN OFICIO]]</f>
        <v>0</v>
      </c>
      <c r="Y105">
        <f>Tabla35[[#This Row],[BN DC]]-Tabla34[[#This Row],[BN DC]]</f>
        <v>0</v>
      </c>
      <c r="Z105">
        <f>Tabla35[[#This Row],[COLOR CARTA]]-Tabla34[[#This Row],[COLOR CARTA]]</f>
        <v>0</v>
      </c>
      <c r="AA105">
        <f>Tabla35[[#This Row],[COLOR OFICIO]]-Tabla34[[#This Row],[COLOR OFICIO]]</f>
        <v>0</v>
      </c>
      <c r="AB105">
        <f>Tabla35[[#This Row],[ENVIAR]]-Tabla34[[#This Row],[ENVIAR]]</f>
        <v>10</v>
      </c>
      <c r="AC105">
        <f>Tabla35[[#This Row],[COPIAR]]-Tabla34[[#This Row],[COPIAR]]</f>
        <v>23</v>
      </c>
    </row>
    <row r="106" spans="1:29" x14ac:dyDescent="0.25">
      <c r="A106" t="s">
        <v>146</v>
      </c>
      <c r="B106" t="s">
        <v>152</v>
      </c>
      <c r="C106">
        <v>354</v>
      </c>
      <c r="D106">
        <v>0</v>
      </c>
      <c r="E106">
        <v>0</v>
      </c>
      <c r="F106">
        <v>0</v>
      </c>
      <c r="G106">
        <v>0</v>
      </c>
      <c r="H106">
        <v>92</v>
      </c>
      <c r="I106">
        <v>243</v>
      </c>
      <c r="K106" t="s">
        <v>146</v>
      </c>
      <c r="L106" t="s">
        <v>152</v>
      </c>
      <c r="M106">
        <v>948</v>
      </c>
      <c r="N106">
        <v>0</v>
      </c>
      <c r="O106">
        <v>0</v>
      </c>
      <c r="P106">
        <v>0</v>
      </c>
      <c r="Q106">
        <v>0</v>
      </c>
      <c r="R106">
        <v>147</v>
      </c>
      <c r="S106">
        <v>440</v>
      </c>
      <c r="U106" t="s">
        <v>146</v>
      </c>
      <c r="V106" t="s">
        <v>152</v>
      </c>
      <c r="W106">
        <f>Tabla35[[#This Row],[BN CARTA]]-Tabla34[[#This Row],[BN CARTA]]</f>
        <v>594</v>
      </c>
      <c r="X106">
        <f>Tabla35[[#This Row],[BN OFICIO]]-Tabla34[[#This Row],[BN OFICIO]]</f>
        <v>0</v>
      </c>
      <c r="Y106">
        <f>Tabla35[[#This Row],[BN DC]]-Tabla34[[#This Row],[BN DC]]</f>
        <v>0</v>
      </c>
      <c r="Z106">
        <f>Tabla35[[#This Row],[COLOR CARTA]]-Tabla34[[#This Row],[COLOR CARTA]]</f>
        <v>0</v>
      </c>
      <c r="AA106">
        <f>Tabla35[[#This Row],[COLOR OFICIO]]-Tabla34[[#This Row],[COLOR OFICIO]]</f>
        <v>0</v>
      </c>
      <c r="AB106">
        <f>Tabla35[[#This Row],[ENVIAR]]-Tabla34[[#This Row],[ENVIAR]]</f>
        <v>55</v>
      </c>
      <c r="AC106">
        <f>Tabla35[[#This Row],[COPIAR]]-Tabla34[[#This Row],[COPIAR]]</f>
        <v>197</v>
      </c>
    </row>
    <row r="107" spans="1:29" x14ac:dyDescent="0.25">
      <c r="A107" t="s">
        <v>10</v>
      </c>
      <c r="B107" t="s">
        <v>153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K107" t="s">
        <v>10</v>
      </c>
      <c r="L107" t="s">
        <v>153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U107" t="s">
        <v>10</v>
      </c>
      <c r="V107" t="s">
        <v>153</v>
      </c>
      <c r="W107">
        <f>Tabla35[[#This Row],[BN CARTA]]-Tabla34[[#This Row],[BN CARTA]]</f>
        <v>0</v>
      </c>
      <c r="X107">
        <f>Tabla35[[#This Row],[BN OFICIO]]-Tabla34[[#This Row],[BN OFICIO]]</f>
        <v>0</v>
      </c>
      <c r="Y107">
        <f>Tabla35[[#This Row],[BN DC]]-Tabla34[[#This Row],[BN DC]]</f>
        <v>0</v>
      </c>
      <c r="Z107">
        <f>Tabla35[[#This Row],[COLOR CARTA]]-Tabla34[[#This Row],[COLOR CARTA]]</f>
        <v>0</v>
      </c>
      <c r="AA107">
        <f>Tabla35[[#This Row],[COLOR OFICIO]]-Tabla34[[#This Row],[COLOR OFICIO]]</f>
        <v>0</v>
      </c>
      <c r="AB107">
        <f>Tabla35[[#This Row],[ENVIAR]]-Tabla34[[#This Row],[ENVIAR]]</f>
        <v>0</v>
      </c>
      <c r="AC107">
        <f>Tabla35[[#This Row],[COPIAR]]-Tabla34[[#This Row],[COPIAR]]</f>
        <v>0</v>
      </c>
    </row>
    <row r="108" spans="1:29" x14ac:dyDescent="0.25">
      <c r="A108" t="s">
        <v>76</v>
      </c>
      <c r="B108" t="s">
        <v>154</v>
      </c>
      <c r="C108">
        <v>169</v>
      </c>
      <c r="D108">
        <v>0</v>
      </c>
      <c r="E108">
        <v>0</v>
      </c>
      <c r="F108">
        <v>0</v>
      </c>
      <c r="G108">
        <v>0</v>
      </c>
      <c r="H108">
        <v>8</v>
      </c>
      <c r="I108">
        <v>11</v>
      </c>
      <c r="K108" t="s">
        <v>76</v>
      </c>
      <c r="L108" t="s">
        <v>154</v>
      </c>
      <c r="M108">
        <v>1130</v>
      </c>
      <c r="N108">
        <v>0</v>
      </c>
      <c r="O108">
        <v>0</v>
      </c>
      <c r="P108">
        <v>0</v>
      </c>
      <c r="Q108">
        <v>0</v>
      </c>
      <c r="R108">
        <v>76</v>
      </c>
      <c r="S108">
        <v>199</v>
      </c>
      <c r="U108" t="s">
        <v>76</v>
      </c>
      <c r="V108" t="s">
        <v>154</v>
      </c>
      <c r="W108">
        <f>Tabla35[[#This Row],[BN CARTA]]-Tabla34[[#This Row],[BN CARTA]]</f>
        <v>961</v>
      </c>
      <c r="X108">
        <f>Tabla35[[#This Row],[BN OFICIO]]-Tabla34[[#This Row],[BN OFICIO]]</f>
        <v>0</v>
      </c>
      <c r="Y108">
        <f>Tabla35[[#This Row],[BN DC]]-Tabla34[[#This Row],[BN DC]]</f>
        <v>0</v>
      </c>
      <c r="Z108">
        <f>Tabla35[[#This Row],[COLOR CARTA]]-Tabla34[[#This Row],[COLOR CARTA]]</f>
        <v>0</v>
      </c>
      <c r="AA108">
        <f>Tabla35[[#This Row],[COLOR OFICIO]]-Tabla34[[#This Row],[COLOR OFICIO]]</f>
        <v>0</v>
      </c>
      <c r="AB108">
        <f>Tabla35[[#This Row],[ENVIAR]]-Tabla34[[#This Row],[ENVIAR]]</f>
        <v>68</v>
      </c>
      <c r="AC108">
        <f>Tabla35[[#This Row],[COPIAR]]-Tabla34[[#This Row],[COPIAR]]</f>
        <v>188</v>
      </c>
    </row>
    <row r="109" spans="1:29" x14ac:dyDescent="0.25">
      <c r="A109" t="s">
        <v>83</v>
      </c>
      <c r="B109" t="s">
        <v>155</v>
      </c>
      <c r="C109">
        <v>171</v>
      </c>
      <c r="D109">
        <v>0</v>
      </c>
      <c r="E109">
        <v>0</v>
      </c>
      <c r="F109">
        <v>0</v>
      </c>
      <c r="G109">
        <v>0</v>
      </c>
      <c r="H109">
        <v>580</v>
      </c>
      <c r="I109">
        <v>23</v>
      </c>
      <c r="K109" t="s">
        <v>83</v>
      </c>
      <c r="L109" t="s">
        <v>155</v>
      </c>
      <c r="M109">
        <v>171</v>
      </c>
      <c r="N109">
        <v>0</v>
      </c>
      <c r="O109">
        <v>0</v>
      </c>
      <c r="P109">
        <v>0</v>
      </c>
      <c r="Q109">
        <v>0</v>
      </c>
      <c r="R109">
        <v>580</v>
      </c>
      <c r="S109">
        <v>23</v>
      </c>
      <c r="U109" t="s">
        <v>83</v>
      </c>
      <c r="V109" t="s">
        <v>155</v>
      </c>
      <c r="W109">
        <f>Tabla35[[#This Row],[BN CARTA]]-Tabla34[[#This Row],[BN CARTA]]</f>
        <v>0</v>
      </c>
      <c r="X109">
        <f>Tabla35[[#This Row],[BN OFICIO]]-Tabla34[[#This Row],[BN OFICIO]]</f>
        <v>0</v>
      </c>
      <c r="Y109">
        <f>Tabla35[[#This Row],[BN DC]]-Tabla34[[#This Row],[BN DC]]</f>
        <v>0</v>
      </c>
      <c r="Z109">
        <f>Tabla35[[#This Row],[COLOR CARTA]]-Tabla34[[#This Row],[COLOR CARTA]]</f>
        <v>0</v>
      </c>
      <c r="AA109">
        <f>Tabla35[[#This Row],[COLOR OFICIO]]-Tabla34[[#This Row],[COLOR OFICIO]]</f>
        <v>0</v>
      </c>
      <c r="AB109">
        <f>Tabla35[[#This Row],[ENVIAR]]-Tabla34[[#This Row],[ENVIAR]]</f>
        <v>0</v>
      </c>
      <c r="AC109">
        <f>Tabla35[[#This Row],[COPIAR]]-Tabla34[[#This Row],[COPIAR]]</f>
        <v>0</v>
      </c>
    </row>
    <row r="110" spans="1:29" x14ac:dyDescent="0.25">
      <c r="A110" t="s">
        <v>138</v>
      </c>
      <c r="B110" t="s">
        <v>156</v>
      </c>
      <c r="C110">
        <v>1204</v>
      </c>
      <c r="D110">
        <v>0</v>
      </c>
      <c r="E110">
        <v>0</v>
      </c>
      <c r="F110">
        <v>0</v>
      </c>
      <c r="G110">
        <v>0</v>
      </c>
      <c r="H110">
        <v>587</v>
      </c>
      <c r="I110">
        <v>136</v>
      </c>
      <c r="K110" t="s">
        <v>138</v>
      </c>
      <c r="L110" t="s">
        <v>156</v>
      </c>
      <c r="M110">
        <v>1204</v>
      </c>
      <c r="N110">
        <v>0</v>
      </c>
      <c r="O110">
        <v>0</v>
      </c>
      <c r="P110">
        <v>0</v>
      </c>
      <c r="Q110">
        <v>0</v>
      </c>
      <c r="R110">
        <v>587</v>
      </c>
      <c r="S110">
        <v>136</v>
      </c>
      <c r="U110" t="s">
        <v>138</v>
      </c>
      <c r="V110" t="s">
        <v>156</v>
      </c>
      <c r="W110">
        <f>Tabla35[[#This Row],[BN CARTA]]-Tabla34[[#This Row],[BN CARTA]]</f>
        <v>0</v>
      </c>
      <c r="X110">
        <f>Tabla35[[#This Row],[BN OFICIO]]-Tabla34[[#This Row],[BN OFICIO]]</f>
        <v>0</v>
      </c>
      <c r="Y110">
        <f>Tabla35[[#This Row],[BN DC]]-Tabla34[[#This Row],[BN DC]]</f>
        <v>0</v>
      </c>
      <c r="Z110">
        <f>Tabla35[[#This Row],[COLOR CARTA]]-Tabla34[[#This Row],[COLOR CARTA]]</f>
        <v>0</v>
      </c>
      <c r="AA110">
        <f>Tabla35[[#This Row],[COLOR OFICIO]]-Tabla34[[#This Row],[COLOR OFICIO]]</f>
        <v>0</v>
      </c>
      <c r="AB110">
        <f>Tabla35[[#This Row],[ENVIAR]]-Tabla34[[#This Row],[ENVIAR]]</f>
        <v>0</v>
      </c>
      <c r="AC110">
        <f>Tabla35[[#This Row],[COPIAR]]-Tabla34[[#This Row],[COPIAR]]</f>
        <v>0</v>
      </c>
    </row>
    <row r="111" spans="1:29" x14ac:dyDescent="0.25">
      <c r="A111" t="s">
        <v>150</v>
      </c>
      <c r="B111" t="s">
        <v>157</v>
      </c>
      <c r="C111">
        <v>74</v>
      </c>
      <c r="D111">
        <v>0</v>
      </c>
      <c r="E111">
        <v>0</v>
      </c>
      <c r="F111">
        <v>0</v>
      </c>
      <c r="G111">
        <v>0</v>
      </c>
      <c r="H111">
        <v>19</v>
      </c>
      <c r="I111">
        <v>28</v>
      </c>
      <c r="K111" t="s">
        <v>150</v>
      </c>
      <c r="L111" t="s">
        <v>157</v>
      </c>
      <c r="M111">
        <v>2429</v>
      </c>
      <c r="N111">
        <v>0</v>
      </c>
      <c r="O111">
        <v>0</v>
      </c>
      <c r="P111">
        <v>0</v>
      </c>
      <c r="Q111">
        <v>0</v>
      </c>
      <c r="R111">
        <v>1268</v>
      </c>
      <c r="S111">
        <v>617</v>
      </c>
      <c r="U111" t="s">
        <v>150</v>
      </c>
      <c r="V111" t="s">
        <v>157</v>
      </c>
      <c r="W111">
        <f>Tabla35[[#This Row],[BN CARTA]]-Tabla34[[#This Row],[BN CARTA]]</f>
        <v>2355</v>
      </c>
      <c r="X111">
        <f>Tabla35[[#This Row],[BN OFICIO]]-Tabla34[[#This Row],[BN OFICIO]]</f>
        <v>0</v>
      </c>
      <c r="Y111">
        <f>Tabla35[[#This Row],[BN DC]]-Tabla34[[#This Row],[BN DC]]</f>
        <v>0</v>
      </c>
      <c r="Z111">
        <f>Tabla35[[#This Row],[COLOR CARTA]]-Tabla34[[#This Row],[COLOR CARTA]]</f>
        <v>0</v>
      </c>
      <c r="AA111">
        <f>Tabla35[[#This Row],[COLOR OFICIO]]-Tabla34[[#This Row],[COLOR OFICIO]]</f>
        <v>0</v>
      </c>
      <c r="AB111">
        <f>Tabla35[[#This Row],[ENVIAR]]-Tabla34[[#This Row],[ENVIAR]]</f>
        <v>1249</v>
      </c>
      <c r="AC111">
        <f>Tabla35[[#This Row],[COPIAR]]-Tabla34[[#This Row],[COPIAR]]</f>
        <v>589</v>
      </c>
    </row>
    <row r="112" spans="1:29" x14ac:dyDescent="0.25">
      <c r="A112" t="s">
        <v>10</v>
      </c>
      <c r="B112" t="s">
        <v>158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K112" t="s">
        <v>10</v>
      </c>
      <c r="L112" t="s">
        <v>158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U112" t="s">
        <v>10</v>
      </c>
      <c r="V112" t="s">
        <v>158</v>
      </c>
      <c r="W112">
        <f>Tabla35[[#This Row],[BN CARTA]]-Tabla34[[#This Row],[BN CARTA]]</f>
        <v>0</v>
      </c>
      <c r="X112">
        <f>Tabla35[[#This Row],[BN OFICIO]]-Tabla34[[#This Row],[BN OFICIO]]</f>
        <v>0</v>
      </c>
      <c r="Y112">
        <f>Tabla35[[#This Row],[BN DC]]-Tabla34[[#This Row],[BN DC]]</f>
        <v>0</v>
      </c>
      <c r="Z112">
        <f>Tabla35[[#This Row],[COLOR CARTA]]-Tabla34[[#This Row],[COLOR CARTA]]</f>
        <v>0</v>
      </c>
      <c r="AA112">
        <f>Tabla35[[#This Row],[COLOR OFICIO]]-Tabla34[[#This Row],[COLOR OFICIO]]</f>
        <v>0</v>
      </c>
      <c r="AB112">
        <f>Tabla35[[#This Row],[ENVIAR]]-Tabla34[[#This Row],[ENVIAR]]</f>
        <v>0</v>
      </c>
      <c r="AC112">
        <f>Tabla35[[#This Row],[COPIAR]]-Tabla34[[#This Row],[COPIAR]]</f>
        <v>0</v>
      </c>
    </row>
    <row r="113" spans="1:29" x14ac:dyDescent="0.25">
      <c r="A113" t="s">
        <v>134</v>
      </c>
      <c r="B113" t="s">
        <v>159</v>
      </c>
      <c r="C113">
        <v>60</v>
      </c>
      <c r="D113">
        <v>0</v>
      </c>
      <c r="E113">
        <v>0</v>
      </c>
      <c r="F113">
        <v>0</v>
      </c>
      <c r="G113">
        <v>0</v>
      </c>
      <c r="H113">
        <v>7</v>
      </c>
      <c r="I113">
        <v>1</v>
      </c>
      <c r="K113" t="s">
        <v>134</v>
      </c>
      <c r="L113" t="s">
        <v>159</v>
      </c>
      <c r="M113">
        <v>212</v>
      </c>
      <c r="N113">
        <v>0</v>
      </c>
      <c r="O113">
        <v>0</v>
      </c>
      <c r="P113">
        <v>0</v>
      </c>
      <c r="Q113">
        <v>0</v>
      </c>
      <c r="R113">
        <v>7</v>
      </c>
      <c r="S113">
        <v>1</v>
      </c>
      <c r="U113" t="s">
        <v>134</v>
      </c>
      <c r="V113" t="s">
        <v>159</v>
      </c>
      <c r="W113">
        <f>Tabla35[[#This Row],[BN CARTA]]-Tabla34[[#This Row],[BN CARTA]]</f>
        <v>152</v>
      </c>
      <c r="X113">
        <f>Tabla35[[#This Row],[BN OFICIO]]-Tabla34[[#This Row],[BN OFICIO]]</f>
        <v>0</v>
      </c>
      <c r="Y113">
        <f>Tabla35[[#This Row],[BN DC]]-Tabla34[[#This Row],[BN DC]]</f>
        <v>0</v>
      </c>
      <c r="Z113">
        <f>Tabla35[[#This Row],[COLOR CARTA]]-Tabla34[[#This Row],[COLOR CARTA]]</f>
        <v>0</v>
      </c>
      <c r="AA113">
        <f>Tabla35[[#This Row],[COLOR OFICIO]]-Tabla34[[#This Row],[COLOR OFICIO]]</f>
        <v>0</v>
      </c>
      <c r="AB113">
        <f>Tabla35[[#This Row],[ENVIAR]]-Tabla34[[#This Row],[ENVIAR]]</f>
        <v>0</v>
      </c>
      <c r="AC113">
        <f>Tabla35[[#This Row],[COPIAR]]-Tabla34[[#This Row],[COPIAR]]</f>
        <v>0</v>
      </c>
    </row>
    <row r="114" spans="1:29" x14ac:dyDescent="0.25">
      <c r="A114" t="s">
        <v>10</v>
      </c>
      <c r="B114" t="s">
        <v>160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K114" t="s">
        <v>795</v>
      </c>
      <c r="L114" t="s">
        <v>160</v>
      </c>
      <c r="M114">
        <v>4434</v>
      </c>
      <c r="N114">
        <v>212</v>
      </c>
      <c r="O114">
        <v>0</v>
      </c>
      <c r="P114">
        <v>0</v>
      </c>
      <c r="Q114">
        <v>0</v>
      </c>
      <c r="R114">
        <v>27</v>
      </c>
      <c r="S114">
        <v>627</v>
      </c>
      <c r="U114" t="s">
        <v>795</v>
      </c>
      <c r="V114" t="s">
        <v>160</v>
      </c>
      <c r="W114">
        <f>Tabla35[[#This Row],[BN CARTA]]-Tabla34[[#This Row],[BN CARTA]]</f>
        <v>4434</v>
      </c>
      <c r="X114">
        <f>Tabla35[[#This Row],[BN OFICIO]]-Tabla34[[#This Row],[BN OFICIO]]</f>
        <v>212</v>
      </c>
      <c r="Y114">
        <f>Tabla35[[#This Row],[BN DC]]-Tabla34[[#This Row],[BN DC]]</f>
        <v>0</v>
      </c>
      <c r="Z114">
        <f>Tabla35[[#This Row],[COLOR CARTA]]-Tabla34[[#This Row],[COLOR CARTA]]</f>
        <v>0</v>
      </c>
      <c r="AA114">
        <f>Tabla35[[#This Row],[COLOR OFICIO]]-Tabla34[[#This Row],[COLOR OFICIO]]</f>
        <v>0</v>
      </c>
      <c r="AB114">
        <f>Tabla35[[#This Row],[ENVIAR]]-Tabla34[[#This Row],[ENVIAR]]</f>
        <v>27</v>
      </c>
      <c r="AC114">
        <f>Tabla35[[#This Row],[COPIAR]]-Tabla34[[#This Row],[COPIAR]]</f>
        <v>627</v>
      </c>
    </row>
    <row r="115" spans="1:29" x14ac:dyDescent="0.25">
      <c r="A115" t="s">
        <v>10</v>
      </c>
      <c r="B115" t="s">
        <v>161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K115" t="s">
        <v>10</v>
      </c>
      <c r="L115" t="s">
        <v>161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U115" t="s">
        <v>10</v>
      </c>
      <c r="V115" t="s">
        <v>161</v>
      </c>
      <c r="W115">
        <f>Tabla35[[#This Row],[BN CARTA]]-Tabla34[[#This Row],[BN CARTA]]</f>
        <v>0</v>
      </c>
      <c r="X115">
        <f>Tabla35[[#This Row],[BN OFICIO]]-Tabla34[[#This Row],[BN OFICIO]]</f>
        <v>0</v>
      </c>
      <c r="Y115">
        <f>Tabla35[[#This Row],[BN DC]]-Tabla34[[#This Row],[BN DC]]</f>
        <v>0</v>
      </c>
      <c r="Z115">
        <f>Tabla35[[#This Row],[COLOR CARTA]]-Tabla34[[#This Row],[COLOR CARTA]]</f>
        <v>0</v>
      </c>
      <c r="AA115">
        <f>Tabla35[[#This Row],[COLOR OFICIO]]-Tabla34[[#This Row],[COLOR OFICIO]]</f>
        <v>0</v>
      </c>
      <c r="AB115">
        <f>Tabla35[[#This Row],[ENVIAR]]-Tabla34[[#This Row],[ENVIAR]]</f>
        <v>0</v>
      </c>
      <c r="AC115">
        <f>Tabla35[[#This Row],[COPIAR]]-Tabla34[[#This Row],[COPIAR]]</f>
        <v>0</v>
      </c>
    </row>
    <row r="116" spans="1:29" x14ac:dyDescent="0.25">
      <c r="A116" t="s">
        <v>10</v>
      </c>
      <c r="B116" t="s">
        <v>162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K116" t="s">
        <v>791</v>
      </c>
      <c r="L116" t="s">
        <v>162</v>
      </c>
      <c r="M116">
        <v>581</v>
      </c>
      <c r="N116">
        <v>0</v>
      </c>
      <c r="O116">
        <v>0</v>
      </c>
      <c r="P116">
        <v>0</v>
      </c>
      <c r="Q116">
        <v>0</v>
      </c>
      <c r="R116">
        <v>202</v>
      </c>
      <c r="S116">
        <v>250</v>
      </c>
      <c r="U116" t="s">
        <v>791</v>
      </c>
      <c r="V116" t="s">
        <v>162</v>
      </c>
      <c r="W116">
        <f>Tabla35[[#This Row],[BN CARTA]]-Tabla34[[#This Row],[BN CARTA]]</f>
        <v>581</v>
      </c>
      <c r="X116">
        <f>Tabla35[[#This Row],[BN OFICIO]]-Tabla34[[#This Row],[BN OFICIO]]</f>
        <v>0</v>
      </c>
      <c r="Y116">
        <f>Tabla35[[#This Row],[BN DC]]-Tabla34[[#This Row],[BN DC]]</f>
        <v>0</v>
      </c>
      <c r="Z116">
        <f>Tabla35[[#This Row],[COLOR CARTA]]-Tabla34[[#This Row],[COLOR CARTA]]</f>
        <v>0</v>
      </c>
      <c r="AA116">
        <f>Tabla35[[#This Row],[COLOR OFICIO]]-Tabla34[[#This Row],[COLOR OFICIO]]</f>
        <v>0</v>
      </c>
      <c r="AB116">
        <f>Tabla35[[#This Row],[ENVIAR]]-Tabla34[[#This Row],[ENVIAR]]</f>
        <v>202</v>
      </c>
      <c r="AC116">
        <f>Tabla35[[#This Row],[COPIAR]]-Tabla34[[#This Row],[COPIAR]]</f>
        <v>250</v>
      </c>
    </row>
    <row r="117" spans="1:29" x14ac:dyDescent="0.25">
      <c r="A117" t="s">
        <v>10</v>
      </c>
      <c r="B117" t="s">
        <v>163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K117" t="s">
        <v>10</v>
      </c>
      <c r="L117" t="s">
        <v>163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U117" t="s">
        <v>10</v>
      </c>
      <c r="V117" t="s">
        <v>163</v>
      </c>
      <c r="W117">
        <f>Tabla35[[#This Row],[BN CARTA]]-Tabla34[[#This Row],[BN CARTA]]</f>
        <v>0</v>
      </c>
      <c r="X117">
        <f>Tabla35[[#This Row],[BN OFICIO]]-Tabla34[[#This Row],[BN OFICIO]]</f>
        <v>0</v>
      </c>
      <c r="Y117">
        <f>Tabla35[[#This Row],[BN DC]]-Tabla34[[#This Row],[BN DC]]</f>
        <v>0</v>
      </c>
      <c r="Z117">
        <f>Tabla35[[#This Row],[COLOR CARTA]]-Tabla34[[#This Row],[COLOR CARTA]]</f>
        <v>0</v>
      </c>
      <c r="AA117">
        <f>Tabla35[[#This Row],[COLOR OFICIO]]-Tabla34[[#This Row],[COLOR OFICIO]]</f>
        <v>0</v>
      </c>
      <c r="AB117">
        <f>Tabla35[[#This Row],[ENVIAR]]-Tabla34[[#This Row],[ENVIAR]]</f>
        <v>0</v>
      </c>
      <c r="AC117">
        <f>Tabla35[[#This Row],[COPIAR]]-Tabla34[[#This Row],[COPIAR]]</f>
        <v>0</v>
      </c>
    </row>
    <row r="118" spans="1:29" x14ac:dyDescent="0.25">
      <c r="A118" t="s">
        <v>138</v>
      </c>
      <c r="B118" t="s">
        <v>164</v>
      </c>
      <c r="C118">
        <v>646</v>
      </c>
      <c r="D118">
        <v>0</v>
      </c>
      <c r="E118">
        <v>0</v>
      </c>
      <c r="F118">
        <v>0</v>
      </c>
      <c r="G118">
        <v>0</v>
      </c>
      <c r="H118">
        <v>185</v>
      </c>
      <c r="I118">
        <v>134</v>
      </c>
      <c r="K118" t="s">
        <v>138</v>
      </c>
      <c r="L118" t="s">
        <v>164</v>
      </c>
      <c r="M118">
        <v>646</v>
      </c>
      <c r="N118">
        <v>0</v>
      </c>
      <c r="O118">
        <v>0</v>
      </c>
      <c r="P118">
        <v>0</v>
      </c>
      <c r="Q118">
        <v>0</v>
      </c>
      <c r="R118">
        <v>185</v>
      </c>
      <c r="S118">
        <v>134</v>
      </c>
      <c r="U118" t="s">
        <v>138</v>
      </c>
      <c r="V118" t="s">
        <v>164</v>
      </c>
      <c r="W118">
        <f>Tabla35[[#This Row],[BN CARTA]]-Tabla34[[#This Row],[BN CARTA]]</f>
        <v>0</v>
      </c>
      <c r="X118">
        <f>Tabla35[[#This Row],[BN OFICIO]]-Tabla34[[#This Row],[BN OFICIO]]</f>
        <v>0</v>
      </c>
      <c r="Y118">
        <f>Tabla35[[#This Row],[BN DC]]-Tabla34[[#This Row],[BN DC]]</f>
        <v>0</v>
      </c>
      <c r="Z118">
        <f>Tabla35[[#This Row],[COLOR CARTA]]-Tabla34[[#This Row],[COLOR CARTA]]</f>
        <v>0</v>
      </c>
      <c r="AA118">
        <f>Tabla35[[#This Row],[COLOR OFICIO]]-Tabla34[[#This Row],[COLOR OFICIO]]</f>
        <v>0</v>
      </c>
      <c r="AB118">
        <f>Tabla35[[#This Row],[ENVIAR]]-Tabla34[[#This Row],[ENVIAR]]</f>
        <v>0</v>
      </c>
      <c r="AC118">
        <f>Tabla35[[#This Row],[COPIAR]]-Tabla34[[#This Row],[COPIAR]]</f>
        <v>0</v>
      </c>
    </row>
    <row r="119" spans="1:29" x14ac:dyDescent="0.25">
      <c r="A119" t="s">
        <v>83</v>
      </c>
      <c r="B119" t="s">
        <v>165</v>
      </c>
      <c r="C119">
        <v>66</v>
      </c>
      <c r="D119">
        <v>6</v>
      </c>
      <c r="E119">
        <v>0</v>
      </c>
      <c r="F119">
        <v>0</v>
      </c>
      <c r="G119">
        <v>0</v>
      </c>
      <c r="H119">
        <v>0</v>
      </c>
      <c r="I119">
        <v>1</v>
      </c>
      <c r="K119" t="s">
        <v>83</v>
      </c>
      <c r="L119" t="s">
        <v>165</v>
      </c>
      <c r="M119">
        <v>66</v>
      </c>
      <c r="N119">
        <v>6</v>
      </c>
      <c r="O119">
        <v>0</v>
      </c>
      <c r="P119">
        <v>0</v>
      </c>
      <c r="Q119">
        <v>0</v>
      </c>
      <c r="R119">
        <v>0</v>
      </c>
      <c r="S119">
        <v>1</v>
      </c>
      <c r="U119" t="s">
        <v>83</v>
      </c>
      <c r="V119" t="s">
        <v>165</v>
      </c>
      <c r="W119">
        <f>Tabla35[[#This Row],[BN CARTA]]-Tabla34[[#This Row],[BN CARTA]]</f>
        <v>0</v>
      </c>
      <c r="X119">
        <f>Tabla35[[#This Row],[BN OFICIO]]-Tabla34[[#This Row],[BN OFICIO]]</f>
        <v>0</v>
      </c>
      <c r="Y119">
        <f>Tabla35[[#This Row],[BN DC]]-Tabla34[[#This Row],[BN DC]]</f>
        <v>0</v>
      </c>
      <c r="Z119">
        <f>Tabla35[[#This Row],[COLOR CARTA]]-Tabla34[[#This Row],[COLOR CARTA]]</f>
        <v>0</v>
      </c>
      <c r="AA119">
        <f>Tabla35[[#This Row],[COLOR OFICIO]]-Tabla34[[#This Row],[COLOR OFICIO]]</f>
        <v>0</v>
      </c>
      <c r="AB119">
        <f>Tabla35[[#This Row],[ENVIAR]]-Tabla34[[#This Row],[ENVIAR]]</f>
        <v>0</v>
      </c>
      <c r="AC119">
        <f>Tabla35[[#This Row],[COPIAR]]-Tabla34[[#This Row],[COPIAR]]</f>
        <v>0</v>
      </c>
    </row>
    <row r="120" spans="1:29" x14ac:dyDescent="0.25">
      <c r="A120" t="s">
        <v>10</v>
      </c>
      <c r="B120" t="s">
        <v>166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K120" t="s">
        <v>10</v>
      </c>
      <c r="L120" t="s">
        <v>166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U120" t="s">
        <v>10</v>
      </c>
      <c r="V120" t="s">
        <v>166</v>
      </c>
      <c r="W120">
        <f>Tabla35[[#This Row],[BN CARTA]]-Tabla34[[#This Row],[BN CARTA]]</f>
        <v>0</v>
      </c>
      <c r="X120">
        <f>Tabla35[[#This Row],[BN OFICIO]]-Tabla34[[#This Row],[BN OFICIO]]</f>
        <v>0</v>
      </c>
      <c r="Y120">
        <f>Tabla35[[#This Row],[BN DC]]-Tabla34[[#This Row],[BN DC]]</f>
        <v>0</v>
      </c>
      <c r="Z120">
        <f>Tabla35[[#This Row],[COLOR CARTA]]-Tabla34[[#This Row],[COLOR CARTA]]</f>
        <v>0</v>
      </c>
      <c r="AA120">
        <f>Tabla35[[#This Row],[COLOR OFICIO]]-Tabla34[[#This Row],[COLOR OFICIO]]</f>
        <v>0</v>
      </c>
      <c r="AB120">
        <f>Tabla35[[#This Row],[ENVIAR]]-Tabla34[[#This Row],[ENVIAR]]</f>
        <v>0</v>
      </c>
      <c r="AC120">
        <f>Tabla35[[#This Row],[COPIAR]]-Tabla34[[#This Row],[COPIAR]]</f>
        <v>0</v>
      </c>
    </row>
    <row r="121" spans="1:29" x14ac:dyDescent="0.25">
      <c r="A121" t="s">
        <v>10</v>
      </c>
      <c r="B121" t="s">
        <v>167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K121" t="s">
        <v>10</v>
      </c>
      <c r="L121" t="s">
        <v>167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U121" t="s">
        <v>10</v>
      </c>
      <c r="V121" t="s">
        <v>167</v>
      </c>
      <c r="W121">
        <f>Tabla35[[#This Row],[BN CARTA]]-Tabla34[[#This Row],[BN CARTA]]</f>
        <v>0</v>
      </c>
      <c r="X121">
        <f>Tabla35[[#This Row],[BN OFICIO]]-Tabla34[[#This Row],[BN OFICIO]]</f>
        <v>0</v>
      </c>
      <c r="Y121">
        <f>Tabla35[[#This Row],[BN DC]]-Tabla34[[#This Row],[BN DC]]</f>
        <v>0</v>
      </c>
      <c r="Z121">
        <f>Tabla35[[#This Row],[COLOR CARTA]]-Tabla34[[#This Row],[COLOR CARTA]]</f>
        <v>0</v>
      </c>
      <c r="AA121">
        <f>Tabla35[[#This Row],[COLOR OFICIO]]-Tabla34[[#This Row],[COLOR OFICIO]]</f>
        <v>0</v>
      </c>
      <c r="AB121">
        <f>Tabla35[[#This Row],[ENVIAR]]-Tabla34[[#This Row],[ENVIAR]]</f>
        <v>0</v>
      </c>
      <c r="AC121">
        <f>Tabla35[[#This Row],[COPIAR]]-Tabla34[[#This Row],[COPIAR]]</f>
        <v>0</v>
      </c>
    </row>
    <row r="122" spans="1:29" x14ac:dyDescent="0.25">
      <c r="A122" t="s">
        <v>10</v>
      </c>
      <c r="B122" t="s">
        <v>168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K122" t="s">
        <v>10</v>
      </c>
      <c r="L122" t="s">
        <v>168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U122" t="s">
        <v>10</v>
      </c>
      <c r="V122" t="s">
        <v>168</v>
      </c>
      <c r="W122">
        <f>Tabla35[[#This Row],[BN CARTA]]-Tabla34[[#This Row],[BN CARTA]]</f>
        <v>0</v>
      </c>
      <c r="X122">
        <f>Tabla35[[#This Row],[BN OFICIO]]-Tabla34[[#This Row],[BN OFICIO]]</f>
        <v>0</v>
      </c>
      <c r="Y122">
        <f>Tabla35[[#This Row],[BN DC]]-Tabla34[[#This Row],[BN DC]]</f>
        <v>0</v>
      </c>
      <c r="Z122">
        <f>Tabla35[[#This Row],[COLOR CARTA]]-Tabla34[[#This Row],[COLOR CARTA]]</f>
        <v>0</v>
      </c>
      <c r="AA122">
        <f>Tabla35[[#This Row],[COLOR OFICIO]]-Tabla34[[#This Row],[COLOR OFICIO]]</f>
        <v>0</v>
      </c>
      <c r="AB122">
        <f>Tabla35[[#This Row],[ENVIAR]]-Tabla34[[#This Row],[ENVIAR]]</f>
        <v>0</v>
      </c>
      <c r="AC122">
        <f>Tabla35[[#This Row],[COPIAR]]-Tabla34[[#This Row],[COPIAR]]</f>
        <v>0</v>
      </c>
    </row>
    <row r="123" spans="1:29" x14ac:dyDescent="0.25">
      <c r="A123" t="s">
        <v>10</v>
      </c>
      <c r="B123" t="s">
        <v>169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K123" t="s">
        <v>792</v>
      </c>
      <c r="L123" t="s">
        <v>169</v>
      </c>
      <c r="M123">
        <v>1219</v>
      </c>
      <c r="N123">
        <v>58</v>
      </c>
      <c r="O123">
        <v>0</v>
      </c>
      <c r="P123">
        <v>0</v>
      </c>
      <c r="Q123">
        <v>0</v>
      </c>
      <c r="R123">
        <v>181</v>
      </c>
      <c r="S123">
        <v>257</v>
      </c>
      <c r="U123" t="s">
        <v>792</v>
      </c>
      <c r="V123" t="s">
        <v>169</v>
      </c>
      <c r="W123">
        <f>Tabla35[[#This Row],[BN CARTA]]-Tabla34[[#This Row],[BN CARTA]]</f>
        <v>1219</v>
      </c>
      <c r="X123">
        <f>Tabla35[[#This Row],[BN OFICIO]]-Tabla34[[#This Row],[BN OFICIO]]</f>
        <v>58</v>
      </c>
      <c r="Y123">
        <f>Tabla35[[#This Row],[BN DC]]-Tabla34[[#This Row],[BN DC]]</f>
        <v>0</v>
      </c>
      <c r="Z123">
        <f>Tabla35[[#This Row],[COLOR CARTA]]-Tabla34[[#This Row],[COLOR CARTA]]</f>
        <v>0</v>
      </c>
      <c r="AA123">
        <f>Tabla35[[#This Row],[COLOR OFICIO]]-Tabla34[[#This Row],[COLOR OFICIO]]</f>
        <v>0</v>
      </c>
      <c r="AB123">
        <f>Tabla35[[#This Row],[ENVIAR]]-Tabla34[[#This Row],[ENVIAR]]</f>
        <v>181</v>
      </c>
      <c r="AC123">
        <f>Tabla35[[#This Row],[COPIAR]]-Tabla34[[#This Row],[COPIAR]]</f>
        <v>257</v>
      </c>
    </row>
    <row r="124" spans="1:29" x14ac:dyDescent="0.25">
      <c r="A124" t="s">
        <v>10</v>
      </c>
      <c r="B124" t="s">
        <v>170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K124" t="s">
        <v>10</v>
      </c>
      <c r="L124" t="s">
        <v>170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U124" t="s">
        <v>10</v>
      </c>
      <c r="V124" t="s">
        <v>170</v>
      </c>
      <c r="W124">
        <f>Tabla35[[#This Row],[BN CARTA]]-Tabla34[[#This Row],[BN CARTA]]</f>
        <v>0</v>
      </c>
      <c r="X124">
        <f>Tabla35[[#This Row],[BN OFICIO]]-Tabla34[[#This Row],[BN OFICIO]]</f>
        <v>0</v>
      </c>
      <c r="Y124">
        <f>Tabla35[[#This Row],[BN DC]]-Tabla34[[#This Row],[BN DC]]</f>
        <v>0</v>
      </c>
      <c r="Z124">
        <f>Tabla35[[#This Row],[COLOR CARTA]]-Tabla34[[#This Row],[COLOR CARTA]]</f>
        <v>0</v>
      </c>
      <c r="AA124">
        <f>Tabla35[[#This Row],[COLOR OFICIO]]-Tabla34[[#This Row],[COLOR OFICIO]]</f>
        <v>0</v>
      </c>
      <c r="AB124">
        <f>Tabla35[[#This Row],[ENVIAR]]-Tabla34[[#This Row],[ENVIAR]]</f>
        <v>0</v>
      </c>
      <c r="AC124">
        <f>Tabla35[[#This Row],[COPIAR]]-Tabla34[[#This Row],[COPIAR]]</f>
        <v>0</v>
      </c>
    </row>
    <row r="125" spans="1:29" x14ac:dyDescent="0.25">
      <c r="A125" t="s">
        <v>10</v>
      </c>
      <c r="B125" t="s">
        <v>171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K125" t="s">
        <v>512</v>
      </c>
      <c r="L125" t="s">
        <v>171</v>
      </c>
      <c r="M125">
        <v>26</v>
      </c>
      <c r="N125">
        <v>0</v>
      </c>
      <c r="O125">
        <v>0</v>
      </c>
      <c r="P125">
        <v>0</v>
      </c>
      <c r="Q125">
        <v>0</v>
      </c>
      <c r="R125">
        <v>67</v>
      </c>
      <c r="S125">
        <v>1</v>
      </c>
      <c r="U125" t="s">
        <v>512</v>
      </c>
      <c r="V125" t="s">
        <v>171</v>
      </c>
      <c r="W125">
        <f>Tabla35[[#This Row],[BN CARTA]]-Tabla34[[#This Row],[BN CARTA]]</f>
        <v>26</v>
      </c>
      <c r="X125">
        <f>Tabla35[[#This Row],[BN OFICIO]]-Tabla34[[#This Row],[BN OFICIO]]</f>
        <v>0</v>
      </c>
      <c r="Y125">
        <f>Tabla35[[#This Row],[BN DC]]-Tabla34[[#This Row],[BN DC]]</f>
        <v>0</v>
      </c>
      <c r="Z125">
        <f>Tabla35[[#This Row],[COLOR CARTA]]-Tabla34[[#This Row],[COLOR CARTA]]</f>
        <v>0</v>
      </c>
      <c r="AA125">
        <f>Tabla35[[#This Row],[COLOR OFICIO]]-Tabla34[[#This Row],[COLOR OFICIO]]</f>
        <v>0</v>
      </c>
      <c r="AB125">
        <f>Tabla35[[#This Row],[ENVIAR]]-Tabla34[[#This Row],[ENVIAR]]</f>
        <v>67</v>
      </c>
      <c r="AC125">
        <f>Tabla35[[#This Row],[COPIAR]]-Tabla34[[#This Row],[COPIAR]]</f>
        <v>1</v>
      </c>
    </row>
    <row r="126" spans="1:29" x14ac:dyDescent="0.25">
      <c r="A126" t="s">
        <v>10</v>
      </c>
      <c r="B126" t="s">
        <v>172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K126" t="s">
        <v>792</v>
      </c>
      <c r="L126" t="s">
        <v>172</v>
      </c>
      <c r="M126">
        <v>193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174</v>
      </c>
      <c r="U126" t="s">
        <v>792</v>
      </c>
      <c r="V126" t="s">
        <v>172</v>
      </c>
      <c r="W126">
        <f>Tabla35[[#This Row],[BN CARTA]]-Tabla34[[#This Row],[BN CARTA]]</f>
        <v>193</v>
      </c>
      <c r="X126">
        <f>Tabla35[[#This Row],[BN OFICIO]]-Tabla34[[#This Row],[BN OFICIO]]</f>
        <v>1</v>
      </c>
      <c r="Y126">
        <f>Tabla35[[#This Row],[BN DC]]-Tabla34[[#This Row],[BN DC]]</f>
        <v>0</v>
      </c>
      <c r="Z126">
        <f>Tabla35[[#This Row],[COLOR CARTA]]-Tabla34[[#This Row],[COLOR CARTA]]</f>
        <v>0</v>
      </c>
      <c r="AA126">
        <f>Tabla35[[#This Row],[COLOR OFICIO]]-Tabla34[[#This Row],[COLOR OFICIO]]</f>
        <v>0</v>
      </c>
      <c r="AB126">
        <f>Tabla35[[#This Row],[ENVIAR]]-Tabla34[[#This Row],[ENVIAR]]</f>
        <v>0</v>
      </c>
      <c r="AC126">
        <f>Tabla35[[#This Row],[COPIAR]]-Tabla34[[#This Row],[COPIAR]]</f>
        <v>174</v>
      </c>
    </row>
    <row r="127" spans="1:29" x14ac:dyDescent="0.25">
      <c r="A127" t="s">
        <v>10</v>
      </c>
      <c r="B127" t="s">
        <v>173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K127" t="s">
        <v>10</v>
      </c>
      <c r="L127" t="s">
        <v>173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U127" t="s">
        <v>10</v>
      </c>
      <c r="V127" t="s">
        <v>173</v>
      </c>
      <c r="W127">
        <f>Tabla35[[#This Row],[BN CARTA]]-Tabla34[[#This Row],[BN CARTA]]</f>
        <v>0</v>
      </c>
      <c r="X127">
        <f>Tabla35[[#This Row],[BN OFICIO]]-Tabla34[[#This Row],[BN OFICIO]]</f>
        <v>0</v>
      </c>
      <c r="Y127">
        <f>Tabla35[[#This Row],[BN DC]]-Tabla34[[#This Row],[BN DC]]</f>
        <v>0</v>
      </c>
      <c r="Z127">
        <f>Tabla35[[#This Row],[COLOR CARTA]]-Tabla34[[#This Row],[COLOR CARTA]]</f>
        <v>0</v>
      </c>
      <c r="AA127">
        <f>Tabla35[[#This Row],[COLOR OFICIO]]-Tabla34[[#This Row],[COLOR OFICIO]]</f>
        <v>0</v>
      </c>
      <c r="AB127">
        <f>Tabla35[[#This Row],[ENVIAR]]-Tabla34[[#This Row],[ENVIAR]]</f>
        <v>0</v>
      </c>
      <c r="AC127">
        <f>Tabla35[[#This Row],[COPIAR]]-Tabla34[[#This Row],[COPIAR]]</f>
        <v>0</v>
      </c>
    </row>
    <row r="128" spans="1:29" x14ac:dyDescent="0.25">
      <c r="A128" t="s">
        <v>131</v>
      </c>
      <c r="B128" t="s">
        <v>174</v>
      </c>
      <c r="C128">
        <v>14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K128" t="s">
        <v>131</v>
      </c>
      <c r="L128" t="s">
        <v>174</v>
      </c>
      <c r="M128">
        <v>14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U128" t="s">
        <v>131</v>
      </c>
      <c r="V128" t="s">
        <v>174</v>
      </c>
      <c r="W128">
        <f>Tabla35[[#This Row],[BN CARTA]]-Tabla34[[#This Row],[BN CARTA]]</f>
        <v>0</v>
      </c>
      <c r="X128">
        <f>Tabla35[[#This Row],[BN OFICIO]]-Tabla34[[#This Row],[BN OFICIO]]</f>
        <v>0</v>
      </c>
      <c r="Y128">
        <f>Tabla35[[#This Row],[BN DC]]-Tabla34[[#This Row],[BN DC]]</f>
        <v>0</v>
      </c>
      <c r="Z128">
        <f>Tabla35[[#This Row],[COLOR CARTA]]-Tabla34[[#This Row],[COLOR CARTA]]</f>
        <v>0</v>
      </c>
      <c r="AA128">
        <f>Tabla35[[#This Row],[COLOR OFICIO]]-Tabla34[[#This Row],[COLOR OFICIO]]</f>
        <v>0</v>
      </c>
      <c r="AB128">
        <f>Tabla35[[#This Row],[ENVIAR]]-Tabla34[[#This Row],[ENVIAR]]</f>
        <v>0</v>
      </c>
      <c r="AC128">
        <f>Tabla35[[#This Row],[COPIAR]]-Tabla34[[#This Row],[COPIAR]]</f>
        <v>0</v>
      </c>
    </row>
    <row r="129" spans="1:29" x14ac:dyDescent="0.25">
      <c r="A129" t="s">
        <v>10</v>
      </c>
      <c r="B129" t="s">
        <v>175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K129" t="s">
        <v>10</v>
      </c>
      <c r="L129" t="s">
        <v>175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U129" t="s">
        <v>10</v>
      </c>
      <c r="V129" t="s">
        <v>175</v>
      </c>
      <c r="W129">
        <f>Tabla35[[#This Row],[BN CARTA]]-Tabla34[[#This Row],[BN CARTA]]</f>
        <v>0</v>
      </c>
      <c r="X129">
        <f>Tabla35[[#This Row],[BN OFICIO]]-Tabla34[[#This Row],[BN OFICIO]]</f>
        <v>0</v>
      </c>
      <c r="Y129">
        <f>Tabla35[[#This Row],[BN DC]]-Tabla34[[#This Row],[BN DC]]</f>
        <v>0</v>
      </c>
      <c r="Z129">
        <f>Tabla35[[#This Row],[COLOR CARTA]]-Tabla34[[#This Row],[COLOR CARTA]]</f>
        <v>0</v>
      </c>
      <c r="AA129">
        <f>Tabla35[[#This Row],[COLOR OFICIO]]-Tabla34[[#This Row],[COLOR OFICIO]]</f>
        <v>0</v>
      </c>
      <c r="AB129">
        <f>Tabla35[[#This Row],[ENVIAR]]-Tabla34[[#This Row],[ENVIAR]]</f>
        <v>0</v>
      </c>
      <c r="AC129">
        <f>Tabla35[[#This Row],[COPIAR]]-Tabla34[[#This Row],[COPIAR]]</f>
        <v>0</v>
      </c>
    </row>
    <row r="130" spans="1:29" x14ac:dyDescent="0.25">
      <c r="A130" t="s">
        <v>10</v>
      </c>
      <c r="B130" t="s">
        <v>176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K130" t="s">
        <v>794</v>
      </c>
      <c r="L130" t="s">
        <v>176</v>
      </c>
      <c r="M130">
        <v>14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U130" t="s">
        <v>794</v>
      </c>
      <c r="V130" t="s">
        <v>176</v>
      </c>
      <c r="W130">
        <f>Tabla35[[#This Row],[BN CARTA]]-Tabla34[[#This Row],[BN CARTA]]</f>
        <v>14</v>
      </c>
      <c r="X130">
        <f>Tabla35[[#This Row],[BN OFICIO]]-Tabla34[[#This Row],[BN OFICIO]]</f>
        <v>0</v>
      </c>
      <c r="Y130">
        <f>Tabla35[[#This Row],[BN DC]]-Tabla34[[#This Row],[BN DC]]</f>
        <v>0</v>
      </c>
      <c r="Z130">
        <f>Tabla35[[#This Row],[COLOR CARTA]]-Tabla34[[#This Row],[COLOR CARTA]]</f>
        <v>0</v>
      </c>
      <c r="AA130">
        <f>Tabla35[[#This Row],[COLOR OFICIO]]-Tabla34[[#This Row],[COLOR OFICIO]]</f>
        <v>0</v>
      </c>
      <c r="AB130">
        <f>Tabla35[[#This Row],[ENVIAR]]-Tabla34[[#This Row],[ENVIAR]]</f>
        <v>0</v>
      </c>
      <c r="AC130">
        <f>Tabla35[[#This Row],[COPIAR]]-Tabla34[[#This Row],[COPIAR]]</f>
        <v>0</v>
      </c>
    </row>
    <row r="131" spans="1:29" x14ac:dyDescent="0.25">
      <c r="A131" t="s">
        <v>10</v>
      </c>
      <c r="B131" t="s">
        <v>177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K131" t="s">
        <v>10</v>
      </c>
      <c r="L131" t="s">
        <v>177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U131" t="s">
        <v>10</v>
      </c>
      <c r="V131" t="s">
        <v>177</v>
      </c>
      <c r="W131">
        <f>Tabla35[[#This Row],[BN CARTA]]-Tabla34[[#This Row],[BN CARTA]]</f>
        <v>0</v>
      </c>
      <c r="X131">
        <f>Tabla35[[#This Row],[BN OFICIO]]-Tabla34[[#This Row],[BN OFICIO]]</f>
        <v>0</v>
      </c>
      <c r="Y131">
        <f>Tabla35[[#This Row],[BN DC]]-Tabla34[[#This Row],[BN DC]]</f>
        <v>0</v>
      </c>
      <c r="Z131">
        <f>Tabla35[[#This Row],[COLOR CARTA]]-Tabla34[[#This Row],[COLOR CARTA]]</f>
        <v>0</v>
      </c>
      <c r="AA131">
        <f>Tabla35[[#This Row],[COLOR OFICIO]]-Tabla34[[#This Row],[COLOR OFICIO]]</f>
        <v>0</v>
      </c>
      <c r="AB131">
        <f>Tabla35[[#This Row],[ENVIAR]]-Tabla34[[#This Row],[ENVIAR]]</f>
        <v>0</v>
      </c>
      <c r="AC131">
        <f>Tabla35[[#This Row],[COPIAR]]-Tabla34[[#This Row],[COPIAR]]</f>
        <v>0</v>
      </c>
    </row>
    <row r="132" spans="1:29" x14ac:dyDescent="0.25">
      <c r="A132" t="s">
        <v>83</v>
      </c>
      <c r="B132" t="s">
        <v>178</v>
      </c>
      <c r="C132">
        <v>635</v>
      </c>
      <c r="D132">
        <v>2</v>
      </c>
      <c r="E132">
        <v>0</v>
      </c>
      <c r="F132">
        <v>0</v>
      </c>
      <c r="G132">
        <v>0</v>
      </c>
      <c r="H132">
        <v>582</v>
      </c>
      <c r="I132">
        <v>131</v>
      </c>
      <c r="K132" t="s">
        <v>83</v>
      </c>
      <c r="L132" t="s">
        <v>178</v>
      </c>
      <c r="M132">
        <v>635</v>
      </c>
      <c r="N132">
        <v>2</v>
      </c>
      <c r="O132">
        <v>0</v>
      </c>
      <c r="P132">
        <v>0</v>
      </c>
      <c r="Q132">
        <v>0</v>
      </c>
      <c r="R132">
        <v>582</v>
      </c>
      <c r="S132">
        <v>131</v>
      </c>
      <c r="U132" t="s">
        <v>83</v>
      </c>
      <c r="V132" t="s">
        <v>178</v>
      </c>
      <c r="W132">
        <f>Tabla35[[#This Row],[BN CARTA]]-Tabla34[[#This Row],[BN CARTA]]</f>
        <v>0</v>
      </c>
      <c r="X132">
        <f>Tabla35[[#This Row],[BN OFICIO]]-Tabla34[[#This Row],[BN OFICIO]]</f>
        <v>0</v>
      </c>
      <c r="Y132">
        <f>Tabla35[[#This Row],[BN DC]]-Tabla34[[#This Row],[BN DC]]</f>
        <v>0</v>
      </c>
      <c r="Z132">
        <f>Tabla35[[#This Row],[COLOR CARTA]]-Tabla34[[#This Row],[COLOR CARTA]]</f>
        <v>0</v>
      </c>
      <c r="AA132">
        <f>Tabla35[[#This Row],[COLOR OFICIO]]-Tabla34[[#This Row],[COLOR OFICIO]]</f>
        <v>0</v>
      </c>
      <c r="AB132">
        <f>Tabla35[[#This Row],[ENVIAR]]-Tabla34[[#This Row],[ENVIAR]]</f>
        <v>0</v>
      </c>
      <c r="AC132">
        <f>Tabla35[[#This Row],[COPIAR]]-Tabla34[[#This Row],[COPIAR]]</f>
        <v>0</v>
      </c>
    </row>
    <row r="133" spans="1:29" x14ac:dyDescent="0.25">
      <c r="A133" t="s">
        <v>10</v>
      </c>
      <c r="B133" t="s">
        <v>179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K133" t="s">
        <v>796</v>
      </c>
      <c r="L133" t="s">
        <v>179</v>
      </c>
      <c r="M133">
        <v>1107</v>
      </c>
      <c r="N133">
        <v>4</v>
      </c>
      <c r="O133">
        <v>0</v>
      </c>
      <c r="P133">
        <v>0</v>
      </c>
      <c r="Q133">
        <v>0</v>
      </c>
      <c r="R133">
        <v>3898</v>
      </c>
      <c r="S133">
        <v>377</v>
      </c>
      <c r="U133" t="s">
        <v>796</v>
      </c>
      <c r="V133" t="s">
        <v>179</v>
      </c>
      <c r="W133">
        <f>Tabla35[[#This Row],[BN CARTA]]-Tabla34[[#This Row],[BN CARTA]]</f>
        <v>1107</v>
      </c>
      <c r="X133">
        <f>Tabla35[[#This Row],[BN OFICIO]]-Tabla34[[#This Row],[BN OFICIO]]</f>
        <v>4</v>
      </c>
      <c r="Y133">
        <f>Tabla35[[#This Row],[BN DC]]-Tabla34[[#This Row],[BN DC]]</f>
        <v>0</v>
      </c>
      <c r="Z133">
        <f>Tabla35[[#This Row],[COLOR CARTA]]-Tabla34[[#This Row],[COLOR CARTA]]</f>
        <v>0</v>
      </c>
      <c r="AA133">
        <f>Tabla35[[#This Row],[COLOR OFICIO]]-Tabla34[[#This Row],[COLOR OFICIO]]</f>
        <v>0</v>
      </c>
      <c r="AB133">
        <f>Tabla35[[#This Row],[ENVIAR]]-Tabla34[[#This Row],[ENVIAR]]</f>
        <v>3898</v>
      </c>
      <c r="AC133">
        <f>Tabla35[[#This Row],[COPIAR]]-Tabla34[[#This Row],[COPIAR]]</f>
        <v>377</v>
      </c>
    </row>
    <row r="134" spans="1:29" x14ac:dyDescent="0.25">
      <c r="A134" t="s">
        <v>10</v>
      </c>
      <c r="B134" t="s">
        <v>180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K134" t="s">
        <v>795</v>
      </c>
      <c r="L134" t="s">
        <v>180</v>
      </c>
      <c r="M134">
        <v>9978</v>
      </c>
      <c r="N134">
        <v>0</v>
      </c>
      <c r="O134">
        <v>0</v>
      </c>
      <c r="P134">
        <v>0</v>
      </c>
      <c r="Q134">
        <v>0</v>
      </c>
      <c r="R134">
        <v>2865</v>
      </c>
      <c r="S134">
        <v>1909</v>
      </c>
      <c r="U134" t="s">
        <v>795</v>
      </c>
      <c r="V134" t="s">
        <v>180</v>
      </c>
      <c r="W134">
        <f>Tabla35[[#This Row],[BN CARTA]]-Tabla34[[#This Row],[BN CARTA]]</f>
        <v>9978</v>
      </c>
      <c r="X134">
        <f>Tabla35[[#This Row],[BN OFICIO]]-Tabla34[[#This Row],[BN OFICIO]]</f>
        <v>0</v>
      </c>
      <c r="Y134">
        <f>Tabla35[[#This Row],[BN DC]]-Tabla34[[#This Row],[BN DC]]</f>
        <v>0</v>
      </c>
      <c r="Z134">
        <f>Tabla35[[#This Row],[COLOR CARTA]]-Tabla34[[#This Row],[COLOR CARTA]]</f>
        <v>0</v>
      </c>
      <c r="AA134">
        <f>Tabla35[[#This Row],[COLOR OFICIO]]-Tabla34[[#This Row],[COLOR OFICIO]]</f>
        <v>0</v>
      </c>
      <c r="AB134">
        <f>Tabla35[[#This Row],[ENVIAR]]-Tabla34[[#This Row],[ENVIAR]]</f>
        <v>2865</v>
      </c>
      <c r="AC134">
        <f>Tabla35[[#This Row],[COPIAR]]-Tabla34[[#This Row],[COPIAR]]</f>
        <v>1909</v>
      </c>
    </row>
    <row r="135" spans="1:29" x14ac:dyDescent="0.25">
      <c r="A135" t="s">
        <v>10</v>
      </c>
      <c r="B135" t="s">
        <v>181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K135" t="s">
        <v>791</v>
      </c>
      <c r="L135" t="s">
        <v>181</v>
      </c>
      <c r="M135">
        <v>37</v>
      </c>
      <c r="N135">
        <v>0</v>
      </c>
      <c r="O135">
        <v>0</v>
      </c>
      <c r="P135">
        <v>0</v>
      </c>
      <c r="Q135">
        <v>0</v>
      </c>
      <c r="R135">
        <v>10</v>
      </c>
      <c r="S135">
        <v>19</v>
      </c>
      <c r="U135" t="s">
        <v>791</v>
      </c>
      <c r="V135" t="s">
        <v>181</v>
      </c>
      <c r="W135">
        <f>Tabla35[[#This Row],[BN CARTA]]-Tabla34[[#This Row],[BN CARTA]]</f>
        <v>37</v>
      </c>
      <c r="X135">
        <f>Tabla35[[#This Row],[BN OFICIO]]-Tabla34[[#This Row],[BN OFICIO]]</f>
        <v>0</v>
      </c>
      <c r="Y135">
        <f>Tabla35[[#This Row],[BN DC]]-Tabla34[[#This Row],[BN DC]]</f>
        <v>0</v>
      </c>
      <c r="Z135">
        <f>Tabla35[[#This Row],[COLOR CARTA]]-Tabla34[[#This Row],[COLOR CARTA]]</f>
        <v>0</v>
      </c>
      <c r="AA135">
        <f>Tabla35[[#This Row],[COLOR OFICIO]]-Tabla34[[#This Row],[COLOR OFICIO]]</f>
        <v>0</v>
      </c>
      <c r="AB135">
        <f>Tabla35[[#This Row],[ENVIAR]]-Tabla34[[#This Row],[ENVIAR]]</f>
        <v>10</v>
      </c>
      <c r="AC135">
        <f>Tabla35[[#This Row],[COPIAR]]-Tabla34[[#This Row],[COPIAR]]</f>
        <v>19</v>
      </c>
    </row>
    <row r="136" spans="1:29" x14ac:dyDescent="0.25">
      <c r="A136" t="s">
        <v>83</v>
      </c>
      <c r="B136" t="s">
        <v>182</v>
      </c>
      <c r="C136">
        <v>1184</v>
      </c>
      <c r="D136">
        <v>0</v>
      </c>
      <c r="E136">
        <v>0</v>
      </c>
      <c r="F136">
        <v>0</v>
      </c>
      <c r="G136">
        <v>0</v>
      </c>
      <c r="H136">
        <v>94</v>
      </c>
      <c r="I136">
        <v>136</v>
      </c>
      <c r="K136" t="s">
        <v>83</v>
      </c>
      <c r="L136" t="s">
        <v>182</v>
      </c>
      <c r="M136">
        <v>1184</v>
      </c>
      <c r="N136">
        <v>0</v>
      </c>
      <c r="O136">
        <v>0</v>
      </c>
      <c r="P136">
        <v>0</v>
      </c>
      <c r="Q136">
        <v>0</v>
      </c>
      <c r="R136">
        <v>94</v>
      </c>
      <c r="S136">
        <v>136</v>
      </c>
      <c r="U136" t="s">
        <v>83</v>
      </c>
      <c r="V136" t="s">
        <v>182</v>
      </c>
      <c r="W136">
        <f>Tabla35[[#This Row],[BN CARTA]]-Tabla34[[#This Row],[BN CARTA]]</f>
        <v>0</v>
      </c>
      <c r="X136">
        <f>Tabla35[[#This Row],[BN OFICIO]]-Tabla34[[#This Row],[BN OFICIO]]</f>
        <v>0</v>
      </c>
      <c r="Y136">
        <f>Tabla35[[#This Row],[BN DC]]-Tabla34[[#This Row],[BN DC]]</f>
        <v>0</v>
      </c>
      <c r="Z136">
        <f>Tabla35[[#This Row],[COLOR CARTA]]-Tabla34[[#This Row],[COLOR CARTA]]</f>
        <v>0</v>
      </c>
      <c r="AA136">
        <f>Tabla35[[#This Row],[COLOR OFICIO]]-Tabla34[[#This Row],[COLOR OFICIO]]</f>
        <v>0</v>
      </c>
      <c r="AB136">
        <f>Tabla35[[#This Row],[ENVIAR]]-Tabla34[[#This Row],[ENVIAR]]</f>
        <v>0</v>
      </c>
      <c r="AC136">
        <f>Tabla35[[#This Row],[COPIAR]]-Tabla34[[#This Row],[COPIAR]]</f>
        <v>0</v>
      </c>
    </row>
    <row r="137" spans="1:29" x14ac:dyDescent="0.25">
      <c r="A137" t="s">
        <v>10</v>
      </c>
      <c r="B137" t="s">
        <v>183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K137" t="s">
        <v>10</v>
      </c>
      <c r="L137" t="s">
        <v>183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U137" t="s">
        <v>10</v>
      </c>
      <c r="V137" t="s">
        <v>183</v>
      </c>
      <c r="W137">
        <f>Tabla35[[#This Row],[BN CARTA]]-Tabla34[[#This Row],[BN CARTA]]</f>
        <v>0</v>
      </c>
      <c r="X137">
        <f>Tabla35[[#This Row],[BN OFICIO]]-Tabla34[[#This Row],[BN OFICIO]]</f>
        <v>0</v>
      </c>
      <c r="Y137">
        <f>Tabla35[[#This Row],[BN DC]]-Tabla34[[#This Row],[BN DC]]</f>
        <v>0</v>
      </c>
      <c r="Z137">
        <f>Tabla35[[#This Row],[COLOR CARTA]]-Tabla34[[#This Row],[COLOR CARTA]]</f>
        <v>0</v>
      </c>
      <c r="AA137">
        <f>Tabla35[[#This Row],[COLOR OFICIO]]-Tabla34[[#This Row],[COLOR OFICIO]]</f>
        <v>0</v>
      </c>
      <c r="AB137">
        <f>Tabla35[[#This Row],[ENVIAR]]-Tabla34[[#This Row],[ENVIAR]]</f>
        <v>0</v>
      </c>
      <c r="AC137">
        <f>Tabla35[[#This Row],[COPIAR]]-Tabla34[[#This Row],[COPIAR]]</f>
        <v>0</v>
      </c>
    </row>
    <row r="138" spans="1:29" x14ac:dyDescent="0.25">
      <c r="A138" t="s">
        <v>67</v>
      </c>
      <c r="B138" t="s">
        <v>184</v>
      </c>
      <c r="C138">
        <v>199</v>
      </c>
      <c r="D138">
        <v>0</v>
      </c>
      <c r="E138">
        <v>0</v>
      </c>
      <c r="F138">
        <v>0</v>
      </c>
      <c r="G138">
        <v>0</v>
      </c>
      <c r="H138">
        <v>109</v>
      </c>
      <c r="I138">
        <v>23</v>
      </c>
      <c r="K138" t="s">
        <v>67</v>
      </c>
      <c r="L138" t="s">
        <v>184</v>
      </c>
      <c r="M138">
        <v>199</v>
      </c>
      <c r="N138">
        <v>0</v>
      </c>
      <c r="O138">
        <v>0</v>
      </c>
      <c r="P138">
        <v>0</v>
      </c>
      <c r="Q138">
        <v>0</v>
      </c>
      <c r="R138">
        <v>109</v>
      </c>
      <c r="S138">
        <v>23</v>
      </c>
      <c r="U138" t="s">
        <v>67</v>
      </c>
      <c r="V138" t="s">
        <v>184</v>
      </c>
      <c r="W138">
        <f>Tabla35[[#This Row],[BN CARTA]]-Tabla34[[#This Row],[BN CARTA]]</f>
        <v>0</v>
      </c>
      <c r="X138">
        <f>Tabla35[[#This Row],[BN OFICIO]]-Tabla34[[#This Row],[BN OFICIO]]</f>
        <v>0</v>
      </c>
      <c r="Y138">
        <f>Tabla35[[#This Row],[BN DC]]-Tabla34[[#This Row],[BN DC]]</f>
        <v>0</v>
      </c>
      <c r="Z138">
        <f>Tabla35[[#This Row],[COLOR CARTA]]-Tabla34[[#This Row],[COLOR CARTA]]</f>
        <v>0</v>
      </c>
      <c r="AA138">
        <f>Tabla35[[#This Row],[COLOR OFICIO]]-Tabla34[[#This Row],[COLOR OFICIO]]</f>
        <v>0</v>
      </c>
      <c r="AB138">
        <f>Tabla35[[#This Row],[ENVIAR]]-Tabla34[[#This Row],[ENVIAR]]</f>
        <v>0</v>
      </c>
      <c r="AC138">
        <f>Tabla35[[#This Row],[COPIAR]]-Tabla34[[#This Row],[COPIAR]]</f>
        <v>0</v>
      </c>
    </row>
    <row r="139" spans="1:29" x14ac:dyDescent="0.25">
      <c r="A139" t="s">
        <v>185</v>
      </c>
      <c r="B139" t="s">
        <v>186</v>
      </c>
      <c r="C139">
        <v>1354</v>
      </c>
      <c r="D139">
        <v>0</v>
      </c>
      <c r="E139">
        <v>0</v>
      </c>
      <c r="F139">
        <v>0</v>
      </c>
      <c r="G139">
        <v>0</v>
      </c>
      <c r="H139">
        <v>651</v>
      </c>
      <c r="I139">
        <v>62</v>
      </c>
      <c r="K139" t="s">
        <v>185</v>
      </c>
      <c r="L139" t="s">
        <v>186</v>
      </c>
      <c r="M139">
        <v>2477</v>
      </c>
      <c r="N139">
        <v>0</v>
      </c>
      <c r="O139">
        <v>0</v>
      </c>
      <c r="P139">
        <v>0</v>
      </c>
      <c r="Q139">
        <v>0</v>
      </c>
      <c r="R139">
        <v>990</v>
      </c>
      <c r="S139">
        <v>158</v>
      </c>
      <c r="U139" t="s">
        <v>185</v>
      </c>
      <c r="V139" t="s">
        <v>186</v>
      </c>
      <c r="W139">
        <f>Tabla35[[#This Row],[BN CARTA]]-Tabla34[[#This Row],[BN CARTA]]</f>
        <v>1123</v>
      </c>
      <c r="X139">
        <f>Tabla35[[#This Row],[BN OFICIO]]-Tabla34[[#This Row],[BN OFICIO]]</f>
        <v>0</v>
      </c>
      <c r="Y139">
        <f>Tabla35[[#This Row],[BN DC]]-Tabla34[[#This Row],[BN DC]]</f>
        <v>0</v>
      </c>
      <c r="Z139">
        <f>Tabla35[[#This Row],[COLOR CARTA]]-Tabla34[[#This Row],[COLOR CARTA]]</f>
        <v>0</v>
      </c>
      <c r="AA139">
        <f>Tabla35[[#This Row],[COLOR OFICIO]]-Tabla34[[#This Row],[COLOR OFICIO]]</f>
        <v>0</v>
      </c>
      <c r="AB139">
        <f>Tabla35[[#This Row],[ENVIAR]]-Tabla34[[#This Row],[ENVIAR]]</f>
        <v>339</v>
      </c>
      <c r="AC139">
        <f>Tabla35[[#This Row],[COPIAR]]-Tabla34[[#This Row],[COPIAR]]</f>
        <v>96</v>
      </c>
    </row>
    <row r="140" spans="1:29" x14ac:dyDescent="0.25">
      <c r="A140" t="s">
        <v>10</v>
      </c>
      <c r="B140" t="s">
        <v>187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K140" t="s">
        <v>512</v>
      </c>
      <c r="L140" t="s">
        <v>187</v>
      </c>
      <c r="M140">
        <v>1726</v>
      </c>
      <c r="N140">
        <v>0</v>
      </c>
      <c r="O140">
        <v>0</v>
      </c>
      <c r="P140">
        <v>0</v>
      </c>
      <c r="Q140">
        <v>0</v>
      </c>
      <c r="R140">
        <v>499</v>
      </c>
      <c r="S140">
        <v>313</v>
      </c>
      <c r="U140" t="s">
        <v>512</v>
      </c>
      <c r="V140" t="s">
        <v>187</v>
      </c>
      <c r="W140">
        <f>Tabla35[[#This Row],[BN CARTA]]-Tabla34[[#This Row],[BN CARTA]]</f>
        <v>1726</v>
      </c>
      <c r="X140">
        <f>Tabla35[[#This Row],[BN OFICIO]]-Tabla34[[#This Row],[BN OFICIO]]</f>
        <v>0</v>
      </c>
      <c r="Y140">
        <f>Tabla35[[#This Row],[BN DC]]-Tabla34[[#This Row],[BN DC]]</f>
        <v>0</v>
      </c>
      <c r="Z140">
        <f>Tabla35[[#This Row],[COLOR CARTA]]-Tabla34[[#This Row],[COLOR CARTA]]</f>
        <v>0</v>
      </c>
      <c r="AA140">
        <f>Tabla35[[#This Row],[COLOR OFICIO]]-Tabla34[[#This Row],[COLOR OFICIO]]</f>
        <v>0</v>
      </c>
      <c r="AB140">
        <f>Tabla35[[#This Row],[ENVIAR]]-Tabla34[[#This Row],[ENVIAR]]</f>
        <v>499</v>
      </c>
      <c r="AC140">
        <f>Tabla35[[#This Row],[COPIAR]]-Tabla34[[#This Row],[COPIAR]]</f>
        <v>313</v>
      </c>
    </row>
    <row r="141" spans="1:29" x14ac:dyDescent="0.25">
      <c r="A141" t="s">
        <v>188</v>
      </c>
      <c r="B141" t="s">
        <v>189</v>
      </c>
      <c r="C141">
        <v>2463</v>
      </c>
      <c r="D141">
        <v>1</v>
      </c>
      <c r="E141">
        <v>0</v>
      </c>
      <c r="F141">
        <v>0</v>
      </c>
      <c r="G141">
        <v>0</v>
      </c>
      <c r="H141">
        <v>76</v>
      </c>
      <c r="I141">
        <v>119</v>
      </c>
      <c r="K141" t="s">
        <v>188</v>
      </c>
      <c r="L141" t="s">
        <v>189</v>
      </c>
      <c r="M141">
        <v>2463</v>
      </c>
      <c r="N141">
        <v>1</v>
      </c>
      <c r="O141">
        <v>0</v>
      </c>
      <c r="P141">
        <v>0</v>
      </c>
      <c r="Q141">
        <v>0</v>
      </c>
      <c r="R141">
        <v>76</v>
      </c>
      <c r="S141">
        <v>119</v>
      </c>
      <c r="U141" t="s">
        <v>188</v>
      </c>
      <c r="V141" t="s">
        <v>189</v>
      </c>
      <c r="W141">
        <f>Tabla35[[#This Row],[BN CARTA]]-Tabla34[[#This Row],[BN CARTA]]</f>
        <v>0</v>
      </c>
      <c r="X141">
        <f>Tabla35[[#This Row],[BN OFICIO]]-Tabla34[[#This Row],[BN OFICIO]]</f>
        <v>0</v>
      </c>
      <c r="Y141">
        <f>Tabla35[[#This Row],[BN DC]]-Tabla34[[#This Row],[BN DC]]</f>
        <v>0</v>
      </c>
      <c r="Z141">
        <f>Tabla35[[#This Row],[COLOR CARTA]]-Tabla34[[#This Row],[COLOR CARTA]]</f>
        <v>0</v>
      </c>
      <c r="AA141">
        <f>Tabla35[[#This Row],[COLOR OFICIO]]-Tabla34[[#This Row],[COLOR OFICIO]]</f>
        <v>0</v>
      </c>
      <c r="AB141">
        <f>Tabla35[[#This Row],[ENVIAR]]-Tabla34[[#This Row],[ENVIAR]]</f>
        <v>0</v>
      </c>
      <c r="AC141">
        <f>Tabla35[[#This Row],[COPIAR]]-Tabla34[[#This Row],[COPIAR]]</f>
        <v>0</v>
      </c>
    </row>
    <row r="142" spans="1:29" x14ac:dyDescent="0.25">
      <c r="A142" t="s">
        <v>83</v>
      </c>
      <c r="B142" t="s">
        <v>190</v>
      </c>
      <c r="C142">
        <v>824</v>
      </c>
      <c r="D142">
        <v>0</v>
      </c>
      <c r="E142">
        <v>0</v>
      </c>
      <c r="F142">
        <v>0</v>
      </c>
      <c r="G142">
        <v>0</v>
      </c>
      <c r="H142">
        <v>141</v>
      </c>
      <c r="I142">
        <v>5</v>
      </c>
      <c r="K142" t="s">
        <v>83</v>
      </c>
      <c r="L142" t="s">
        <v>190</v>
      </c>
      <c r="M142">
        <v>824</v>
      </c>
      <c r="N142">
        <v>0</v>
      </c>
      <c r="O142">
        <v>0</v>
      </c>
      <c r="P142">
        <v>0</v>
      </c>
      <c r="Q142">
        <v>0</v>
      </c>
      <c r="R142">
        <v>141</v>
      </c>
      <c r="S142">
        <v>5</v>
      </c>
      <c r="U142" t="s">
        <v>83</v>
      </c>
      <c r="V142" t="s">
        <v>190</v>
      </c>
      <c r="W142">
        <f>Tabla35[[#This Row],[BN CARTA]]-Tabla34[[#This Row],[BN CARTA]]</f>
        <v>0</v>
      </c>
      <c r="X142">
        <f>Tabla35[[#This Row],[BN OFICIO]]-Tabla34[[#This Row],[BN OFICIO]]</f>
        <v>0</v>
      </c>
      <c r="Y142">
        <f>Tabla35[[#This Row],[BN DC]]-Tabla34[[#This Row],[BN DC]]</f>
        <v>0</v>
      </c>
      <c r="Z142">
        <f>Tabla35[[#This Row],[COLOR CARTA]]-Tabla34[[#This Row],[COLOR CARTA]]</f>
        <v>0</v>
      </c>
      <c r="AA142">
        <f>Tabla35[[#This Row],[COLOR OFICIO]]-Tabla34[[#This Row],[COLOR OFICIO]]</f>
        <v>0</v>
      </c>
      <c r="AB142">
        <f>Tabla35[[#This Row],[ENVIAR]]-Tabla34[[#This Row],[ENVIAR]]</f>
        <v>0</v>
      </c>
      <c r="AC142">
        <f>Tabla35[[#This Row],[COPIAR]]-Tabla34[[#This Row],[COPIAR]]</f>
        <v>0</v>
      </c>
    </row>
    <row r="143" spans="1:29" x14ac:dyDescent="0.25">
      <c r="A143" t="s">
        <v>76</v>
      </c>
      <c r="B143" t="s">
        <v>191</v>
      </c>
      <c r="C143">
        <v>2004</v>
      </c>
      <c r="D143">
        <v>0</v>
      </c>
      <c r="E143">
        <v>0</v>
      </c>
      <c r="F143">
        <v>0</v>
      </c>
      <c r="G143">
        <v>0</v>
      </c>
      <c r="H143">
        <v>14</v>
      </c>
      <c r="I143">
        <v>341</v>
      </c>
      <c r="K143" t="s">
        <v>76</v>
      </c>
      <c r="L143" t="s">
        <v>191</v>
      </c>
      <c r="M143">
        <v>5484</v>
      </c>
      <c r="N143">
        <v>0</v>
      </c>
      <c r="O143">
        <v>0</v>
      </c>
      <c r="P143">
        <v>0</v>
      </c>
      <c r="Q143">
        <v>0</v>
      </c>
      <c r="R143">
        <v>48</v>
      </c>
      <c r="S143">
        <v>843</v>
      </c>
      <c r="U143" t="s">
        <v>76</v>
      </c>
      <c r="V143" t="s">
        <v>191</v>
      </c>
      <c r="W143">
        <f>Tabla35[[#This Row],[BN CARTA]]-Tabla34[[#This Row],[BN CARTA]]</f>
        <v>3480</v>
      </c>
      <c r="X143">
        <f>Tabla35[[#This Row],[BN OFICIO]]-Tabla34[[#This Row],[BN OFICIO]]</f>
        <v>0</v>
      </c>
      <c r="Y143">
        <f>Tabla35[[#This Row],[BN DC]]-Tabla34[[#This Row],[BN DC]]</f>
        <v>0</v>
      </c>
      <c r="Z143">
        <f>Tabla35[[#This Row],[COLOR CARTA]]-Tabla34[[#This Row],[COLOR CARTA]]</f>
        <v>0</v>
      </c>
      <c r="AA143">
        <f>Tabla35[[#This Row],[COLOR OFICIO]]-Tabla34[[#This Row],[COLOR OFICIO]]</f>
        <v>0</v>
      </c>
      <c r="AB143">
        <f>Tabla35[[#This Row],[ENVIAR]]-Tabla34[[#This Row],[ENVIAR]]</f>
        <v>34</v>
      </c>
      <c r="AC143">
        <f>Tabla35[[#This Row],[COPIAR]]-Tabla34[[#This Row],[COPIAR]]</f>
        <v>502</v>
      </c>
    </row>
    <row r="144" spans="1:29" x14ac:dyDescent="0.25">
      <c r="A144" t="s">
        <v>101</v>
      </c>
      <c r="B144" t="s">
        <v>192</v>
      </c>
      <c r="C144">
        <v>1447</v>
      </c>
      <c r="D144">
        <v>0</v>
      </c>
      <c r="E144">
        <v>0</v>
      </c>
      <c r="F144">
        <v>0</v>
      </c>
      <c r="G144">
        <v>0</v>
      </c>
      <c r="H144">
        <v>472</v>
      </c>
      <c r="I144">
        <v>175</v>
      </c>
      <c r="K144" t="s">
        <v>101</v>
      </c>
      <c r="L144" t="s">
        <v>192</v>
      </c>
      <c r="M144">
        <v>1447</v>
      </c>
      <c r="N144">
        <v>0</v>
      </c>
      <c r="O144">
        <v>0</v>
      </c>
      <c r="P144">
        <v>0</v>
      </c>
      <c r="Q144">
        <v>0</v>
      </c>
      <c r="R144">
        <v>472</v>
      </c>
      <c r="S144">
        <v>175</v>
      </c>
      <c r="U144" t="s">
        <v>101</v>
      </c>
      <c r="V144" t="s">
        <v>192</v>
      </c>
      <c r="W144">
        <f>Tabla35[[#This Row],[BN CARTA]]-Tabla34[[#This Row],[BN CARTA]]</f>
        <v>0</v>
      </c>
      <c r="X144">
        <f>Tabla35[[#This Row],[BN OFICIO]]-Tabla34[[#This Row],[BN OFICIO]]</f>
        <v>0</v>
      </c>
      <c r="Y144">
        <f>Tabla35[[#This Row],[BN DC]]-Tabla34[[#This Row],[BN DC]]</f>
        <v>0</v>
      </c>
      <c r="Z144">
        <f>Tabla35[[#This Row],[COLOR CARTA]]-Tabla34[[#This Row],[COLOR CARTA]]</f>
        <v>0</v>
      </c>
      <c r="AA144">
        <f>Tabla35[[#This Row],[COLOR OFICIO]]-Tabla34[[#This Row],[COLOR OFICIO]]</f>
        <v>0</v>
      </c>
      <c r="AB144">
        <f>Tabla35[[#This Row],[ENVIAR]]-Tabla34[[#This Row],[ENVIAR]]</f>
        <v>0</v>
      </c>
      <c r="AC144">
        <f>Tabla35[[#This Row],[COPIAR]]-Tabla34[[#This Row],[COPIAR]]</f>
        <v>0</v>
      </c>
    </row>
    <row r="145" spans="1:29" x14ac:dyDescent="0.25">
      <c r="A145" t="s">
        <v>10</v>
      </c>
      <c r="B145" t="s">
        <v>193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K145" t="s">
        <v>10</v>
      </c>
      <c r="L145" t="s">
        <v>193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 t="s">
        <v>10</v>
      </c>
      <c r="V145" t="s">
        <v>193</v>
      </c>
      <c r="W145">
        <f>Tabla35[[#This Row],[BN CARTA]]-Tabla34[[#This Row],[BN CARTA]]</f>
        <v>0</v>
      </c>
      <c r="X145">
        <f>Tabla35[[#This Row],[BN OFICIO]]-Tabla34[[#This Row],[BN OFICIO]]</f>
        <v>0</v>
      </c>
      <c r="Y145">
        <f>Tabla35[[#This Row],[BN DC]]-Tabla34[[#This Row],[BN DC]]</f>
        <v>0</v>
      </c>
      <c r="Z145">
        <f>Tabla35[[#This Row],[COLOR CARTA]]-Tabla34[[#This Row],[COLOR CARTA]]</f>
        <v>0</v>
      </c>
      <c r="AA145">
        <f>Tabla35[[#This Row],[COLOR OFICIO]]-Tabla34[[#This Row],[COLOR OFICIO]]</f>
        <v>0</v>
      </c>
      <c r="AB145">
        <f>Tabla35[[#This Row],[ENVIAR]]-Tabla34[[#This Row],[ENVIAR]]</f>
        <v>0</v>
      </c>
      <c r="AC145">
        <f>Tabla35[[#This Row],[COPIAR]]-Tabla34[[#This Row],[COPIAR]]</f>
        <v>0</v>
      </c>
    </row>
    <row r="146" spans="1:29" x14ac:dyDescent="0.25">
      <c r="A146" t="s">
        <v>10</v>
      </c>
      <c r="B146" t="s">
        <v>194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K146" t="s">
        <v>10</v>
      </c>
      <c r="L146" t="s">
        <v>194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U146" t="s">
        <v>10</v>
      </c>
      <c r="V146" t="s">
        <v>194</v>
      </c>
      <c r="W146">
        <f>Tabla35[[#This Row],[BN CARTA]]-Tabla34[[#This Row],[BN CARTA]]</f>
        <v>0</v>
      </c>
      <c r="X146">
        <f>Tabla35[[#This Row],[BN OFICIO]]-Tabla34[[#This Row],[BN OFICIO]]</f>
        <v>0</v>
      </c>
      <c r="Y146">
        <f>Tabla35[[#This Row],[BN DC]]-Tabla34[[#This Row],[BN DC]]</f>
        <v>0</v>
      </c>
      <c r="Z146">
        <f>Tabla35[[#This Row],[COLOR CARTA]]-Tabla34[[#This Row],[COLOR CARTA]]</f>
        <v>0</v>
      </c>
      <c r="AA146">
        <f>Tabla35[[#This Row],[COLOR OFICIO]]-Tabla34[[#This Row],[COLOR OFICIO]]</f>
        <v>0</v>
      </c>
      <c r="AB146">
        <f>Tabla35[[#This Row],[ENVIAR]]-Tabla34[[#This Row],[ENVIAR]]</f>
        <v>0</v>
      </c>
      <c r="AC146">
        <f>Tabla35[[#This Row],[COPIAR]]-Tabla34[[#This Row],[COPIAR]]</f>
        <v>0</v>
      </c>
    </row>
    <row r="147" spans="1:29" x14ac:dyDescent="0.25">
      <c r="A147" t="s">
        <v>76</v>
      </c>
      <c r="B147" t="s">
        <v>195</v>
      </c>
      <c r="C147">
        <v>427</v>
      </c>
      <c r="D147">
        <v>0</v>
      </c>
      <c r="E147">
        <v>0</v>
      </c>
      <c r="F147">
        <v>0</v>
      </c>
      <c r="G147">
        <v>0</v>
      </c>
      <c r="H147">
        <v>584</v>
      </c>
      <c r="I147">
        <v>151</v>
      </c>
      <c r="K147" t="s">
        <v>76</v>
      </c>
      <c r="L147" t="s">
        <v>195</v>
      </c>
      <c r="M147">
        <v>2218</v>
      </c>
      <c r="N147">
        <v>18</v>
      </c>
      <c r="O147">
        <v>0</v>
      </c>
      <c r="P147">
        <v>0</v>
      </c>
      <c r="Q147">
        <v>0</v>
      </c>
      <c r="R147">
        <v>4128</v>
      </c>
      <c r="S147">
        <v>394</v>
      </c>
      <c r="U147" t="s">
        <v>76</v>
      </c>
      <c r="V147" t="s">
        <v>195</v>
      </c>
      <c r="W147">
        <f>Tabla35[[#This Row],[BN CARTA]]-Tabla34[[#This Row],[BN CARTA]]</f>
        <v>1791</v>
      </c>
      <c r="X147">
        <f>Tabla35[[#This Row],[BN OFICIO]]-Tabla34[[#This Row],[BN OFICIO]]</f>
        <v>18</v>
      </c>
      <c r="Y147">
        <f>Tabla35[[#This Row],[BN DC]]-Tabla34[[#This Row],[BN DC]]</f>
        <v>0</v>
      </c>
      <c r="Z147">
        <f>Tabla35[[#This Row],[COLOR CARTA]]-Tabla34[[#This Row],[COLOR CARTA]]</f>
        <v>0</v>
      </c>
      <c r="AA147">
        <f>Tabla35[[#This Row],[COLOR OFICIO]]-Tabla34[[#This Row],[COLOR OFICIO]]</f>
        <v>0</v>
      </c>
      <c r="AB147">
        <f>Tabla35[[#This Row],[ENVIAR]]-Tabla34[[#This Row],[ENVIAR]]</f>
        <v>3544</v>
      </c>
      <c r="AC147">
        <f>Tabla35[[#This Row],[COPIAR]]-Tabla34[[#This Row],[COPIAR]]</f>
        <v>243</v>
      </c>
    </row>
    <row r="148" spans="1:29" x14ac:dyDescent="0.25">
      <c r="A148" t="s">
        <v>10</v>
      </c>
      <c r="B148" t="s">
        <v>196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K148" t="s">
        <v>788</v>
      </c>
      <c r="L148" t="s">
        <v>196</v>
      </c>
      <c r="M148">
        <v>1557</v>
      </c>
      <c r="N148">
        <v>14</v>
      </c>
      <c r="O148">
        <v>0</v>
      </c>
      <c r="P148">
        <v>0</v>
      </c>
      <c r="Q148">
        <v>0</v>
      </c>
      <c r="R148">
        <v>2448</v>
      </c>
      <c r="S148">
        <v>643</v>
      </c>
      <c r="U148" t="s">
        <v>788</v>
      </c>
      <c r="V148" t="s">
        <v>196</v>
      </c>
      <c r="W148">
        <f>Tabla35[[#This Row],[BN CARTA]]-Tabla34[[#This Row],[BN CARTA]]</f>
        <v>1557</v>
      </c>
      <c r="X148">
        <f>Tabla35[[#This Row],[BN OFICIO]]-Tabla34[[#This Row],[BN OFICIO]]</f>
        <v>14</v>
      </c>
      <c r="Y148">
        <f>Tabla35[[#This Row],[BN DC]]-Tabla34[[#This Row],[BN DC]]</f>
        <v>0</v>
      </c>
      <c r="Z148">
        <f>Tabla35[[#This Row],[COLOR CARTA]]-Tabla34[[#This Row],[COLOR CARTA]]</f>
        <v>0</v>
      </c>
      <c r="AA148">
        <f>Tabla35[[#This Row],[COLOR OFICIO]]-Tabla34[[#This Row],[COLOR OFICIO]]</f>
        <v>0</v>
      </c>
      <c r="AB148">
        <f>Tabla35[[#This Row],[ENVIAR]]-Tabla34[[#This Row],[ENVIAR]]</f>
        <v>2448</v>
      </c>
      <c r="AC148">
        <f>Tabla35[[#This Row],[COPIAR]]-Tabla34[[#This Row],[COPIAR]]</f>
        <v>643</v>
      </c>
    </row>
    <row r="149" spans="1:29" x14ac:dyDescent="0.25">
      <c r="A149" t="s">
        <v>10</v>
      </c>
      <c r="B149" t="s">
        <v>197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K149" t="s">
        <v>10</v>
      </c>
      <c r="L149" t="s">
        <v>197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U149" t="s">
        <v>10</v>
      </c>
      <c r="V149" t="s">
        <v>197</v>
      </c>
      <c r="W149">
        <f>Tabla35[[#This Row],[BN CARTA]]-Tabla34[[#This Row],[BN CARTA]]</f>
        <v>0</v>
      </c>
      <c r="X149">
        <f>Tabla35[[#This Row],[BN OFICIO]]-Tabla34[[#This Row],[BN OFICIO]]</f>
        <v>0</v>
      </c>
      <c r="Y149">
        <f>Tabla35[[#This Row],[BN DC]]-Tabla34[[#This Row],[BN DC]]</f>
        <v>0</v>
      </c>
      <c r="Z149">
        <f>Tabla35[[#This Row],[COLOR CARTA]]-Tabla34[[#This Row],[COLOR CARTA]]</f>
        <v>0</v>
      </c>
      <c r="AA149">
        <f>Tabla35[[#This Row],[COLOR OFICIO]]-Tabla34[[#This Row],[COLOR OFICIO]]</f>
        <v>0</v>
      </c>
      <c r="AB149">
        <f>Tabla35[[#This Row],[ENVIAR]]-Tabla34[[#This Row],[ENVIAR]]</f>
        <v>0</v>
      </c>
      <c r="AC149">
        <f>Tabla35[[#This Row],[COPIAR]]-Tabla34[[#This Row],[COPIAR]]</f>
        <v>0</v>
      </c>
    </row>
    <row r="150" spans="1:29" x14ac:dyDescent="0.25">
      <c r="A150" t="s">
        <v>10</v>
      </c>
      <c r="B150" t="s">
        <v>198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K150" t="s">
        <v>10</v>
      </c>
      <c r="L150" t="s">
        <v>198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U150" t="s">
        <v>10</v>
      </c>
      <c r="V150" t="s">
        <v>198</v>
      </c>
      <c r="W150">
        <f>Tabla35[[#This Row],[BN CARTA]]-Tabla34[[#This Row],[BN CARTA]]</f>
        <v>0</v>
      </c>
      <c r="X150">
        <f>Tabla35[[#This Row],[BN OFICIO]]-Tabla34[[#This Row],[BN OFICIO]]</f>
        <v>0</v>
      </c>
      <c r="Y150">
        <f>Tabla35[[#This Row],[BN DC]]-Tabla34[[#This Row],[BN DC]]</f>
        <v>0</v>
      </c>
      <c r="Z150">
        <f>Tabla35[[#This Row],[COLOR CARTA]]-Tabla34[[#This Row],[COLOR CARTA]]</f>
        <v>0</v>
      </c>
      <c r="AA150">
        <f>Tabla35[[#This Row],[COLOR OFICIO]]-Tabla34[[#This Row],[COLOR OFICIO]]</f>
        <v>0</v>
      </c>
      <c r="AB150">
        <f>Tabla35[[#This Row],[ENVIAR]]-Tabla34[[#This Row],[ENVIAR]]</f>
        <v>0</v>
      </c>
      <c r="AC150">
        <f>Tabla35[[#This Row],[COPIAR]]-Tabla34[[#This Row],[COPIAR]]</f>
        <v>0</v>
      </c>
    </row>
    <row r="151" spans="1:29" x14ac:dyDescent="0.25">
      <c r="A151" t="s">
        <v>69</v>
      </c>
      <c r="B151" t="s">
        <v>199</v>
      </c>
      <c r="C151">
        <v>1376</v>
      </c>
      <c r="D151">
        <v>0</v>
      </c>
      <c r="E151">
        <v>0</v>
      </c>
      <c r="F151">
        <v>0</v>
      </c>
      <c r="G151">
        <v>0</v>
      </c>
      <c r="H151">
        <v>3465</v>
      </c>
      <c r="I151">
        <v>358</v>
      </c>
      <c r="K151" t="s">
        <v>69</v>
      </c>
      <c r="L151" t="s">
        <v>199</v>
      </c>
      <c r="M151">
        <v>4094</v>
      </c>
      <c r="N151">
        <v>0</v>
      </c>
      <c r="O151">
        <v>0</v>
      </c>
      <c r="P151">
        <v>0</v>
      </c>
      <c r="Q151">
        <v>0</v>
      </c>
      <c r="R151">
        <v>14023</v>
      </c>
      <c r="S151">
        <v>1191</v>
      </c>
      <c r="U151" t="s">
        <v>69</v>
      </c>
      <c r="V151" t="s">
        <v>199</v>
      </c>
      <c r="W151">
        <f>Tabla35[[#This Row],[BN CARTA]]-Tabla34[[#This Row],[BN CARTA]]</f>
        <v>2718</v>
      </c>
      <c r="X151">
        <f>Tabla35[[#This Row],[BN OFICIO]]-Tabla34[[#This Row],[BN OFICIO]]</f>
        <v>0</v>
      </c>
      <c r="Y151">
        <f>Tabla35[[#This Row],[BN DC]]-Tabla34[[#This Row],[BN DC]]</f>
        <v>0</v>
      </c>
      <c r="Z151">
        <f>Tabla35[[#This Row],[COLOR CARTA]]-Tabla34[[#This Row],[COLOR CARTA]]</f>
        <v>0</v>
      </c>
      <c r="AA151">
        <f>Tabla35[[#This Row],[COLOR OFICIO]]-Tabla34[[#This Row],[COLOR OFICIO]]</f>
        <v>0</v>
      </c>
      <c r="AB151">
        <f>Tabla35[[#This Row],[ENVIAR]]-Tabla34[[#This Row],[ENVIAR]]</f>
        <v>10558</v>
      </c>
      <c r="AC151">
        <f>Tabla35[[#This Row],[COPIAR]]-Tabla34[[#This Row],[COPIAR]]</f>
        <v>833</v>
      </c>
    </row>
    <row r="152" spans="1:29" x14ac:dyDescent="0.25">
      <c r="A152" t="s">
        <v>76</v>
      </c>
      <c r="B152" t="s">
        <v>200</v>
      </c>
      <c r="C152">
        <v>1737</v>
      </c>
      <c r="D152">
        <v>1</v>
      </c>
      <c r="E152">
        <v>0</v>
      </c>
      <c r="F152">
        <v>0</v>
      </c>
      <c r="G152">
        <v>0</v>
      </c>
      <c r="H152">
        <v>898</v>
      </c>
      <c r="I152">
        <v>338</v>
      </c>
      <c r="K152" t="s">
        <v>76</v>
      </c>
      <c r="L152" t="s">
        <v>200</v>
      </c>
      <c r="M152">
        <v>5364</v>
      </c>
      <c r="N152">
        <v>11</v>
      </c>
      <c r="O152">
        <v>0</v>
      </c>
      <c r="P152">
        <v>0</v>
      </c>
      <c r="Q152">
        <v>0</v>
      </c>
      <c r="R152">
        <v>2670</v>
      </c>
      <c r="S152">
        <v>1186</v>
      </c>
      <c r="U152" t="s">
        <v>76</v>
      </c>
      <c r="V152" t="s">
        <v>200</v>
      </c>
      <c r="W152">
        <f>Tabla35[[#This Row],[BN CARTA]]-Tabla34[[#This Row],[BN CARTA]]</f>
        <v>3627</v>
      </c>
      <c r="X152">
        <f>Tabla35[[#This Row],[BN OFICIO]]-Tabla34[[#This Row],[BN OFICIO]]</f>
        <v>10</v>
      </c>
      <c r="Y152">
        <f>Tabla35[[#This Row],[BN DC]]-Tabla34[[#This Row],[BN DC]]</f>
        <v>0</v>
      </c>
      <c r="Z152">
        <f>Tabla35[[#This Row],[COLOR CARTA]]-Tabla34[[#This Row],[COLOR CARTA]]</f>
        <v>0</v>
      </c>
      <c r="AA152">
        <f>Tabla35[[#This Row],[COLOR OFICIO]]-Tabla34[[#This Row],[COLOR OFICIO]]</f>
        <v>0</v>
      </c>
      <c r="AB152">
        <f>Tabla35[[#This Row],[ENVIAR]]-Tabla34[[#This Row],[ENVIAR]]</f>
        <v>1772</v>
      </c>
      <c r="AC152">
        <f>Tabla35[[#This Row],[COPIAR]]-Tabla34[[#This Row],[COPIAR]]</f>
        <v>848</v>
      </c>
    </row>
    <row r="153" spans="1:29" x14ac:dyDescent="0.25">
      <c r="A153" t="s">
        <v>120</v>
      </c>
      <c r="B153" t="s">
        <v>201</v>
      </c>
      <c r="C153">
        <v>669</v>
      </c>
      <c r="D153">
        <v>100</v>
      </c>
      <c r="E153">
        <v>0</v>
      </c>
      <c r="F153">
        <v>0</v>
      </c>
      <c r="G153">
        <v>0</v>
      </c>
      <c r="H153">
        <v>564</v>
      </c>
      <c r="I153">
        <v>119</v>
      </c>
      <c r="K153" t="s">
        <v>120</v>
      </c>
      <c r="L153" t="s">
        <v>201</v>
      </c>
      <c r="M153">
        <v>669</v>
      </c>
      <c r="N153">
        <v>100</v>
      </c>
      <c r="O153">
        <v>0</v>
      </c>
      <c r="P153">
        <v>0</v>
      </c>
      <c r="Q153">
        <v>0</v>
      </c>
      <c r="R153">
        <v>564</v>
      </c>
      <c r="S153">
        <v>119</v>
      </c>
      <c r="U153" t="s">
        <v>120</v>
      </c>
      <c r="V153" t="s">
        <v>201</v>
      </c>
      <c r="W153">
        <f>Tabla35[[#This Row],[BN CARTA]]-Tabla34[[#This Row],[BN CARTA]]</f>
        <v>0</v>
      </c>
      <c r="X153">
        <f>Tabla35[[#This Row],[BN OFICIO]]-Tabla34[[#This Row],[BN OFICIO]]</f>
        <v>0</v>
      </c>
      <c r="Y153">
        <f>Tabla35[[#This Row],[BN DC]]-Tabla34[[#This Row],[BN DC]]</f>
        <v>0</v>
      </c>
      <c r="Z153">
        <f>Tabla35[[#This Row],[COLOR CARTA]]-Tabla34[[#This Row],[COLOR CARTA]]</f>
        <v>0</v>
      </c>
      <c r="AA153">
        <f>Tabla35[[#This Row],[COLOR OFICIO]]-Tabla34[[#This Row],[COLOR OFICIO]]</f>
        <v>0</v>
      </c>
      <c r="AB153">
        <f>Tabla35[[#This Row],[ENVIAR]]-Tabla34[[#This Row],[ENVIAR]]</f>
        <v>0</v>
      </c>
      <c r="AC153">
        <f>Tabla35[[#This Row],[COPIAR]]-Tabla34[[#This Row],[COPIAR]]</f>
        <v>0</v>
      </c>
    </row>
    <row r="154" spans="1:29" x14ac:dyDescent="0.25">
      <c r="A154" t="s">
        <v>10</v>
      </c>
      <c r="B154" t="s">
        <v>202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K154" t="s">
        <v>10</v>
      </c>
      <c r="L154" t="s">
        <v>202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U154" t="s">
        <v>10</v>
      </c>
      <c r="V154" t="s">
        <v>202</v>
      </c>
      <c r="W154">
        <f>Tabla35[[#This Row],[BN CARTA]]-Tabla34[[#This Row],[BN CARTA]]</f>
        <v>0</v>
      </c>
      <c r="X154">
        <f>Tabla35[[#This Row],[BN OFICIO]]-Tabla34[[#This Row],[BN OFICIO]]</f>
        <v>0</v>
      </c>
      <c r="Y154">
        <f>Tabla35[[#This Row],[BN DC]]-Tabla34[[#This Row],[BN DC]]</f>
        <v>0</v>
      </c>
      <c r="Z154">
        <f>Tabla35[[#This Row],[COLOR CARTA]]-Tabla34[[#This Row],[COLOR CARTA]]</f>
        <v>0</v>
      </c>
      <c r="AA154">
        <f>Tabla35[[#This Row],[COLOR OFICIO]]-Tabla34[[#This Row],[COLOR OFICIO]]</f>
        <v>0</v>
      </c>
      <c r="AB154">
        <f>Tabla35[[#This Row],[ENVIAR]]-Tabla34[[#This Row],[ENVIAR]]</f>
        <v>0</v>
      </c>
      <c r="AC154">
        <f>Tabla35[[#This Row],[COPIAR]]-Tabla34[[#This Row],[COPIAR]]</f>
        <v>0</v>
      </c>
    </row>
    <row r="155" spans="1:29" x14ac:dyDescent="0.25">
      <c r="A155" t="s">
        <v>10</v>
      </c>
      <c r="B155" t="s">
        <v>203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K155" t="s">
        <v>10</v>
      </c>
      <c r="L155" t="s">
        <v>203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U155" t="s">
        <v>10</v>
      </c>
      <c r="V155" t="s">
        <v>203</v>
      </c>
      <c r="W155">
        <f>Tabla35[[#This Row],[BN CARTA]]-Tabla34[[#This Row],[BN CARTA]]</f>
        <v>0</v>
      </c>
      <c r="X155">
        <f>Tabla35[[#This Row],[BN OFICIO]]-Tabla34[[#This Row],[BN OFICIO]]</f>
        <v>0</v>
      </c>
      <c r="Y155">
        <f>Tabla35[[#This Row],[BN DC]]-Tabla34[[#This Row],[BN DC]]</f>
        <v>0</v>
      </c>
      <c r="Z155">
        <f>Tabla35[[#This Row],[COLOR CARTA]]-Tabla34[[#This Row],[COLOR CARTA]]</f>
        <v>0</v>
      </c>
      <c r="AA155">
        <f>Tabla35[[#This Row],[COLOR OFICIO]]-Tabla34[[#This Row],[COLOR OFICIO]]</f>
        <v>0</v>
      </c>
      <c r="AB155">
        <f>Tabla35[[#This Row],[ENVIAR]]-Tabla34[[#This Row],[ENVIAR]]</f>
        <v>0</v>
      </c>
      <c r="AC155">
        <f>Tabla35[[#This Row],[COPIAR]]-Tabla34[[#This Row],[COPIAR]]</f>
        <v>0</v>
      </c>
    </row>
    <row r="156" spans="1:29" x14ac:dyDescent="0.25">
      <c r="A156" t="s">
        <v>72</v>
      </c>
      <c r="B156" t="s">
        <v>204</v>
      </c>
      <c r="C156">
        <v>901</v>
      </c>
      <c r="D156">
        <v>0</v>
      </c>
      <c r="E156">
        <v>0</v>
      </c>
      <c r="F156">
        <v>0</v>
      </c>
      <c r="G156">
        <v>0</v>
      </c>
      <c r="H156">
        <v>43</v>
      </c>
      <c r="I156">
        <v>133</v>
      </c>
      <c r="K156" t="s">
        <v>72</v>
      </c>
      <c r="L156" t="s">
        <v>204</v>
      </c>
      <c r="M156">
        <v>2703</v>
      </c>
      <c r="N156">
        <v>0</v>
      </c>
      <c r="O156">
        <v>0</v>
      </c>
      <c r="P156">
        <v>0</v>
      </c>
      <c r="Q156">
        <v>0</v>
      </c>
      <c r="R156">
        <v>801</v>
      </c>
      <c r="S156">
        <v>231</v>
      </c>
      <c r="U156" t="s">
        <v>72</v>
      </c>
      <c r="V156" t="s">
        <v>204</v>
      </c>
      <c r="W156">
        <f>Tabla35[[#This Row],[BN CARTA]]-Tabla34[[#This Row],[BN CARTA]]</f>
        <v>1802</v>
      </c>
      <c r="X156">
        <f>Tabla35[[#This Row],[BN OFICIO]]-Tabla34[[#This Row],[BN OFICIO]]</f>
        <v>0</v>
      </c>
      <c r="Y156">
        <f>Tabla35[[#This Row],[BN DC]]-Tabla34[[#This Row],[BN DC]]</f>
        <v>0</v>
      </c>
      <c r="Z156">
        <f>Tabla35[[#This Row],[COLOR CARTA]]-Tabla34[[#This Row],[COLOR CARTA]]</f>
        <v>0</v>
      </c>
      <c r="AA156">
        <f>Tabla35[[#This Row],[COLOR OFICIO]]-Tabla34[[#This Row],[COLOR OFICIO]]</f>
        <v>0</v>
      </c>
      <c r="AB156">
        <f>Tabla35[[#This Row],[ENVIAR]]-Tabla34[[#This Row],[ENVIAR]]</f>
        <v>758</v>
      </c>
      <c r="AC156">
        <f>Tabla35[[#This Row],[COPIAR]]-Tabla34[[#This Row],[COPIAR]]</f>
        <v>98</v>
      </c>
    </row>
    <row r="157" spans="1:29" x14ac:dyDescent="0.25">
      <c r="A157" t="s">
        <v>76</v>
      </c>
      <c r="B157" t="s">
        <v>205</v>
      </c>
      <c r="C157">
        <v>1172</v>
      </c>
      <c r="D157">
        <v>0</v>
      </c>
      <c r="E157">
        <v>0</v>
      </c>
      <c r="F157">
        <v>0</v>
      </c>
      <c r="G157">
        <v>0</v>
      </c>
      <c r="H157">
        <v>601</v>
      </c>
      <c r="I157">
        <v>423</v>
      </c>
      <c r="K157" t="s">
        <v>76</v>
      </c>
      <c r="L157" t="s">
        <v>205</v>
      </c>
      <c r="M157">
        <v>2813</v>
      </c>
      <c r="N157">
        <v>153</v>
      </c>
      <c r="O157">
        <v>0</v>
      </c>
      <c r="P157">
        <v>0</v>
      </c>
      <c r="Q157">
        <v>0</v>
      </c>
      <c r="R157">
        <v>2144</v>
      </c>
      <c r="S157">
        <v>1319</v>
      </c>
      <c r="U157" t="s">
        <v>76</v>
      </c>
      <c r="V157" t="s">
        <v>205</v>
      </c>
      <c r="W157">
        <f>Tabla35[[#This Row],[BN CARTA]]-Tabla34[[#This Row],[BN CARTA]]</f>
        <v>1641</v>
      </c>
      <c r="X157">
        <f>Tabla35[[#This Row],[BN OFICIO]]-Tabla34[[#This Row],[BN OFICIO]]</f>
        <v>153</v>
      </c>
      <c r="Y157">
        <f>Tabla35[[#This Row],[BN DC]]-Tabla34[[#This Row],[BN DC]]</f>
        <v>0</v>
      </c>
      <c r="Z157">
        <f>Tabla35[[#This Row],[COLOR CARTA]]-Tabla34[[#This Row],[COLOR CARTA]]</f>
        <v>0</v>
      </c>
      <c r="AA157">
        <f>Tabla35[[#This Row],[COLOR OFICIO]]-Tabla34[[#This Row],[COLOR OFICIO]]</f>
        <v>0</v>
      </c>
      <c r="AB157">
        <f>Tabla35[[#This Row],[ENVIAR]]-Tabla34[[#This Row],[ENVIAR]]</f>
        <v>1543</v>
      </c>
      <c r="AC157">
        <f>Tabla35[[#This Row],[COPIAR]]-Tabla34[[#This Row],[COPIAR]]</f>
        <v>896</v>
      </c>
    </row>
    <row r="158" spans="1:29" x14ac:dyDescent="0.25">
      <c r="A158" t="s">
        <v>131</v>
      </c>
      <c r="B158" t="s">
        <v>206</v>
      </c>
      <c r="C158">
        <v>92</v>
      </c>
      <c r="D158">
        <v>0</v>
      </c>
      <c r="E158">
        <v>0</v>
      </c>
      <c r="F158">
        <v>0</v>
      </c>
      <c r="G158">
        <v>0</v>
      </c>
      <c r="H158">
        <v>128</v>
      </c>
      <c r="I158">
        <v>11</v>
      </c>
      <c r="K158" t="s">
        <v>131</v>
      </c>
      <c r="L158" t="s">
        <v>206</v>
      </c>
      <c r="M158">
        <v>92</v>
      </c>
      <c r="N158">
        <v>0</v>
      </c>
      <c r="O158">
        <v>0</v>
      </c>
      <c r="P158">
        <v>0</v>
      </c>
      <c r="Q158">
        <v>0</v>
      </c>
      <c r="R158">
        <v>128</v>
      </c>
      <c r="S158">
        <v>11</v>
      </c>
      <c r="U158" t="s">
        <v>131</v>
      </c>
      <c r="V158" t="s">
        <v>206</v>
      </c>
      <c r="W158">
        <f>Tabla35[[#This Row],[BN CARTA]]-Tabla34[[#This Row],[BN CARTA]]</f>
        <v>0</v>
      </c>
      <c r="X158">
        <f>Tabla35[[#This Row],[BN OFICIO]]-Tabla34[[#This Row],[BN OFICIO]]</f>
        <v>0</v>
      </c>
      <c r="Y158">
        <f>Tabla35[[#This Row],[BN DC]]-Tabla34[[#This Row],[BN DC]]</f>
        <v>0</v>
      </c>
      <c r="Z158">
        <f>Tabla35[[#This Row],[COLOR CARTA]]-Tabla34[[#This Row],[COLOR CARTA]]</f>
        <v>0</v>
      </c>
      <c r="AA158">
        <f>Tabla35[[#This Row],[COLOR OFICIO]]-Tabla34[[#This Row],[COLOR OFICIO]]</f>
        <v>0</v>
      </c>
      <c r="AB158">
        <f>Tabla35[[#This Row],[ENVIAR]]-Tabla34[[#This Row],[ENVIAR]]</f>
        <v>0</v>
      </c>
      <c r="AC158">
        <f>Tabla35[[#This Row],[COPIAR]]-Tabla34[[#This Row],[COPIAR]]</f>
        <v>0</v>
      </c>
    </row>
    <row r="159" spans="1:29" x14ac:dyDescent="0.25">
      <c r="A159" t="s">
        <v>76</v>
      </c>
      <c r="B159" t="s">
        <v>207</v>
      </c>
      <c r="C159">
        <v>3060</v>
      </c>
      <c r="D159">
        <v>0</v>
      </c>
      <c r="E159">
        <v>0</v>
      </c>
      <c r="F159">
        <v>0</v>
      </c>
      <c r="G159">
        <v>0</v>
      </c>
      <c r="H159">
        <v>93</v>
      </c>
      <c r="I159">
        <v>1230</v>
      </c>
      <c r="K159" t="s">
        <v>76</v>
      </c>
      <c r="L159" t="s">
        <v>207</v>
      </c>
      <c r="M159">
        <v>7735</v>
      </c>
      <c r="N159">
        <v>12</v>
      </c>
      <c r="O159">
        <v>0</v>
      </c>
      <c r="P159">
        <v>0</v>
      </c>
      <c r="Q159">
        <v>0</v>
      </c>
      <c r="R159">
        <v>1341</v>
      </c>
      <c r="S159">
        <v>2974</v>
      </c>
      <c r="U159" t="s">
        <v>76</v>
      </c>
      <c r="V159" t="s">
        <v>207</v>
      </c>
      <c r="W159">
        <f>Tabla35[[#This Row],[BN CARTA]]-Tabla34[[#This Row],[BN CARTA]]</f>
        <v>4675</v>
      </c>
      <c r="X159">
        <f>Tabla35[[#This Row],[BN OFICIO]]-Tabla34[[#This Row],[BN OFICIO]]</f>
        <v>12</v>
      </c>
      <c r="Y159">
        <f>Tabla35[[#This Row],[BN DC]]-Tabla34[[#This Row],[BN DC]]</f>
        <v>0</v>
      </c>
      <c r="Z159">
        <f>Tabla35[[#This Row],[COLOR CARTA]]-Tabla34[[#This Row],[COLOR CARTA]]</f>
        <v>0</v>
      </c>
      <c r="AA159">
        <f>Tabla35[[#This Row],[COLOR OFICIO]]-Tabla34[[#This Row],[COLOR OFICIO]]</f>
        <v>0</v>
      </c>
      <c r="AB159">
        <f>Tabla35[[#This Row],[ENVIAR]]-Tabla34[[#This Row],[ENVIAR]]</f>
        <v>1248</v>
      </c>
      <c r="AC159">
        <f>Tabla35[[#This Row],[COPIAR]]-Tabla34[[#This Row],[COPIAR]]</f>
        <v>1744</v>
      </c>
    </row>
    <row r="160" spans="1:29" x14ac:dyDescent="0.25">
      <c r="A160" t="s">
        <v>10</v>
      </c>
      <c r="B160" t="s">
        <v>208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K160" t="s">
        <v>10</v>
      </c>
      <c r="L160" t="s">
        <v>208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U160" t="s">
        <v>10</v>
      </c>
      <c r="V160" t="s">
        <v>208</v>
      </c>
      <c r="W160">
        <f>Tabla35[[#This Row],[BN CARTA]]-Tabla34[[#This Row],[BN CARTA]]</f>
        <v>0</v>
      </c>
      <c r="X160">
        <f>Tabla35[[#This Row],[BN OFICIO]]-Tabla34[[#This Row],[BN OFICIO]]</f>
        <v>0</v>
      </c>
      <c r="Y160">
        <f>Tabla35[[#This Row],[BN DC]]-Tabla34[[#This Row],[BN DC]]</f>
        <v>0</v>
      </c>
      <c r="Z160">
        <f>Tabla35[[#This Row],[COLOR CARTA]]-Tabla34[[#This Row],[COLOR CARTA]]</f>
        <v>0</v>
      </c>
      <c r="AA160">
        <f>Tabla35[[#This Row],[COLOR OFICIO]]-Tabla34[[#This Row],[COLOR OFICIO]]</f>
        <v>0</v>
      </c>
      <c r="AB160">
        <f>Tabla35[[#This Row],[ENVIAR]]-Tabla34[[#This Row],[ENVIAR]]</f>
        <v>0</v>
      </c>
      <c r="AC160">
        <f>Tabla35[[#This Row],[COPIAR]]-Tabla34[[#This Row],[COPIAR]]</f>
        <v>0</v>
      </c>
    </row>
    <row r="161" spans="1:29" x14ac:dyDescent="0.25">
      <c r="A161" t="s">
        <v>10</v>
      </c>
      <c r="B161" t="s">
        <v>209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K161" t="s">
        <v>10</v>
      </c>
      <c r="L161" t="s">
        <v>209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U161" t="s">
        <v>10</v>
      </c>
      <c r="V161" t="s">
        <v>209</v>
      </c>
      <c r="W161">
        <f>Tabla35[[#This Row],[BN CARTA]]-Tabla34[[#This Row],[BN CARTA]]</f>
        <v>0</v>
      </c>
      <c r="X161">
        <f>Tabla35[[#This Row],[BN OFICIO]]-Tabla34[[#This Row],[BN OFICIO]]</f>
        <v>0</v>
      </c>
      <c r="Y161">
        <f>Tabla35[[#This Row],[BN DC]]-Tabla34[[#This Row],[BN DC]]</f>
        <v>0</v>
      </c>
      <c r="Z161">
        <f>Tabla35[[#This Row],[COLOR CARTA]]-Tabla34[[#This Row],[COLOR CARTA]]</f>
        <v>0</v>
      </c>
      <c r="AA161">
        <f>Tabla35[[#This Row],[COLOR OFICIO]]-Tabla34[[#This Row],[COLOR OFICIO]]</f>
        <v>0</v>
      </c>
      <c r="AB161">
        <f>Tabla35[[#This Row],[ENVIAR]]-Tabla34[[#This Row],[ENVIAR]]</f>
        <v>0</v>
      </c>
      <c r="AC161">
        <f>Tabla35[[#This Row],[COPIAR]]-Tabla34[[#This Row],[COPIAR]]</f>
        <v>0</v>
      </c>
    </row>
    <row r="162" spans="1:29" x14ac:dyDescent="0.25">
      <c r="A162" t="s">
        <v>72</v>
      </c>
      <c r="B162" t="s">
        <v>210</v>
      </c>
      <c r="C162">
        <v>170</v>
      </c>
      <c r="D162">
        <v>0</v>
      </c>
      <c r="E162">
        <v>0</v>
      </c>
      <c r="F162">
        <v>0</v>
      </c>
      <c r="G162">
        <v>0</v>
      </c>
      <c r="H162">
        <v>79</v>
      </c>
      <c r="I162">
        <v>63</v>
      </c>
      <c r="K162" t="s">
        <v>72</v>
      </c>
      <c r="L162" t="s">
        <v>210</v>
      </c>
      <c r="M162">
        <v>2266</v>
      </c>
      <c r="N162">
        <v>11</v>
      </c>
      <c r="O162">
        <v>0</v>
      </c>
      <c r="P162">
        <v>0</v>
      </c>
      <c r="Q162">
        <v>0</v>
      </c>
      <c r="R162">
        <v>3571</v>
      </c>
      <c r="S162">
        <v>1046</v>
      </c>
      <c r="U162" t="s">
        <v>72</v>
      </c>
      <c r="V162" t="s">
        <v>210</v>
      </c>
      <c r="W162">
        <f>Tabla35[[#This Row],[BN CARTA]]-Tabla34[[#This Row],[BN CARTA]]</f>
        <v>2096</v>
      </c>
      <c r="X162">
        <f>Tabla35[[#This Row],[BN OFICIO]]-Tabla34[[#This Row],[BN OFICIO]]</f>
        <v>11</v>
      </c>
      <c r="Y162">
        <f>Tabla35[[#This Row],[BN DC]]-Tabla34[[#This Row],[BN DC]]</f>
        <v>0</v>
      </c>
      <c r="Z162">
        <f>Tabla35[[#This Row],[COLOR CARTA]]-Tabla34[[#This Row],[COLOR CARTA]]</f>
        <v>0</v>
      </c>
      <c r="AA162">
        <f>Tabla35[[#This Row],[COLOR OFICIO]]-Tabla34[[#This Row],[COLOR OFICIO]]</f>
        <v>0</v>
      </c>
      <c r="AB162">
        <f>Tabla35[[#This Row],[ENVIAR]]-Tabla34[[#This Row],[ENVIAR]]</f>
        <v>3492</v>
      </c>
      <c r="AC162">
        <f>Tabla35[[#This Row],[COPIAR]]-Tabla34[[#This Row],[COPIAR]]</f>
        <v>983</v>
      </c>
    </row>
    <row r="163" spans="1:29" x14ac:dyDescent="0.25">
      <c r="A163" t="s">
        <v>10</v>
      </c>
      <c r="B163" t="s">
        <v>211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K163" t="s">
        <v>10</v>
      </c>
      <c r="L163" t="s">
        <v>211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U163" t="s">
        <v>10</v>
      </c>
      <c r="V163" t="s">
        <v>211</v>
      </c>
      <c r="W163">
        <f>Tabla35[[#This Row],[BN CARTA]]-Tabla34[[#This Row],[BN CARTA]]</f>
        <v>0</v>
      </c>
      <c r="X163">
        <f>Tabla35[[#This Row],[BN OFICIO]]-Tabla34[[#This Row],[BN OFICIO]]</f>
        <v>0</v>
      </c>
      <c r="Y163">
        <f>Tabla35[[#This Row],[BN DC]]-Tabla34[[#This Row],[BN DC]]</f>
        <v>0</v>
      </c>
      <c r="Z163">
        <f>Tabla35[[#This Row],[COLOR CARTA]]-Tabla34[[#This Row],[COLOR CARTA]]</f>
        <v>0</v>
      </c>
      <c r="AA163">
        <f>Tabla35[[#This Row],[COLOR OFICIO]]-Tabla34[[#This Row],[COLOR OFICIO]]</f>
        <v>0</v>
      </c>
      <c r="AB163">
        <f>Tabla35[[#This Row],[ENVIAR]]-Tabla34[[#This Row],[ENVIAR]]</f>
        <v>0</v>
      </c>
      <c r="AC163">
        <f>Tabla35[[#This Row],[COPIAR]]-Tabla34[[#This Row],[COPIAR]]</f>
        <v>0</v>
      </c>
    </row>
    <row r="164" spans="1:29" x14ac:dyDescent="0.25">
      <c r="A164" t="s">
        <v>72</v>
      </c>
      <c r="B164" t="s">
        <v>212</v>
      </c>
      <c r="C164">
        <v>215</v>
      </c>
      <c r="D164">
        <v>0</v>
      </c>
      <c r="E164">
        <v>0</v>
      </c>
      <c r="F164">
        <v>0</v>
      </c>
      <c r="G164">
        <v>0</v>
      </c>
      <c r="H164">
        <v>39</v>
      </c>
      <c r="I164">
        <v>42</v>
      </c>
      <c r="K164" t="s">
        <v>72</v>
      </c>
      <c r="L164" t="s">
        <v>212</v>
      </c>
      <c r="M164">
        <v>2600</v>
      </c>
      <c r="N164">
        <v>0</v>
      </c>
      <c r="O164">
        <v>0</v>
      </c>
      <c r="P164">
        <v>0</v>
      </c>
      <c r="Q164">
        <v>0</v>
      </c>
      <c r="R164">
        <v>164</v>
      </c>
      <c r="S164">
        <v>444</v>
      </c>
      <c r="U164" t="s">
        <v>72</v>
      </c>
      <c r="V164" t="s">
        <v>212</v>
      </c>
      <c r="W164">
        <f>Tabla35[[#This Row],[BN CARTA]]-Tabla34[[#This Row],[BN CARTA]]</f>
        <v>2385</v>
      </c>
      <c r="X164">
        <f>Tabla35[[#This Row],[BN OFICIO]]-Tabla34[[#This Row],[BN OFICIO]]</f>
        <v>0</v>
      </c>
      <c r="Y164">
        <f>Tabla35[[#This Row],[BN DC]]-Tabla34[[#This Row],[BN DC]]</f>
        <v>0</v>
      </c>
      <c r="Z164">
        <f>Tabla35[[#This Row],[COLOR CARTA]]-Tabla34[[#This Row],[COLOR CARTA]]</f>
        <v>0</v>
      </c>
      <c r="AA164">
        <f>Tabla35[[#This Row],[COLOR OFICIO]]-Tabla34[[#This Row],[COLOR OFICIO]]</f>
        <v>0</v>
      </c>
      <c r="AB164">
        <f>Tabla35[[#This Row],[ENVIAR]]-Tabla34[[#This Row],[ENVIAR]]</f>
        <v>125</v>
      </c>
      <c r="AC164">
        <f>Tabla35[[#This Row],[COPIAR]]-Tabla34[[#This Row],[COPIAR]]</f>
        <v>402</v>
      </c>
    </row>
    <row r="165" spans="1:29" x14ac:dyDescent="0.25">
      <c r="A165" t="s">
        <v>134</v>
      </c>
      <c r="B165" t="s">
        <v>213</v>
      </c>
      <c r="C165">
        <v>119</v>
      </c>
      <c r="D165">
        <v>0</v>
      </c>
      <c r="E165">
        <v>0</v>
      </c>
      <c r="F165">
        <v>0</v>
      </c>
      <c r="G165">
        <v>0</v>
      </c>
      <c r="H165">
        <v>45</v>
      </c>
      <c r="I165">
        <v>0</v>
      </c>
      <c r="K165" t="s">
        <v>134</v>
      </c>
      <c r="L165" t="s">
        <v>213</v>
      </c>
      <c r="M165">
        <v>222</v>
      </c>
      <c r="N165">
        <v>0</v>
      </c>
      <c r="O165">
        <v>0</v>
      </c>
      <c r="P165">
        <v>0</v>
      </c>
      <c r="Q165">
        <v>0</v>
      </c>
      <c r="R165">
        <v>187</v>
      </c>
      <c r="S165">
        <v>3</v>
      </c>
      <c r="U165" t="s">
        <v>134</v>
      </c>
      <c r="V165" t="s">
        <v>213</v>
      </c>
      <c r="W165">
        <f>Tabla35[[#This Row],[BN CARTA]]-Tabla34[[#This Row],[BN CARTA]]</f>
        <v>103</v>
      </c>
      <c r="X165">
        <f>Tabla35[[#This Row],[BN OFICIO]]-Tabla34[[#This Row],[BN OFICIO]]</f>
        <v>0</v>
      </c>
      <c r="Y165">
        <f>Tabla35[[#This Row],[BN DC]]-Tabla34[[#This Row],[BN DC]]</f>
        <v>0</v>
      </c>
      <c r="Z165">
        <f>Tabla35[[#This Row],[COLOR CARTA]]-Tabla34[[#This Row],[COLOR CARTA]]</f>
        <v>0</v>
      </c>
      <c r="AA165">
        <f>Tabla35[[#This Row],[COLOR OFICIO]]-Tabla34[[#This Row],[COLOR OFICIO]]</f>
        <v>0</v>
      </c>
      <c r="AB165">
        <f>Tabla35[[#This Row],[ENVIAR]]-Tabla34[[#This Row],[ENVIAR]]</f>
        <v>142</v>
      </c>
      <c r="AC165">
        <f>Tabla35[[#This Row],[COPIAR]]-Tabla34[[#This Row],[COPIAR]]</f>
        <v>3</v>
      </c>
    </row>
    <row r="166" spans="1:29" x14ac:dyDescent="0.25">
      <c r="A166" t="s">
        <v>10</v>
      </c>
      <c r="B166" t="s">
        <v>214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K166" t="s">
        <v>495</v>
      </c>
      <c r="L166" t="s">
        <v>214</v>
      </c>
      <c r="M166">
        <v>474</v>
      </c>
      <c r="N166">
        <v>9</v>
      </c>
      <c r="O166">
        <v>0</v>
      </c>
      <c r="P166">
        <v>0</v>
      </c>
      <c r="Q166">
        <v>0</v>
      </c>
      <c r="R166">
        <v>44</v>
      </c>
      <c r="S166">
        <v>209</v>
      </c>
      <c r="U166" t="s">
        <v>495</v>
      </c>
      <c r="V166" t="s">
        <v>214</v>
      </c>
      <c r="W166">
        <f>Tabla35[[#This Row],[BN CARTA]]-Tabla34[[#This Row],[BN CARTA]]</f>
        <v>474</v>
      </c>
      <c r="X166">
        <f>Tabla35[[#This Row],[BN OFICIO]]-Tabla34[[#This Row],[BN OFICIO]]</f>
        <v>9</v>
      </c>
      <c r="Y166">
        <f>Tabla35[[#This Row],[BN DC]]-Tabla34[[#This Row],[BN DC]]</f>
        <v>0</v>
      </c>
      <c r="Z166">
        <f>Tabla35[[#This Row],[COLOR CARTA]]-Tabla34[[#This Row],[COLOR CARTA]]</f>
        <v>0</v>
      </c>
      <c r="AA166">
        <f>Tabla35[[#This Row],[COLOR OFICIO]]-Tabla34[[#This Row],[COLOR OFICIO]]</f>
        <v>0</v>
      </c>
      <c r="AB166">
        <f>Tabla35[[#This Row],[ENVIAR]]-Tabla34[[#This Row],[ENVIAR]]</f>
        <v>44</v>
      </c>
      <c r="AC166">
        <f>Tabla35[[#This Row],[COPIAR]]-Tabla34[[#This Row],[COPIAR]]</f>
        <v>209</v>
      </c>
    </row>
    <row r="167" spans="1:29" x14ac:dyDescent="0.25">
      <c r="A167" t="s">
        <v>146</v>
      </c>
      <c r="B167" t="s">
        <v>215</v>
      </c>
      <c r="C167">
        <v>291</v>
      </c>
      <c r="D167">
        <v>0</v>
      </c>
      <c r="E167">
        <v>0</v>
      </c>
      <c r="F167">
        <v>0</v>
      </c>
      <c r="G167">
        <v>0</v>
      </c>
      <c r="H167">
        <v>2032</v>
      </c>
      <c r="I167">
        <v>78</v>
      </c>
      <c r="K167" t="s">
        <v>146</v>
      </c>
      <c r="L167" t="s">
        <v>215</v>
      </c>
      <c r="M167">
        <v>2565</v>
      </c>
      <c r="N167">
        <v>0</v>
      </c>
      <c r="O167">
        <v>0</v>
      </c>
      <c r="P167">
        <v>0</v>
      </c>
      <c r="Q167">
        <v>0</v>
      </c>
      <c r="R167">
        <v>5989</v>
      </c>
      <c r="S167">
        <v>634</v>
      </c>
      <c r="U167" t="s">
        <v>146</v>
      </c>
      <c r="V167" t="s">
        <v>215</v>
      </c>
      <c r="W167">
        <f>Tabla35[[#This Row],[BN CARTA]]-Tabla34[[#This Row],[BN CARTA]]</f>
        <v>2274</v>
      </c>
      <c r="X167">
        <f>Tabla35[[#This Row],[BN OFICIO]]-Tabla34[[#This Row],[BN OFICIO]]</f>
        <v>0</v>
      </c>
      <c r="Y167">
        <f>Tabla35[[#This Row],[BN DC]]-Tabla34[[#This Row],[BN DC]]</f>
        <v>0</v>
      </c>
      <c r="Z167">
        <f>Tabla35[[#This Row],[COLOR CARTA]]-Tabla34[[#This Row],[COLOR CARTA]]</f>
        <v>0</v>
      </c>
      <c r="AA167">
        <f>Tabla35[[#This Row],[COLOR OFICIO]]-Tabla34[[#This Row],[COLOR OFICIO]]</f>
        <v>0</v>
      </c>
      <c r="AB167">
        <f>Tabla35[[#This Row],[ENVIAR]]-Tabla34[[#This Row],[ENVIAR]]</f>
        <v>3957</v>
      </c>
      <c r="AC167">
        <f>Tabla35[[#This Row],[COPIAR]]-Tabla34[[#This Row],[COPIAR]]</f>
        <v>556</v>
      </c>
    </row>
    <row r="168" spans="1:29" x14ac:dyDescent="0.25">
      <c r="A168" t="s">
        <v>138</v>
      </c>
      <c r="B168" t="s">
        <v>216</v>
      </c>
      <c r="C168">
        <v>714</v>
      </c>
      <c r="D168">
        <v>0</v>
      </c>
      <c r="E168">
        <v>0</v>
      </c>
      <c r="F168">
        <v>0</v>
      </c>
      <c r="G168">
        <v>0</v>
      </c>
      <c r="H168">
        <v>80</v>
      </c>
      <c r="I168">
        <v>54</v>
      </c>
      <c r="K168" t="s">
        <v>138</v>
      </c>
      <c r="L168" t="s">
        <v>216</v>
      </c>
      <c r="M168">
        <v>714</v>
      </c>
      <c r="N168">
        <v>0</v>
      </c>
      <c r="O168">
        <v>0</v>
      </c>
      <c r="P168">
        <v>0</v>
      </c>
      <c r="Q168">
        <v>0</v>
      </c>
      <c r="R168">
        <v>80</v>
      </c>
      <c r="S168">
        <v>54</v>
      </c>
      <c r="U168" t="s">
        <v>138</v>
      </c>
      <c r="V168" t="s">
        <v>216</v>
      </c>
      <c r="W168">
        <f>Tabla35[[#This Row],[BN CARTA]]-Tabla34[[#This Row],[BN CARTA]]</f>
        <v>0</v>
      </c>
      <c r="X168">
        <f>Tabla35[[#This Row],[BN OFICIO]]-Tabla34[[#This Row],[BN OFICIO]]</f>
        <v>0</v>
      </c>
      <c r="Y168">
        <f>Tabla35[[#This Row],[BN DC]]-Tabla34[[#This Row],[BN DC]]</f>
        <v>0</v>
      </c>
      <c r="Z168">
        <f>Tabla35[[#This Row],[COLOR CARTA]]-Tabla34[[#This Row],[COLOR CARTA]]</f>
        <v>0</v>
      </c>
      <c r="AA168">
        <f>Tabla35[[#This Row],[COLOR OFICIO]]-Tabla34[[#This Row],[COLOR OFICIO]]</f>
        <v>0</v>
      </c>
      <c r="AB168">
        <f>Tabla35[[#This Row],[ENVIAR]]-Tabla34[[#This Row],[ENVIAR]]</f>
        <v>0</v>
      </c>
      <c r="AC168">
        <f>Tabla35[[#This Row],[COPIAR]]-Tabla34[[#This Row],[COPIAR]]</f>
        <v>0</v>
      </c>
    </row>
    <row r="169" spans="1:29" x14ac:dyDescent="0.25">
      <c r="A169" t="s">
        <v>10</v>
      </c>
      <c r="B169" t="s">
        <v>217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K169" t="s">
        <v>794</v>
      </c>
      <c r="L169" t="s">
        <v>217</v>
      </c>
      <c r="M169">
        <v>94</v>
      </c>
      <c r="N169">
        <v>0</v>
      </c>
      <c r="O169">
        <v>0</v>
      </c>
      <c r="P169">
        <v>0</v>
      </c>
      <c r="Q169">
        <v>0</v>
      </c>
      <c r="R169">
        <v>402</v>
      </c>
      <c r="S169">
        <v>48</v>
      </c>
      <c r="U169" t="s">
        <v>794</v>
      </c>
      <c r="V169" t="s">
        <v>217</v>
      </c>
      <c r="W169">
        <f>Tabla35[[#This Row],[BN CARTA]]-Tabla34[[#This Row],[BN CARTA]]</f>
        <v>94</v>
      </c>
      <c r="X169">
        <f>Tabla35[[#This Row],[BN OFICIO]]-Tabla34[[#This Row],[BN OFICIO]]</f>
        <v>0</v>
      </c>
      <c r="Y169">
        <f>Tabla35[[#This Row],[BN DC]]-Tabla34[[#This Row],[BN DC]]</f>
        <v>0</v>
      </c>
      <c r="Z169">
        <f>Tabla35[[#This Row],[COLOR CARTA]]-Tabla34[[#This Row],[COLOR CARTA]]</f>
        <v>0</v>
      </c>
      <c r="AA169">
        <f>Tabla35[[#This Row],[COLOR OFICIO]]-Tabla34[[#This Row],[COLOR OFICIO]]</f>
        <v>0</v>
      </c>
      <c r="AB169">
        <f>Tabla35[[#This Row],[ENVIAR]]-Tabla34[[#This Row],[ENVIAR]]</f>
        <v>402</v>
      </c>
      <c r="AC169">
        <f>Tabla35[[#This Row],[COPIAR]]-Tabla34[[#This Row],[COPIAR]]</f>
        <v>48</v>
      </c>
    </row>
    <row r="170" spans="1:29" x14ac:dyDescent="0.25">
      <c r="A170" t="s">
        <v>10</v>
      </c>
      <c r="B170" t="s">
        <v>218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K170" t="s">
        <v>10</v>
      </c>
      <c r="L170" t="s">
        <v>218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U170" t="s">
        <v>10</v>
      </c>
      <c r="V170" t="s">
        <v>218</v>
      </c>
      <c r="W170">
        <f>Tabla35[[#This Row],[BN CARTA]]-Tabla34[[#This Row],[BN CARTA]]</f>
        <v>0</v>
      </c>
      <c r="X170">
        <f>Tabla35[[#This Row],[BN OFICIO]]-Tabla34[[#This Row],[BN OFICIO]]</f>
        <v>0</v>
      </c>
      <c r="Y170">
        <f>Tabla35[[#This Row],[BN DC]]-Tabla34[[#This Row],[BN DC]]</f>
        <v>0</v>
      </c>
      <c r="Z170">
        <f>Tabla35[[#This Row],[COLOR CARTA]]-Tabla34[[#This Row],[COLOR CARTA]]</f>
        <v>0</v>
      </c>
      <c r="AA170">
        <f>Tabla35[[#This Row],[COLOR OFICIO]]-Tabla34[[#This Row],[COLOR OFICIO]]</f>
        <v>0</v>
      </c>
      <c r="AB170">
        <f>Tabla35[[#This Row],[ENVIAR]]-Tabla34[[#This Row],[ENVIAR]]</f>
        <v>0</v>
      </c>
      <c r="AC170">
        <f>Tabla35[[#This Row],[COPIAR]]-Tabla34[[#This Row],[COPIAR]]</f>
        <v>0</v>
      </c>
    </row>
    <row r="171" spans="1:29" x14ac:dyDescent="0.25">
      <c r="A171" t="s">
        <v>10</v>
      </c>
      <c r="B171" t="s">
        <v>219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K171" t="s">
        <v>10</v>
      </c>
      <c r="L171" t="s">
        <v>219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U171" t="s">
        <v>10</v>
      </c>
      <c r="V171" t="s">
        <v>219</v>
      </c>
      <c r="W171">
        <f>Tabla35[[#This Row],[BN CARTA]]-Tabla34[[#This Row],[BN CARTA]]</f>
        <v>0</v>
      </c>
      <c r="X171">
        <f>Tabla35[[#This Row],[BN OFICIO]]-Tabla34[[#This Row],[BN OFICIO]]</f>
        <v>0</v>
      </c>
      <c r="Y171">
        <f>Tabla35[[#This Row],[BN DC]]-Tabla34[[#This Row],[BN DC]]</f>
        <v>0</v>
      </c>
      <c r="Z171">
        <f>Tabla35[[#This Row],[COLOR CARTA]]-Tabla34[[#This Row],[COLOR CARTA]]</f>
        <v>0</v>
      </c>
      <c r="AA171">
        <f>Tabla35[[#This Row],[COLOR OFICIO]]-Tabla34[[#This Row],[COLOR OFICIO]]</f>
        <v>0</v>
      </c>
      <c r="AB171">
        <f>Tabla35[[#This Row],[ENVIAR]]-Tabla34[[#This Row],[ENVIAR]]</f>
        <v>0</v>
      </c>
      <c r="AC171">
        <f>Tabla35[[#This Row],[COPIAR]]-Tabla34[[#This Row],[COPIAR]]</f>
        <v>0</v>
      </c>
    </row>
    <row r="172" spans="1:29" x14ac:dyDescent="0.25">
      <c r="A172" t="s">
        <v>150</v>
      </c>
      <c r="B172" t="s">
        <v>220</v>
      </c>
      <c r="C172">
        <v>18</v>
      </c>
      <c r="D172">
        <v>0</v>
      </c>
      <c r="E172">
        <v>0</v>
      </c>
      <c r="F172">
        <v>0</v>
      </c>
      <c r="G172">
        <v>0</v>
      </c>
      <c r="H172">
        <v>12</v>
      </c>
      <c r="I172">
        <v>5</v>
      </c>
      <c r="K172" t="s">
        <v>150</v>
      </c>
      <c r="L172" t="s">
        <v>220</v>
      </c>
      <c r="M172">
        <v>286</v>
      </c>
      <c r="N172">
        <v>0</v>
      </c>
      <c r="O172">
        <v>0</v>
      </c>
      <c r="P172">
        <v>0</v>
      </c>
      <c r="Q172">
        <v>0</v>
      </c>
      <c r="R172">
        <v>308</v>
      </c>
      <c r="S172">
        <v>71</v>
      </c>
      <c r="U172" t="s">
        <v>150</v>
      </c>
      <c r="V172" t="s">
        <v>220</v>
      </c>
      <c r="W172">
        <f>Tabla35[[#This Row],[BN CARTA]]-Tabla34[[#This Row],[BN CARTA]]</f>
        <v>268</v>
      </c>
      <c r="X172">
        <f>Tabla35[[#This Row],[BN OFICIO]]-Tabla34[[#This Row],[BN OFICIO]]</f>
        <v>0</v>
      </c>
      <c r="Y172">
        <f>Tabla35[[#This Row],[BN DC]]-Tabla34[[#This Row],[BN DC]]</f>
        <v>0</v>
      </c>
      <c r="Z172">
        <f>Tabla35[[#This Row],[COLOR CARTA]]-Tabla34[[#This Row],[COLOR CARTA]]</f>
        <v>0</v>
      </c>
      <c r="AA172">
        <f>Tabla35[[#This Row],[COLOR OFICIO]]-Tabla34[[#This Row],[COLOR OFICIO]]</f>
        <v>0</v>
      </c>
      <c r="AB172">
        <f>Tabla35[[#This Row],[ENVIAR]]-Tabla34[[#This Row],[ENVIAR]]</f>
        <v>296</v>
      </c>
      <c r="AC172">
        <f>Tabla35[[#This Row],[COPIAR]]-Tabla34[[#This Row],[COPIAR]]</f>
        <v>66</v>
      </c>
    </row>
    <row r="173" spans="1:29" x14ac:dyDescent="0.25">
      <c r="A173" t="s">
        <v>10</v>
      </c>
      <c r="B173" t="s">
        <v>221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K173" t="s">
        <v>794</v>
      </c>
      <c r="L173" t="s">
        <v>221</v>
      </c>
      <c r="M173">
        <v>1209</v>
      </c>
      <c r="N173">
        <v>0</v>
      </c>
      <c r="O173">
        <v>0</v>
      </c>
      <c r="P173">
        <v>0</v>
      </c>
      <c r="Q173">
        <v>0</v>
      </c>
      <c r="R173">
        <v>168</v>
      </c>
      <c r="S173">
        <v>295</v>
      </c>
      <c r="U173" t="s">
        <v>794</v>
      </c>
      <c r="V173" t="s">
        <v>221</v>
      </c>
      <c r="W173">
        <f>Tabla35[[#This Row],[BN CARTA]]-Tabla34[[#This Row],[BN CARTA]]</f>
        <v>1209</v>
      </c>
      <c r="X173">
        <f>Tabla35[[#This Row],[BN OFICIO]]-Tabla34[[#This Row],[BN OFICIO]]</f>
        <v>0</v>
      </c>
      <c r="Y173">
        <f>Tabla35[[#This Row],[BN DC]]-Tabla34[[#This Row],[BN DC]]</f>
        <v>0</v>
      </c>
      <c r="Z173">
        <f>Tabla35[[#This Row],[COLOR CARTA]]-Tabla34[[#This Row],[COLOR CARTA]]</f>
        <v>0</v>
      </c>
      <c r="AA173">
        <f>Tabla35[[#This Row],[COLOR OFICIO]]-Tabla34[[#This Row],[COLOR OFICIO]]</f>
        <v>0</v>
      </c>
      <c r="AB173">
        <f>Tabla35[[#This Row],[ENVIAR]]-Tabla34[[#This Row],[ENVIAR]]</f>
        <v>168</v>
      </c>
      <c r="AC173">
        <f>Tabla35[[#This Row],[COPIAR]]-Tabla34[[#This Row],[COPIAR]]</f>
        <v>295</v>
      </c>
    </row>
    <row r="174" spans="1:29" x14ac:dyDescent="0.25">
      <c r="A174" t="s">
        <v>120</v>
      </c>
      <c r="B174" t="s">
        <v>222</v>
      </c>
      <c r="C174">
        <v>4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K174" t="s">
        <v>120</v>
      </c>
      <c r="L174" t="s">
        <v>222</v>
      </c>
      <c r="M174">
        <v>19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5</v>
      </c>
      <c r="U174" t="s">
        <v>120</v>
      </c>
      <c r="V174" t="s">
        <v>222</v>
      </c>
      <c r="W174">
        <f>Tabla35[[#This Row],[BN CARTA]]-Tabla34[[#This Row],[BN CARTA]]</f>
        <v>15</v>
      </c>
      <c r="X174">
        <f>Tabla35[[#This Row],[BN OFICIO]]-Tabla34[[#This Row],[BN OFICIO]]</f>
        <v>0</v>
      </c>
      <c r="Y174">
        <f>Tabla35[[#This Row],[BN DC]]-Tabla34[[#This Row],[BN DC]]</f>
        <v>0</v>
      </c>
      <c r="Z174">
        <f>Tabla35[[#This Row],[COLOR CARTA]]-Tabla34[[#This Row],[COLOR CARTA]]</f>
        <v>0</v>
      </c>
      <c r="AA174">
        <f>Tabla35[[#This Row],[COLOR OFICIO]]-Tabla34[[#This Row],[COLOR OFICIO]]</f>
        <v>0</v>
      </c>
      <c r="AB174">
        <f>Tabla35[[#This Row],[ENVIAR]]-Tabla34[[#This Row],[ENVIAR]]</f>
        <v>0</v>
      </c>
      <c r="AC174">
        <f>Tabla35[[#This Row],[COPIAR]]-Tabla34[[#This Row],[COPIAR]]</f>
        <v>5</v>
      </c>
    </row>
    <row r="175" spans="1:29" x14ac:dyDescent="0.25">
      <c r="A175" t="s">
        <v>10</v>
      </c>
      <c r="B175" t="s">
        <v>223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K175" t="s">
        <v>792</v>
      </c>
      <c r="L175" t="s">
        <v>223</v>
      </c>
      <c r="M175">
        <v>278</v>
      </c>
      <c r="N175">
        <v>5</v>
      </c>
      <c r="O175">
        <v>0</v>
      </c>
      <c r="P175">
        <v>0</v>
      </c>
      <c r="Q175">
        <v>0</v>
      </c>
      <c r="R175">
        <v>5</v>
      </c>
      <c r="S175">
        <v>3</v>
      </c>
      <c r="U175" t="s">
        <v>792</v>
      </c>
      <c r="V175" t="s">
        <v>223</v>
      </c>
      <c r="W175">
        <f>Tabla35[[#This Row],[BN CARTA]]-Tabla34[[#This Row],[BN CARTA]]</f>
        <v>278</v>
      </c>
      <c r="X175">
        <f>Tabla35[[#This Row],[BN OFICIO]]-Tabla34[[#This Row],[BN OFICIO]]</f>
        <v>5</v>
      </c>
      <c r="Y175">
        <f>Tabla35[[#This Row],[BN DC]]-Tabla34[[#This Row],[BN DC]]</f>
        <v>0</v>
      </c>
      <c r="Z175">
        <f>Tabla35[[#This Row],[COLOR CARTA]]-Tabla34[[#This Row],[COLOR CARTA]]</f>
        <v>0</v>
      </c>
      <c r="AA175">
        <f>Tabla35[[#This Row],[COLOR OFICIO]]-Tabla34[[#This Row],[COLOR OFICIO]]</f>
        <v>0</v>
      </c>
      <c r="AB175">
        <f>Tabla35[[#This Row],[ENVIAR]]-Tabla34[[#This Row],[ENVIAR]]</f>
        <v>5</v>
      </c>
      <c r="AC175">
        <f>Tabla35[[#This Row],[COPIAR]]-Tabla34[[#This Row],[COPIAR]]</f>
        <v>3</v>
      </c>
    </row>
    <row r="176" spans="1:29" x14ac:dyDescent="0.25">
      <c r="A176" t="s">
        <v>10</v>
      </c>
      <c r="B176" t="s">
        <v>224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K176" t="s">
        <v>10</v>
      </c>
      <c r="L176" t="s">
        <v>224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U176" t="s">
        <v>10</v>
      </c>
      <c r="V176" t="s">
        <v>224</v>
      </c>
      <c r="W176">
        <f>Tabla35[[#This Row],[BN CARTA]]-Tabla34[[#This Row],[BN CARTA]]</f>
        <v>0</v>
      </c>
      <c r="X176">
        <f>Tabla35[[#This Row],[BN OFICIO]]-Tabla34[[#This Row],[BN OFICIO]]</f>
        <v>0</v>
      </c>
      <c r="Y176">
        <f>Tabla35[[#This Row],[BN DC]]-Tabla34[[#This Row],[BN DC]]</f>
        <v>0</v>
      </c>
      <c r="Z176">
        <f>Tabla35[[#This Row],[COLOR CARTA]]-Tabla34[[#This Row],[COLOR CARTA]]</f>
        <v>0</v>
      </c>
      <c r="AA176">
        <f>Tabla35[[#This Row],[COLOR OFICIO]]-Tabla34[[#This Row],[COLOR OFICIO]]</f>
        <v>0</v>
      </c>
      <c r="AB176">
        <f>Tabla35[[#This Row],[ENVIAR]]-Tabla34[[#This Row],[ENVIAR]]</f>
        <v>0</v>
      </c>
      <c r="AC176">
        <f>Tabla35[[#This Row],[COPIAR]]-Tabla34[[#This Row],[COPIAR]]</f>
        <v>0</v>
      </c>
    </row>
    <row r="177" spans="1:29" x14ac:dyDescent="0.25">
      <c r="A177" t="s">
        <v>69</v>
      </c>
      <c r="B177" t="s">
        <v>225</v>
      </c>
      <c r="C177">
        <v>3366</v>
      </c>
      <c r="D177">
        <v>0</v>
      </c>
      <c r="E177">
        <v>0</v>
      </c>
      <c r="F177">
        <v>0</v>
      </c>
      <c r="G177">
        <v>0</v>
      </c>
      <c r="H177">
        <v>4801</v>
      </c>
      <c r="I177">
        <v>1174</v>
      </c>
      <c r="K177" t="s">
        <v>69</v>
      </c>
      <c r="L177" t="s">
        <v>225</v>
      </c>
      <c r="M177">
        <v>6486</v>
      </c>
      <c r="N177">
        <v>3</v>
      </c>
      <c r="O177">
        <v>0</v>
      </c>
      <c r="P177">
        <v>0</v>
      </c>
      <c r="Q177">
        <v>0</v>
      </c>
      <c r="R177">
        <v>16758</v>
      </c>
      <c r="S177">
        <v>3610</v>
      </c>
      <c r="U177" t="s">
        <v>69</v>
      </c>
      <c r="V177" t="s">
        <v>225</v>
      </c>
      <c r="W177">
        <f>Tabla35[[#This Row],[BN CARTA]]-Tabla34[[#This Row],[BN CARTA]]</f>
        <v>3120</v>
      </c>
      <c r="X177">
        <f>Tabla35[[#This Row],[BN OFICIO]]-Tabla34[[#This Row],[BN OFICIO]]</f>
        <v>3</v>
      </c>
      <c r="Y177">
        <f>Tabla35[[#This Row],[BN DC]]-Tabla34[[#This Row],[BN DC]]</f>
        <v>0</v>
      </c>
      <c r="Z177">
        <f>Tabla35[[#This Row],[COLOR CARTA]]-Tabla34[[#This Row],[COLOR CARTA]]</f>
        <v>0</v>
      </c>
      <c r="AA177">
        <f>Tabla35[[#This Row],[COLOR OFICIO]]-Tabla34[[#This Row],[COLOR OFICIO]]</f>
        <v>0</v>
      </c>
      <c r="AB177">
        <f>Tabla35[[#This Row],[ENVIAR]]-Tabla34[[#This Row],[ENVIAR]]</f>
        <v>11957</v>
      </c>
      <c r="AC177">
        <f>Tabla35[[#This Row],[COPIAR]]-Tabla34[[#This Row],[COPIAR]]</f>
        <v>2436</v>
      </c>
    </row>
    <row r="178" spans="1:29" x14ac:dyDescent="0.25">
      <c r="A178" t="s">
        <v>226</v>
      </c>
      <c r="B178" t="s">
        <v>227</v>
      </c>
      <c r="C178">
        <v>562</v>
      </c>
      <c r="D178">
        <v>0</v>
      </c>
      <c r="E178">
        <v>0</v>
      </c>
      <c r="F178">
        <v>0</v>
      </c>
      <c r="G178">
        <v>0</v>
      </c>
      <c r="H178">
        <v>301</v>
      </c>
      <c r="I178">
        <v>76</v>
      </c>
      <c r="K178" t="s">
        <v>226</v>
      </c>
      <c r="L178" t="s">
        <v>227</v>
      </c>
      <c r="M178">
        <v>562</v>
      </c>
      <c r="N178">
        <v>0</v>
      </c>
      <c r="O178">
        <v>0</v>
      </c>
      <c r="P178">
        <v>0</v>
      </c>
      <c r="Q178">
        <v>0</v>
      </c>
      <c r="R178">
        <v>301</v>
      </c>
      <c r="S178">
        <v>76</v>
      </c>
      <c r="U178" t="s">
        <v>226</v>
      </c>
      <c r="V178" t="s">
        <v>227</v>
      </c>
      <c r="W178">
        <f>Tabla35[[#This Row],[BN CARTA]]-Tabla34[[#This Row],[BN CARTA]]</f>
        <v>0</v>
      </c>
      <c r="X178">
        <f>Tabla35[[#This Row],[BN OFICIO]]-Tabla34[[#This Row],[BN OFICIO]]</f>
        <v>0</v>
      </c>
      <c r="Y178">
        <f>Tabla35[[#This Row],[BN DC]]-Tabla34[[#This Row],[BN DC]]</f>
        <v>0</v>
      </c>
      <c r="Z178">
        <f>Tabla35[[#This Row],[COLOR CARTA]]-Tabla34[[#This Row],[COLOR CARTA]]</f>
        <v>0</v>
      </c>
      <c r="AA178">
        <f>Tabla35[[#This Row],[COLOR OFICIO]]-Tabla34[[#This Row],[COLOR OFICIO]]</f>
        <v>0</v>
      </c>
      <c r="AB178">
        <f>Tabla35[[#This Row],[ENVIAR]]-Tabla34[[#This Row],[ENVIAR]]</f>
        <v>0</v>
      </c>
      <c r="AC178">
        <f>Tabla35[[#This Row],[COPIAR]]-Tabla34[[#This Row],[COPIAR]]</f>
        <v>0</v>
      </c>
    </row>
    <row r="179" spans="1:29" x14ac:dyDescent="0.25">
      <c r="A179" t="s">
        <v>226</v>
      </c>
      <c r="B179" t="s">
        <v>228</v>
      </c>
      <c r="C179">
        <v>423</v>
      </c>
      <c r="D179">
        <v>10</v>
      </c>
      <c r="E179">
        <v>0</v>
      </c>
      <c r="F179">
        <v>0</v>
      </c>
      <c r="G179">
        <v>0</v>
      </c>
      <c r="H179">
        <v>183</v>
      </c>
      <c r="I179">
        <v>72</v>
      </c>
      <c r="K179" t="s">
        <v>226</v>
      </c>
      <c r="L179" t="s">
        <v>228</v>
      </c>
      <c r="M179">
        <v>423</v>
      </c>
      <c r="N179">
        <v>10</v>
      </c>
      <c r="O179">
        <v>0</v>
      </c>
      <c r="P179">
        <v>0</v>
      </c>
      <c r="Q179">
        <v>0</v>
      </c>
      <c r="R179">
        <v>183</v>
      </c>
      <c r="S179">
        <v>72</v>
      </c>
      <c r="U179" t="s">
        <v>226</v>
      </c>
      <c r="V179" t="s">
        <v>228</v>
      </c>
      <c r="W179">
        <f>Tabla35[[#This Row],[BN CARTA]]-Tabla34[[#This Row],[BN CARTA]]</f>
        <v>0</v>
      </c>
      <c r="X179">
        <f>Tabla35[[#This Row],[BN OFICIO]]-Tabla34[[#This Row],[BN OFICIO]]</f>
        <v>0</v>
      </c>
      <c r="Y179">
        <f>Tabla35[[#This Row],[BN DC]]-Tabla34[[#This Row],[BN DC]]</f>
        <v>0</v>
      </c>
      <c r="Z179">
        <f>Tabla35[[#This Row],[COLOR CARTA]]-Tabla34[[#This Row],[COLOR CARTA]]</f>
        <v>0</v>
      </c>
      <c r="AA179">
        <f>Tabla35[[#This Row],[COLOR OFICIO]]-Tabla34[[#This Row],[COLOR OFICIO]]</f>
        <v>0</v>
      </c>
      <c r="AB179">
        <f>Tabla35[[#This Row],[ENVIAR]]-Tabla34[[#This Row],[ENVIAR]]</f>
        <v>0</v>
      </c>
      <c r="AC179">
        <f>Tabla35[[#This Row],[COPIAR]]-Tabla34[[#This Row],[COPIAR]]</f>
        <v>0</v>
      </c>
    </row>
    <row r="180" spans="1:29" x14ac:dyDescent="0.25">
      <c r="A180" t="s">
        <v>229</v>
      </c>
      <c r="B180" t="s">
        <v>230</v>
      </c>
      <c r="C180">
        <v>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K180" t="s">
        <v>305</v>
      </c>
      <c r="L180" t="s">
        <v>230</v>
      </c>
      <c r="M180">
        <v>202</v>
      </c>
      <c r="N180">
        <v>0</v>
      </c>
      <c r="O180">
        <v>0</v>
      </c>
      <c r="P180">
        <v>0</v>
      </c>
      <c r="Q180">
        <v>0</v>
      </c>
      <c r="R180">
        <v>110</v>
      </c>
      <c r="S180">
        <v>68</v>
      </c>
      <c r="U180" t="s">
        <v>305</v>
      </c>
      <c r="V180" t="s">
        <v>230</v>
      </c>
      <c r="W180">
        <f>Tabla35[[#This Row],[BN CARTA]]-Tabla34[[#This Row],[BN CARTA]]</f>
        <v>196</v>
      </c>
      <c r="X180">
        <f>Tabla35[[#This Row],[BN OFICIO]]-Tabla34[[#This Row],[BN OFICIO]]</f>
        <v>0</v>
      </c>
      <c r="Y180">
        <f>Tabla35[[#This Row],[BN DC]]-Tabla34[[#This Row],[BN DC]]</f>
        <v>0</v>
      </c>
      <c r="Z180">
        <f>Tabla35[[#This Row],[COLOR CARTA]]-Tabla34[[#This Row],[COLOR CARTA]]</f>
        <v>0</v>
      </c>
      <c r="AA180">
        <f>Tabla35[[#This Row],[COLOR OFICIO]]-Tabla34[[#This Row],[COLOR OFICIO]]</f>
        <v>0</v>
      </c>
      <c r="AB180">
        <f>Tabla35[[#This Row],[ENVIAR]]-Tabla34[[#This Row],[ENVIAR]]</f>
        <v>110</v>
      </c>
      <c r="AC180">
        <f>Tabla35[[#This Row],[COPIAR]]-Tabla34[[#This Row],[COPIAR]]</f>
        <v>68</v>
      </c>
    </row>
    <row r="181" spans="1:29" x14ac:dyDescent="0.25">
      <c r="A181" t="s">
        <v>231</v>
      </c>
      <c r="B181" t="s">
        <v>232</v>
      </c>
      <c r="C181">
        <v>211</v>
      </c>
      <c r="D181">
        <v>0</v>
      </c>
      <c r="E181">
        <v>0</v>
      </c>
      <c r="F181">
        <v>0</v>
      </c>
      <c r="G181">
        <v>0</v>
      </c>
      <c r="H181">
        <v>7</v>
      </c>
      <c r="I181">
        <v>28</v>
      </c>
      <c r="K181" t="s">
        <v>188</v>
      </c>
      <c r="L181" t="s">
        <v>232</v>
      </c>
      <c r="M181">
        <v>211</v>
      </c>
      <c r="N181">
        <v>0</v>
      </c>
      <c r="O181">
        <v>0</v>
      </c>
      <c r="P181">
        <v>0</v>
      </c>
      <c r="Q181">
        <v>0</v>
      </c>
      <c r="R181">
        <v>7</v>
      </c>
      <c r="S181">
        <v>28</v>
      </c>
      <c r="U181" t="s">
        <v>188</v>
      </c>
      <c r="V181" t="s">
        <v>232</v>
      </c>
      <c r="W181">
        <f>Tabla35[[#This Row],[BN CARTA]]-Tabla34[[#This Row],[BN CARTA]]</f>
        <v>0</v>
      </c>
      <c r="X181">
        <f>Tabla35[[#This Row],[BN OFICIO]]-Tabla34[[#This Row],[BN OFICIO]]</f>
        <v>0</v>
      </c>
      <c r="Y181">
        <f>Tabla35[[#This Row],[BN DC]]-Tabla34[[#This Row],[BN DC]]</f>
        <v>0</v>
      </c>
      <c r="Z181">
        <f>Tabla35[[#This Row],[COLOR CARTA]]-Tabla34[[#This Row],[COLOR CARTA]]</f>
        <v>0</v>
      </c>
      <c r="AA181">
        <f>Tabla35[[#This Row],[COLOR OFICIO]]-Tabla34[[#This Row],[COLOR OFICIO]]</f>
        <v>0</v>
      </c>
      <c r="AB181">
        <f>Tabla35[[#This Row],[ENVIAR]]-Tabla34[[#This Row],[ENVIAR]]</f>
        <v>0</v>
      </c>
      <c r="AC181">
        <f>Tabla35[[#This Row],[COPIAR]]-Tabla34[[#This Row],[COPIAR]]</f>
        <v>0</v>
      </c>
    </row>
    <row r="182" spans="1:29" x14ac:dyDescent="0.25">
      <c r="A182" t="s">
        <v>10</v>
      </c>
      <c r="B182" t="s">
        <v>233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K182" t="s">
        <v>10</v>
      </c>
      <c r="L182" t="s">
        <v>233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U182" t="s">
        <v>10</v>
      </c>
      <c r="V182" t="s">
        <v>233</v>
      </c>
      <c r="W182">
        <f>Tabla35[[#This Row],[BN CARTA]]-Tabla34[[#This Row],[BN CARTA]]</f>
        <v>0</v>
      </c>
      <c r="X182">
        <f>Tabla35[[#This Row],[BN OFICIO]]-Tabla34[[#This Row],[BN OFICIO]]</f>
        <v>0</v>
      </c>
      <c r="Y182">
        <f>Tabla35[[#This Row],[BN DC]]-Tabla34[[#This Row],[BN DC]]</f>
        <v>0</v>
      </c>
      <c r="Z182">
        <f>Tabla35[[#This Row],[COLOR CARTA]]-Tabla34[[#This Row],[COLOR CARTA]]</f>
        <v>0</v>
      </c>
      <c r="AA182">
        <f>Tabla35[[#This Row],[COLOR OFICIO]]-Tabla34[[#This Row],[COLOR OFICIO]]</f>
        <v>0</v>
      </c>
      <c r="AB182">
        <f>Tabla35[[#This Row],[ENVIAR]]-Tabla34[[#This Row],[ENVIAR]]</f>
        <v>0</v>
      </c>
      <c r="AC182">
        <f>Tabla35[[#This Row],[COPIAR]]-Tabla34[[#This Row],[COPIAR]]</f>
        <v>0</v>
      </c>
    </row>
    <row r="183" spans="1:29" x14ac:dyDescent="0.25">
      <c r="A183" t="s">
        <v>69</v>
      </c>
      <c r="B183" t="s">
        <v>234</v>
      </c>
      <c r="C183">
        <v>6698</v>
      </c>
      <c r="D183">
        <v>17</v>
      </c>
      <c r="E183">
        <v>0</v>
      </c>
      <c r="F183">
        <v>0</v>
      </c>
      <c r="G183">
        <v>0</v>
      </c>
      <c r="H183">
        <v>6847</v>
      </c>
      <c r="I183">
        <v>1028</v>
      </c>
      <c r="K183" t="s">
        <v>69</v>
      </c>
      <c r="L183" t="s">
        <v>234</v>
      </c>
      <c r="M183">
        <v>19011</v>
      </c>
      <c r="N183">
        <v>21</v>
      </c>
      <c r="O183">
        <v>0</v>
      </c>
      <c r="P183">
        <v>0</v>
      </c>
      <c r="Q183">
        <v>0</v>
      </c>
      <c r="R183">
        <v>21501</v>
      </c>
      <c r="S183">
        <v>3099</v>
      </c>
      <c r="U183" t="s">
        <v>69</v>
      </c>
      <c r="V183" t="s">
        <v>234</v>
      </c>
      <c r="W183">
        <f>Tabla35[[#This Row],[BN CARTA]]-Tabla34[[#This Row],[BN CARTA]]</f>
        <v>12313</v>
      </c>
      <c r="X183">
        <f>Tabla35[[#This Row],[BN OFICIO]]-Tabla34[[#This Row],[BN OFICIO]]</f>
        <v>4</v>
      </c>
      <c r="Y183">
        <f>Tabla35[[#This Row],[BN DC]]-Tabla34[[#This Row],[BN DC]]</f>
        <v>0</v>
      </c>
      <c r="Z183">
        <f>Tabla35[[#This Row],[COLOR CARTA]]-Tabla34[[#This Row],[COLOR CARTA]]</f>
        <v>0</v>
      </c>
      <c r="AA183">
        <f>Tabla35[[#This Row],[COLOR OFICIO]]-Tabla34[[#This Row],[COLOR OFICIO]]</f>
        <v>0</v>
      </c>
      <c r="AB183">
        <f>Tabla35[[#This Row],[ENVIAR]]-Tabla34[[#This Row],[ENVIAR]]</f>
        <v>14654</v>
      </c>
      <c r="AC183">
        <f>Tabla35[[#This Row],[COPIAR]]-Tabla34[[#This Row],[COPIAR]]</f>
        <v>2071</v>
      </c>
    </row>
    <row r="184" spans="1:29" x14ac:dyDescent="0.25">
      <c r="A184" t="s">
        <v>10</v>
      </c>
      <c r="B184" t="s">
        <v>235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K184" t="s">
        <v>795</v>
      </c>
      <c r="L184" t="s">
        <v>235</v>
      </c>
      <c r="M184">
        <v>4106</v>
      </c>
      <c r="N184">
        <v>19</v>
      </c>
      <c r="O184">
        <v>0</v>
      </c>
      <c r="P184">
        <v>0</v>
      </c>
      <c r="Q184">
        <v>0</v>
      </c>
      <c r="R184">
        <v>126</v>
      </c>
      <c r="S184">
        <v>2036</v>
      </c>
      <c r="U184" t="s">
        <v>795</v>
      </c>
      <c r="V184" t="s">
        <v>235</v>
      </c>
      <c r="W184">
        <f>Tabla35[[#This Row],[BN CARTA]]-Tabla34[[#This Row],[BN CARTA]]</f>
        <v>4106</v>
      </c>
      <c r="X184">
        <f>Tabla35[[#This Row],[BN OFICIO]]-Tabla34[[#This Row],[BN OFICIO]]</f>
        <v>19</v>
      </c>
      <c r="Y184">
        <f>Tabla35[[#This Row],[BN DC]]-Tabla34[[#This Row],[BN DC]]</f>
        <v>0</v>
      </c>
      <c r="Z184">
        <f>Tabla35[[#This Row],[COLOR CARTA]]-Tabla34[[#This Row],[COLOR CARTA]]</f>
        <v>0</v>
      </c>
      <c r="AA184">
        <f>Tabla35[[#This Row],[COLOR OFICIO]]-Tabla34[[#This Row],[COLOR OFICIO]]</f>
        <v>0</v>
      </c>
      <c r="AB184">
        <f>Tabla35[[#This Row],[ENVIAR]]-Tabla34[[#This Row],[ENVIAR]]</f>
        <v>126</v>
      </c>
      <c r="AC184">
        <f>Tabla35[[#This Row],[COPIAR]]-Tabla34[[#This Row],[COPIAR]]</f>
        <v>2036</v>
      </c>
    </row>
    <row r="185" spans="1:29" x14ac:dyDescent="0.25">
      <c r="A185" t="s">
        <v>10</v>
      </c>
      <c r="B185" t="s">
        <v>236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K185" t="s">
        <v>795</v>
      </c>
      <c r="L185" t="s">
        <v>236</v>
      </c>
      <c r="M185">
        <v>3424</v>
      </c>
      <c r="N185">
        <v>29</v>
      </c>
      <c r="O185">
        <v>0</v>
      </c>
      <c r="P185">
        <v>0</v>
      </c>
      <c r="Q185">
        <v>0</v>
      </c>
      <c r="R185">
        <v>1732</v>
      </c>
      <c r="S185">
        <v>1058</v>
      </c>
      <c r="U185" t="s">
        <v>795</v>
      </c>
      <c r="V185" t="s">
        <v>236</v>
      </c>
      <c r="W185">
        <f>Tabla35[[#This Row],[BN CARTA]]-Tabla34[[#This Row],[BN CARTA]]</f>
        <v>3424</v>
      </c>
      <c r="X185">
        <f>Tabla35[[#This Row],[BN OFICIO]]-Tabla34[[#This Row],[BN OFICIO]]</f>
        <v>29</v>
      </c>
      <c r="Y185">
        <f>Tabla35[[#This Row],[BN DC]]-Tabla34[[#This Row],[BN DC]]</f>
        <v>0</v>
      </c>
      <c r="Z185">
        <f>Tabla35[[#This Row],[COLOR CARTA]]-Tabla34[[#This Row],[COLOR CARTA]]</f>
        <v>0</v>
      </c>
      <c r="AA185">
        <f>Tabla35[[#This Row],[COLOR OFICIO]]-Tabla34[[#This Row],[COLOR OFICIO]]</f>
        <v>0</v>
      </c>
      <c r="AB185">
        <f>Tabla35[[#This Row],[ENVIAR]]-Tabla34[[#This Row],[ENVIAR]]</f>
        <v>1732</v>
      </c>
      <c r="AC185">
        <f>Tabla35[[#This Row],[COPIAR]]-Tabla34[[#This Row],[COPIAR]]</f>
        <v>1058</v>
      </c>
    </row>
    <row r="186" spans="1:29" x14ac:dyDescent="0.25">
      <c r="A186" t="s">
        <v>10</v>
      </c>
      <c r="B186" t="s">
        <v>237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K186" t="s">
        <v>10</v>
      </c>
      <c r="L186" t="s">
        <v>237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U186" t="s">
        <v>10</v>
      </c>
      <c r="V186" t="s">
        <v>237</v>
      </c>
      <c r="W186">
        <f>Tabla35[[#This Row],[BN CARTA]]-Tabla34[[#This Row],[BN CARTA]]</f>
        <v>0</v>
      </c>
      <c r="X186">
        <f>Tabla35[[#This Row],[BN OFICIO]]-Tabla34[[#This Row],[BN OFICIO]]</f>
        <v>0</v>
      </c>
      <c r="Y186">
        <f>Tabla35[[#This Row],[BN DC]]-Tabla34[[#This Row],[BN DC]]</f>
        <v>0</v>
      </c>
      <c r="Z186">
        <f>Tabla35[[#This Row],[COLOR CARTA]]-Tabla34[[#This Row],[COLOR CARTA]]</f>
        <v>0</v>
      </c>
      <c r="AA186">
        <f>Tabla35[[#This Row],[COLOR OFICIO]]-Tabla34[[#This Row],[COLOR OFICIO]]</f>
        <v>0</v>
      </c>
      <c r="AB186">
        <f>Tabla35[[#This Row],[ENVIAR]]-Tabla34[[#This Row],[ENVIAR]]</f>
        <v>0</v>
      </c>
      <c r="AC186">
        <f>Tabla35[[#This Row],[COPIAR]]-Tabla34[[#This Row],[COPIAR]]</f>
        <v>0</v>
      </c>
    </row>
    <row r="187" spans="1:29" x14ac:dyDescent="0.25">
      <c r="A187" t="s">
        <v>10</v>
      </c>
      <c r="B187" t="s">
        <v>238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K187" t="s">
        <v>10</v>
      </c>
      <c r="L187" t="s">
        <v>238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U187" t="s">
        <v>10</v>
      </c>
      <c r="V187" t="s">
        <v>238</v>
      </c>
      <c r="W187">
        <f>Tabla35[[#This Row],[BN CARTA]]-Tabla34[[#This Row],[BN CARTA]]</f>
        <v>0</v>
      </c>
      <c r="X187">
        <f>Tabla35[[#This Row],[BN OFICIO]]-Tabla34[[#This Row],[BN OFICIO]]</f>
        <v>0</v>
      </c>
      <c r="Y187">
        <f>Tabla35[[#This Row],[BN DC]]-Tabla34[[#This Row],[BN DC]]</f>
        <v>0</v>
      </c>
      <c r="Z187">
        <f>Tabla35[[#This Row],[COLOR CARTA]]-Tabla34[[#This Row],[COLOR CARTA]]</f>
        <v>0</v>
      </c>
      <c r="AA187">
        <f>Tabla35[[#This Row],[COLOR OFICIO]]-Tabla34[[#This Row],[COLOR OFICIO]]</f>
        <v>0</v>
      </c>
      <c r="AB187">
        <f>Tabla35[[#This Row],[ENVIAR]]-Tabla34[[#This Row],[ENVIAR]]</f>
        <v>0</v>
      </c>
      <c r="AC187">
        <f>Tabla35[[#This Row],[COPIAR]]-Tabla34[[#This Row],[COPIAR]]</f>
        <v>0</v>
      </c>
    </row>
    <row r="188" spans="1:29" x14ac:dyDescent="0.25">
      <c r="A188" t="s">
        <v>10</v>
      </c>
      <c r="B188" t="s">
        <v>239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K188" t="s">
        <v>791</v>
      </c>
      <c r="L188" t="s">
        <v>239</v>
      </c>
      <c r="M188">
        <v>323</v>
      </c>
      <c r="N188">
        <v>0</v>
      </c>
      <c r="O188">
        <v>0</v>
      </c>
      <c r="P188">
        <v>0</v>
      </c>
      <c r="Q188">
        <v>0</v>
      </c>
      <c r="R188">
        <v>52</v>
      </c>
      <c r="S188">
        <v>49</v>
      </c>
      <c r="U188" t="s">
        <v>791</v>
      </c>
      <c r="V188" t="s">
        <v>239</v>
      </c>
      <c r="W188">
        <f>Tabla35[[#This Row],[BN CARTA]]-Tabla34[[#This Row],[BN CARTA]]</f>
        <v>323</v>
      </c>
      <c r="X188">
        <f>Tabla35[[#This Row],[BN OFICIO]]-Tabla34[[#This Row],[BN OFICIO]]</f>
        <v>0</v>
      </c>
      <c r="Y188">
        <f>Tabla35[[#This Row],[BN DC]]-Tabla34[[#This Row],[BN DC]]</f>
        <v>0</v>
      </c>
      <c r="Z188">
        <f>Tabla35[[#This Row],[COLOR CARTA]]-Tabla34[[#This Row],[COLOR CARTA]]</f>
        <v>0</v>
      </c>
      <c r="AA188">
        <f>Tabla35[[#This Row],[COLOR OFICIO]]-Tabla34[[#This Row],[COLOR OFICIO]]</f>
        <v>0</v>
      </c>
      <c r="AB188">
        <f>Tabla35[[#This Row],[ENVIAR]]-Tabla34[[#This Row],[ENVIAR]]</f>
        <v>52</v>
      </c>
      <c r="AC188">
        <f>Tabla35[[#This Row],[COPIAR]]-Tabla34[[#This Row],[COPIAR]]</f>
        <v>49</v>
      </c>
    </row>
    <row r="189" spans="1:29" x14ac:dyDescent="0.25">
      <c r="A189" t="s">
        <v>10</v>
      </c>
      <c r="B189" t="s">
        <v>240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K189" t="s">
        <v>10</v>
      </c>
      <c r="L189" t="s">
        <v>240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U189" t="s">
        <v>10</v>
      </c>
      <c r="V189" t="s">
        <v>240</v>
      </c>
      <c r="W189">
        <f>Tabla35[[#This Row],[BN CARTA]]-Tabla34[[#This Row],[BN CARTA]]</f>
        <v>0</v>
      </c>
      <c r="X189">
        <f>Tabla35[[#This Row],[BN OFICIO]]-Tabla34[[#This Row],[BN OFICIO]]</f>
        <v>0</v>
      </c>
      <c r="Y189">
        <f>Tabla35[[#This Row],[BN DC]]-Tabla34[[#This Row],[BN DC]]</f>
        <v>0</v>
      </c>
      <c r="Z189">
        <f>Tabla35[[#This Row],[COLOR CARTA]]-Tabla34[[#This Row],[COLOR CARTA]]</f>
        <v>0</v>
      </c>
      <c r="AA189">
        <f>Tabla35[[#This Row],[COLOR OFICIO]]-Tabla34[[#This Row],[COLOR OFICIO]]</f>
        <v>0</v>
      </c>
      <c r="AB189">
        <f>Tabla35[[#This Row],[ENVIAR]]-Tabla34[[#This Row],[ENVIAR]]</f>
        <v>0</v>
      </c>
      <c r="AC189">
        <f>Tabla35[[#This Row],[COPIAR]]-Tabla34[[#This Row],[COPIAR]]</f>
        <v>0</v>
      </c>
    </row>
    <row r="190" spans="1:29" x14ac:dyDescent="0.25">
      <c r="A190" t="s">
        <v>10</v>
      </c>
      <c r="B190" t="s">
        <v>241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K190" t="s">
        <v>788</v>
      </c>
      <c r="L190" t="s">
        <v>241</v>
      </c>
      <c r="M190">
        <v>904</v>
      </c>
      <c r="N190">
        <v>0</v>
      </c>
      <c r="O190">
        <v>0</v>
      </c>
      <c r="P190">
        <v>0</v>
      </c>
      <c r="Q190">
        <v>0</v>
      </c>
      <c r="R190">
        <v>322</v>
      </c>
      <c r="S190">
        <v>644</v>
      </c>
      <c r="U190" t="s">
        <v>788</v>
      </c>
      <c r="V190" t="s">
        <v>241</v>
      </c>
      <c r="W190">
        <f>Tabla35[[#This Row],[BN CARTA]]-Tabla34[[#This Row],[BN CARTA]]</f>
        <v>904</v>
      </c>
      <c r="X190">
        <f>Tabla35[[#This Row],[BN OFICIO]]-Tabla34[[#This Row],[BN OFICIO]]</f>
        <v>0</v>
      </c>
      <c r="Y190">
        <f>Tabla35[[#This Row],[BN DC]]-Tabla34[[#This Row],[BN DC]]</f>
        <v>0</v>
      </c>
      <c r="Z190">
        <f>Tabla35[[#This Row],[COLOR CARTA]]-Tabla34[[#This Row],[COLOR CARTA]]</f>
        <v>0</v>
      </c>
      <c r="AA190">
        <f>Tabla35[[#This Row],[COLOR OFICIO]]-Tabla34[[#This Row],[COLOR OFICIO]]</f>
        <v>0</v>
      </c>
      <c r="AB190">
        <f>Tabla35[[#This Row],[ENVIAR]]-Tabla34[[#This Row],[ENVIAR]]</f>
        <v>322</v>
      </c>
      <c r="AC190">
        <f>Tabla35[[#This Row],[COPIAR]]-Tabla34[[#This Row],[COPIAR]]</f>
        <v>644</v>
      </c>
    </row>
    <row r="191" spans="1:29" x14ac:dyDescent="0.25">
      <c r="A191" t="s">
        <v>138</v>
      </c>
      <c r="B191" t="s">
        <v>242</v>
      </c>
      <c r="C191">
        <v>2468</v>
      </c>
      <c r="D191">
        <v>0</v>
      </c>
      <c r="E191">
        <v>0</v>
      </c>
      <c r="F191">
        <v>0</v>
      </c>
      <c r="G191">
        <v>0</v>
      </c>
      <c r="H191">
        <v>1140</v>
      </c>
      <c r="I191">
        <v>326</v>
      </c>
      <c r="K191" t="s">
        <v>138</v>
      </c>
      <c r="L191" t="s">
        <v>242</v>
      </c>
      <c r="M191">
        <v>2468</v>
      </c>
      <c r="N191">
        <v>0</v>
      </c>
      <c r="O191">
        <v>0</v>
      </c>
      <c r="P191">
        <v>0</v>
      </c>
      <c r="Q191">
        <v>0</v>
      </c>
      <c r="R191">
        <v>1140</v>
      </c>
      <c r="S191">
        <v>326</v>
      </c>
      <c r="U191" t="s">
        <v>138</v>
      </c>
      <c r="V191" t="s">
        <v>242</v>
      </c>
      <c r="W191">
        <f>Tabla35[[#This Row],[BN CARTA]]-Tabla34[[#This Row],[BN CARTA]]</f>
        <v>0</v>
      </c>
      <c r="X191">
        <f>Tabla35[[#This Row],[BN OFICIO]]-Tabla34[[#This Row],[BN OFICIO]]</f>
        <v>0</v>
      </c>
      <c r="Y191">
        <f>Tabla35[[#This Row],[BN DC]]-Tabla34[[#This Row],[BN DC]]</f>
        <v>0</v>
      </c>
      <c r="Z191">
        <f>Tabla35[[#This Row],[COLOR CARTA]]-Tabla34[[#This Row],[COLOR CARTA]]</f>
        <v>0</v>
      </c>
      <c r="AA191">
        <f>Tabla35[[#This Row],[COLOR OFICIO]]-Tabla34[[#This Row],[COLOR OFICIO]]</f>
        <v>0</v>
      </c>
      <c r="AB191">
        <f>Tabla35[[#This Row],[ENVIAR]]-Tabla34[[#This Row],[ENVIAR]]</f>
        <v>0</v>
      </c>
      <c r="AC191">
        <f>Tabla35[[#This Row],[COPIAR]]-Tabla34[[#This Row],[COPIAR]]</f>
        <v>0</v>
      </c>
    </row>
    <row r="192" spans="1:29" x14ac:dyDescent="0.25">
      <c r="A192" t="s">
        <v>10</v>
      </c>
      <c r="B192" t="s">
        <v>243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K192" t="s">
        <v>512</v>
      </c>
      <c r="L192" t="s">
        <v>243</v>
      </c>
      <c r="M192">
        <v>114</v>
      </c>
      <c r="N192">
        <v>0</v>
      </c>
      <c r="O192">
        <v>0</v>
      </c>
      <c r="P192">
        <v>0</v>
      </c>
      <c r="Q192">
        <v>0</v>
      </c>
      <c r="R192">
        <v>2</v>
      </c>
      <c r="S192">
        <v>18</v>
      </c>
      <c r="U192" t="s">
        <v>512</v>
      </c>
      <c r="V192" t="s">
        <v>243</v>
      </c>
      <c r="W192">
        <f>Tabla35[[#This Row],[BN CARTA]]-Tabla34[[#This Row],[BN CARTA]]</f>
        <v>114</v>
      </c>
      <c r="X192">
        <f>Tabla35[[#This Row],[BN OFICIO]]-Tabla34[[#This Row],[BN OFICIO]]</f>
        <v>0</v>
      </c>
      <c r="Y192">
        <f>Tabla35[[#This Row],[BN DC]]-Tabla34[[#This Row],[BN DC]]</f>
        <v>0</v>
      </c>
      <c r="Z192">
        <f>Tabla35[[#This Row],[COLOR CARTA]]-Tabla34[[#This Row],[COLOR CARTA]]</f>
        <v>0</v>
      </c>
      <c r="AA192">
        <f>Tabla35[[#This Row],[COLOR OFICIO]]-Tabla34[[#This Row],[COLOR OFICIO]]</f>
        <v>0</v>
      </c>
      <c r="AB192">
        <f>Tabla35[[#This Row],[ENVIAR]]-Tabla34[[#This Row],[ENVIAR]]</f>
        <v>2</v>
      </c>
      <c r="AC192">
        <f>Tabla35[[#This Row],[COPIAR]]-Tabla34[[#This Row],[COPIAR]]</f>
        <v>18</v>
      </c>
    </row>
    <row r="193" spans="1:29" x14ac:dyDescent="0.25">
      <c r="A193" t="s">
        <v>10</v>
      </c>
      <c r="B193" t="s">
        <v>244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K193" t="s">
        <v>796</v>
      </c>
      <c r="L193" t="s">
        <v>244</v>
      </c>
      <c r="M193">
        <v>8085</v>
      </c>
      <c r="N193">
        <v>11</v>
      </c>
      <c r="O193">
        <v>0</v>
      </c>
      <c r="P193">
        <v>0</v>
      </c>
      <c r="Q193">
        <v>0</v>
      </c>
      <c r="R193">
        <v>4434</v>
      </c>
      <c r="S193">
        <v>1118</v>
      </c>
      <c r="U193" t="s">
        <v>796</v>
      </c>
      <c r="V193" t="s">
        <v>244</v>
      </c>
      <c r="W193">
        <f>Tabla35[[#This Row],[BN CARTA]]-Tabla34[[#This Row],[BN CARTA]]</f>
        <v>8085</v>
      </c>
      <c r="X193">
        <f>Tabla35[[#This Row],[BN OFICIO]]-Tabla34[[#This Row],[BN OFICIO]]</f>
        <v>11</v>
      </c>
      <c r="Y193">
        <f>Tabla35[[#This Row],[BN DC]]-Tabla34[[#This Row],[BN DC]]</f>
        <v>0</v>
      </c>
      <c r="Z193">
        <f>Tabla35[[#This Row],[COLOR CARTA]]-Tabla34[[#This Row],[COLOR CARTA]]</f>
        <v>0</v>
      </c>
      <c r="AA193">
        <f>Tabla35[[#This Row],[COLOR OFICIO]]-Tabla34[[#This Row],[COLOR OFICIO]]</f>
        <v>0</v>
      </c>
      <c r="AB193">
        <f>Tabla35[[#This Row],[ENVIAR]]-Tabla34[[#This Row],[ENVIAR]]</f>
        <v>4434</v>
      </c>
      <c r="AC193">
        <f>Tabla35[[#This Row],[COPIAR]]-Tabla34[[#This Row],[COPIAR]]</f>
        <v>1118</v>
      </c>
    </row>
    <row r="194" spans="1:29" x14ac:dyDescent="0.25">
      <c r="A194" t="s">
        <v>146</v>
      </c>
      <c r="B194" t="s">
        <v>245</v>
      </c>
      <c r="C194">
        <v>222</v>
      </c>
      <c r="D194">
        <v>0</v>
      </c>
      <c r="E194">
        <v>0</v>
      </c>
      <c r="F194">
        <v>0</v>
      </c>
      <c r="G194">
        <v>0</v>
      </c>
      <c r="H194">
        <v>143</v>
      </c>
      <c r="I194">
        <v>23</v>
      </c>
      <c r="K194" t="s">
        <v>146</v>
      </c>
      <c r="L194" t="s">
        <v>245</v>
      </c>
      <c r="M194">
        <v>794</v>
      </c>
      <c r="N194">
        <v>1</v>
      </c>
      <c r="O194">
        <v>0</v>
      </c>
      <c r="P194">
        <v>0</v>
      </c>
      <c r="Q194">
        <v>0</v>
      </c>
      <c r="R194">
        <v>698</v>
      </c>
      <c r="S194">
        <v>120</v>
      </c>
      <c r="U194" t="s">
        <v>146</v>
      </c>
      <c r="V194" t="s">
        <v>245</v>
      </c>
      <c r="W194">
        <f>Tabla35[[#This Row],[BN CARTA]]-Tabla34[[#This Row],[BN CARTA]]</f>
        <v>572</v>
      </c>
      <c r="X194">
        <f>Tabla35[[#This Row],[BN OFICIO]]-Tabla34[[#This Row],[BN OFICIO]]</f>
        <v>1</v>
      </c>
      <c r="Y194">
        <f>Tabla35[[#This Row],[BN DC]]-Tabla34[[#This Row],[BN DC]]</f>
        <v>0</v>
      </c>
      <c r="Z194">
        <f>Tabla35[[#This Row],[COLOR CARTA]]-Tabla34[[#This Row],[COLOR CARTA]]</f>
        <v>0</v>
      </c>
      <c r="AA194">
        <f>Tabla35[[#This Row],[COLOR OFICIO]]-Tabla34[[#This Row],[COLOR OFICIO]]</f>
        <v>0</v>
      </c>
      <c r="AB194">
        <f>Tabla35[[#This Row],[ENVIAR]]-Tabla34[[#This Row],[ENVIAR]]</f>
        <v>555</v>
      </c>
      <c r="AC194">
        <f>Tabla35[[#This Row],[COPIAR]]-Tabla34[[#This Row],[COPIAR]]</f>
        <v>97</v>
      </c>
    </row>
    <row r="195" spans="1:29" x14ac:dyDescent="0.25">
      <c r="A195" t="s">
        <v>150</v>
      </c>
      <c r="B195" t="s">
        <v>246</v>
      </c>
      <c r="C195">
        <v>11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K195" t="s">
        <v>150</v>
      </c>
      <c r="L195" t="s">
        <v>246</v>
      </c>
      <c r="M195">
        <v>220</v>
      </c>
      <c r="N195">
        <v>0</v>
      </c>
      <c r="O195">
        <v>0</v>
      </c>
      <c r="P195">
        <v>0</v>
      </c>
      <c r="Q195">
        <v>0</v>
      </c>
      <c r="R195">
        <v>26</v>
      </c>
      <c r="S195">
        <v>38</v>
      </c>
      <c r="U195" t="s">
        <v>150</v>
      </c>
      <c r="V195" t="s">
        <v>246</v>
      </c>
      <c r="W195">
        <f>Tabla35[[#This Row],[BN CARTA]]-Tabla34[[#This Row],[BN CARTA]]</f>
        <v>209</v>
      </c>
      <c r="X195">
        <f>Tabla35[[#This Row],[BN OFICIO]]-Tabla34[[#This Row],[BN OFICIO]]</f>
        <v>0</v>
      </c>
      <c r="Y195">
        <f>Tabla35[[#This Row],[BN DC]]-Tabla34[[#This Row],[BN DC]]</f>
        <v>0</v>
      </c>
      <c r="Z195">
        <f>Tabla35[[#This Row],[COLOR CARTA]]-Tabla34[[#This Row],[COLOR CARTA]]</f>
        <v>0</v>
      </c>
      <c r="AA195">
        <f>Tabla35[[#This Row],[COLOR OFICIO]]-Tabla34[[#This Row],[COLOR OFICIO]]</f>
        <v>0</v>
      </c>
      <c r="AB195">
        <f>Tabla35[[#This Row],[ENVIAR]]-Tabla34[[#This Row],[ENVIAR]]</f>
        <v>26</v>
      </c>
      <c r="AC195">
        <f>Tabla35[[#This Row],[COPIAR]]-Tabla34[[#This Row],[COPIAR]]</f>
        <v>38</v>
      </c>
    </row>
    <row r="196" spans="1:29" x14ac:dyDescent="0.25">
      <c r="A196" t="s">
        <v>10</v>
      </c>
      <c r="B196" t="s">
        <v>247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K196" t="s">
        <v>10</v>
      </c>
      <c r="L196" t="s">
        <v>247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U196" t="s">
        <v>10</v>
      </c>
      <c r="V196" t="s">
        <v>247</v>
      </c>
      <c r="W196">
        <f>Tabla35[[#This Row],[BN CARTA]]-Tabla34[[#This Row],[BN CARTA]]</f>
        <v>0</v>
      </c>
      <c r="X196">
        <f>Tabla35[[#This Row],[BN OFICIO]]-Tabla34[[#This Row],[BN OFICIO]]</f>
        <v>0</v>
      </c>
      <c r="Y196">
        <f>Tabla35[[#This Row],[BN DC]]-Tabla34[[#This Row],[BN DC]]</f>
        <v>0</v>
      </c>
      <c r="Z196">
        <f>Tabla35[[#This Row],[COLOR CARTA]]-Tabla34[[#This Row],[COLOR CARTA]]</f>
        <v>0</v>
      </c>
      <c r="AA196">
        <f>Tabla35[[#This Row],[COLOR OFICIO]]-Tabla34[[#This Row],[COLOR OFICIO]]</f>
        <v>0</v>
      </c>
      <c r="AB196">
        <f>Tabla35[[#This Row],[ENVIAR]]-Tabla34[[#This Row],[ENVIAR]]</f>
        <v>0</v>
      </c>
      <c r="AC196">
        <f>Tabla35[[#This Row],[COPIAR]]-Tabla34[[#This Row],[COPIAR]]</f>
        <v>0</v>
      </c>
    </row>
    <row r="197" spans="1:29" x14ac:dyDescent="0.25">
      <c r="A197" t="s">
        <v>248</v>
      </c>
      <c r="B197" t="s">
        <v>249</v>
      </c>
      <c r="C197">
        <v>1717</v>
      </c>
      <c r="D197">
        <v>0</v>
      </c>
      <c r="E197">
        <v>0</v>
      </c>
      <c r="F197">
        <v>0</v>
      </c>
      <c r="G197">
        <v>0</v>
      </c>
      <c r="H197">
        <v>1728</v>
      </c>
      <c r="I197">
        <v>192</v>
      </c>
      <c r="K197" t="s">
        <v>248</v>
      </c>
      <c r="L197" t="s">
        <v>249</v>
      </c>
      <c r="M197">
        <v>1717</v>
      </c>
      <c r="N197">
        <v>0</v>
      </c>
      <c r="O197">
        <v>0</v>
      </c>
      <c r="P197">
        <v>0</v>
      </c>
      <c r="Q197">
        <v>0</v>
      </c>
      <c r="R197">
        <v>1728</v>
      </c>
      <c r="S197">
        <v>192</v>
      </c>
      <c r="U197" t="s">
        <v>248</v>
      </c>
      <c r="V197" t="s">
        <v>249</v>
      </c>
      <c r="W197">
        <f>Tabla35[[#This Row],[BN CARTA]]-Tabla34[[#This Row],[BN CARTA]]</f>
        <v>0</v>
      </c>
      <c r="X197">
        <f>Tabla35[[#This Row],[BN OFICIO]]-Tabla34[[#This Row],[BN OFICIO]]</f>
        <v>0</v>
      </c>
      <c r="Y197">
        <f>Tabla35[[#This Row],[BN DC]]-Tabla34[[#This Row],[BN DC]]</f>
        <v>0</v>
      </c>
      <c r="Z197">
        <f>Tabla35[[#This Row],[COLOR CARTA]]-Tabla34[[#This Row],[COLOR CARTA]]</f>
        <v>0</v>
      </c>
      <c r="AA197">
        <f>Tabla35[[#This Row],[COLOR OFICIO]]-Tabla34[[#This Row],[COLOR OFICIO]]</f>
        <v>0</v>
      </c>
      <c r="AB197">
        <f>Tabla35[[#This Row],[ENVIAR]]-Tabla34[[#This Row],[ENVIAR]]</f>
        <v>0</v>
      </c>
      <c r="AC197">
        <f>Tabla35[[#This Row],[COPIAR]]-Tabla34[[#This Row],[COPIAR]]</f>
        <v>0</v>
      </c>
    </row>
    <row r="198" spans="1:29" x14ac:dyDescent="0.25">
      <c r="A198" t="s">
        <v>185</v>
      </c>
      <c r="B198" t="s">
        <v>250</v>
      </c>
      <c r="C198">
        <v>31</v>
      </c>
      <c r="D198">
        <v>0</v>
      </c>
      <c r="E198">
        <v>0</v>
      </c>
      <c r="F198">
        <v>0</v>
      </c>
      <c r="G198">
        <v>0</v>
      </c>
      <c r="H198">
        <v>19</v>
      </c>
      <c r="I198">
        <v>6</v>
      </c>
      <c r="K198" t="s">
        <v>185</v>
      </c>
      <c r="L198" t="s">
        <v>250</v>
      </c>
      <c r="M198">
        <v>169</v>
      </c>
      <c r="N198">
        <v>0</v>
      </c>
      <c r="O198">
        <v>0</v>
      </c>
      <c r="P198">
        <v>0</v>
      </c>
      <c r="Q198">
        <v>0</v>
      </c>
      <c r="R198">
        <v>43</v>
      </c>
      <c r="S198">
        <v>27</v>
      </c>
      <c r="U198" t="s">
        <v>185</v>
      </c>
      <c r="V198" t="s">
        <v>250</v>
      </c>
      <c r="W198">
        <f>Tabla35[[#This Row],[BN CARTA]]-Tabla34[[#This Row],[BN CARTA]]</f>
        <v>138</v>
      </c>
      <c r="X198">
        <f>Tabla35[[#This Row],[BN OFICIO]]-Tabla34[[#This Row],[BN OFICIO]]</f>
        <v>0</v>
      </c>
      <c r="Y198">
        <f>Tabla35[[#This Row],[BN DC]]-Tabla34[[#This Row],[BN DC]]</f>
        <v>0</v>
      </c>
      <c r="Z198">
        <f>Tabla35[[#This Row],[COLOR CARTA]]-Tabla34[[#This Row],[COLOR CARTA]]</f>
        <v>0</v>
      </c>
      <c r="AA198">
        <f>Tabla35[[#This Row],[COLOR OFICIO]]-Tabla34[[#This Row],[COLOR OFICIO]]</f>
        <v>0</v>
      </c>
      <c r="AB198">
        <f>Tabla35[[#This Row],[ENVIAR]]-Tabla34[[#This Row],[ENVIAR]]</f>
        <v>24</v>
      </c>
      <c r="AC198">
        <f>Tabla35[[#This Row],[COPIAR]]-Tabla34[[#This Row],[COPIAR]]</f>
        <v>21</v>
      </c>
    </row>
    <row r="199" spans="1:29" x14ac:dyDescent="0.25">
      <c r="A199" t="s">
        <v>10</v>
      </c>
      <c r="B199" t="s">
        <v>251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K199" t="s">
        <v>10</v>
      </c>
      <c r="L199" t="s">
        <v>251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U199" t="s">
        <v>10</v>
      </c>
      <c r="V199" t="s">
        <v>251</v>
      </c>
      <c r="W199">
        <f>Tabla35[[#This Row],[BN CARTA]]-Tabla34[[#This Row],[BN CARTA]]</f>
        <v>0</v>
      </c>
      <c r="X199">
        <f>Tabla35[[#This Row],[BN OFICIO]]-Tabla34[[#This Row],[BN OFICIO]]</f>
        <v>0</v>
      </c>
      <c r="Y199">
        <f>Tabla35[[#This Row],[BN DC]]-Tabla34[[#This Row],[BN DC]]</f>
        <v>0</v>
      </c>
      <c r="Z199">
        <f>Tabla35[[#This Row],[COLOR CARTA]]-Tabla34[[#This Row],[COLOR CARTA]]</f>
        <v>0</v>
      </c>
      <c r="AA199">
        <f>Tabla35[[#This Row],[COLOR OFICIO]]-Tabla34[[#This Row],[COLOR OFICIO]]</f>
        <v>0</v>
      </c>
      <c r="AB199">
        <f>Tabla35[[#This Row],[ENVIAR]]-Tabla34[[#This Row],[ENVIAR]]</f>
        <v>0</v>
      </c>
      <c r="AC199">
        <f>Tabla35[[#This Row],[COPIAR]]-Tabla34[[#This Row],[COPIAR]]</f>
        <v>0</v>
      </c>
    </row>
    <row r="200" spans="1:29" x14ac:dyDescent="0.25">
      <c r="A200" t="s">
        <v>10</v>
      </c>
      <c r="B200" t="s">
        <v>252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K200" t="s">
        <v>795</v>
      </c>
      <c r="L200" t="s">
        <v>252</v>
      </c>
      <c r="M200">
        <v>4186</v>
      </c>
      <c r="N200">
        <v>8</v>
      </c>
      <c r="O200">
        <v>0</v>
      </c>
      <c r="P200">
        <v>0</v>
      </c>
      <c r="Q200">
        <v>0</v>
      </c>
      <c r="R200">
        <v>2185</v>
      </c>
      <c r="S200">
        <v>1198</v>
      </c>
      <c r="U200" t="s">
        <v>795</v>
      </c>
      <c r="V200" t="s">
        <v>252</v>
      </c>
      <c r="W200">
        <f>Tabla35[[#This Row],[BN CARTA]]-Tabla34[[#This Row],[BN CARTA]]</f>
        <v>4186</v>
      </c>
      <c r="X200">
        <f>Tabla35[[#This Row],[BN OFICIO]]-Tabla34[[#This Row],[BN OFICIO]]</f>
        <v>8</v>
      </c>
      <c r="Y200">
        <f>Tabla35[[#This Row],[BN DC]]-Tabla34[[#This Row],[BN DC]]</f>
        <v>0</v>
      </c>
      <c r="Z200">
        <f>Tabla35[[#This Row],[COLOR CARTA]]-Tabla34[[#This Row],[COLOR CARTA]]</f>
        <v>0</v>
      </c>
      <c r="AA200">
        <f>Tabla35[[#This Row],[COLOR OFICIO]]-Tabla34[[#This Row],[COLOR OFICIO]]</f>
        <v>0</v>
      </c>
      <c r="AB200">
        <f>Tabla35[[#This Row],[ENVIAR]]-Tabla34[[#This Row],[ENVIAR]]</f>
        <v>2185</v>
      </c>
      <c r="AC200">
        <f>Tabla35[[#This Row],[COPIAR]]-Tabla34[[#This Row],[COPIAR]]</f>
        <v>1198</v>
      </c>
    </row>
    <row r="201" spans="1:29" x14ac:dyDescent="0.25">
      <c r="A201" t="s">
        <v>10</v>
      </c>
      <c r="B201" t="s">
        <v>253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K201" t="s">
        <v>10</v>
      </c>
      <c r="L201" t="s">
        <v>253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U201" t="s">
        <v>10</v>
      </c>
      <c r="V201" t="s">
        <v>253</v>
      </c>
      <c r="W201">
        <f>Tabla35[[#This Row],[BN CARTA]]-Tabla34[[#This Row],[BN CARTA]]</f>
        <v>0</v>
      </c>
      <c r="X201">
        <f>Tabla35[[#This Row],[BN OFICIO]]-Tabla34[[#This Row],[BN OFICIO]]</f>
        <v>0</v>
      </c>
      <c r="Y201">
        <f>Tabla35[[#This Row],[BN DC]]-Tabla34[[#This Row],[BN DC]]</f>
        <v>0</v>
      </c>
      <c r="Z201">
        <f>Tabla35[[#This Row],[COLOR CARTA]]-Tabla34[[#This Row],[COLOR CARTA]]</f>
        <v>0</v>
      </c>
      <c r="AA201">
        <f>Tabla35[[#This Row],[COLOR OFICIO]]-Tabla34[[#This Row],[COLOR OFICIO]]</f>
        <v>0</v>
      </c>
      <c r="AB201">
        <f>Tabla35[[#This Row],[ENVIAR]]-Tabla34[[#This Row],[ENVIAR]]</f>
        <v>0</v>
      </c>
      <c r="AC201">
        <f>Tabla35[[#This Row],[COPIAR]]-Tabla34[[#This Row],[COPIAR]]</f>
        <v>0</v>
      </c>
    </row>
    <row r="202" spans="1:29" x14ac:dyDescent="0.25">
      <c r="A202" t="s">
        <v>10</v>
      </c>
      <c r="B202" t="s">
        <v>254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K202" t="s">
        <v>10</v>
      </c>
      <c r="L202" t="s">
        <v>254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U202" t="s">
        <v>10</v>
      </c>
      <c r="V202" t="s">
        <v>254</v>
      </c>
      <c r="W202">
        <f>Tabla35[[#This Row],[BN CARTA]]-Tabla34[[#This Row],[BN CARTA]]</f>
        <v>0</v>
      </c>
      <c r="X202">
        <f>Tabla35[[#This Row],[BN OFICIO]]-Tabla34[[#This Row],[BN OFICIO]]</f>
        <v>0</v>
      </c>
      <c r="Y202">
        <f>Tabla35[[#This Row],[BN DC]]-Tabla34[[#This Row],[BN DC]]</f>
        <v>0</v>
      </c>
      <c r="Z202">
        <f>Tabla35[[#This Row],[COLOR CARTA]]-Tabla34[[#This Row],[COLOR CARTA]]</f>
        <v>0</v>
      </c>
      <c r="AA202">
        <f>Tabla35[[#This Row],[COLOR OFICIO]]-Tabla34[[#This Row],[COLOR OFICIO]]</f>
        <v>0</v>
      </c>
      <c r="AB202">
        <f>Tabla35[[#This Row],[ENVIAR]]-Tabla34[[#This Row],[ENVIAR]]</f>
        <v>0</v>
      </c>
      <c r="AC202">
        <f>Tabla35[[#This Row],[COPIAR]]-Tabla34[[#This Row],[COPIAR]]</f>
        <v>0</v>
      </c>
    </row>
    <row r="203" spans="1:29" x14ac:dyDescent="0.25">
      <c r="A203" t="s">
        <v>67</v>
      </c>
      <c r="B203" t="s">
        <v>255</v>
      </c>
      <c r="C203">
        <v>780</v>
      </c>
      <c r="D203">
        <v>0</v>
      </c>
      <c r="E203">
        <v>0</v>
      </c>
      <c r="F203">
        <v>0</v>
      </c>
      <c r="G203">
        <v>0</v>
      </c>
      <c r="H203">
        <v>42</v>
      </c>
      <c r="I203">
        <v>158</v>
      </c>
      <c r="K203" t="s">
        <v>67</v>
      </c>
      <c r="L203" t="s">
        <v>255</v>
      </c>
      <c r="M203">
        <v>780</v>
      </c>
      <c r="N203">
        <v>0</v>
      </c>
      <c r="O203">
        <v>0</v>
      </c>
      <c r="P203">
        <v>0</v>
      </c>
      <c r="Q203">
        <v>0</v>
      </c>
      <c r="R203">
        <v>42</v>
      </c>
      <c r="S203">
        <v>158</v>
      </c>
      <c r="U203" t="s">
        <v>67</v>
      </c>
      <c r="V203" t="s">
        <v>255</v>
      </c>
      <c r="W203">
        <f>Tabla35[[#This Row],[BN CARTA]]-Tabla34[[#This Row],[BN CARTA]]</f>
        <v>0</v>
      </c>
      <c r="X203">
        <f>Tabla35[[#This Row],[BN OFICIO]]-Tabla34[[#This Row],[BN OFICIO]]</f>
        <v>0</v>
      </c>
      <c r="Y203">
        <f>Tabla35[[#This Row],[BN DC]]-Tabla34[[#This Row],[BN DC]]</f>
        <v>0</v>
      </c>
      <c r="Z203">
        <f>Tabla35[[#This Row],[COLOR CARTA]]-Tabla34[[#This Row],[COLOR CARTA]]</f>
        <v>0</v>
      </c>
      <c r="AA203">
        <f>Tabla35[[#This Row],[COLOR OFICIO]]-Tabla34[[#This Row],[COLOR OFICIO]]</f>
        <v>0</v>
      </c>
      <c r="AB203">
        <f>Tabla35[[#This Row],[ENVIAR]]-Tabla34[[#This Row],[ENVIAR]]</f>
        <v>0</v>
      </c>
      <c r="AC203">
        <f>Tabla35[[#This Row],[COPIAR]]-Tabla34[[#This Row],[COPIAR]]</f>
        <v>0</v>
      </c>
    </row>
    <row r="204" spans="1:29" x14ac:dyDescent="0.25">
      <c r="A204" t="s">
        <v>72</v>
      </c>
      <c r="B204" t="s">
        <v>256</v>
      </c>
      <c r="C204">
        <v>736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3</v>
      </c>
      <c r="K204" t="s">
        <v>72</v>
      </c>
      <c r="L204" t="s">
        <v>256</v>
      </c>
      <c r="M204">
        <v>1438</v>
      </c>
      <c r="N204">
        <v>0</v>
      </c>
      <c r="O204">
        <v>0</v>
      </c>
      <c r="P204">
        <v>0</v>
      </c>
      <c r="Q204">
        <v>0</v>
      </c>
      <c r="R204">
        <v>491</v>
      </c>
      <c r="S204">
        <v>150</v>
      </c>
      <c r="U204" t="s">
        <v>72</v>
      </c>
      <c r="V204" t="s">
        <v>256</v>
      </c>
      <c r="W204">
        <f>Tabla35[[#This Row],[BN CARTA]]-Tabla34[[#This Row],[BN CARTA]]</f>
        <v>702</v>
      </c>
      <c r="X204">
        <f>Tabla35[[#This Row],[BN OFICIO]]-Tabla34[[#This Row],[BN OFICIO]]</f>
        <v>0</v>
      </c>
      <c r="Y204">
        <f>Tabla35[[#This Row],[BN DC]]-Tabla34[[#This Row],[BN DC]]</f>
        <v>0</v>
      </c>
      <c r="Z204">
        <f>Tabla35[[#This Row],[COLOR CARTA]]-Tabla34[[#This Row],[COLOR CARTA]]</f>
        <v>0</v>
      </c>
      <c r="AA204">
        <f>Tabla35[[#This Row],[COLOR OFICIO]]-Tabla34[[#This Row],[COLOR OFICIO]]</f>
        <v>0</v>
      </c>
      <c r="AB204">
        <f>Tabla35[[#This Row],[ENVIAR]]-Tabla34[[#This Row],[ENVIAR]]</f>
        <v>491</v>
      </c>
      <c r="AC204">
        <f>Tabla35[[#This Row],[COPIAR]]-Tabla34[[#This Row],[COPIAR]]</f>
        <v>147</v>
      </c>
    </row>
    <row r="205" spans="1:29" x14ac:dyDescent="0.25">
      <c r="A205" t="s">
        <v>138</v>
      </c>
      <c r="B205" t="s">
        <v>257</v>
      </c>
      <c r="C205">
        <v>2480</v>
      </c>
      <c r="D205">
        <v>15</v>
      </c>
      <c r="E205">
        <v>0</v>
      </c>
      <c r="F205">
        <v>0</v>
      </c>
      <c r="G205">
        <v>0</v>
      </c>
      <c r="H205">
        <v>16</v>
      </c>
      <c r="I205">
        <v>192</v>
      </c>
      <c r="K205" t="s">
        <v>138</v>
      </c>
      <c r="L205" t="s">
        <v>257</v>
      </c>
      <c r="M205">
        <v>2480</v>
      </c>
      <c r="N205">
        <v>15</v>
      </c>
      <c r="O205">
        <v>0</v>
      </c>
      <c r="P205">
        <v>0</v>
      </c>
      <c r="Q205">
        <v>0</v>
      </c>
      <c r="R205">
        <v>16</v>
      </c>
      <c r="S205">
        <v>192</v>
      </c>
      <c r="U205" t="s">
        <v>138</v>
      </c>
      <c r="V205" t="s">
        <v>257</v>
      </c>
      <c r="W205">
        <f>Tabla35[[#This Row],[BN CARTA]]-Tabla34[[#This Row],[BN CARTA]]</f>
        <v>0</v>
      </c>
      <c r="X205">
        <f>Tabla35[[#This Row],[BN OFICIO]]-Tabla34[[#This Row],[BN OFICIO]]</f>
        <v>0</v>
      </c>
      <c r="Y205">
        <f>Tabla35[[#This Row],[BN DC]]-Tabla34[[#This Row],[BN DC]]</f>
        <v>0</v>
      </c>
      <c r="Z205">
        <f>Tabla35[[#This Row],[COLOR CARTA]]-Tabla34[[#This Row],[COLOR CARTA]]</f>
        <v>0</v>
      </c>
      <c r="AA205">
        <f>Tabla35[[#This Row],[COLOR OFICIO]]-Tabla34[[#This Row],[COLOR OFICIO]]</f>
        <v>0</v>
      </c>
      <c r="AB205">
        <f>Tabla35[[#This Row],[ENVIAR]]-Tabla34[[#This Row],[ENVIAR]]</f>
        <v>0</v>
      </c>
      <c r="AC205">
        <f>Tabla35[[#This Row],[COPIAR]]-Tabla34[[#This Row],[COPIAR]]</f>
        <v>0</v>
      </c>
    </row>
    <row r="206" spans="1:29" x14ac:dyDescent="0.25">
      <c r="A206" t="s">
        <v>10</v>
      </c>
      <c r="B206" t="s">
        <v>258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K206" t="s">
        <v>10</v>
      </c>
      <c r="L206" t="s">
        <v>258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U206" t="s">
        <v>10</v>
      </c>
      <c r="V206" t="s">
        <v>258</v>
      </c>
      <c r="W206">
        <f>Tabla35[[#This Row],[BN CARTA]]-Tabla34[[#This Row],[BN CARTA]]</f>
        <v>0</v>
      </c>
      <c r="X206">
        <f>Tabla35[[#This Row],[BN OFICIO]]-Tabla34[[#This Row],[BN OFICIO]]</f>
        <v>0</v>
      </c>
      <c r="Y206">
        <f>Tabla35[[#This Row],[BN DC]]-Tabla34[[#This Row],[BN DC]]</f>
        <v>0</v>
      </c>
      <c r="Z206">
        <f>Tabla35[[#This Row],[COLOR CARTA]]-Tabla34[[#This Row],[COLOR CARTA]]</f>
        <v>0</v>
      </c>
      <c r="AA206">
        <f>Tabla35[[#This Row],[COLOR OFICIO]]-Tabla34[[#This Row],[COLOR OFICIO]]</f>
        <v>0</v>
      </c>
      <c r="AB206">
        <f>Tabla35[[#This Row],[ENVIAR]]-Tabla34[[#This Row],[ENVIAR]]</f>
        <v>0</v>
      </c>
      <c r="AC206">
        <f>Tabla35[[#This Row],[COPIAR]]-Tabla34[[#This Row],[COPIAR]]</f>
        <v>0</v>
      </c>
    </row>
    <row r="207" spans="1:29" x14ac:dyDescent="0.25">
      <c r="A207" t="s">
        <v>10</v>
      </c>
      <c r="B207" t="s">
        <v>259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K207" t="s">
        <v>795</v>
      </c>
      <c r="L207" t="s">
        <v>259</v>
      </c>
      <c r="M207">
        <v>15048</v>
      </c>
      <c r="N207">
        <v>166</v>
      </c>
      <c r="O207">
        <v>0</v>
      </c>
      <c r="P207">
        <v>0</v>
      </c>
      <c r="Q207">
        <v>0</v>
      </c>
      <c r="R207">
        <v>3508</v>
      </c>
      <c r="S207">
        <v>2915</v>
      </c>
      <c r="U207" t="s">
        <v>795</v>
      </c>
      <c r="V207" t="s">
        <v>259</v>
      </c>
      <c r="W207">
        <f>Tabla35[[#This Row],[BN CARTA]]-Tabla34[[#This Row],[BN CARTA]]</f>
        <v>15048</v>
      </c>
      <c r="X207">
        <f>Tabla35[[#This Row],[BN OFICIO]]-Tabla34[[#This Row],[BN OFICIO]]</f>
        <v>166</v>
      </c>
      <c r="Y207">
        <f>Tabla35[[#This Row],[BN DC]]-Tabla34[[#This Row],[BN DC]]</f>
        <v>0</v>
      </c>
      <c r="Z207">
        <f>Tabla35[[#This Row],[COLOR CARTA]]-Tabla34[[#This Row],[COLOR CARTA]]</f>
        <v>0</v>
      </c>
      <c r="AA207">
        <f>Tabla35[[#This Row],[COLOR OFICIO]]-Tabla34[[#This Row],[COLOR OFICIO]]</f>
        <v>0</v>
      </c>
      <c r="AB207">
        <f>Tabla35[[#This Row],[ENVIAR]]-Tabla34[[#This Row],[ENVIAR]]</f>
        <v>3508</v>
      </c>
      <c r="AC207">
        <f>Tabla35[[#This Row],[COPIAR]]-Tabla34[[#This Row],[COPIAR]]</f>
        <v>2915</v>
      </c>
    </row>
    <row r="208" spans="1:29" x14ac:dyDescent="0.25">
      <c r="A208" t="s">
        <v>131</v>
      </c>
      <c r="B208" t="s">
        <v>260</v>
      </c>
      <c r="C208">
        <v>36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9</v>
      </c>
      <c r="K208" t="s">
        <v>131</v>
      </c>
      <c r="L208" t="s">
        <v>260</v>
      </c>
      <c r="M208">
        <v>36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9</v>
      </c>
      <c r="U208" t="s">
        <v>131</v>
      </c>
      <c r="V208" t="s">
        <v>260</v>
      </c>
      <c r="W208">
        <f>Tabla35[[#This Row],[BN CARTA]]-Tabla34[[#This Row],[BN CARTA]]</f>
        <v>0</v>
      </c>
      <c r="X208">
        <f>Tabla35[[#This Row],[BN OFICIO]]-Tabla34[[#This Row],[BN OFICIO]]</f>
        <v>0</v>
      </c>
      <c r="Y208">
        <f>Tabla35[[#This Row],[BN DC]]-Tabla34[[#This Row],[BN DC]]</f>
        <v>0</v>
      </c>
      <c r="Z208">
        <f>Tabla35[[#This Row],[COLOR CARTA]]-Tabla34[[#This Row],[COLOR CARTA]]</f>
        <v>0</v>
      </c>
      <c r="AA208">
        <f>Tabla35[[#This Row],[COLOR OFICIO]]-Tabla34[[#This Row],[COLOR OFICIO]]</f>
        <v>0</v>
      </c>
      <c r="AB208">
        <f>Tabla35[[#This Row],[ENVIAR]]-Tabla34[[#This Row],[ENVIAR]]</f>
        <v>0</v>
      </c>
      <c r="AC208">
        <f>Tabla35[[#This Row],[COPIAR]]-Tabla34[[#This Row],[COPIAR]]</f>
        <v>0</v>
      </c>
    </row>
    <row r="209" spans="1:29" x14ac:dyDescent="0.25">
      <c r="A209" t="s">
        <v>10</v>
      </c>
      <c r="B209" t="s">
        <v>261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K209" t="s">
        <v>10</v>
      </c>
      <c r="L209" t="s">
        <v>261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U209" t="s">
        <v>10</v>
      </c>
      <c r="V209" t="s">
        <v>261</v>
      </c>
      <c r="W209">
        <f>Tabla35[[#This Row],[BN CARTA]]-Tabla34[[#This Row],[BN CARTA]]</f>
        <v>0</v>
      </c>
      <c r="X209">
        <f>Tabla35[[#This Row],[BN OFICIO]]-Tabla34[[#This Row],[BN OFICIO]]</f>
        <v>0</v>
      </c>
      <c r="Y209">
        <f>Tabla35[[#This Row],[BN DC]]-Tabla34[[#This Row],[BN DC]]</f>
        <v>0</v>
      </c>
      <c r="Z209">
        <f>Tabla35[[#This Row],[COLOR CARTA]]-Tabla34[[#This Row],[COLOR CARTA]]</f>
        <v>0</v>
      </c>
      <c r="AA209">
        <f>Tabla35[[#This Row],[COLOR OFICIO]]-Tabla34[[#This Row],[COLOR OFICIO]]</f>
        <v>0</v>
      </c>
      <c r="AB209">
        <f>Tabla35[[#This Row],[ENVIAR]]-Tabla34[[#This Row],[ENVIAR]]</f>
        <v>0</v>
      </c>
      <c r="AC209">
        <f>Tabla35[[#This Row],[COPIAR]]-Tabla34[[#This Row],[COPIAR]]</f>
        <v>0</v>
      </c>
    </row>
    <row r="210" spans="1:29" x14ac:dyDescent="0.25">
      <c r="A210" t="s">
        <v>10</v>
      </c>
      <c r="B210" t="s">
        <v>262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K210" t="s">
        <v>10</v>
      </c>
      <c r="L210" t="s">
        <v>262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U210" t="s">
        <v>10</v>
      </c>
      <c r="V210" t="s">
        <v>262</v>
      </c>
      <c r="W210">
        <f>Tabla35[[#This Row],[BN CARTA]]-Tabla34[[#This Row],[BN CARTA]]</f>
        <v>0</v>
      </c>
      <c r="X210">
        <f>Tabla35[[#This Row],[BN OFICIO]]-Tabla34[[#This Row],[BN OFICIO]]</f>
        <v>0</v>
      </c>
      <c r="Y210">
        <f>Tabla35[[#This Row],[BN DC]]-Tabla34[[#This Row],[BN DC]]</f>
        <v>0</v>
      </c>
      <c r="Z210">
        <f>Tabla35[[#This Row],[COLOR CARTA]]-Tabla34[[#This Row],[COLOR CARTA]]</f>
        <v>0</v>
      </c>
      <c r="AA210">
        <f>Tabla35[[#This Row],[COLOR OFICIO]]-Tabla34[[#This Row],[COLOR OFICIO]]</f>
        <v>0</v>
      </c>
      <c r="AB210">
        <f>Tabla35[[#This Row],[ENVIAR]]-Tabla34[[#This Row],[ENVIAR]]</f>
        <v>0</v>
      </c>
      <c r="AC210">
        <f>Tabla35[[#This Row],[COPIAR]]-Tabla34[[#This Row],[COPIAR]]</f>
        <v>0</v>
      </c>
    </row>
    <row r="211" spans="1:29" x14ac:dyDescent="0.25">
      <c r="A211" t="s">
        <v>120</v>
      </c>
      <c r="B211" t="s">
        <v>263</v>
      </c>
      <c r="C211">
        <v>4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K211" t="s">
        <v>120</v>
      </c>
      <c r="L211" t="s">
        <v>263</v>
      </c>
      <c r="M211">
        <v>9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U211" t="s">
        <v>120</v>
      </c>
      <c r="V211" t="s">
        <v>263</v>
      </c>
      <c r="W211">
        <f>Tabla35[[#This Row],[BN CARTA]]-Tabla34[[#This Row],[BN CARTA]]</f>
        <v>5</v>
      </c>
      <c r="X211">
        <f>Tabla35[[#This Row],[BN OFICIO]]-Tabla34[[#This Row],[BN OFICIO]]</f>
        <v>0</v>
      </c>
      <c r="Y211">
        <f>Tabla35[[#This Row],[BN DC]]-Tabla34[[#This Row],[BN DC]]</f>
        <v>0</v>
      </c>
      <c r="Z211">
        <f>Tabla35[[#This Row],[COLOR CARTA]]-Tabla34[[#This Row],[COLOR CARTA]]</f>
        <v>0</v>
      </c>
      <c r="AA211">
        <f>Tabla35[[#This Row],[COLOR OFICIO]]-Tabla34[[#This Row],[COLOR OFICIO]]</f>
        <v>0</v>
      </c>
      <c r="AB211">
        <f>Tabla35[[#This Row],[ENVIAR]]-Tabla34[[#This Row],[ENVIAR]]</f>
        <v>0</v>
      </c>
      <c r="AC211">
        <f>Tabla35[[#This Row],[COPIAR]]-Tabla34[[#This Row],[COPIAR]]</f>
        <v>1</v>
      </c>
    </row>
    <row r="212" spans="1:29" x14ac:dyDescent="0.25">
      <c r="A212" t="s">
        <v>140</v>
      </c>
      <c r="B212" t="s">
        <v>264</v>
      </c>
      <c r="C212">
        <v>225</v>
      </c>
      <c r="D212">
        <v>0</v>
      </c>
      <c r="E212">
        <v>0</v>
      </c>
      <c r="F212">
        <v>0</v>
      </c>
      <c r="G212">
        <v>0</v>
      </c>
      <c r="H212">
        <v>52</v>
      </c>
      <c r="I212">
        <v>39</v>
      </c>
      <c r="K212" t="s">
        <v>140</v>
      </c>
      <c r="L212" t="s">
        <v>264</v>
      </c>
      <c r="M212">
        <v>1650</v>
      </c>
      <c r="N212">
        <v>0</v>
      </c>
      <c r="O212">
        <v>0</v>
      </c>
      <c r="P212">
        <v>0</v>
      </c>
      <c r="Q212">
        <v>0</v>
      </c>
      <c r="R212">
        <v>170</v>
      </c>
      <c r="S212">
        <v>205</v>
      </c>
      <c r="U212" t="s">
        <v>140</v>
      </c>
      <c r="V212" t="s">
        <v>264</v>
      </c>
      <c r="W212">
        <f>Tabla35[[#This Row],[BN CARTA]]-Tabla34[[#This Row],[BN CARTA]]</f>
        <v>1425</v>
      </c>
      <c r="X212">
        <f>Tabla35[[#This Row],[BN OFICIO]]-Tabla34[[#This Row],[BN OFICIO]]</f>
        <v>0</v>
      </c>
      <c r="Y212">
        <f>Tabla35[[#This Row],[BN DC]]-Tabla34[[#This Row],[BN DC]]</f>
        <v>0</v>
      </c>
      <c r="Z212">
        <f>Tabla35[[#This Row],[COLOR CARTA]]-Tabla34[[#This Row],[COLOR CARTA]]</f>
        <v>0</v>
      </c>
      <c r="AA212">
        <f>Tabla35[[#This Row],[COLOR OFICIO]]-Tabla34[[#This Row],[COLOR OFICIO]]</f>
        <v>0</v>
      </c>
      <c r="AB212">
        <f>Tabla35[[#This Row],[ENVIAR]]-Tabla34[[#This Row],[ENVIAR]]</f>
        <v>118</v>
      </c>
      <c r="AC212">
        <f>Tabla35[[#This Row],[COPIAR]]-Tabla34[[#This Row],[COPIAR]]</f>
        <v>166</v>
      </c>
    </row>
    <row r="213" spans="1:29" x14ac:dyDescent="0.25">
      <c r="A213" t="s">
        <v>265</v>
      </c>
      <c r="B213" t="s">
        <v>266</v>
      </c>
      <c r="C213">
        <v>1241</v>
      </c>
      <c r="D213">
        <v>0</v>
      </c>
      <c r="E213">
        <v>0</v>
      </c>
      <c r="F213">
        <v>0</v>
      </c>
      <c r="G213">
        <v>0</v>
      </c>
      <c r="H213">
        <v>394</v>
      </c>
      <c r="I213">
        <v>406</v>
      </c>
      <c r="K213" t="s">
        <v>265</v>
      </c>
      <c r="L213" t="s">
        <v>266</v>
      </c>
      <c r="M213">
        <v>6910</v>
      </c>
      <c r="N213">
        <v>22</v>
      </c>
      <c r="O213">
        <v>0</v>
      </c>
      <c r="P213">
        <v>0</v>
      </c>
      <c r="Q213">
        <v>0</v>
      </c>
      <c r="R213">
        <v>2710</v>
      </c>
      <c r="S213">
        <v>1624</v>
      </c>
      <c r="U213" t="s">
        <v>265</v>
      </c>
      <c r="V213" t="s">
        <v>266</v>
      </c>
      <c r="W213">
        <f>Tabla35[[#This Row],[BN CARTA]]-Tabla34[[#This Row],[BN CARTA]]</f>
        <v>5669</v>
      </c>
      <c r="X213">
        <f>Tabla35[[#This Row],[BN OFICIO]]-Tabla34[[#This Row],[BN OFICIO]]</f>
        <v>22</v>
      </c>
      <c r="Y213">
        <f>Tabla35[[#This Row],[BN DC]]-Tabla34[[#This Row],[BN DC]]</f>
        <v>0</v>
      </c>
      <c r="Z213">
        <f>Tabla35[[#This Row],[COLOR CARTA]]-Tabla34[[#This Row],[COLOR CARTA]]</f>
        <v>0</v>
      </c>
      <c r="AA213">
        <f>Tabla35[[#This Row],[COLOR OFICIO]]-Tabla34[[#This Row],[COLOR OFICIO]]</f>
        <v>0</v>
      </c>
      <c r="AB213">
        <f>Tabla35[[#This Row],[ENVIAR]]-Tabla34[[#This Row],[ENVIAR]]</f>
        <v>2316</v>
      </c>
      <c r="AC213">
        <f>Tabla35[[#This Row],[COPIAR]]-Tabla34[[#This Row],[COPIAR]]</f>
        <v>1218</v>
      </c>
    </row>
    <row r="214" spans="1:29" x14ac:dyDescent="0.25">
      <c r="A214" t="s">
        <v>10</v>
      </c>
      <c r="B214" t="s">
        <v>267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K214" t="s">
        <v>797</v>
      </c>
      <c r="L214" t="s">
        <v>267</v>
      </c>
      <c r="M214">
        <v>7599</v>
      </c>
      <c r="N214">
        <v>186</v>
      </c>
      <c r="O214">
        <v>0</v>
      </c>
      <c r="P214">
        <v>0</v>
      </c>
      <c r="Q214">
        <v>0</v>
      </c>
      <c r="R214">
        <v>5510</v>
      </c>
      <c r="S214">
        <v>2995</v>
      </c>
      <c r="U214" t="s">
        <v>797</v>
      </c>
      <c r="V214" t="s">
        <v>267</v>
      </c>
      <c r="W214">
        <f>Tabla35[[#This Row],[BN CARTA]]-Tabla34[[#This Row],[BN CARTA]]</f>
        <v>7599</v>
      </c>
      <c r="X214">
        <f>Tabla35[[#This Row],[BN OFICIO]]-Tabla34[[#This Row],[BN OFICIO]]</f>
        <v>186</v>
      </c>
      <c r="Y214">
        <f>Tabla35[[#This Row],[BN DC]]-Tabla34[[#This Row],[BN DC]]</f>
        <v>0</v>
      </c>
      <c r="Z214">
        <f>Tabla35[[#This Row],[COLOR CARTA]]-Tabla34[[#This Row],[COLOR CARTA]]</f>
        <v>0</v>
      </c>
      <c r="AA214">
        <f>Tabla35[[#This Row],[COLOR OFICIO]]-Tabla34[[#This Row],[COLOR OFICIO]]</f>
        <v>0</v>
      </c>
      <c r="AB214">
        <f>Tabla35[[#This Row],[ENVIAR]]-Tabla34[[#This Row],[ENVIAR]]</f>
        <v>5510</v>
      </c>
      <c r="AC214">
        <f>Tabla35[[#This Row],[COPIAR]]-Tabla34[[#This Row],[COPIAR]]</f>
        <v>2995</v>
      </c>
    </row>
    <row r="215" spans="1:29" x14ac:dyDescent="0.25">
      <c r="A215" t="s">
        <v>150</v>
      </c>
      <c r="B215" t="s">
        <v>268</v>
      </c>
      <c r="C215">
        <v>40</v>
      </c>
      <c r="D215">
        <v>0</v>
      </c>
      <c r="E215">
        <v>0</v>
      </c>
      <c r="F215">
        <v>0</v>
      </c>
      <c r="G215">
        <v>0</v>
      </c>
      <c r="H215">
        <v>2</v>
      </c>
      <c r="I215">
        <v>7</v>
      </c>
      <c r="K215" t="s">
        <v>150</v>
      </c>
      <c r="L215" t="s">
        <v>268</v>
      </c>
      <c r="M215">
        <v>3313</v>
      </c>
      <c r="N215">
        <v>27</v>
      </c>
      <c r="O215">
        <v>0</v>
      </c>
      <c r="P215">
        <v>0</v>
      </c>
      <c r="Q215">
        <v>0</v>
      </c>
      <c r="R215">
        <v>472</v>
      </c>
      <c r="S215">
        <v>421</v>
      </c>
      <c r="U215" t="s">
        <v>150</v>
      </c>
      <c r="V215" t="s">
        <v>268</v>
      </c>
      <c r="W215">
        <f>Tabla35[[#This Row],[BN CARTA]]-Tabla34[[#This Row],[BN CARTA]]</f>
        <v>3273</v>
      </c>
      <c r="X215">
        <f>Tabla35[[#This Row],[BN OFICIO]]-Tabla34[[#This Row],[BN OFICIO]]</f>
        <v>27</v>
      </c>
      <c r="Y215">
        <f>Tabla35[[#This Row],[BN DC]]-Tabla34[[#This Row],[BN DC]]</f>
        <v>0</v>
      </c>
      <c r="Z215">
        <f>Tabla35[[#This Row],[COLOR CARTA]]-Tabla34[[#This Row],[COLOR CARTA]]</f>
        <v>0</v>
      </c>
      <c r="AA215">
        <f>Tabla35[[#This Row],[COLOR OFICIO]]-Tabla34[[#This Row],[COLOR OFICIO]]</f>
        <v>0</v>
      </c>
      <c r="AB215">
        <f>Tabla35[[#This Row],[ENVIAR]]-Tabla34[[#This Row],[ENVIAR]]</f>
        <v>470</v>
      </c>
      <c r="AC215">
        <f>Tabla35[[#This Row],[COPIAR]]-Tabla34[[#This Row],[COPIAR]]</f>
        <v>414</v>
      </c>
    </row>
    <row r="216" spans="1:29" x14ac:dyDescent="0.25">
      <c r="A216" t="s">
        <v>10</v>
      </c>
      <c r="B216" t="s">
        <v>269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K216" t="s">
        <v>794</v>
      </c>
      <c r="L216" t="s">
        <v>269</v>
      </c>
      <c r="M216">
        <v>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U216" t="s">
        <v>794</v>
      </c>
      <c r="V216" t="s">
        <v>269</v>
      </c>
      <c r="W216">
        <f>Tabla35[[#This Row],[BN CARTA]]-Tabla34[[#This Row],[BN CARTA]]</f>
        <v>4</v>
      </c>
      <c r="X216">
        <f>Tabla35[[#This Row],[BN OFICIO]]-Tabla34[[#This Row],[BN OFICIO]]</f>
        <v>0</v>
      </c>
      <c r="Y216">
        <f>Tabla35[[#This Row],[BN DC]]-Tabla34[[#This Row],[BN DC]]</f>
        <v>0</v>
      </c>
      <c r="Z216">
        <f>Tabla35[[#This Row],[COLOR CARTA]]-Tabla34[[#This Row],[COLOR CARTA]]</f>
        <v>0</v>
      </c>
      <c r="AA216">
        <f>Tabla35[[#This Row],[COLOR OFICIO]]-Tabla34[[#This Row],[COLOR OFICIO]]</f>
        <v>0</v>
      </c>
      <c r="AB216">
        <f>Tabla35[[#This Row],[ENVIAR]]-Tabla34[[#This Row],[ENVIAR]]</f>
        <v>0</v>
      </c>
      <c r="AC216">
        <f>Tabla35[[#This Row],[COPIAR]]-Tabla34[[#This Row],[COPIAR]]</f>
        <v>0</v>
      </c>
    </row>
    <row r="217" spans="1:29" x14ac:dyDescent="0.25">
      <c r="A217" t="s">
        <v>10</v>
      </c>
      <c r="B217" t="s">
        <v>270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K217" t="s">
        <v>10</v>
      </c>
      <c r="L217" t="s">
        <v>270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U217" t="s">
        <v>10</v>
      </c>
      <c r="V217" t="s">
        <v>270</v>
      </c>
      <c r="W217">
        <f>Tabla35[[#This Row],[BN CARTA]]-Tabla34[[#This Row],[BN CARTA]]</f>
        <v>0</v>
      </c>
      <c r="X217">
        <f>Tabla35[[#This Row],[BN OFICIO]]-Tabla34[[#This Row],[BN OFICIO]]</f>
        <v>0</v>
      </c>
      <c r="Y217">
        <f>Tabla35[[#This Row],[BN DC]]-Tabla34[[#This Row],[BN DC]]</f>
        <v>0</v>
      </c>
      <c r="Z217">
        <f>Tabla35[[#This Row],[COLOR CARTA]]-Tabla34[[#This Row],[COLOR CARTA]]</f>
        <v>0</v>
      </c>
      <c r="AA217">
        <f>Tabla35[[#This Row],[COLOR OFICIO]]-Tabla34[[#This Row],[COLOR OFICIO]]</f>
        <v>0</v>
      </c>
      <c r="AB217">
        <f>Tabla35[[#This Row],[ENVIAR]]-Tabla34[[#This Row],[ENVIAR]]</f>
        <v>0</v>
      </c>
      <c r="AC217">
        <f>Tabla35[[#This Row],[COPIAR]]-Tabla34[[#This Row],[COPIAR]]</f>
        <v>0</v>
      </c>
    </row>
    <row r="218" spans="1:29" x14ac:dyDescent="0.25">
      <c r="A218" t="s">
        <v>248</v>
      </c>
      <c r="B218" t="s">
        <v>271</v>
      </c>
      <c r="C218">
        <v>1097</v>
      </c>
      <c r="D218">
        <v>0</v>
      </c>
      <c r="E218">
        <v>0</v>
      </c>
      <c r="F218">
        <v>0</v>
      </c>
      <c r="G218">
        <v>0</v>
      </c>
      <c r="H218">
        <v>7426</v>
      </c>
      <c r="I218">
        <v>162</v>
      </c>
      <c r="K218" t="s">
        <v>248</v>
      </c>
      <c r="L218" t="s">
        <v>271</v>
      </c>
      <c r="M218">
        <v>1097</v>
      </c>
      <c r="N218">
        <v>0</v>
      </c>
      <c r="O218">
        <v>0</v>
      </c>
      <c r="P218">
        <v>0</v>
      </c>
      <c r="Q218">
        <v>0</v>
      </c>
      <c r="R218">
        <v>7426</v>
      </c>
      <c r="S218">
        <v>162</v>
      </c>
      <c r="U218" t="s">
        <v>248</v>
      </c>
      <c r="V218" t="s">
        <v>271</v>
      </c>
      <c r="W218">
        <f>Tabla35[[#This Row],[BN CARTA]]-Tabla34[[#This Row],[BN CARTA]]</f>
        <v>0</v>
      </c>
      <c r="X218">
        <f>Tabla35[[#This Row],[BN OFICIO]]-Tabla34[[#This Row],[BN OFICIO]]</f>
        <v>0</v>
      </c>
      <c r="Y218">
        <f>Tabla35[[#This Row],[BN DC]]-Tabla34[[#This Row],[BN DC]]</f>
        <v>0</v>
      </c>
      <c r="Z218">
        <f>Tabla35[[#This Row],[COLOR CARTA]]-Tabla34[[#This Row],[COLOR CARTA]]</f>
        <v>0</v>
      </c>
      <c r="AA218">
        <f>Tabla35[[#This Row],[COLOR OFICIO]]-Tabla34[[#This Row],[COLOR OFICIO]]</f>
        <v>0</v>
      </c>
      <c r="AB218">
        <f>Tabla35[[#This Row],[ENVIAR]]-Tabla34[[#This Row],[ENVIAR]]</f>
        <v>0</v>
      </c>
      <c r="AC218">
        <f>Tabla35[[#This Row],[COPIAR]]-Tabla34[[#This Row],[COPIAR]]</f>
        <v>0</v>
      </c>
    </row>
    <row r="219" spans="1:29" x14ac:dyDescent="0.25">
      <c r="A219" t="s">
        <v>10</v>
      </c>
      <c r="B219" t="s">
        <v>272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K219" t="s">
        <v>10</v>
      </c>
      <c r="L219" t="s">
        <v>272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U219" t="s">
        <v>10</v>
      </c>
      <c r="V219" t="s">
        <v>272</v>
      </c>
      <c r="W219">
        <f>Tabla35[[#This Row],[BN CARTA]]-Tabla34[[#This Row],[BN CARTA]]</f>
        <v>0</v>
      </c>
      <c r="X219">
        <f>Tabla35[[#This Row],[BN OFICIO]]-Tabla34[[#This Row],[BN OFICIO]]</f>
        <v>0</v>
      </c>
      <c r="Y219">
        <f>Tabla35[[#This Row],[BN DC]]-Tabla34[[#This Row],[BN DC]]</f>
        <v>0</v>
      </c>
      <c r="Z219">
        <f>Tabla35[[#This Row],[COLOR CARTA]]-Tabla34[[#This Row],[COLOR CARTA]]</f>
        <v>0</v>
      </c>
      <c r="AA219">
        <f>Tabla35[[#This Row],[COLOR OFICIO]]-Tabla34[[#This Row],[COLOR OFICIO]]</f>
        <v>0</v>
      </c>
      <c r="AB219">
        <f>Tabla35[[#This Row],[ENVIAR]]-Tabla34[[#This Row],[ENVIAR]]</f>
        <v>0</v>
      </c>
      <c r="AC219">
        <f>Tabla35[[#This Row],[COPIAR]]-Tabla34[[#This Row],[COPIAR]]</f>
        <v>0</v>
      </c>
    </row>
    <row r="220" spans="1:29" x14ac:dyDescent="0.25">
      <c r="A220" t="s">
        <v>146</v>
      </c>
      <c r="B220" t="s">
        <v>273</v>
      </c>
      <c r="C220">
        <v>424</v>
      </c>
      <c r="D220">
        <v>0</v>
      </c>
      <c r="E220">
        <v>0</v>
      </c>
      <c r="F220">
        <v>0</v>
      </c>
      <c r="G220">
        <v>0</v>
      </c>
      <c r="H220">
        <v>80</v>
      </c>
      <c r="I220">
        <v>225</v>
      </c>
      <c r="K220" t="s">
        <v>146</v>
      </c>
      <c r="L220" t="s">
        <v>273</v>
      </c>
      <c r="M220">
        <v>907</v>
      </c>
      <c r="N220">
        <v>4</v>
      </c>
      <c r="O220">
        <v>0</v>
      </c>
      <c r="P220">
        <v>0</v>
      </c>
      <c r="Q220">
        <v>0</v>
      </c>
      <c r="R220">
        <v>1552</v>
      </c>
      <c r="S220">
        <v>478</v>
      </c>
      <c r="U220" t="s">
        <v>146</v>
      </c>
      <c r="V220" t="s">
        <v>273</v>
      </c>
      <c r="W220">
        <f>Tabla35[[#This Row],[BN CARTA]]-Tabla34[[#This Row],[BN CARTA]]</f>
        <v>483</v>
      </c>
      <c r="X220">
        <f>Tabla35[[#This Row],[BN OFICIO]]-Tabla34[[#This Row],[BN OFICIO]]</f>
        <v>4</v>
      </c>
      <c r="Y220">
        <f>Tabla35[[#This Row],[BN DC]]-Tabla34[[#This Row],[BN DC]]</f>
        <v>0</v>
      </c>
      <c r="Z220">
        <f>Tabla35[[#This Row],[COLOR CARTA]]-Tabla34[[#This Row],[COLOR CARTA]]</f>
        <v>0</v>
      </c>
      <c r="AA220">
        <f>Tabla35[[#This Row],[COLOR OFICIO]]-Tabla34[[#This Row],[COLOR OFICIO]]</f>
        <v>0</v>
      </c>
      <c r="AB220">
        <f>Tabla35[[#This Row],[ENVIAR]]-Tabla34[[#This Row],[ENVIAR]]</f>
        <v>1472</v>
      </c>
      <c r="AC220">
        <f>Tabla35[[#This Row],[COPIAR]]-Tabla34[[#This Row],[COPIAR]]</f>
        <v>253</v>
      </c>
    </row>
    <row r="221" spans="1:29" x14ac:dyDescent="0.25">
      <c r="A221" t="s">
        <v>10</v>
      </c>
      <c r="B221" t="s">
        <v>274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K221" t="s">
        <v>10</v>
      </c>
      <c r="L221" t="s">
        <v>274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U221" t="s">
        <v>10</v>
      </c>
      <c r="V221" t="s">
        <v>274</v>
      </c>
      <c r="W221">
        <f>Tabla35[[#This Row],[BN CARTA]]-Tabla34[[#This Row],[BN CARTA]]</f>
        <v>0</v>
      </c>
      <c r="X221">
        <f>Tabla35[[#This Row],[BN OFICIO]]-Tabla34[[#This Row],[BN OFICIO]]</f>
        <v>0</v>
      </c>
      <c r="Y221">
        <f>Tabla35[[#This Row],[BN DC]]-Tabla34[[#This Row],[BN DC]]</f>
        <v>0</v>
      </c>
      <c r="Z221">
        <f>Tabla35[[#This Row],[COLOR CARTA]]-Tabla34[[#This Row],[COLOR CARTA]]</f>
        <v>0</v>
      </c>
      <c r="AA221">
        <f>Tabla35[[#This Row],[COLOR OFICIO]]-Tabla34[[#This Row],[COLOR OFICIO]]</f>
        <v>0</v>
      </c>
      <c r="AB221">
        <f>Tabla35[[#This Row],[ENVIAR]]-Tabla34[[#This Row],[ENVIAR]]</f>
        <v>0</v>
      </c>
      <c r="AC221">
        <f>Tabla35[[#This Row],[COPIAR]]-Tabla34[[#This Row],[COPIAR]]</f>
        <v>0</v>
      </c>
    </row>
    <row r="222" spans="1:29" x14ac:dyDescent="0.25">
      <c r="A222" t="s">
        <v>10</v>
      </c>
      <c r="B222" t="s">
        <v>275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K222" t="s">
        <v>10</v>
      </c>
      <c r="L222" t="s">
        <v>275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U222" t="s">
        <v>10</v>
      </c>
      <c r="V222" t="s">
        <v>275</v>
      </c>
      <c r="W222">
        <f>Tabla35[[#This Row],[BN CARTA]]-Tabla34[[#This Row],[BN CARTA]]</f>
        <v>0</v>
      </c>
      <c r="X222">
        <f>Tabla35[[#This Row],[BN OFICIO]]-Tabla34[[#This Row],[BN OFICIO]]</f>
        <v>0</v>
      </c>
      <c r="Y222">
        <f>Tabla35[[#This Row],[BN DC]]-Tabla34[[#This Row],[BN DC]]</f>
        <v>0</v>
      </c>
      <c r="Z222">
        <f>Tabla35[[#This Row],[COLOR CARTA]]-Tabla34[[#This Row],[COLOR CARTA]]</f>
        <v>0</v>
      </c>
      <c r="AA222">
        <f>Tabla35[[#This Row],[COLOR OFICIO]]-Tabla34[[#This Row],[COLOR OFICIO]]</f>
        <v>0</v>
      </c>
      <c r="AB222">
        <f>Tabla35[[#This Row],[ENVIAR]]-Tabla34[[#This Row],[ENVIAR]]</f>
        <v>0</v>
      </c>
      <c r="AC222">
        <f>Tabla35[[#This Row],[COPIAR]]-Tabla34[[#This Row],[COPIAR]]</f>
        <v>0</v>
      </c>
    </row>
    <row r="223" spans="1:29" x14ac:dyDescent="0.25">
      <c r="A223" t="s">
        <v>10</v>
      </c>
      <c r="B223" t="s">
        <v>276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K223" t="s">
        <v>10</v>
      </c>
      <c r="L223" t="s">
        <v>276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U223" t="s">
        <v>10</v>
      </c>
      <c r="V223" t="s">
        <v>276</v>
      </c>
      <c r="W223">
        <f>Tabla35[[#This Row],[BN CARTA]]-Tabla34[[#This Row],[BN CARTA]]</f>
        <v>0</v>
      </c>
      <c r="X223">
        <f>Tabla35[[#This Row],[BN OFICIO]]-Tabla34[[#This Row],[BN OFICIO]]</f>
        <v>0</v>
      </c>
      <c r="Y223">
        <f>Tabla35[[#This Row],[BN DC]]-Tabla34[[#This Row],[BN DC]]</f>
        <v>0</v>
      </c>
      <c r="Z223">
        <f>Tabla35[[#This Row],[COLOR CARTA]]-Tabla34[[#This Row],[COLOR CARTA]]</f>
        <v>0</v>
      </c>
      <c r="AA223">
        <f>Tabla35[[#This Row],[COLOR OFICIO]]-Tabla34[[#This Row],[COLOR OFICIO]]</f>
        <v>0</v>
      </c>
      <c r="AB223">
        <f>Tabla35[[#This Row],[ENVIAR]]-Tabla34[[#This Row],[ENVIAR]]</f>
        <v>0</v>
      </c>
      <c r="AC223">
        <f>Tabla35[[#This Row],[COPIAR]]-Tabla34[[#This Row],[COPIAR]]</f>
        <v>0</v>
      </c>
    </row>
    <row r="224" spans="1:29" x14ac:dyDescent="0.25">
      <c r="A224" t="s">
        <v>76</v>
      </c>
      <c r="B224" t="s">
        <v>277</v>
      </c>
      <c r="C224">
        <v>4488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K224" t="s">
        <v>76</v>
      </c>
      <c r="L224" t="s">
        <v>277</v>
      </c>
      <c r="M224">
        <v>8770</v>
      </c>
      <c r="N224">
        <v>12</v>
      </c>
      <c r="O224">
        <v>0</v>
      </c>
      <c r="P224">
        <v>0</v>
      </c>
      <c r="Q224">
        <v>0</v>
      </c>
      <c r="R224">
        <v>0</v>
      </c>
      <c r="S224">
        <v>0</v>
      </c>
      <c r="U224" t="s">
        <v>76</v>
      </c>
      <c r="V224" t="s">
        <v>277</v>
      </c>
      <c r="W224">
        <f>Tabla35[[#This Row],[BN CARTA]]-Tabla34[[#This Row],[BN CARTA]]</f>
        <v>4282</v>
      </c>
      <c r="X224">
        <f>Tabla35[[#This Row],[BN OFICIO]]-Tabla34[[#This Row],[BN OFICIO]]</f>
        <v>12</v>
      </c>
      <c r="Y224">
        <f>Tabla35[[#This Row],[BN DC]]-Tabla34[[#This Row],[BN DC]]</f>
        <v>0</v>
      </c>
      <c r="Z224">
        <f>Tabla35[[#This Row],[COLOR CARTA]]-Tabla34[[#This Row],[COLOR CARTA]]</f>
        <v>0</v>
      </c>
      <c r="AA224">
        <f>Tabla35[[#This Row],[COLOR OFICIO]]-Tabla34[[#This Row],[COLOR OFICIO]]</f>
        <v>0</v>
      </c>
      <c r="AB224">
        <f>Tabla35[[#This Row],[ENVIAR]]-Tabla34[[#This Row],[ENVIAR]]</f>
        <v>0</v>
      </c>
      <c r="AC224">
        <f>Tabla35[[#This Row],[COPIAR]]-Tabla34[[#This Row],[COPIAR]]</f>
        <v>0</v>
      </c>
    </row>
    <row r="225" spans="1:29" x14ac:dyDescent="0.25">
      <c r="A225" t="s">
        <v>10</v>
      </c>
      <c r="B225" t="s">
        <v>278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K225" t="s">
        <v>10</v>
      </c>
      <c r="L225" t="s">
        <v>278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U225" t="s">
        <v>10</v>
      </c>
      <c r="V225" t="s">
        <v>278</v>
      </c>
      <c r="W225">
        <f>Tabla35[[#This Row],[BN CARTA]]-Tabla34[[#This Row],[BN CARTA]]</f>
        <v>0</v>
      </c>
      <c r="X225">
        <f>Tabla35[[#This Row],[BN OFICIO]]-Tabla34[[#This Row],[BN OFICIO]]</f>
        <v>0</v>
      </c>
      <c r="Y225">
        <f>Tabla35[[#This Row],[BN DC]]-Tabla34[[#This Row],[BN DC]]</f>
        <v>0</v>
      </c>
      <c r="Z225">
        <f>Tabla35[[#This Row],[COLOR CARTA]]-Tabla34[[#This Row],[COLOR CARTA]]</f>
        <v>0</v>
      </c>
      <c r="AA225">
        <f>Tabla35[[#This Row],[COLOR OFICIO]]-Tabla34[[#This Row],[COLOR OFICIO]]</f>
        <v>0</v>
      </c>
      <c r="AB225">
        <f>Tabla35[[#This Row],[ENVIAR]]-Tabla34[[#This Row],[ENVIAR]]</f>
        <v>0</v>
      </c>
      <c r="AC225">
        <f>Tabla35[[#This Row],[COPIAR]]-Tabla34[[#This Row],[COPIAR]]</f>
        <v>0</v>
      </c>
    </row>
    <row r="226" spans="1:29" x14ac:dyDescent="0.25">
      <c r="A226" t="s">
        <v>10</v>
      </c>
      <c r="B226" t="s">
        <v>279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K226" t="s">
        <v>10</v>
      </c>
      <c r="L226" t="s">
        <v>279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U226" t="s">
        <v>10</v>
      </c>
      <c r="V226" t="s">
        <v>279</v>
      </c>
      <c r="W226">
        <f>Tabla35[[#This Row],[BN CARTA]]-Tabla34[[#This Row],[BN CARTA]]</f>
        <v>0</v>
      </c>
      <c r="X226">
        <f>Tabla35[[#This Row],[BN OFICIO]]-Tabla34[[#This Row],[BN OFICIO]]</f>
        <v>0</v>
      </c>
      <c r="Y226">
        <f>Tabla35[[#This Row],[BN DC]]-Tabla34[[#This Row],[BN DC]]</f>
        <v>0</v>
      </c>
      <c r="Z226">
        <f>Tabla35[[#This Row],[COLOR CARTA]]-Tabla34[[#This Row],[COLOR CARTA]]</f>
        <v>0</v>
      </c>
      <c r="AA226">
        <f>Tabla35[[#This Row],[COLOR OFICIO]]-Tabla34[[#This Row],[COLOR OFICIO]]</f>
        <v>0</v>
      </c>
      <c r="AB226">
        <f>Tabla35[[#This Row],[ENVIAR]]-Tabla34[[#This Row],[ENVIAR]]</f>
        <v>0</v>
      </c>
      <c r="AC226">
        <f>Tabla35[[#This Row],[COPIAR]]-Tabla34[[#This Row],[COPIAR]]</f>
        <v>0</v>
      </c>
    </row>
    <row r="227" spans="1:29" x14ac:dyDescent="0.25">
      <c r="A227" t="s">
        <v>10</v>
      </c>
      <c r="B227" t="s">
        <v>280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K227" t="s">
        <v>10</v>
      </c>
      <c r="L227" t="s">
        <v>280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U227" t="s">
        <v>10</v>
      </c>
      <c r="V227" t="s">
        <v>280</v>
      </c>
      <c r="W227">
        <f>Tabla35[[#This Row],[BN CARTA]]-Tabla34[[#This Row],[BN CARTA]]</f>
        <v>0</v>
      </c>
      <c r="X227">
        <f>Tabla35[[#This Row],[BN OFICIO]]-Tabla34[[#This Row],[BN OFICIO]]</f>
        <v>0</v>
      </c>
      <c r="Y227">
        <f>Tabla35[[#This Row],[BN DC]]-Tabla34[[#This Row],[BN DC]]</f>
        <v>0</v>
      </c>
      <c r="Z227">
        <f>Tabla35[[#This Row],[COLOR CARTA]]-Tabla34[[#This Row],[COLOR CARTA]]</f>
        <v>0</v>
      </c>
      <c r="AA227">
        <f>Tabla35[[#This Row],[COLOR OFICIO]]-Tabla34[[#This Row],[COLOR OFICIO]]</f>
        <v>0</v>
      </c>
      <c r="AB227">
        <f>Tabla35[[#This Row],[ENVIAR]]-Tabla34[[#This Row],[ENVIAR]]</f>
        <v>0</v>
      </c>
      <c r="AC227">
        <f>Tabla35[[#This Row],[COPIAR]]-Tabla34[[#This Row],[COPIAR]]</f>
        <v>0</v>
      </c>
    </row>
    <row r="228" spans="1:29" x14ac:dyDescent="0.25">
      <c r="A228" t="s">
        <v>10</v>
      </c>
      <c r="B228" t="s">
        <v>281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K228" t="s">
        <v>791</v>
      </c>
      <c r="L228" t="s">
        <v>281</v>
      </c>
      <c r="M228">
        <v>193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U228" t="s">
        <v>791</v>
      </c>
      <c r="V228" t="s">
        <v>281</v>
      </c>
      <c r="W228">
        <f>Tabla35[[#This Row],[BN CARTA]]-Tabla34[[#This Row],[BN CARTA]]</f>
        <v>193</v>
      </c>
      <c r="X228">
        <f>Tabla35[[#This Row],[BN OFICIO]]-Tabla34[[#This Row],[BN OFICIO]]</f>
        <v>0</v>
      </c>
      <c r="Y228">
        <f>Tabla35[[#This Row],[BN DC]]-Tabla34[[#This Row],[BN DC]]</f>
        <v>0</v>
      </c>
      <c r="Z228">
        <f>Tabla35[[#This Row],[COLOR CARTA]]-Tabla34[[#This Row],[COLOR CARTA]]</f>
        <v>0</v>
      </c>
      <c r="AA228">
        <f>Tabla35[[#This Row],[COLOR OFICIO]]-Tabla34[[#This Row],[COLOR OFICIO]]</f>
        <v>0</v>
      </c>
      <c r="AB228">
        <f>Tabla35[[#This Row],[ENVIAR]]-Tabla34[[#This Row],[ENVIAR]]</f>
        <v>0</v>
      </c>
      <c r="AC228">
        <f>Tabla35[[#This Row],[COPIAR]]-Tabla34[[#This Row],[COPIAR]]</f>
        <v>0</v>
      </c>
    </row>
    <row r="229" spans="1:29" x14ac:dyDescent="0.25">
      <c r="A229" t="s">
        <v>10</v>
      </c>
      <c r="B229" t="s">
        <v>282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K229" t="s">
        <v>10</v>
      </c>
      <c r="L229" t="s">
        <v>282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U229" t="s">
        <v>10</v>
      </c>
      <c r="V229" t="s">
        <v>282</v>
      </c>
      <c r="W229">
        <f>Tabla35[[#This Row],[BN CARTA]]-Tabla34[[#This Row],[BN CARTA]]</f>
        <v>0</v>
      </c>
      <c r="X229">
        <f>Tabla35[[#This Row],[BN OFICIO]]-Tabla34[[#This Row],[BN OFICIO]]</f>
        <v>0</v>
      </c>
      <c r="Y229">
        <f>Tabla35[[#This Row],[BN DC]]-Tabla34[[#This Row],[BN DC]]</f>
        <v>0</v>
      </c>
      <c r="Z229">
        <f>Tabla35[[#This Row],[COLOR CARTA]]-Tabla34[[#This Row],[COLOR CARTA]]</f>
        <v>0</v>
      </c>
      <c r="AA229">
        <f>Tabla35[[#This Row],[COLOR OFICIO]]-Tabla34[[#This Row],[COLOR OFICIO]]</f>
        <v>0</v>
      </c>
      <c r="AB229">
        <f>Tabla35[[#This Row],[ENVIAR]]-Tabla34[[#This Row],[ENVIAR]]</f>
        <v>0</v>
      </c>
      <c r="AC229">
        <f>Tabla35[[#This Row],[COPIAR]]-Tabla34[[#This Row],[COPIAR]]</f>
        <v>0</v>
      </c>
    </row>
    <row r="230" spans="1:29" x14ac:dyDescent="0.25">
      <c r="A230" t="s">
        <v>10</v>
      </c>
      <c r="B230" t="s">
        <v>283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K230" t="s">
        <v>795</v>
      </c>
      <c r="L230" t="s">
        <v>283</v>
      </c>
      <c r="M230">
        <v>14428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 t="s">
        <v>795</v>
      </c>
      <c r="V230" t="s">
        <v>283</v>
      </c>
      <c r="W230">
        <f>Tabla35[[#This Row],[BN CARTA]]-Tabla34[[#This Row],[BN CARTA]]</f>
        <v>14428</v>
      </c>
      <c r="X230">
        <f>Tabla35[[#This Row],[BN OFICIO]]-Tabla34[[#This Row],[BN OFICIO]]</f>
        <v>0</v>
      </c>
      <c r="Y230">
        <f>Tabla35[[#This Row],[BN DC]]-Tabla34[[#This Row],[BN DC]]</f>
        <v>0</v>
      </c>
      <c r="Z230">
        <f>Tabla35[[#This Row],[COLOR CARTA]]-Tabla34[[#This Row],[COLOR CARTA]]</f>
        <v>0</v>
      </c>
      <c r="AA230">
        <f>Tabla35[[#This Row],[COLOR OFICIO]]-Tabla34[[#This Row],[COLOR OFICIO]]</f>
        <v>0</v>
      </c>
      <c r="AB230">
        <f>Tabla35[[#This Row],[ENVIAR]]-Tabla34[[#This Row],[ENVIAR]]</f>
        <v>0</v>
      </c>
      <c r="AC230">
        <f>Tabla35[[#This Row],[COPIAR]]-Tabla34[[#This Row],[COPIAR]]</f>
        <v>0</v>
      </c>
    </row>
    <row r="231" spans="1:29" x14ac:dyDescent="0.25">
      <c r="A231" t="s">
        <v>10</v>
      </c>
      <c r="B231" t="s">
        <v>284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K231" t="s">
        <v>10</v>
      </c>
      <c r="L231" t="s">
        <v>284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U231" t="s">
        <v>10</v>
      </c>
      <c r="V231" t="s">
        <v>284</v>
      </c>
      <c r="W231">
        <f>Tabla35[[#This Row],[BN CARTA]]-Tabla34[[#This Row],[BN CARTA]]</f>
        <v>0</v>
      </c>
      <c r="X231">
        <f>Tabla35[[#This Row],[BN OFICIO]]-Tabla34[[#This Row],[BN OFICIO]]</f>
        <v>0</v>
      </c>
      <c r="Y231">
        <f>Tabla35[[#This Row],[BN DC]]-Tabla34[[#This Row],[BN DC]]</f>
        <v>0</v>
      </c>
      <c r="Z231">
        <f>Tabla35[[#This Row],[COLOR CARTA]]-Tabla34[[#This Row],[COLOR CARTA]]</f>
        <v>0</v>
      </c>
      <c r="AA231">
        <f>Tabla35[[#This Row],[COLOR OFICIO]]-Tabla34[[#This Row],[COLOR OFICIO]]</f>
        <v>0</v>
      </c>
      <c r="AB231">
        <f>Tabla35[[#This Row],[ENVIAR]]-Tabla34[[#This Row],[ENVIAR]]</f>
        <v>0</v>
      </c>
      <c r="AC231">
        <f>Tabla35[[#This Row],[COPIAR]]-Tabla34[[#This Row],[COPIAR]]</f>
        <v>0</v>
      </c>
    </row>
    <row r="232" spans="1:29" x14ac:dyDescent="0.25">
      <c r="A232" t="s">
        <v>120</v>
      </c>
      <c r="B232" t="s">
        <v>285</v>
      </c>
      <c r="C232">
        <v>421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K232" t="s">
        <v>120</v>
      </c>
      <c r="L232" t="s">
        <v>285</v>
      </c>
      <c r="M232">
        <v>2443</v>
      </c>
      <c r="N232">
        <v>7</v>
      </c>
      <c r="O232">
        <v>0</v>
      </c>
      <c r="P232">
        <v>0</v>
      </c>
      <c r="Q232">
        <v>0</v>
      </c>
      <c r="R232">
        <v>0</v>
      </c>
      <c r="S232">
        <v>0</v>
      </c>
      <c r="U232" t="s">
        <v>120</v>
      </c>
      <c r="V232" t="s">
        <v>285</v>
      </c>
      <c r="W232">
        <f>Tabla35[[#This Row],[BN CARTA]]-Tabla34[[#This Row],[BN CARTA]]</f>
        <v>2022</v>
      </c>
      <c r="X232">
        <f>Tabla35[[#This Row],[BN OFICIO]]-Tabla34[[#This Row],[BN OFICIO]]</f>
        <v>7</v>
      </c>
      <c r="Y232">
        <f>Tabla35[[#This Row],[BN DC]]-Tabla34[[#This Row],[BN DC]]</f>
        <v>0</v>
      </c>
      <c r="Z232">
        <f>Tabla35[[#This Row],[COLOR CARTA]]-Tabla34[[#This Row],[COLOR CARTA]]</f>
        <v>0</v>
      </c>
      <c r="AA232">
        <f>Tabla35[[#This Row],[COLOR OFICIO]]-Tabla34[[#This Row],[COLOR OFICIO]]</f>
        <v>0</v>
      </c>
      <c r="AB232">
        <f>Tabla35[[#This Row],[ENVIAR]]-Tabla34[[#This Row],[ENVIAR]]</f>
        <v>0</v>
      </c>
      <c r="AC232">
        <f>Tabla35[[#This Row],[COPIAR]]-Tabla34[[#This Row],[COPIAR]]</f>
        <v>0</v>
      </c>
    </row>
    <row r="233" spans="1:29" x14ac:dyDescent="0.25">
      <c r="A233" t="s">
        <v>101</v>
      </c>
      <c r="B233" t="s">
        <v>286</v>
      </c>
      <c r="C233">
        <v>880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K233" t="s">
        <v>101</v>
      </c>
      <c r="L233" t="s">
        <v>286</v>
      </c>
      <c r="M233">
        <v>880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 t="s">
        <v>101</v>
      </c>
      <c r="V233" t="s">
        <v>286</v>
      </c>
      <c r="W233">
        <f>Tabla35[[#This Row],[BN CARTA]]-Tabla34[[#This Row],[BN CARTA]]</f>
        <v>0</v>
      </c>
      <c r="X233">
        <f>Tabla35[[#This Row],[BN OFICIO]]-Tabla34[[#This Row],[BN OFICIO]]</f>
        <v>0</v>
      </c>
      <c r="Y233">
        <f>Tabla35[[#This Row],[BN DC]]-Tabla34[[#This Row],[BN DC]]</f>
        <v>0</v>
      </c>
      <c r="Z233">
        <f>Tabla35[[#This Row],[COLOR CARTA]]-Tabla34[[#This Row],[COLOR CARTA]]</f>
        <v>0</v>
      </c>
      <c r="AA233">
        <f>Tabla35[[#This Row],[COLOR OFICIO]]-Tabla34[[#This Row],[COLOR OFICIO]]</f>
        <v>0</v>
      </c>
      <c r="AB233">
        <f>Tabla35[[#This Row],[ENVIAR]]-Tabla34[[#This Row],[ENVIAR]]</f>
        <v>0</v>
      </c>
      <c r="AC233">
        <f>Tabla35[[#This Row],[COPIAR]]-Tabla34[[#This Row],[COPIAR]]</f>
        <v>0</v>
      </c>
    </row>
    <row r="234" spans="1:29" x14ac:dyDescent="0.25">
      <c r="A234" t="s">
        <v>226</v>
      </c>
      <c r="B234" t="s">
        <v>287</v>
      </c>
      <c r="C234">
        <v>14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K234" t="s">
        <v>226</v>
      </c>
      <c r="L234" t="s">
        <v>287</v>
      </c>
      <c r="M234">
        <v>14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U234" t="s">
        <v>226</v>
      </c>
      <c r="V234" t="s">
        <v>287</v>
      </c>
      <c r="W234">
        <f>Tabla35[[#This Row],[BN CARTA]]-Tabla34[[#This Row],[BN CARTA]]</f>
        <v>0</v>
      </c>
      <c r="X234">
        <f>Tabla35[[#This Row],[BN OFICIO]]-Tabla34[[#This Row],[BN OFICIO]]</f>
        <v>0</v>
      </c>
      <c r="Y234">
        <f>Tabla35[[#This Row],[BN DC]]-Tabla34[[#This Row],[BN DC]]</f>
        <v>0</v>
      </c>
      <c r="Z234">
        <f>Tabla35[[#This Row],[COLOR CARTA]]-Tabla34[[#This Row],[COLOR CARTA]]</f>
        <v>0</v>
      </c>
      <c r="AA234">
        <f>Tabla35[[#This Row],[COLOR OFICIO]]-Tabla34[[#This Row],[COLOR OFICIO]]</f>
        <v>0</v>
      </c>
      <c r="AB234">
        <f>Tabla35[[#This Row],[ENVIAR]]-Tabla34[[#This Row],[ENVIAR]]</f>
        <v>0</v>
      </c>
      <c r="AC234">
        <f>Tabla35[[#This Row],[COPIAR]]-Tabla34[[#This Row],[COPIAR]]</f>
        <v>0</v>
      </c>
    </row>
    <row r="235" spans="1:29" x14ac:dyDescent="0.25">
      <c r="A235" t="s">
        <v>10</v>
      </c>
      <c r="B235" t="s">
        <v>288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K235" t="s">
        <v>10</v>
      </c>
      <c r="L235" t="s">
        <v>288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U235" t="s">
        <v>10</v>
      </c>
      <c r="V235" t="s">
        <v>288</v>
      </c>
      <c r="W235">
        <f>Tabla35[[#This Row],[BN CARTA]]-Tabla34[[#This Row],[BN CARTA]]</f>
        <v>0</v>
      </c>
      <c r="X235">
        <f>Tabla35[[#This Row],[BN OFICIO]]-Tabla34[[#This Row],[BN OFICIO]]</f>
        <v>0</v>
      </c>
      <c r="Y235">
        <f>Tabla35[[#This Row],[BN DC]]-Tabla34[[#This Row],[BN DC]]</f>
        <v>0</v>
      </c>
      <c r="Z235">
        <f>Tabla35[[#This Row],[COLOR CARTA]]-Tabla34[[#This Row],[COLOR CARTA]]</f>
        <v>0</v>
      </c>
      <c r="AA235">
        <f>Tabla35[[#This Row],[COLOR OFICIO]]-Tabla34[[#This Row],[COLOR OFICIO]]</f>
        <v>0</v>
      </c>
      <c r="AB235">
        <f>Tabla35[[#This Row],[ENVIAR]]-Tabla34[[#This Row],[ENVIAR]]</f>
        <v>0</v>
      </c>
      <c r="AC235">
        <f>Tabla35[[#This Row],[COPIAR]]-Tabla34[[#This Row],[COPIAR]]</f>
        <v>0</v>
      </c>
    </row>
    <row r="236" spans="1:29" x14ac:dyDescent="0.25">
      <c r="A236" t="s">
        <v>10</v>
      </c>
      <c r="B236" t="s">
        <v>289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K236" t="s">
        <v>10</v>
      </c>
      <c r="L236" t="s">
        <v>289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U236" t="s">
        <v>10</v>
      </c>
      <c r="V236" t="s">
        <v>289</v>
      </c>
      <c r="W236">
        <f>Tabla35[[#This Row],[BN CARTA]]-Tabla34[[#This Row],[BN CARTA]]</f>
        <v>0</v>
      </c>
      <c r="X236">
        <f>Tabla35[[#This Row],[BN OFICIO]]-Tabla34[[#This Row],[BN OFICIO]]</f>
        <v>0</v>
      </c>
      <c r="Y236">
        <f>Tabla35[[#This Row],[BN DC]]-Tabla34[[#This Row],[BN DC]]</f>
        <v>0</v>
      </c>
      <c r="Z236">
        <f>Tabla35[[#This Row],[COLOR CARTA]]-Tabla34[[#This Row],[COLOR CARTA]]</f>
        <v>0</v>
      </c>
      <c r="AA236">
        <f>Tabla35[[#This Row],[COLOR OFICIO]]-Tabla34[[#This Row],[COLOR OFICIO]]</f>
        <v>0</v>
      </c>
      <c r="AB236">
        <f>Tabla35[[#This Row],[ENVIAR]]-Tabla34[[#This Row],[ENVIAR]]</f>
        <v>0</v>
      </c>
      <c r="AC236">
        <f>Tabla35[[#This Row],[COPIAR]]-Tabla34[[#This Row],[COPIAR]]</f>
        <v>0</v>
      </c>
    </row>
    <row r="237" spans="1:29" x14ac:dyDescent="0.25">
      <c r="A237" t="s">
        <v>10</v>
      </c>
      <c r="B237" t="s">
        <v>290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K237" t="s">
        <v>10</v>
      </c>
      <c r="L237" t="s">
        <v>290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U237" t="s">
        <v>10</v>
      </c>
      <c r="V237" t="s">
        <v>290</v>
      </c>
      <c r="W237">
        <f>Tabla35[[#This Row],[BN CARTA]]-Tabla34[[#This Row],[BN CARTA]]</f>
        <v>0</v>
      </c>
      <c r="X237">
        <f>Tabla35[[#This Row],[BN OFICIO]]-Tabla34[[#This Row],[BN OFICIO]]</f>
        <v>0</v>
      </c>
      <c r="Y237">
        <f>Tabla35[[#This Row],[BN DC]]-Tabla34[[#This Row],[BN DC]]</f>
        <v>0</v>
      </c>
      <c r="Z237">
        <f>Tabla35[[#This Row],[COLOR CARTA]]-Tabla34[[#This Row],[COLOR CARTA]]</f>
        <v>0</v>
      </c>
      <c r="AA237">
        <f>Tabla35[[#This Row],[COLOR OFICIO]]-Tabla34[[#This Row],[COLOR OFICIO]]</f>
        <v>0</v>
      </c>
      <c r="AB237">
        <f>Tabla35[[#This Row],[ENVIAR]]-Tabla34[[#This Row],[ENVIAR]]</f>
        <v>0</v>
      </c>
      <c r="AC237">
        <f>Tabla35[[#This Row],[COPIAR]]-Tabla34[[#This Row],[COPIAR]]</f>
        <v>0</v>
      </c>
    </row>
    <row r="238" spans="1:29" x14ac:dyDescent="0.25">
      <c r="A238" t="s">
        <v>10</v>
      </c>
      <c r="B238" t="s">
        <v>291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K238" t="s">
        <v>10</v>
      </c>
      <c r="L238" t="s">
        <v>291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U238" t="s">
        <v>10</v>
      </c>
      <c r="V238" t="s">
        <v>291</v>
      </c>
      <c r="W238">
        <f>Tabla35[[#This Row],[BN CARTA]]-Tabla34[[#This Row],[BN CARTA]]</f>
        <v>0</v>
      </c>
      <c r="X238">
        <f>Tabla35[[#This Row],[BN OFICIO]]-Tabla34[[#This Row],[BN OFICIO]]</f>
        <v>0</v>
      </c>
      <c r="Y238">
        <f>Tabla35[[#This Row],[BN DC]]-Tabla34[[#This Row],[BN DC]]</f>
        <v>0</v>
      </c>
      <c r="Z238">
        <f>Tabla35[[#This Row],[COLOR CARTA]]-Tabla34[[#This Row],[COLOR CARTA]]</f>
        <v>0</v>
      </c>
      <c r="AA238">
        <f>Tabla35[[#This Row],[COLOR OFICIO]]-Tabla34[[#This Row],[COLOR OFICIO]]</f>
        <v>0</v>
      </c>
      <c r="AB238">
        <f>Tabla35[[#This Row],[ENVIAR]]-Tabla34[[#This Row],[ENVIAR]]</f>
        <v>0</v>
      </c>
      <c r="AC238">
        <f>Tabla35[[#This Row],[COPIAR]]-Tabla34[[#This Row],[COPIAR]]</f>
        <v>0</v>
      </c>
    </row>
    <row r="239" spans="1:29" x14ac:dyDescent="0.25">
      <c r="A239" t="s">
        <v>10</v>
      </c>
      <c r="B239" t="s">
        <v>292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K239" t="s">
        <v>10</v>
      </c>
      <c r="L239" t="s">
        <v>292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 t="s">
        <v>10</v>
      </c>
      <c r="V239" t="s">
        <v>292</v>
      </c>
      <c r="W239">
        <f>Tabla35[[#This Row],[BN CARTA]]-Tabla34[[#This Row],[BN CARTA]]</f>
        <v>0</v>
      </c>
      <c r="X239">
        <f>Tabla35[[#This Row],[BN OFICIO]]-Tabla34[[#This Row],[BN OFICIO]]</f>
        <v>0</v>
      </c>
      <c r="Y239">
        <f>Tabla35[[#This Row],[BN DC]]-Tabla34[[#This Row],[BN DC]]</f>
        <v>0</v>
      </c>
      <c r="Z239">
        <f>Tabla35[[#This Row],[COLOR CARTA]]-Tabla34[[#This Row],[COLOR CARTA]]</f>
        <v>0</v>
      </c>
      <c r="AA239">
        <f>Tabla35[[#This Row],[COLOR OFICIO]]-Tabla34[[#This Row],[COLOR OFICIO]]</f>
        <v>0</v>
      </c>
      <c r="AB239">
        <f>Tabla35[[#This Row],[ENVIAR]]-Tabla34[[#This Row],[ENVIAR]]</f>
        <v>0</v>
      </c>
      <c r="AC239">
        <f>Tabla35[[#This Row],[COPIAR]]-Tabla34[[#This Row],[COPIAR]]</f>
        <v>0</v>
      </c>
    </row>
    <row r="240" spans="1:29" x14ac:dyDescent="0.25">
      <c r="A240" t="s">
        <v>10</v>
      </c>
      <c r="B240" t="s">
        <v>293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K240" t="s">
        <v>10</v>
      </c>
      <c r="L240" t="s">
        <v>293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U240" t="s">
        <v>10</v>
      </c>
      <c r="V240" t="s">
        <v>293</v>
      </c>
      <c r="W240">
        <f>Tabla35[[#This Row],[BN CARTA]]-Tabla34[[#This Row],[BN CARTA]]</f>
        <v>0</v>
      </c>
      <c r="X240">
        <f>Tabla35[[#This Row],[BN OFICIO]]-Tabla34[[#This Row],[BN OFICIO]]</f>
        <v>0</v>
      </c>
      <c r="Y240">
        <f>Tabla35[[#This Row],[BN DC]]-Tabla34[[#This Row],[BN DC]]</f>
        <v>0</v>
      </c>
      <c r="Z240">
        <f>Tabla35[[#This Row],[COLOR CARTA]]-Tabla34[[#This Row],[COLOR CARTA]]</f>
        <v>0</v>
      </c>
      <c r="AA240">
        <f>Tabla35[[#This Row],[COLOR OFICIO]]-Tabla34[[#This Row],[COLOR OFICIO]]</f>
        <v>0</v>
      </c>
      <c r="AB240">
        <f>Tabla35[[#This Row],[ENVIAR]]-Tabla34[[#This Row],[ENVIAR]]</f>
        <v>0</v>
      </c>
      <c r="AC240">
        <f>Tabla35[[#This Row],[COPIAR]]-Tabla34[[#This Row],[COPIAR]]</f>
        <v>0</v>
      </c>
    </row>
    <row r="241" spans="1:29" x14ac:dyDescent="0.25">
      <c r="A241" t="s">
        <v>10</v>
      </c>
      <c r="B241" t="s">
        <v>294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K241" t="s">
        <v>10</v>
      </c>
      <c r="L241" t="s">
        <v>294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U241" t="s">
        <v>10</v>
      </c>
      <c r="V241" t="s">
        <v>294</v>
      </c>
      <c r="W241">
        <f>Tabla35[[#This Row],[BN CARTA]]-Tabla34[[#This Row],[BN CARTA]]</f>
        <v>0</v>
      </c>
      <c r="X241">
        <f>Tabla35[[#This Row],[BN OFICIO]]-Tabla34[[#This Row],[BN OFICIO]]</f>
        <v>0</v>
      </c>
      <c r="Y241">
        <f>Tabla35[[#This Row],[BN DC]]-Tabla34[[#This Row],[BN DC]]</f>
        <v>0</v>
      </c>
      <c r="Z241">
        <f>Tabla35[[#This Row],[COLOR CARTA]]-Tabla34[[#This Row],[COLOR CARTA]]</f>
        <v>0</v>
      </c>
      <c r="AA241">
        <f>Tabla35[[#This Row],[COLOR OFICIO]]-Tabla34[[#This Row],[COLOR OFICIO]]</f>
        <v>0</v>
      </c>
      <c r="AB241">
        <f>Tabla35[[#This Row],[ENVIAR]]-Tabla34[[#This Row],[ENVIAR]]</f>
        <v>0</v>
      </c>
      <c r="AC241">
        <f>Tabla35[[#This Row],[COPIAR]]-Tabla34[[#This Row],[COPIAR]]</f>
        <v>0</v>
      </c>
    </row>
    <row r="242" spans="1:29" x14ac:dyDescent="0.25">
      <c r="A242" t="s">
        <v>185</v>
      </c>
      <c r="B242" t="s">
        <v>295</v>
      </c>
      <c r="C242">
        <v>8</v>
      </c>
      <c r="D242">
        <v>0</v>
      </c>
      <c r="E242">
        <v>0</v>
      </c>
      <c r="F242">
        <v>99</v>
      </c>
      <c r="G242">
        <v>0</v>
      </c>
      <c r="H242">
        <v>0</v>
      </c>
      <c r="I242">
        <v>0</v>
      </c>
      <c r="K242" t="s">
        <v>185</v>
      </c>
      <c r="L242" t="s">
        <v>295</v>
      </c>
      <c r="M242">
        <v>21</v>
      </c>
      <c r="N242">
        <v>0</v>
      </c>
      <c r="O242">
        <v>0</v>
      </c>
      <c r="P242">
        <v>265</v>
      </c>
      <c r="Q242">
        <v>0</v>
      </c>
      <c r="R242">
        <v>0</v>
      </c>
      <c r="S242">
        <v>0</v>
      </c>
      <c r="U242" t="s">
        <v>185</v>
      </c>
      <c r="V242" t="s">
        <v>295</v>
      </c>
      <c r="W242">
        <f>Tabla35[[#This Row],[BN CARTA]]-Tabla34[[#This Row],[BN CARTA]]</f>
        <v>13</v>
      </c>
      <c r="X242">
        <f>Tabla35[[#This Row],[BN OFICIO]]-Tabla34[[#This Row],[BN OFICIO]]</f>
        <v>0</v>
      </c>
      <c r="Y242">
        <f>Tabla35[[#This Row],[BN DC]]-Tabla34[[#This Row],[BN DC]]</f>
        <v>0</v>
      </c>
      <c r="Z242">
        <f>Tabla35[[#This Row],[COLOR CARTA]]-Tabla34[[#This Row],[COLOR CARTA]]</f>
        <v>166</v>
      </c>
      <c r="AA242">
        <f>Tabla35[[#This Row],[COLOR OFICIO]]-Tabla34[[#This Row],[COLOR OFICIO]]</f>
        <v>0</v>
      </c>
      <c r="AB242">
        <f>Tabla35[[#This Row],[ENVIAR]]-Tabla34[[#This Row],[ENVIAR]]</f>
        <v>0</v>
      </c>
      <c r="AC242">
        <f>Tabla35[[#This Row],[COPIAR]]-Tabla34[[#This Row],[COPIAR]]</f>
        <v>0</v>
      </c>
    </row>
    <row r="243" spans="1:29" x14ac:dyDescent="0.25">
      <c r="A243" t="s">
        <v>150</v>
      </c>
      <c r="B243" t="s">
        <v>296</v>
      </c>
      <c r="C243">
        <v>3</v>
      </c>
      <c r="D243">
        <v>0</v>
      </c>
      <c r="E243">
        <v>0</v>
      </c>
      <c r="F243">
        <v>8</v>
      </c>
      <c r="G243">
        <v>0</v>
      </c>
      <c r="H243">
        <v>0</v>
      </c>
      <c r="I243">
        <v>0</v>
      </c>
      <c r="K243" t="s">
        <v>150</v>
      </c>
      <c r="L243" t="s">
        <v>296</v>
      </c>
      <c r="M243">
        <v>43</v>
      </c>
      <c r="N243">
        <v>0</v>
      </c>
      <c r="O243">
        <v>0</v>
      </c>
      <c r="P243">
        <v>1508</v>
      </c>
      <c r="Q243">
        <v>0</v>
      </c>
      <c r="R243">
        <v>0</v>
      </c>
      <c r="S243">
        <v>0</v>
      </c>
      <c r="U243" t="s">
        <v>150</v>
      </c>
      <c r="V243" t="s">
        <v>296</v>
      </c>
      <c r="W243">
        <f>Tabla35[[#This Row],[BN CARTA]]-Tabla34[[#This Row],[BN CARTA]]</f>
        <v>40</v>
      </c>
      <c r="X243">
        <f>Tabla35[[#This Row],[BN OFICIO]]-Tabla34[[#This Row],[BN OFICIO]]</f>
        <v>0</v>
      </c>
      <c r="Y243">
        <f>Tabla35[[#This Row],[BN DC]]-Tabla34[[#This Row],[BN DC]]</f>
        <v>0</v>
      </c>
      <c r="Z243">
        <f>Tabla35[[#This Row],[COLOR CARTA]]-Tabla34[[#This Row],[COLOR CARTA]]</f>
        <v>1500</v>
      </c>
      <c r="AA243">
        <f>Tabla35[[#This Row],[COLOR OFICIO]]-Tabla34[[#This Row],[COLOR OFICIO]]</f>
        <v>0</v>
      </c>
      <c r="AB243">
        <f>Tabla35[[#This Row],[ENVIAR]]-Tabla34[[#This Row],[ENVIAR]]</f>
        <v>0</v>
      </c>
      <c r="AC243">
        <f>Tabla35[[#This Row],[COPIAR]]-Tabla34[[#This Row],[COPIAR]]</f>
        <v>0</v>
      </c>
    </row>
    <row r="244" spans="1:29" x14ac:dyDescent="0.25">
      <c r="A244" t="s">
        <v>10</v>
      </c>
      <c r="B244" t="s">
        <v>297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K244" t="s">
        <v>10</v>
      </c>
      <c r="L244" t="s">
        <v>297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U244" t="s">
        <v>10</v>
      </c>
      <c r="V244" t="s">
        <v>297</v>
      </c>
      <c r="W244">
        <f>Tabla35[[#This Row],[BN CARTA]]-Tabla34[[#This Row],[BN CARTA]]</f>
        <v>0</v>
      </c>
      <c r="X244">
        <f>Tabla35[[#This Row],[BN OFICIO]]-Tabla34[[#This Row],[BN OFICIO]]</f>
        <v>0</v>
      </c>
      <c r="Y244">
        <f>Tabla35[[#This Row],[BN DC]]-Tabla34[[#This Row],[BN DC]]</f>
        <v>0</v>
      </c>
      <c r="Z244">
        <f>Tabla35[[#This Row],[COLOR CARTA]]-Tabla34[[#This Row],[COLOR CARTA]]</f>
        <v>0</v>
      </c>
      <c r="AA244">
        <f>Tabla35[[#This Row],[COLOR OFICIO]]-Tabla34[[#This Row],[COLOR OFICIO]]</f>
        <v>0</v>
      </c>
      <c r="AB244">
        <f>Tabla35[[#This Row],[ENVIAR]]-Tabla34[[#This Row],[ENVIAR]]</f>
        <v>0</v>
      </c>
      <c r="AC244">
        <f>Tabla35[[#This Row],[COPIAR]]-Tabla34[[#This Row],[COPIAR]]</f>
        <v>0</v>
      </c>
    </row>
    <row r="245" spans="1:29" x14ac:dyDescent="0.25">
      <c r="A245" t="s">
        <v>10</v>
      </c>
      <c r="B245" t="s">
        <v>298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K245" t="s">
        <v>10</v>
      </c>
      <c r="L245" t="s">
        <v>298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U245" t="s">
        <v>10</v>
      </c>
      <c r="V245" t="s">
        <v>298</v>
      </c>
      <c r="W245">
        <f>Tabla35[[#This Row],[BN CARTA]]-Tabla34[[#This Row],[BN CARTA]]</f>
        <v>0</v>
      </c>
      <c r="X245">
        <f>Tabla35[[#This Row],[BN OFICIO]]-Tabla34[[#This Row],[BN OFICIO]]</f>
        <v>0</v>
      </c>
      <c r="Y245">
        <f>Tabla35[[#This Row],[BN DC]]-Tabla34[[#This Row],[BN DC]]</f>
        <v>0</v>
      </c>
      <c r="Z245">
        <f>Tabla35[[#This Row],[COLOR CARTA]]-Tabla34[[#This Row],[COLOR CARTA]]</f>
        <v>0</v>
      </c>
      <c r="AA245">
        <f>Tabla35[[#This Row],[COLOR OFICIO]]-Tabla34[[#This Row],[COLOR OFICIO]]</f>
        <v>0</v>
      </c>
      <c r="AB245">
        <f>Tabla35[[#This Row],[ENVIAR]]-Tabla34[[#This Row],[ENVIAR]]</f>
        <v>0</v>
      </c>
      <c r="AC245">
        <f>Tabla35[[#This Row],[COPIAR]]-Tabla34[[#This Row],[COPIAR]]</f>
        <v>0</v>
      </c>
    </row>
    <row r="246" spans="1:29" x14ac:dyDescent="0.25">
      <c r="A246" t="s">
        <v>72</v>
      </c>
      <c r="B246" t="s">
        <v>299</v>
      </c>
      <c r="C246">
        <v>18</v>
      </c>
      <c r="D246">
        <v>0</v>
      </c>
      <c r="E246">
        <v>0</v>
      </c>
      <c r="F246">
        <v>405</v>
      </c>
      <c r="G246">
        <v>0</v>
      </c>
      <c r="H246">
        <v>0</v>
      </c>
      <c r="I246">
        <v>0</v>
      </c>
      <c r="K246" t="s">
        <v>72</v>
      </c>
      <c r="L246" t="s">
        <v>299</v>
      </c>
      <c r="M246">
        <v>77</v>
      </c>
      <c r="N246">
        <v>0</v>
      </c>
      <c r="O246">
        <v>0</v>
      </c>
      <c r="P246">
        <v>863</v>
      </c>
      <c r="Q246">
        <v>19</v>
      </c>
      <c r="R246">
        <v>0</v>
      </c>
      <c r="S246">
        <v>0</v>
      </c>
      <c r="U246" t="s">
        <v>72</v>
      </c>
      <c r="V246" t="s">
        <v>299</v>
      </c>
      <c r="W246">
        <f>Tabla35[[#This Row],[BN CARTA]]-Tabla34[[#This Row],[BN CARTA]]</f>
        <v>59</v>
      </c>
      <c r="X246">
        <f>Tabla35[[#This Row],[BN OFICIO]]-Tabla34[[#This Row],[BN OFICIO]]</f>
        <v>0</v>
      </c>
      <c r="Y246">
        <f>Tabla35[[#This Row],[BN DC]]-Tabla34[[#This Row],[BN DC]]</f>
        <v>0</v>
      </c>
      <c r="Z246">
        <f>Tabla35[[#This Row],[COLOR CARTA]]-Tabla34[[#This Row],[COLOR CARTA]]</f>
        <v>458</v>
      </c>
      <c r="AA246">
        <f>Tabla35[[#This Row],[COLOR OFICIO]]-Tabla34[[#This Row],[COLOR OFICIO]]</f>
        <v>19</v>
      </c>
      <c r="AB246">
        <f>Tabla35[[#This Row],[ENVIAR]]-Tabla34[[#This Row],[ENVIAR]]</f>
        <v>0</v>
      </c>
      <c r="AC246">
        <f>Tabla35[[#This Row],[COPIAR]]-Tabla34[[#This Row],[COPIAR]]</f>
        <v>0</v>
      </c>
    </row>
    <row r="247" spans="1:29" x14ac:dyDescent="0.25">
      <c r="A247" t="s">
        <v>10</v>
      </c>
      <c r="B247" t="s">
        <v>300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K247" t="s">
        <v>10</v>
      </c>
      <c r="L247" t="s">
        <v>300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U247" t="s">
        <v>10</v>
      </c>
      <c r="V247" t="s">
        <v>300</v>
      </c>
      <c r="W247">
        <f>Tabla35[[#This Row],[BN CARTA]]-Tabla34[[#This Row],[BN CARTA]]</f>
        <v>0</v>
      </c>
      <c r="X247">
        <f>Tabla35[[#This Row],[BN OFICIO]]-Tabla34[[#This Row],[BN OFICIO]]</f>
        <v>0</v>
      </c>
      <c r="Y247">
        <f>Tabla35[[#This Row],[BN DC]]-Tabla34[[#This Row],[BN DC]]</f>
        <v>0</v>
      </c>
      <c r="Z247">
        <f>Tabla35[[#This Row],[COLOR CARTA]]-Tabla34[[#This Row],[COLOR CARTA]]</f>
        <v>0</v>
      </c>
      <c r="AA247">
        <f>Tabla35[[#This Row],[COLOR OFICIO]]-Tabla34[[#This Row],[COLOR OFICIO]]</f>
        <v>0</v>
      </c>
      <c r="AB247">
        <f>Tabla35[[#This Row],[ENVIAR]]-Tabla34[[#This Row],[ENVIAR]]</f>
        <v>0</v>
      </c>
      <c r="AC247">
        <f>Tabla35[[#This Row],[COPIAR]]-Tabla34[[#This Row],[COPIAR]]</f>
        <v>0</v>
      </c>
    </row>
    <row r="248" spans="1:29" x14ac:dyDescent="0.25">
      <c r="A248" t="s">
        <v>10</v>
      </c>
      <c r="B248" t="s">
        <v>301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K248" t="s">
        <v>798</v>
      </c>
      <c r="L248" t="s">
        <v>301</v>
      </c>
      <c r="M248">
        <v>163</v>
      </c>
      <c r="N248">
        <v>3</v>
      </c>
      <c r="O248">
        <v>0</v>
      </c>
      <c r="P248">
        <v>1162</v>
      </c>
      <c r="Q248">
        <v>3</v>
      </c>
      <c r="R248">
        <v>0</v>
      </c>
      <c r="S248">
        <v>0</v>
      </c>
      <c r="U248" t="s">
        <v>798</v>
      </c>
      <c r="V248" t="s">
        <v>301</v>
      </c>
      <c r="W248">
        <f>Tabla35[[#This Row],[BN CARTA]]-Tabla34[[#This Row],[BN CARTA]]</f>
        <v>163</v>
      </c>
      <c r="X248">
        <f>Tabla35[[#This Row],[BN OFICIO]]-Tabla34[[#This Row],[BN OFICIO]]</f>
        <v>3</v>
      </c>
      <c r="Y248">
        <f>Tabla35[[#This Row],[BN DC]]-Tabla34[[#This Row],[BN DC]]</f>
        <v>0</v>
      </c>
      <c r="Z248">
        <f>Tabla35[[#This Row],[COLOR CARTA]]-Tabla34[[#This Row],[COLOR CARTA]]</f>
        <v>1162</v>
      </c>
      <c r="AA248">
        <f>Tabla35[[#This Row],[COLOR OFICIO]]-Tabla34[[#This Row],[COLOR OFICIO]]</f>
        <v>3</v>
      </c>
      <c r="AB248">
        <f>Tabla35[[#This Row],[ENVIAR]]-Tabla34[[#This Row],[ENVIAR]]</f>
        <v>0</v>
      </c>
      <c r="AC248">
        <f>Tabla35[[#This Row],[COPIAR]]-Tabla34[[#This Row],[COPIAR]]</f>
        <v>0</v>
      </c>
    </row>
    <row r="249" spans="1:29" x14ac:dyDescent="0.25">
      <c r="A249" t="s">
        <v>10</v>
      </c>
      <c r="B249" t="s">
        <v>302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K249" t="s">
        <v>10</v>
      </c>
      <c r="L249" t="s">
        <v>302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U249" t="s">
        <v>10</v>
      </c>
      <c r="V249" t="s">
        <v>302</v>
      </c>
      <c r="W249">
        <f>Tabla35[[#This Row],[BN CARTA]]-Tabla34[[#This Row],[BN CARTA]]</f>
        <v>0</v>
      </c>
      <c r="X249">
        <f>Tabla35[[#This Row],[BN OFICIO]]-Tabla34[[#This Row],[BN OFICIO]]</f>
        <v>0</v>
      </c>
      <c r="Y249">
        <f>Tabla35[[#This Row],[BN DC]]-Tabla34[[#This Row],[BN DC]]</f>
        <v>0</v>
      </c>
      <c r="Z249">
        <f>Tabla35[[#This Row],[COLOR CARTA]]-Tabla34[[#This Row],[COLOR CARTA]]</f>
        <v>0</v>
      </c>
      <c r="AA249">
        <f>Tabla35[[#This Row],[COLOR OFICIO]]-Tabla34[[#This Row],[COLOR OFICIO]]</f>
        <v>0</v>
      </c>
      <c r="AB249">
        <f>Tabla35[[#This Row],[ENVIAR]]-Tabla34[[#This Row],[ENVIAR]]</f>
        <v>0</v>
      </c>
      <c r="AC249">
        <f>Tabla35[[#This Row],[COPIAR]]-Tabla34[[#This Row],[COPIAR]]</f>
        <v>0</v>
      </c>
    </row>
    <row r="250" spans="1:29" x14ac:dyDescent="0.25">
      <c r="A250" t="s">
        <v>10</v>
      </c>
      <c r="B250" t="s">
        <v>303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K250" t="s">
        <v>788</v>
      </c>
      <c r="L250" t="s">
        <v>303</v>
      </c>
      <c r="M250">
        <v>13</v>
      </c>
      <c r="N250">
        <v>0</v>
      </c>
      <c r="O250">
        <v>0</v>
      </c>
      <c r="P250">
        <v>109</v>
      </c>
      <c r="Q250">
        <v>0</v>
      </c>
      <c r="R250">
        <v>0</v>
      </c>
      <c r="S250">
        <v>0</v>
      </c>
      <c r="U250" t="s">
        <v>788</v>
      </c>
      <c r="V250" t="s">
        <v>303</v>
      </c>
      <c r="W250">
        <f>Tabla35[[#This Row],[BN CARTA]]-Tabla34[[#This Row],[BN CARTA]]</f>
        <v>13</v>
      </c>
      <c r="X250">
        <f>Tabla35[[#This Row],[BN OFICIO]]-Tabla34[[#This Row],[BN OFICIO]]</f>
        <v>0</v>
      </c>
      <c r="Y250">
        <f>Tabla35[[#This Row],[BN DC]]-Tabla34[[#This Row],[BN DC]]</f>
        <v>0</v>
      </c>
      <c r="Z250">
        <f>Tabla35[[#This Row],[COLOR CARTA]]-Tabla34[[#This Row],[COLOR CARTA]]</f>
        <v>109</v>
      </c>
      <c r="AA250">
        <f>Tabla35[[#This Row],[COLOR OFICIO]]-Tabla34[[#This Row],[COLOR OFICIO]]</f>
        <v>0</v>
      </c>
      <c r="AB250">
        <f>Tabla35[[#This Row],[ENVIAR]]-Tabla34[[#This Row],[ENVIAR]]</f>
        <v>0</v>
      </c>
      <c r="AC250">
        <f>Tabla35[[#This Row],[COPIAR]]-Tabla34[[#This Row],[COPIAR]]</f>
        <v>0</v>
      </c>
    </row>
    <row r="251" spans="1:29" x14ac:dyDescent="0.25">
      <c r="A251" t="s">
        <v>226</v>
      </c>
      <c r="B251" t="s">
        <v>304</v>
      </c>
      <c r="C251">
        <v>15</v>
      </c>
      <c r="D251">
        <v>0</v>
      </c>
      <c r="E251">
        <v>0</v>
      </c>
      <c r="F251">
        <v>685</v>
      </c>
      <c r="G251">
        <v>0</v>
      </c>
      <c r="H251">
        <v>0</v>
      </c>
      <c r="I251">
        <v>0</v>
      </c>
      <c r="K251" t="s">
        <v>226</v>
      </c>
      <c r="L251" t="s">
        <v>304</v>
      </c>
      <c r="M251">
        <v>15</v>
      </c>
      <c r="N251">
        <v>0</v>
      </c>
      <c r="O251">
        <v>0</v>
      </c>
      <c r="P251">
        <v>685</v>
      </c>
      <c r="Q251">
        <v>0</v>
      </c>
      <c r="R251">
        <v>0</v>
      </c>
      <c r="S251">
        <v>0</v>
      </c>
      <c r="U251" t="s">
        <v>226</v>
      </c>
      <c r="V251" t="s">
        <v>304</v>
      </c>
      <c r="W251">
        <f>Tabla35[[#This Row],[BN CARTA]]-Tabla34[[#This Row],[BN CARTA]]</f>
        <v>0</v>
      </c>
      <c r="X251">
        <f>Tabla35[[#This Row],[BN OFICIO]]-Tabla34[[#This Row],[BN OFICIO]]</f>
        <v>0</v>
      </c>
      <c r="Y251">
        <f>Tabla35[[#This Row],[BN DC]]-Tabla34[[#This Row],[BN DC]]</f>
        <v>0</v>
      </c>
      <c r="Z251">
        <f>Tabla35[[#This Row],[COLOR CARTA]]-Tabla34[[#This Row],[COLOR CARTA]]</f>
        <v>0</v>
      </c>
      <c r="AA251">
        <f>Tabla35[[#This Row],[COLOR OFICIO]]-Tabla34[[#This Row],[COLOR OFICIO]]</f>
        <v>0</v>
      </c>
      <c r="AB251">
        <f>Tabla35[[#This Row],[ENVIAR]]-Tabla34[[#This Row],[ENVIAR]]</f>
        <v>0</v>
      </c>
      <c r="AC251">
        <f>Tabla35[[#This Row],[COPIAR]]-Tabla34[[#This Row],[COPIAR]]</f>
        <v>0</v>
      </c>
    </row>
    <row r="252" spans="1:29" x14ac:dyDescent="0.25">
      <c r="A252" t="s">
        <v>305</v>
      </c>
      <c r="B252" t="s">
        <v>306</v>
      </c>
      <c r="C252">
        <v>14</v>
      </c>
      <c r="D252">
        <v>0</v>
      </c>
      <c r="E252">
        <v>0</v>
      </c>
      <c r="F252">
        <v>59</v>
      </c>
      <c r="G252">
        <v>0</v>
      </c>
      <c r="H252">
        <v>0</v>
      </c>
      <c r="I252">
        <v>0</v>
      </c>
      <c r="K252" t="s">
        <v>305</v>
      </c>
      <c r="L252" t="s">
        <v>306</v>
      </c>
      <c r="M252">
        <v>209</v>
      </c>
      <c r="N252">
        <v>0</v>
      </c>
      <c r="O252">
        <v>0</v>
      </c>
      <c r="P252">
        <v>79</v>
      </c>
      <c r="Q252">
        <v>0</v>
      </c>
      <c r="R252">
        <v>0</v>
      </c>
      <c r="S252">
        <v>0</v>
      </c>
      <c r="U252" t="s">
        <v>305</v>
      </c>
      <c r="V252" t="s">
        <v>306</v>
      </c>
      <c r="W252">
        <f>Tabla35[[#This Row],[BN CARTA]]-Tabla34[[#This Row],[BN CARTA]]</f>
        <v>195</v>
      </c>
      <c r="X252">
        <f>Tabla35[[#This Row],[BN OFICIO]]-Tabla34[[#This Row],[BN OFICIO]]</f>
        <v>0</v>
      </c>
      <c r="Y252">
        <f>Tabla35[[#This Row],[BN DC]]-Tabla34[[#This Row],[BN DC]]</f>
        <v>0</v>
      </c>
      <c r="Z252">
        <f>Tabla35[[#This Row],[COLOR CARTA]]-Tabla34[[#This Row],[COLOR CARTA]]</f>
        <v>20</v>
      </c>
      <c r="AA252">
        <f>Tabla35[[#This Row],[COLOR OFICIO]]-Tabla34[[#This Row],[COLOR OFICIO]]</f>
        <v>0</v>
      </c>
      <c r="AB252">
        <f>Tabla35[[#This Row],[ENVIAR]]-Tabla34[[#This Row],[ENVIAR]]</f>
        <v>0</v>
      </c>
      <c r="AC252">
        <f>Tabla35[[#This Row],[COPIAR]]-Tabla34[[#This Row],[COPIAR]]</f>
        <v>0</v>
      </c>
    </row>
    <row r="253" spans="1:29" x14ac:dyDescent="0.25">
      <c r="A253" t="s">
        <v>10</v>
      </c>
      <c r="B253" t="s">
        <v>307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K253" t="s">
        <v>512</v>
      </c>
      <c r="L253" t="s">
        <v>307</v>
      </c>
      <c r="M253">
        <v>87</v>
      </c>
      <c r="N253">
        <v>0</v>
      </c>
      <c r="O253">
        <v>0</v>
      </c>
      <c r="P253">
        <v>180</v>
      </c>
      <c r="Q253">
        <v>0</v>
      </c>
      <c r="R253">
        <v>0</v>
      </c>
      <c r="S253">
        <v>0</v>
      </c>
      <c r="U253" t="s">
        <v>512</v>
      </c>
      <c r="V253" t="s">
        <v>307</v>
      </c>
      <c r="W253">
        <f>Tabla35[[#This Row],[BN CARTA]]-Tabla34[[#This Row],[BN CARTA]]</f>
        <v>87</v>
      </c>
      <c r="X253">
        <f>Tabla35[[#This Row],[BN OFICIO]]-Tabla34[[#This Row],[BN OFICIO]]</f>
        <v>0</v>
      </c>
      <c r="Y253">
        <f>Tabla35[[#This Row],[BN DC]]-Tabla34[[#This Row],[BN DC]]</f>
        <v>0</v>
      </c>
      <c r="Z253">
        <f>Tabla35[[#This Row],[COLOR CARTA]]-Tabla34[[#This Row],[COLOR CARTA]]</f>
        <v>180</v>
      </c>
      <c r="AA253">
        <f>Tabla35[[#This Row],[COLOR OFICIO]]-Tabla34[[#This Row],[COLOR OFICIO]]</f>
        <v>0</v>
      </c>
      <c r="AB253">
        <f>Tabla35[[#This Row],[ENVIAR]]-Tabla34[[#This Row],[ENVIAR]]</f>
        <v>0</v>
      </c>
      <c r="AC253">
        <f>Tabla35[[#This Row],[COPIAR]]-Tabla34[[#This Row],[COPIAR]]</f>
        <v>0</v>
      </c>
    </row>
    <row r="254" spans="1:29" x14ac:dyDescent="0.25">
      <c r="A254" t="s">
        <v>10</v>
      </c>
      <c r="B254" t="s">
        <v>308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K254" t="s">
        <v>10</v>
      </c>
      <c r="L254" t="s">
        <v>308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U254" t="s">
        <v>10</v>
      </c>
      <c r="V254" t="s">
        <v>308</v>
      </c>
      <c r="W254">
        <f>Tabla35[[#This Row],[BN CARTA]]-Tabla34[[#This Row],[BN CARTA]]</f>
        <v>0</v>
      </c>
      <c r="X254">
        <f>Tabla35[[#This Row],[BN OFICIO]]-Tabla34[[#This Row],[BN OFICIO]]</f>
        <v>0</v>
      </c>
      <c r="Y254">
        <f>Tabla35[[#This Row],[BN DC]]-Tabla34[[#This Row],[BN DC]]</f>
        <v>0</v>
      </c>
      <c r="Z254">
        <f>Tabla35[[#This Row],[COLOR CARTA]]-Tabla34[[#This Row],[COLOR CARTA]]</f>
        <v>0</v>
      </c>
      <c r="AA254">
        <f>Tabla35[[#This Row],[COLOR OFICIO]]-Tabla34[[#This Row],[COLOR OFICIO]]</f>
        <v>0</v>
      </c>
      <c r="AB254">
        <f>Tabla35[[#This Row],[ENVIAR]]-Tabla34[[#This Row],[ENVIAR]]</f>
        <v>0</v>
      </c>
      <c r="AC254">
        <f>Tabla35[[#This Row],[COPIAR]]-Tabla34[[#This Row],[COPIAR]]</f>
        <v>0</v>
      </c>
    </row>
    <row r="255" spans="1:29" x14ac:dyDescent="0.25">
      <c r="A255" t="s">
        <v>52</v>
      </c>
      <c r="B255" t="s">
        <v>309</v>
      </c>
      <c r="C255">
        <v>80</v>
      </c>
      <c r="D255">
        <v>0</v>
      </c>
      <c r="E255">
        <v>0</v>
      </c>
      <c r="F255">
        <v>1261</v>
      </c>
      <c r="G255">
        <v>0</v>
      </c>
      <c r="H255">
        <v>0</v>
      </c>
      <c r="I255">
        <v>0</v>
      </c>
      <c r="K255" t="s">
        <v>52</v>
      </c>
      <c r="L255" t="s">
        <v>309</v>
      </c>
      <c r="M255">
        <v>486</v>
      </c>
      <c r="N255">
        <v>0</v>
      </c>
      <c r="O255">
        <v>0</v>
      </c>
      <c r="P255">
        <v>3991</v>
      </c>
      <c r="Q255">
        <v>0</v>
      </c>
      <c r="R255">
        <v>0</v>
      </c>
      <c r="S255">
        <v>0</v>
      </c>
      <c r="U255" t="s">
        <v>52</v>
      </c>
      <c r="V255" t="s">
        <v>309</v>
      </c>
      <c r="W255">
        <f>Tabla35[[#This Row],[BN CARTA]]-Tabla34[[#This Row],[BN CARTA]]</f>
        <v>406</v>
      </c>
      <c r="X255">
        <f>Tabla35[[#This Row],[BN OFICIO]]-Tabla34[[#This Row],[BN OFICIO]]</f>
        <v>0</v>
      </c>
      <c r="Y255">
        <f>Tabla35[[#This Row],[BN DC]]-Tabla34[[#This Row],[BN DC]]</f>
        <v>0</v>
      </c>
      <c r="Z255">
        <f>Tabla35[[#This Row],[COLOR CARTA]]-Tabla34[[#This Row],[COLOR CARTA]]</f>
        <v>2730</v>
      </c>
      <c r="AA255">
        <f>Tabla35[[#This Row],[COLOR OFICIO]]-Tabla34[[#This Row],[COLOR OFICIO]]</f>
        <v>0</v>
      </c>
      <c r="AB255">
        <f>Tabla35[[#This Row],[ENVIAR]]-Tabla34[[#This Row],[ENVIAR]]</f>
        <v>0</v>
      </c>
      <c r="AC255">
        <f>Tabla35[[#This Row],[COPIAR]]-Tabla34[[#This Row],[COPIAR]]</f>
        <v>0</v>
      </c>
    </row>
    <row r="256" spans="1:29" x14ac:dyDescent="0.25">
      <c r="A256" t="s">
        <v>10</v>
      </c>
      <c r="B256" t="s">
        <v>310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K256" t="s">
        <v>150</v>
      </c>
      <c r="L256" t="s">
        <v>310</v>
      </c>
      <c r="M256">
        <v>85</v>
      </c>
      <c r="N256">
        <v>0</v>
      </c>
      <c r="O256">
        <v>0</v>
      </c>
      <c r="P256">
        <v>657</v>
      </c>
      <c r="Q256">
        <v>0</v>
      </c>
      <c r="R256">
        <v>0</v>
      </c>
      <c r="S256">
        <v>0</v>
      </c>
      <c r="U256" t="s">
        <v>150</v>
      </c>
      <c r="V256" t="s">
        <v>310</v>
      </c>
      <c r="W256">
        <f>Tabla35[[#This Row],[BN CARTA]]-Tabla34[[#This Row],[BN CARTA]]</f>
        <v>85</v>
      </c>
      <c r="X256">
        <f>Tabla35[[#This Row],[BN OFICIO]]-Tabla34[[#This Row],[BN OFICIO]]</f>
        <v>0</v>
      </c>
      <c r="Y256">
        <f>Tabla35[[#This Row],[BN DC]]-Tabla34[[#This Row],[BN DC]]</f>
        <v>0</v>
      </c>
      <c r="Z256">
        <f>Tabla35[[#This Row],[COLOR CARTA]]-Tabla34[[#This Row],[COLOR CARTA]]</f>
        <v>657</v>
      </c>
      <c r="AA256">
        <f>Tabla35[[#This Row],[COLOR OFICIO]]-Tabla34[[#This Row],[COLOR OFICIO]]</f>
        <v>0</v>
      </c>
      <c r="AB256">
        <f>Tabla35[[#This Row],[ENVIAR]]-Tabla34[[#This Row],[ENVIAR]]</f>
        <v>0</v>
      </c>
      <c r="AC256">
        <f>Tabla35[[#This Row],[COPIAR]]-Tabla34[[#This Row],[COPIAR]]</f>
        <v>0</v>
      </c>
    </row>
    <row r="257" spans="1:29" x14ac:dyDescent="0.25">
      <c r="A257" t="s">
        <v>131</v>
      </c>
      <c r="B257" t="s">
        <v>311</v>
      </c>
      <c r="C257">
        <v>9</v>
      </c>
      <c r="D257">
        <v>0</v>
      </c>
      <c r="E257">
        <v>0</v>
      </c>
      <c r="F257">
        <v>7</v>
      </c>
      <c r="G257">
        <v>0</v>
      </c>
      <c r="H257">
        <v>0</v>
      </c>
      <c r="I257">
        <v>0</v>
      </c>
      <c r="K257" t="s">
        <v>131</v>
      </c>
      <c r="L257" t="s">
        <v>311</v>
      </c>
      <c r="M257">
        <v>9</v>
      </c>
      <c r="N257">
        <v>0</v>
      </c>
      <c r="O257">
        <v>0</v>
      </c>
      <c r="P257">
        <v>7</v>
      </c>
      <c r="Q257">
        <v>0</v>
      </c>
      <c r="R257">
        <v>0</v>
      </c>
      <c r="S257">
        <v>0</v>
      </c>
      <c r="U257" t="s">
        <v>131</v>
      </c>
      <c r="V257" t="s">
        <v>311</v>
      </c>
      <c r="W257">
        <f>Tabla35[[#This Row],[BN CARTA]]-Tabla34[[#This Row],[BN CARTA]]</f>
        <v>0</v>
      </c>
      <c r="X257">
        <f>Tabla35[[#This Row],[BN OFICIO]]-Tabla34[[#This Row],[BN OFICIO]]</f>
        <v>0</v>
      </c>
      <c r="Y257">
        <f>Tabla35[[#This Row],[BN DC]]-Tabla34[[#This Row],[BN DC]]</f>
        <v>0</v>
      </c>
      <c r="Z257">
        <f>Tabla35[[#This Row],[COLOR CARTA]]-Tabla34[[#This Row],[COLOR CARTA]]</f>
        <v>0</v>
      </c>
      <c r="AA257">
        <f>Tabla35[[#This Row],[COLOR OFICIO]]-Tabla34[[#This Row],[COLOR OFICIO]]</f>
        <v>0</v>
      </c>
      <c r="AB257">
        <f>Tabla35[[#This Row],[ENVIAR]]-Tabla34[[#This Row],[ENVIAR]]</f>
        <v>0</v>
      </c>
      <c r="AC257">
        <f>Tabla35[[#This Row],[COPIAR]]-Tabla34[[#This Row],[COPIAR]]</f>
        <v>0</v>
      </c>
    </row>
    <row r="258" spans="1:29" x14ac:dyDescent="0.25">
      <c r="A258" t="s">
        <v>47</v>
      </c>
      <c r="B258" t="s">
        <v>312</v>
      </c>
      <c r="C258">
        <v>459</v>
      </c>
      <c r="D258">
        <v>0</v>
      </c>
      <c r="E258">
        <v>0</v>
      </c>
      <c r="F258">
        <v>33</v>
      </c>
      <c r="G258">
        <v>0</v>
      </c>
      <c r="H258">
        <v>0</v>
      </c>
      <c r="I258">
        <v>0</v>
      </c>
      <c r="K258" t="s">
        <v>47</v>
      </c>
      <c r="L258" t="s">
        <v>312</v>
      </c>
      <c r="M258">
        <v>1467</v>
      </c>
      <c r="N258">
        <v>2</v>
      </c>
      <c r="O258">
        <v>0</v>
      </c>
      <c r="P258">
        <v>125</v>
      </c>
      <c r="Q258">
        <v>0</v>
      </c>
      <c r="R258">
        <v>0</v>
      </c>
      <c r="S258">
        <v>0</v>
      </c>
      <c r="U258" t="s">
        <v>47</v>
      </c>
      <c r="V258" t="s">
        <v>312</v>
      </c>
      <c r="W258">
        <f>Tabla35[[#This Row],[BN CARTA]]-Tabla34[[#This Row],[BN CARTA]]</f>
        <v>1008</v>
      </c>
      <c r="X258">
        <f>Tabla35[[#This Row],[BN OFICIO]]-Tabla34[[#This Row],[BN OFICIO]]</f>
        <v>2</v>
      </c>
      <c r="Y258">
        <f>Tabla35[[#This Row],[BN DC]]-Tabla34[[#This Row],[BN DC]]</f>
        <v>0</v>
      </c>
      <c r="Z258">
        <f>Tabla35[[#This Row],[COLOR CARTA]]-Tabla34[[#This Row],[COLOR CARTA]]</f>
        <v>92</v>
      </c>
      <c r="AA258">
        <f>Tabla35[[#This Row],[COLOR OFICIO]]-Tabla34[[#This Row],[COLOR OFICIO]]</f>
        <v>0</v>
      </c>
      <c r="AB258">
        <f>Tabla35[[#This Row],[ENVIAR]]-Tabla34[[#This Row],[ENVIAR]]</f>
        <v>0</v>
      </c>
      <c r="AC258">
        <f>Tabla35[[#This Row],[COPIAR]]-Tabla34[[#This Row],[COPIAR]]</f>
        <v>0</v>
      </c>
    </row>
    <row r="259" spans="1:29" x14ac:dyDescent="0.25">
      <c r="A259" t="s">
        <v>10</v>
      </c>
      <c r="B259" t="s">
        <v>313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K259" t="s">
        <v>794</v>
      </c>
      <c r="L259" t="s">
        <v>313</v>
      </c>
      <c r="M259">
        <v>12</v>
      </c>
      <c r="N259">
        <v>0</v>
      </c>
      <c r="O259">
        <v>0</v>
      </c>
      <c r="P259">
        <v>223</v>
      </c>
      <c r="Q259">
        <v>0</v>
      </c>
      <c r="R259">
        <v>0</v>
      </c>
      <c r="S259">
        <v>0</v>
      </c>
      <c r="U259" t="s">
        <v>794</v>
      </c>
      <c r="V259" t="s">
        <v>313</v>
      </c>
      <c r="W259">
        <f>Tabla35[[#This Row],[BN CARTA]]-Tabla34[[#This Row],[BN CARTA]]</f>
        <v>12</v>
      </c>
      <c r="X259">
        <f>Tabla35[[#This Row],[BN OFICIO]]-Tabla34[[#This Row],[BN OFICIO]]</f>
        <v>0</v>
      </c>
      <c r="Y259">
        <f>Tabla35[[#This Row],[BN DC]]-Tabla34[[#This Row],[BN DC]]</f>
        <v>0</v>
      </c>
      <c r="Z259">
        <f>Tabla35[[#This Row],[COLOR CARTA]]-Tabla34[[#This Row],[COLOR CARTA]]</f>
        <v>223</v>
      </c>
      <c r="AA259">
        <f>Tabla35[[#This Row],[COLOR OFICIO]]-Tabla34[[#This Row],[COLOR OFICIO]]</f>
        <v>0</v>
      </c>
      <c r="AB259">
        <f>Tabla35[[#This Row],[ENVIAR]]-Tabla34[[#This Row],[ENVIAR]]</f>
        <v>0</v>
      </c>
      <c r="AC259">
        <f>Tabla35[[#This Row],[COPIAR]]-Tabla34[[#This Row],[COPIAR]]</f>
        <v>0</v>
      </c>
    </row>
    <row r="260" spans="1:29" x14ac:dyDescent="0.25">
      <c r="A260" t="s">
        <v>33</v>
      </c>
      <c r="B260" t="s">
        <v>314</v>
      </c>
      <c r="C260">
        <v>6</v>
      </c>
      <c r="D260">
        <v>0</v>
      </c>
      <c r="E260">
        <v>0</v>
      </c>
      <c r="F260">
        <v>10</v>
      </c>
      <c r="G260">
        <v>0</v>
      </c>
      <c r="H260">
        <v>0</v>
      </c>
      <c r="I260">
        <v>0</v>
      </c>
      <c r="K260" t="s">
        <v>33</v>
      </c>
      <c r="L260" t="s">
        <v>314</v>
      </c>
      <c r="M260">
        <v>6</v>
      </c>
      <c r="N260">
        <v>0</v>
      </c>
      <c r="O260">
        <v>0</v>
      </c>
      <c r="P260">
        <v>10</v>
      </c>
      <c r="Q260">
        <v>0</v>
      </c>
      <c r="R260">
        <v>0</v>
      </c>
      <c r="S260">
        <v>0</v>
      </c>
      <c r="U260" t="s">
        <v>33</v>
      </c>
      <c r="V260" t="s">
        <v>314</v>
      </c>
      <c r="W260">
        <f>Tabla35[[#This Row],[BN CARTA]]-Tabla34[[#This Row],[BN CARTA]]</f>
        <v>0</v>
      </c>
      <c r="X260">
        <f>Tabla35[[#This Row],[BN OFICIO]]-Tabla34[[#This Row],[BN OFICIO]]</f>
        <v>0</v>
      </c>
      <c r="Y260">
        <f>Tabla35[[#This Row],[BN DC]]-Tabla34[[#This Row],[BN DC]]</f>
        <v>0</v>
      </c>
      <c r="Z260">
        <f>Tabla35[[#This Row],[COLOR CARTA]]-Tabla34[[#This Row],[COLOR CARTA]]</f>
        <v>0</v>
      </c>
      <c r="AA260">
        <f>Tabla35[[#This Row],[COLOR OFICIO]]-Tabla34[[#This Row],[COLOR OFICIO]]</f>
        <v>0</v>
      </c>
      <c r="AB260">
        <f>Tabla35[[#This Row],[ENVIAR]]-Tabla34[[#This Row],[ENVIAR]]</f>
        <v>0</v>
      </c>
      <c r="AC260">
        <f>Tabla35[[#This Row],[COPIAR]]-Tabla34[[#This Row],[COPIAR]]</f>
        <v>0</v>
      </c>
    </row>
    <row r="261" spans="1:29" x14ac:dyDescent="0.25">
      <c r="A261" t="s">
        <v>61</v>
      </c>
      <c r="B261" t="s">
        <v>315</v>
      </c>
      <c r="C261">
        <v>8</v>
      </c>
      <c r="D261">
        <v>0</v>
      </c>
      <c r="E261">
        <v>0</v>
      </c>
      <c r="F261">
        <v>14</v>
      </c>
      <c r="G261">
        <v>0</v>
      </c>
      <c r="H261">
        <v>0</v>
      </c>
      <c r="I261">
        <v>0</v>
      </c>
      <c r="K261" t="s">
        <v>61</v>
      </c>
      <c r="L261" t="s">
        <v>315</v>
      </c>
      <c r="M261">
        <v>22</v>
      </c>
      <c r="N261">
        <v>0</v>
      </c>
      <c r="O261">
        <v>0</v>
      </c>
      <c r="P261">
        <v>61</v>
      </c>
      <c r="Q261">
        <v>0</v>
      </c>
      <c r="R261">
        <v>0</v>
      </c>
      <c r="S261">
        <v>0</v>
      </c>
      <c r="U261" t="s">
        <v>61</v>
      </c>
      <c r="V261" t="s">
        <v>315</v>
      </c>
      <c r="W261">
        <f>Tabla35[[#This Row],[BN CARTA]]-Tabla34[[#This Row],[BN CARTA]]</f>
        <v>14</v>
      </c>
      <c r="X261">
        <f>Tabla35[[#This Row],[BN OFICIO]]-Tabla34[[#This Row],[BN OFICIO]]</f>
        <v>0</v>
      </c>
      <c r="Y261">
        <f>Tabla35[[#This Row],[BN DC]]-Tabla34[[#This Row],[BN DC]]</f>
        <v>0</v>
      </c>
      <c r="Z261">
        <f>Tabla35[[#This Row],[COLOR CARTA]]-Tabla34[[#This Row],[COLOR CARTA]]</f>
        <v>47</v>
      </c>
      <c r="AA261">
        <f>Tabla35[[#This Row],[COLOR OFICIO]]-Tabla34[[#This Row],[COLOR OFICIO]]</f>
        <v>0</v>
      </c>
      <c r="AB261">
        <f>Tabla35[[#This Row],[ENVIAR]]-Tabla34[[#This Row],[ENVIAR]]</f>
        <v>0</v>
      </c>
      <c r="AC261">
        <f>Tabla35[[#This Row],[COPIAR]]-Tabla34[[#This Row],[COPIAR]]</f>
        <v>0</v>
      </c>
    </row>
    <row r="262" spans="1:29" x14ac:dyDescent="0.25">
      <c r="A262" t="s">
        <v>43</v>
      </c>
      <c r="B262" t="s">
        <v>316</v>
      </c>
      <c r="C262">
        <v>55</v>
      </c>
      <c r="D262">
        <v>0</v>
      </c>
      <c r="E262">
        <v>0</v>
      </c>
      <c r="F262">
        <v>261</v>
      </c>
      <c r="G262">
        <v>0</v>
      </c>
      <c r="H262">
        <v>0</v>
      </c>
      <c r="I262">
        <v>0</v>
      </c>
      <c r="K262" t="s">
        <v>43</v>
      </c>
      <c r="L262" t="s">
        <v>316</v>
      </c>
      <c r="M262">
        <v>58</v>
      </c>
      <c r="N262">
        <v>0</v>
      </c>
      <c r="O262">
        <v>0</v>
      </c>
      <c r="P262">
        <v>289</v>
      </c>
      <c r="Q262">
        <v>0</v>
      </c>
      <c r="R262">
        <v>0</v>
      </c>
      <c r="S262">
        <v>0</v>
      </c>
      <c r="U262" t="s">
        <v>43</v>
      </c>
      <c r="V262" t="s">
        <v>316</v>
      </c>
      <c r="W262">
        <f>Tabla35[[#This Row],[BN CARTA]]-Tabla34[[#This Row],[BN CARTA]]</f>
        <v>3</v>
      </c>
      <c r="X262">
        <f>Tabla35[[#This Row],[BN OFICIO]]-Tabla34[[#This Row],[BN OFICIO]]</f>
        <v>0</v>
      </c>
      <c r="Y262">
        <f>Tabla35[[#This Row],[BN DC]]-Tabla34[[#This Row],[BN DC]]</f>
        <v>0</v>
      </c>
      <c r="Z262">
        <f>Tabla35[[#This Row],[COLOR CARTA]]-Tabla34[[#This Row],[COLOR CARTA]]</f>
        <v>28</v>
      </c>
      <c r="AA262">
        <f>Tabla35[[#This Row],[COLOR OFICIO]]-Tabla34[[#This Row],[COLOR OFICIO]]</f>
        <v>0</v>
      </c>
      <c r="AB262">
        <f>Tabla35[[#This Row],[ENVIAR]]-Tabla34[[#This Row],[ENVIAR]]</f>
        <v>0</v>
      </c>
      <c r="AC262">
        <f>Tabla35[[#This Row],[COPIAR]]-Tabla34[[#This Row],[COPIAR]]</f>
        <v>0</v>
      </c>
    </row>
    <row r="263" spans="1:29" x14ac:dyDescent="0.25">
      <c r="A263" t="s">
        <v>10</v>
      </c>
      <c r="B263" t="s">
        <v>317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K263" t="s">
        <v>789</v>
      </c>
      <c r="L263" t="s">
        <v>317</v>
      </c>
      <c r="M263">
        <v>376</v>
      </c>
      <c r="N263">
        <v>0</v>
      </c>
      <c r="O263">
        <v>0</v>
      </c>
      <c r="P263">
        <v>542</v>
      </c>
      <c r="Q263">
        <v>0</v>
      </c>
      <c r="R263">
        <v>0</v>
      </c>
      <c r="S263">
        <v>0</v>
      </c>
      <c r="U263" t="s">
        <v>789</v>
      </c>
      <c r="V263" t="s">
        <v>317</v>
      </c>
      <c r="W263">
        <f>Tabla35[[#This Row],[BN CARTA]]-Tabla34[[#This Row],[BN CARTA]]</f>
        <v>376</v>
      </c>
      <c r="X263">
        <f>Tabla35[[#This Row],[BN OFICIO]]-Tabla34[[#This Row],[BN OFICIO]]</f>
        <v>0</v>
      </c>
      <c r="Y263">
        <f>Tabla35[[#This Row],[BN DC]]-Tabla34[[#This Row],[BN DC]]</f>
        <v>0</v>
      </c>
      <c r="Z263">
        <f>Tabla35[[#This Row],[COLOR CARTA]]-Tabla34[[#This Row],[COLOR CARTA]]</f>
        <v>542</v>
      </c>
      <c r="AA263">
        <f>Tabla35[[#This Row],[COLOR OFICIO]]-Tabla34[[#This Row],[COLOR OFICIO]]</f>
        <v>0</v>
      </c>
      <c r="AB263">
        <f>Tabla35[[#This Row],[ENVIAR]]-Tabla34[[#This Row],[ENVIAR]]</f>
        <v>0</v>
      </c>
      <c r="AC263">
        <f>Tabla35[[#This Row],[COPIAR]]-Tabla34[[#This Row],[COPIAR]]</f>
        <v>0</v>
      </c>
    </row>
    <row r="264" spans="1:29" x14ac:dyDescent="0.25">
      <c r="A264" t="s">
        <v>10</v>
      </c>
      <c r="B264" t="s">
        <v>318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K264" t="s">
        <v>790</v>
      </c>
      <c r="L264" t="s">
        <v>318</v>
      </c>
      <c r="M264">
        <v>36</v>
      </c>
      <c r="N264">
        <v>0</v>
      </c>
      <c r="O264">
        <v>0</v>
      </c>
      <c r="P264">
        <v>133</v>
      </c>
      <c r="Q264">
        <v>0</v>
      </c>
      <c r="R264">
        <v>0</v>
      </c>
      <c r="S264">
        <v>0</v>
      </c>
      <c r="U264" t="s">
        <v>790</v>
      </c>
      <c r="V264" t="s">
        <v>318</v>
      </c>
      <c r="W264">
        <f>Tabla35[[#This Row],[BN CARTA]]-Tabla34[[#This Row],[BN CARTA]]</f>
        <v>36</v>
      </c>
      <c r="X264">
        <f>Tabla35[[#This Row],[BN OFICIO]]-Tabla34[[#This Row],[BN OFICIO]]</f>
        <v>0</v>
      </c>
      <c r="Y264">
        <f>Tabla35[[#This Row],[BN DC]]-Tabla34[[#This Row],[BN DC]]</f>
        <v>0</v>
      </c>
      <c r="Z264">
        <f>Tabla35[[#This Row],[COLOR CARTA]]-Tabla34[[#This Row],[COLOR CARTA]]</f>
        <v>133</v>
      </c>
      <c r="AA264">
        <f>Tabla35[[#This Row],[COLOR OFICIO]]-Tabla34[[#This Row],[COLOR OFICIO]]</f>
        <v>0</v>
      </c>
      <c r="AB264">
        <f>Tabla35[[#This Row],[ENVIAR]]-Tabla34[[#This Row],[ENVIAR]]</f>
        <v>0</v>
      </c>
      <c r="AC264">
        <f>Tabla35[[#This Row],[COPIAR]]-Tabla34[[#This Row],[COPIAR]]</f>
        <v>0</v>
      </c>
    </row>
    <row r="265" spans="1:29" x14ac:dyDescent="0.25">
      <c r="A265" t="s">
        <v>10</v>
      </c>
      <c r="B265" t="s">
        <v>319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K265" t="s">
        <v>799</v>
      </c>
      <c r="L265" t="s">
        <v>319</v>
      </c>
      <c r="M265">
        <v>11</v>
      </c>
      <c r="N265">
        <v>0</v>
      </c>
      <c r="O265">
        <v>0</v>
      </c>
      <c r="P265">
        <v>15</v>
      </c>
      <c r="Q265">
        <v>0</v>
      </c>
      <c r="R265">
        <v>0</v>
      </c>
      <c r="S265">
        <v>0</v>
      </c>
      <c r="U265" t="s">
        <v>799</v>
      </c>
      <c r="V265" t="s">
        <v>319</v>
      </c>
      <c r="W265">
        <f>Tabla35[[#This Row],[BN CARTA]]-Tabla34[[#This Row],[BN CARTA]]</f>
        <v>11</v>
      </c>
      <c r="X265">
        <f>Tabla35[[#This Row],[BN OFICIO]]-Tabla34[[#This Row],[BN OFICIO]]</f>
        <v>0</v>
      </c>
      <c r="Y265">
        <f>Tabla35[[#This Row],[BN DC]]-Tabla34[[#This Row],[BN DC]]</f>
        <v>0</v>
      </c>
      <c r="Z265">
        <f>Tabla35[[#This Row],[COLOR CARTA]]-Tabla34[[#This Row],[COLOR CARTA]]</f>
        <v>15</v>
      </c>
      <c r="AA265">
        <f>Tabla35[[#This Row],[COLOR OFICIO]]-Tabla34[[#This Row],[COLOR OFICIO]]</f>
        <v>0</v>
      </c>
      <c r="AB265">
        <f>Tabla35[[#This Row],[ENVIAR]]-Tabla34[[#This Row],[ENVIAR]]</f>
        <v>0</v>
      </c>
      <c r="AC265">
        <f>Tabla35[[#This Row],[COPIAR]]-Tabla34[[#This Row],[COPIAR]]</f>
        <v>0</v>
      </c>
    </row>
    <row r="266" spans="1:29" x14ac:dyDescent="0.25">
      <c r="A266" t="s">
        <v>10</v>
      </c>
      <c r="B266" t="s">
        <v>320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K266" t="s">
        <v>796</v>
      </c>
      <c r="L266" t="s">
        <v>320</v>
      </c>
      <c r="M266">
        <v>1215</v>
      </c>
      <c r="N266">
        <v>0</v>
      </c>
      <c r="O266">
        <v>0</v>
      </c>
      <c r="P266">
        <v>479</v>
      </c>
      <c r="Q266">
        <v>0</v>
      </c>
      <c r="R266">
        <v>0</v>
      </c>
      <c r="S266">
        <v>0</v>
      </c>
      <c r="U266" t="s">
        <v>796</v>
      </c>
      <c r="V266" t="s">
        <v>320</v>
      </c>
      <c r="W266">
        <f>Tabla35[[#This Row],[BN CARTA]]-Tabla34[[#This Row],[BN CARTA]]</f>
        <v>1215</v>
      </c>
      <c r="X266">
        <f>Tabla35[[#This Row],[BN OFICIO]]-Tabla34[[#This Row],[BN OFICIO]]</f>
        <v>0</v>
      </c>
      <c r="Y266">
        <f>Tabla35[[#This Row],[BN DC]]-Tabla34[[#This Row],[BN DC]]</f>
        <v>0</v>
      </c>
      <c r="Z266">
        <f>Tabla35[[#This Row],[COLOR CARTA]]-Tabla34[[#This Row],[COLOR CARTA]]</f>
        <v>479</v>
      </c>
      <c r="AA266">
        <f>Tabla35[[#This Row],[COLOR OFICIO]]-Tabla34[[#This Row],[COLOR OFICIO]]</f>
        <v>0</v>
      </c>
      <c r="AB266">
        <f>Tabla35[[#This Row],[ENVIAR]]-Tabla34[[#This Row],[ENVIAR]]</f>
        <v>0</v>
      </c>
      <c r="AC266">
        <f>Tabla35[[#This Row],[COPIAR]]-Tabla34[[#This Row],[COPIAR]]</f>
        <v>0</v>
      </c>
    </row>
    <row r="267" spans="1:29" x14ac:dyDescent="0.25">
      <c r="A267" t="s">
        <v>10</v>
      </c>
      <c r="B267" t="s">
        <v>321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K267" t="s">
        <v>10</v>
      </c>
      <c r="L267" t="s">
        <v>321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U267" t="s">
        <v>10</v>
      </c>
      <c r="V267" t="s">
        <v>321</v>
      </c>
      <c r="W267">
        <f>Tabla35[[#This Row],[BN CARTA]]-Tabla34[[#This Row],[BN CARTA]]</f>
        <v>0</v>
      </c>
      <c r="X267">
        <f>Tabla35[[#This Row],[BN OFICIO]]-Tabla34[[#This Row],[BN OFICIO]]</f>
        <v>0</v>
      </c>
      <c r="Y267">
        <f>Tabla35[[#This Row],[BN DC]]-Tabla34[[#This Row],[BN DC]]</f>
        <v>0</v>
      </c>
      <c r="Z267">
        <f>Tabla35[[#This Row],[COLOR CARTA]]-Tabla34[[#This Row],[COLOR CARTA]]</f>
        <v>0</v>
      </c>
      <c r="AA267">
        <f>Tabla35[[#This Row],[COLOR OFICIO]]-Tabla34[[#This Row],[COLOR OFICIO]]</f>
        <v>0</v>
      </c>
      <c r="AB267">
        <f>Tabla35[[#This Row],[ENVIAR]]-Tabla34[[#This Row],[ENVIAR]]</f>
        <v>0</v>
      </c>
      <c r="AC267">
        <f>Tabla35[[#This Row],[COPIAR]]-Tabla34[[#This Row],[COPIAR]]</f>
        <v>0</v>
      </c>
    </row>
    <row r="268" spans="1:29" x14ac:dyDescent="0.25">
      <c r="A268" t="s">
        <v>138</v>
      </c>
      <c r="B268" t="s">
        <v>322</v>
      </c>
      <c r="C268">
        <v>262</v>
      </c>
      <c r="D268">
        <v>9</v>
      </c>
      <c r="E268">
        <v>0</v>
      </c>
      <c r="F268">
        <v>4401</v>
      </c>
      <c r="G268">
        <v>6</v>
      </c>
      <c r="I268">
        <v>0</v>
      </c>
      <c r="K268" t="s">
        <v>138</v>
      </c>
      <c r="L268" t="s">
        <v>322</v>
      </c>
      <c r="M268">
        <v>262</v>
      </c>
      <c r="N268">
        <v>9</v>
      </c>
      <c r="O268">
        <v>0</v>
      </c>
      <c r="P268">
        <v>4401</v>
      </c>
      <c r="Q268">
        <v>6</v>
      </c>
      <c r="R268">
        <v>0</v>
      </c>
      <c r="S268">
        <v>0</v>
      </c>
      <c r="U268" t="s">
        <v>138</v>
      </c>
      <c r="V268" t="s">
        <v>322</v>
      </c>
      <c r="W268">
        <f>Tabla35[[#This Row],[BN CARTA]]-Tabla34[[#This Row],[BN CARTA]]</f>
        <v>0</v>
      </c>
      <c r="X268">
        <f>Tabla35[[#This Row],[BN OFICIO]]-Tabla34[[#This Row],[BN OFICIO]]</f>
        <v>0</v>
      </c>
      <c r="Y268">
        <f>Tabla35[[#This Row],[BN DC]]-Tabla34[[#This Row],[BN DC]]</f>
        <v>0</v>
      </c>
      <c r="Z268">
        <f>Tabla35[[#This Row],[COLOR CARTA]]-Tabla34[[#This Row],[COLOR CARTA]]</f>
        <v>0</v>
      </c>
      <c r="AA268">
        <f>Tabla35[[#This Row],[COLOR OFICIO]]-Tabla34[[#This Row],[COLOR OFICIO]]</f>
        <v>0</v>
      </c>
      <c r="AB268">
        <f>Tabla35[[#This Row],[ENVIAR]]-Tabla34[[#This Row],[ENVIAR]]</f>
        <v>0</v>
      </c>
      <c r="AC268">
        <f>Tabla35[[#This Row],[COPIAR]]-Tabla34[[#This Row],[COPIAR]]</f>
        <v>0</v>
      </c>
    </row>
    <row r="269" spans="1:29" x14ac:dyDescent="0.25">
      <c r="A269" t="s">
        <v>10</v>
      </c>
      <c r="B269" t="s">
        <v>323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K269" t="s">
        <v>796</v>
      </c>
      <c r="L269" t="s">
        <v>323</v>
      </c>
      <c r="M269">
        <v>40</v>
      </c>
      <c r="N269">
        <v>2</v>
      </c>
      <c r="O269">
        <v>0</v>
      </c>
      <c r="P269">
        <v>875</v>
      </c>
      <c r="Q269">
        <v>6</v>
      </c>
      <c r="R269">
        <v>0</v>
      </c>
      <c r="S269">
        <v>0</v>
      </c>
      <c r="U269" t="s">
        <v>796</v>
      </c>
      <c r="V269" t="s">
        <v>323</v>
      </c>
      <c r="W269">
        <f>Tabla35[[#This Row],[BN CARTA]]-Tabla34[[#This Row],[BN CARTA]]</f>
        <v>40</v>
      </c>
      <c r="X269">
        <f>Tabla35[[#This Row],[BN OFICIO]]-Tabla34[[#This Row],[BN OFICIO]]</f>
        <v>2</v>
      </c>
      <c r="Y269">
        <f>Tabla35[[#This Row],[BN DC]]-Tabla34[[#This Row],[BN DC]]</f>
        <v>0</v>
      </c>
      <c r="Z269">
        <f>Tabla35[[#This Row],[COLOR CARTA]]-Tabla34[[#This Row],[COLOR CARTA]]</f>
        <v>875</v>
      </c>
      <c r="AA269">
        <f>Tabla35[[#This Row],[COLOR OFICIO]]-Tabla34[[#This Row],[COLOR OFICIO]]</f>
        <v>6</v>
      </c>
      <c r="AB269">
        <f>Tabla35[[#This Row],[ENVIAR]]-Tabla34[[#This Row],[ENVIAR]]</f>
        <v>0</v>
      </c>
      <c r="AC269">
        <f>Tabla35[[#This Row],[COPIAR]]-Tabla34[[#This Row],[COPIAR]]</f>
        <v>0</v>
      </c>
    </row>
    <row r="270" spans="1:29" x14ac:dyDescent="0.25">
      <c r="A270" t="s">
        <v>10</v>
      </c>
      <c r="B270" t="s">
        <v>324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K270" t="s">
        <v>10</v>
      </c>
      <c r="L270" t="s">
        <v>324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U270" t="s">
        <v>10</v>
      </c>
      <c r="V270" t="s">
        <v>324</v>
      </c>
      <c r="W270">
        <f>Tabla35[[#This Row],[BN CARTA]]-Tabla34[[#This Row],[BN CARTA]]</f>
        <v>0</v>
      </c>
      <c r="X270">
        <f>Tabla35[[#This Row],[BN OFICIO]]-Tabla34[[#This Row],[BN OFICIO]]</f>
        <v>0</v>
      </c>
      <c r="Y270">
        <f>Tabla35[[#This Row],[BN DC]]-Tabla34[[#This Row],[BN DC]]</f>
        <v>0</v>
      </c>
      <c r="Z270">
        <f>Tabla35[[#This Row],[COLOR CARTA]]-Tabla34[[#This Row],[COLOR CARTA]]</f>
        <v>0</v>
      </c>
      <c r="AA270">
        <f>Tabla35[[#This Row],[COLOR OFICIO]]-Tabla34[[#This Row],[COLOR OFICIO]]</f>
        <v>0</v>
      </c>
      <c r="AB270">
        <f>Tabla35[[#This Row],[ENVIAR]]-Tabla34[[#This Row],[ENVIAR]]</f>
        <v>0</v>
      </c>
      <c r="AC270">
        <f>Tabla35[[#This Row],[COPIAR]]-Tabla34[[#This Row],[COPIAR]]</f>
        <v>0</v>
      </c>
    </row>
    <row r="271" spans="1:29" x14ac:dyDescent="0.25">
      <c r="A271" t="s">
        <v>10</v>
      </c>
      <c r="B271" t="s">
        <v>325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K271" t="s">
        <v>10</v>
      </c>
      <c r="L271" t="s">
        <v>325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U271" t="s">
        <v>10</v>
      </c>
      <c r="V271" t="s">
        <v>325</v>
      </c>
      <c r="W271">
        <f>Tabla35[[#This Row],[BN CARTA]]-Tabla34[[#This Row],[BN CARTA]]</f>
        <v>0</v>
      </c>
      <c r="X271">
        <f>Tabla35[[#This Row],[BN OFICIO]]-Tabla34[[#This Row],[BN OFICIO]]</f>
        <v>0</v>
      </c>
      <c r="Y271">
        <f>Tabla35[[#This Row],[BN DC]]-Tabla34[[#This Row],[BN DC]]</f>
        <v>0</v>
      </c>
      <c r="Z271">
        <f>Tabla35[[#This Row],[COLOR CARTA]]-Tabla34[[#This Row],[COLOR CARTA]]</f>
        <v>0</v>
      </c>
      <c r="AA271">
        <f>Tabla35[[#This Row],[COLOR OFICIO]]-Tabla34[[#This Row],[COLOR OFICIO]]</f>
        <v>0</v>
      </c>
      <c r="AB271">
        <f>Tabla35[[#This Row],[ENVIAR]]-Tabla34[[#This Row],[ENVIAR]]</f>
        <v>0</v>
      </c>
      <c r="AC271">
        <f>Tabla35[[#This Row],[COPIAR]]-Tabla34[[#This Row],[COPIAR]]</f>
        <v>0</v>
      </c>
    </row>
    <row r="272" spans="1:29" x14ac:dyDescent="0.25">
      <c r="A272" t="s">
        <v>10</v>
      </c>
      <c r="B272" t="s">
        <v>326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K272" t="s">
        <v>10</v>
      </c>
      <c r="L272" t="s">
        <v>326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U272" t="s">
        <v>10</v>
      </c>
      <c r="V272" t="s">
        <v>326</v>
      </c>
      <c r="W272">
        <f>Tabla35[[#This Row],[BN CARTA]]-Tabla34[[#This Row],[BN CARTA]]</f>
        <v>0</v>
      </c>
      <c r="X272">
        <f>Tabla35[[#This Row],[BN OFICIO]]-Tabla34[[#This Row],[BN OFICIO]]</f>
        <v>0</v>
      </c>
      <c r="Y272">
        <f>Tabla35[[#This Row],[BN DC]]-Tabla34[[#This Row],[BN DC]]</f>
        <v>0</v>
      </c>
      <c r="Z272">
        <f>Tabla35[[#This Row],[COLOR CARTA]]-Tabla34[[#This Row],[COLOR CARTA]]</f>
        <v>0</v>
      </c>
      <c r="AA272">
        <f>Tabla35[[#This Row],[COLOR OFICIO]]-Tabla34[[#This Row],[COLOR OFICIO]]</f>
        <v>0</v>
      </c>
      <c r="AB272">
        <f>Tabla35[[#This Row],[ENVIAR]]-Tabla34[[#This Row],[ENVIAR]]</f>
        <v>0</v>
      </c>
      <c r="AC272">
        <f>Tabla35[[#This Row],[COPIAR]]-Tabla34[[#This Row],[COPIAR]]</f>
        <v>0</v>
      </c>
    </row>
    <row r="273" spans="1:29" x14ac:dyDescent="0.25">
      <c r="A273" t="s">
        <v>10</v>
      </c>
      <c r="B273" t="s">
        <v>327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K273" t="s">
        <v>795</v>
      </c>
      <c r="L273" t="s">
        <v>327</v>
      </c>
      <c r="M273">
        <v>11</v>
      </c>
      <c r="N273">
        <v>0</v>
      </c>
      <c r="O273">
        <v>0</v>
      </c>
      <c r="P273">
        <v>9</v>
      </c>
      <c r="Q273">
        <v>0</v>
      </c>
      <c r="R273">
        <v>0</v>
      </c>
      <c r="S273">
        <v>0</v>
      </c>
      <c r="U273" t="s">
        <v>795</v>
      </c>
      <c r="V273" t="s">
        <v>327</v>
      </c>
      <c r="W273">
        <f>Tabla35[[#This Row],[BN CARTA]]-Tabla34[[#This Row],[BN CARTA]]</f>
        <v>11</v>
      </c>
      <c r="X273">
        <f>Tabla35[[#This Row],[BN OFICIO]]-Tabla34[[#This Row],[BN OFICIO]]</f>
        <v>0</v>
      </c>
      <c r="Y273">
        <f>Tabla35[[#This Row],[BN DC]]-Tabla34[[#This Row],[BN DC]]</f>
        <v>0</v>
      </c>
      <c r="Z273">
        <f>Tabla35[[#This Row],[COLOR CARTA]]-Tabla34[[#This Row],[COLOR CARTA]]</f>
        <v>9</v>
      </c>
      <c r="AA273">
        <f>Tabla35[[#This Row],[COLOR OFICIO]]-Tabla34[[#This Row],[COLOR OFICIO]]</f>
        <v>0</v>
      </c>
      <c r="AB273">
        <f>Tabla35[[#This Row],[ENVIAR]]-Tabla34[[#This Row],[ENVIAR]]</f>
        <v>0</v>
      </c>
      <c r="AC273">
        <f>Tabla35[[#This Row],[COPIAR]]-Tabla34[[#This Row],[COPIAR]]</f>
        <v>0</v>
      </c>
    </row>
    <row r="274" spans="1:29" x14ac:dyDescent="0.25">
      <c r="A274" t="s">
        <v>328</v>
      </c>
      <c r="B274" t="s">
        <v>329</v>
      </c>
      <c r="C274">
        <v>81</v>
      </c>
      <c r="D274">
        <v>0</v>
      </c>
      <c r="E274">
        <v>0</v>
      </c>
      <c r="F274">
        <v>439</v>
      </c>
      <c r="G274">
        <v>0</v>
      </c>
      <c r="H274">
        <v>0</v>
      </c>
      <c r="I274">
        <v>0</v>
      </c>
      <c r="K274" t="s">
        <v>76</v>
      </c>
      <c r="L274" t="s">
        <v>329</v>
      </c>
      <c r="M274">
        <v>656</v>
      </c>
      <c r="N274">
        <v>0</v>
      </c>
      <c r="O274">
        <v>0</v>
      </c>
      <c r="P274">
        <v>2884</v>
      </c>
      <c r="Q274">
        <v>1</v>
      </c>
      <c r="R274">
        <v>0</v>
      </c>
      <c r="S274">
        <v>0</v>
      </c>
      <c r="U274" t="s">
        <v>76</v>
      </c>
      <c r="V274" t="s">
        <v>329</v>
      </c>
      <c r="W274">
        <f>Tabla35[[#This Row],[BN CARTA]]-Tabla34[[#This Row],[BN CARTA]]</f>
        <v>575</v>
      </c>
      <c r="X274">
        <f>Tabla35[[#This Row],[BN OFICIO]]-Tabla34[[#This Row],[BN OFICIO]]</f>
        <v>0</v>
      </c>
      <c r="Y274">
        <f>Tabla35[[#This Row],[BN DC]]-Tabla34[[#This Row],[BN DC]]</f>
        <v>0</v>
      </c>
      <c r="Z274">
        <f>Tabla35[[#This Row],[COLOR CARTA]]-Tabla34[[#This Row],[COLOR CARTA]]</f>
        <v>2445</v>
      </c>
      <c r="AA274">
        <f>Tabla35[[#This Row],[COLOR OFICIO]]-Tabla34[[#This Row],[COLOR OFICIO]]</f>
        <v>1</v>
      </c>
      <c r="AB274">
        <f>Tabla35[[#This Row],[ENVIAR]]-Tabla34[[#This Row],[ENVIAR]]</f>
        <v>0</v>
      </c>
      <c r="AC274">
        <f>Tabla35[[#This Row],[COPIAR]]-Tabla34[[#This Row],[COPIAR]]</f>
        <v>0</v>
      </c>
    </row>
    <row r="275" spans="1:29" x14ac:dyDescent="0.25">
      <c r="A275" t="s">
        <v>10</v>
      </c>
      <c r="B275" t="s">
        <v>330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K275" t="s">
        <v>10</v>
      </c>
      <c r="L275" t="s">
        <v>330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U275" t="s">
        <v>10</v>
      </c>
      <c r="V275" t="s">
        <v>330</v>
      </c>
      <c r="W275">
        <f>Tabla35[[#This Row],[BN CARTA]]-Tabla34[[#This Row],[BN CARTA]]</f>
        <v>0</v>
      </c>
      <c r="X275">
        <f>Tabla35[[#This Row],[BN OFICIO]]-Tabla34[[#This Row],[BN OFICIO]]</f>
        <v>0</v>
      </c>
      <c r="Y275">
        <f>Tabla35[[#This Row],[BN DC]]-Tabla34[[#This Row],[BN DC]]</f>
        <v>0</v>
      </c>
      <c r="Z275">
        <f>Tabla35[[#This Row],[COLOR CARTA]]-Tabla34[[#This Row],[COLOR CARTA]]</f>
        <v>0</v>
      </c>
      <c r="AA275">
        <f>Tabla35[[#This Row],[COLOR OFICIO]]-Tabla34[[#This Row],[COLOR OFICIO]]</f>
        <v>0</v>
      </c>
      <c r="AB275">
        <f>Tabla35[[#This Row],[ENVIAR]]-Tabla34[[#This Row],[ENVIAR]]</f>
        <v>0</v>
      </c>
      <c r="AC275">
        <f>Tabla35[[#This Row],[COPIAR]]-Tabla34[[#This Row],[COPIAR]]</f>
        <v>0</v>
      </c>
    </row>
    <row r="276" spans="1:29" x14ac:dyDescent="0.25">
      <c r="A276" t="s">
        <v>10</v>
      </c>
      <c r="B276" t="s">
        <v>331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K276" t="s">
        <v>10</v>
      </c>
      <c r="L276" t="s">
        <v>331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U276" t="s">
        <v>10</v>
      </c>
      <c r="V276" t="s">
        <v>331</v>
      </c>
      <c r="W276">
        <f>Tabla35[[#This Row],[BN CARTA]]-Tabla34[[#This Row],[BN CARTA]]</f>
        <v>0</v>
      </c>
      <c r="X276">
        <f>Tabla35[[#This Row],[BN OFICIO]]-Tabla34[[#This Row],[BN OFICIO]]</f>
        <v>0</v>
      </c>
      <c r="Y276">
        <f>Tabla35[[#This Row],[BN DC]]-Tabla34[[#This Row],[BN DC]]</f>
        <v>0</v>
      </c>
      <c r="Z276">
        <f>Tabla35[[#This Row],[COLOR CARTA]]-Tabla34[[#This Row],[COLOR CARTA]]</f>
        <v>0</v>
      </c>
      <c r="AA276">
        <f>Tabla35[[#This Row],[COLOR OFICIO]]-Tabla34[[#This Row],[COLOR OFICIO]]</f>
        <v>0</v>
      </c>
      <c r="AB276">
        <f>Tabla35[[#This Row],[ENVIAR]]-Tabla34[[#This Row],[ENVIAR]]</f>
        <v>0</v>
      </c>
      <c r="AC276">
        <f>Tabla35[[#This Row],[COPIAR]]-Tabla34[[#This Row],[COPIAR]]</f>
        <v>0</v>
      </c>
    </row>
    <row r="277" spans="1:29" x14ac:dyDescent="0.25">
      <c r="A277" t="s">
        <v>10</v>
      </c>
      <c r="B277" t="s">
        <v>332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K277" t="s">
        <v>10</v>
      </c>
      <c r="L277" t="s">
        <v>332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U277" t="s">
        <v>10</v>
      </c>
      <c r="V277" t="s">
        <v>332</v>
      </c>
      <c r="W277">
        <f>Tabla35[[#This Row],[BN CARTA]]-Tabla34[[#This Row],[BN CARTA]]</f>
        <v>0</v>
      </c>
      <c r="X277">
        <f>Tabla35[[#This Row],[BN OFICIO]]-Tabla34[[#This Row],[BN OFICIO]]</f>
        <v>0</v>
      </c>
      <c r="Y277">
        <f>Tabla35[[#This Row],[BN DC]]-Tabla34[[#This Row],[BN DC]]</f>
        <v>0</v>
      </c>
      <c r="Z277">
        <f>Tabla35[[#This Row],[COLOR CARTA]]-Tabla34[[#This Row],[COLOR CARTA]]</f>
        <v>0</v>
      </c>
      <c r="AA277">
        <f>Tabla35[[#This Row],[COLOR OFICIO]]-Tabla34[[#This Row],[COLOR OFICIO]]</f>
        <v>0</v>
      </c>
      <c r="AB277">
        <f>Tabla35[[#This Row],[ENVIAR]]-Tabla34[[#This Row],[ENVIAR]]</f>
        <v>0</v>
      </c>
      <c r="AC277">
        <f>Tabla35[[#This Row],[COPIAR]]-Tabla34[[#This Row],[COPIAR]]</f>
        <v>0</v>
      </c>
    </row>
    <row r="278" spans="1:29" x14ac:dyDescent="0.25">
      <c r="A278" t="s">
        <v>10</v>
      </c>
      <c r="B278" t="s">
        <v>333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K278" t="s">
        <v>10</v>
      </c>
      <c r="L278" t="s">
        <v>333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U278" t="s">
        <v>10</v>
      </c>
      <c r="V278" t="s">
        <v>333</v>
      </c>
      <c r="W278">
        <f>Tabla35[[#This Row],[BN CARTA]]-Tabla34[[#This Row],[BN CARTA]]</f>
        <v>0</v>
      </c>
      <c r="X278">
        <f>Tabla35[[#This Row],[BN OFICIO]]-Tabla34[[#This Row],[BN OFICIO]]</f>
        <v>0</v>
      </c>
      <c r="Y278">
        <f>Tabla35[[#This Row],[BN DC]]-Tabla34[[#This Row],[BN DC]]</f>
        <v>0</v>
      </c>
      <c r="Z278">
        <f>Tabla35[[#This Row],[COLOR CARTA]]-Tabla34[[#This Row],[COLOR CARTA]]</f>
        <v>0</v>
      </c>
      <c r="AA278">
        <f>Tabla35[[#This Row],[COLOR OFICIO]]-Tabla34[[#This Row],[COLOR OFICIO]]</f>
        <v>0</v>
      </c>
      <c r="AB278">
        <f>Tabla35[[#This Row],[ENVIAR]]-Tabla34[[#This Row],[ENVIAR]]</f>
        <v>0</v>
      </c>
      <c r="AC278">
        <f>Tabla35[[#This Row],[COPIAR]]-Tabla34[[#This Row],[COPIAR]]</f>
        <v>0</v>
      </c>
    </row>
    <row r="279" spans="1:29" x14ac:dyDescent="0.25">
      <c r="A279" t="s">
        <v>115</v>
      </c>
      <c r="B279" t="s">
        <v>334</v>
      </c>
      <c r="C279">
        <v>13</v>
      </c>
      <c r="D279">
        <v>0</v>
      </c>
      <c r="E279">
        <v>0</v>
      </c>
      <c r="F279">
        <v>167</v>
      </c>
      <c r="G279">
        <v>0</v>
      </c>
      <c r="H279">
        <v>0</v>
      </c>
      <c r="I279">
        <v>0</v>
      </c>
      <c r="K279" t="s">
        <v>115</v>
      </c>
      <c r="L279" t="s">
        <v>334</v>
      </c>
      <c r="M279">
        <v>72</v>
      </c>
      <c r="N279">
        <v>0</v>
      </c>
      <c r="O279">
        <v>0</v>
      </c>
      <c r="P279">
        <v>410</v>
      </c>
      <c r="Q279">
        <v>0</v>
      </c>
      <c r="R279">
        <v>0</v>
      </c>
      <c r="S279">
        <v>0</v>
      </c>
      <c r="U279" t="s">
        <v>115</v>
      </c>
      <c r="V279" t="s">
        <v>334</v>
      </c>
      <c r="W279">
        <f>Tabla35[[#This Row],[BN CARTA]]-Tabla34[[#This Row],[BN CARTA]]</f>
        <v>59</v>
      </c>
      <c r="X279">
        <f>Tabla35[[#This Row],[BN OFICIO]]-Tabla34[[#This Row],[BN OFICIO]]</f>
        <v>0</v>
      </c>
      <c r="Y279">
        <f>Tabla35[[#This Row],[BN DC]]-Tabla34[[#This Row],[BN DC]]</f>
        <v>0</v>
      </c>
      <c r="Z279">
        <f>Tabla35[[#This Row],[COLOR CARTA]]-Tabla34[[#This Row],[COLOR CARTA]]</f>
        <v>243</v>
      </c>
      <c r="AA279">
        <f>Tabla35[[#This Row],[COLOR OFICIO]]-Tabla34[[#This Row],[COLOR OFICIO]]</f>
        <v>0</v>
      </c>
      <c r="AB279">
        <f>Tabla35[[#This Row],[ENVIAR]]-Tabla34[[#This Row],[ENVIAR]]</f>
        <v>0</v>
      </c>
      <c r="AC279">
        <f>Tabla35[[#This Row],[COPIAR]]-Tabla34[[#This Row],[COPIAR]]</f>
        <v>0</v>
      </c>
    </row>
    <row r="280" spans="1:29" x14ac:dyDescent="0.25">
      <c r="A280" t="s">
        <v>265</v>
      </c>
      <c r="B280" t="s">
        <v>335</v>
      </c>
      <c r="C280">
        <v>45</v>
      </c>
      <c r="D280">
        <v>0</v>
      </c>
      <c r="E280">
        <v>0</v>
      </c>
      <c r="F280">
        <v>336</v>
      </c>
      <c r="G280">
        <v>0</v>
      </c>
      <c r="H280">
        <v>0</v>
      </c>
      <c r="I280">
        <v>0</v>
      </c>
      <c r="K280" t="s">
        <v>265</v>
      </c>
      <c r="L280" t="s">
        <v>335</v>
      </c>
      <c r="M280">
        <v>105</v>
      </c>
      <c r="N280">
        <v>0</v>
      </c>
      <c r="O280">
        <v>0</v>
      </c>
      <c r="P280">
        <v>759</v>
      </c>
      <c r="Q280">
        <v>0</v>
      </c>
      <c r="R280">
        <v>0</v>
      </c>
      <c r="S280">
        <v>0</v>
      </c>
      <c r="U280" t="s">
        <v>265</v>
      </c>
      <c r="V280" t="s">
        <v>335</v>
      </c>
      <c r="W280">
        <f>Tabla35[[#This Row],[BN CARTA]]-Tabla34[[#This Row],[BN CARTA]]</f>
        <v>60</v>
      </c>
      <c r="X280">
        <f>Tabla35[[#This Row],[BN OFICIO]]-Tabla34[[#This Row],[BN OFICIO]]</f>
        <v>0</v>
      </c>
      <c r="Y280">
        <f>Tabla35[[#This Row],[BN DC]]-Tabla34[[#This Row],[BN DC]]</f>
        <v>0</v>
      </c>
      <c r="Z280">
        <f>Tabla35[[#This Row],[COLOR CARTA]]-Tabla34[[#This Row],[COLOR CARTA]]</f>
        <v>423</v>
      </c>
      <c r="AA280">
        <f>Tabla35[[#This Row],[COLOR OFICIO]]-Tabla34[[#This Row],[COLOR OFICIO]]</f>
        <v>0</v>
      </c>
      <c r="AB280">
        <f>Tabla35[[#This Row],[ENVIAR]]-Tabla34[[#This Row],[ENVIAR]]</f>
        <v>0</v>
      </c>
      <c r="AC280">
        <f>Tabla35[[#This Row],[COPIAR]]-Tabla34[[#This Row],[COPIAR]]</f>
        <v>0</v>
      </c>
    </row>
    <row r="281" spans="1:29" x14ac:dyDescent="0.25">
      <c r="A281" t="s">
        <v>110</v>
      </c>
      <c r="B281" t="s">
        <v>336</v>
      </c>
      <c r="C281">
        <v>16</v>
      </c>
      <c r="D281">
        <v>0</v>
      </c>
      <c r="E281">
        <v>0</v>
      </c>
      <c r="F281">
        <v>192</v>
      </c>
      <c r="G281">
        <v>0</v>
      </c>
      <c r="H281">
        <v>0</v>
      </c>
      <c r="I281">
        <v>0</v>
      </c>
      <c r="K281" t="s">
        <v>110</v>
      </c>
      <c r="L281" t="s">
        <v>336</v>
      </c>
      <c r="M281">
        <v>59</v>
      </c>
      <c r="N281">
        <v>0</v>
      </c>
      <c r="O281">
        <v>0</v>
      </c>
      <c r="P281">
        <v>506</v>
      </c>
      <c r="Q281">
        <v>0</v>
      </c>
      <c r="R281">
        <v>0</v>
      </c>
      <c r="S281">
        <v>0</v>
      </c>
      <c r="U281" t="s">
        <v>110</v>
      </c>
      <c r="V281" t="s">
        <v>336</v>
      </c>
      <c r="W281">
        <f>Tabla35[[#This Row],[BN CARTA]]-Tabla34[[#This Row],[BN CARTA]]</f>
        <v>43</v>
      </c>
      <c r="X281">
        <f>Tabla35[[#This Row],[BN OFICIO]]-Tabla34[[#This Row],[BN OFICIO]]</f>
        <v>0</v>
      </c>
      <c r="Y281">
        <f>Tabla35[[#This Row],[BN DC]]-Tabla34[[#This Row],[BN DC]]</f>
        <v>0</v>
      </c>
      <c r="Z281">
        <f>Tabla35[[#This Row],[COLOR CARTA]]-Tabla34[[#This Row],[COLOR CARTA]]</f>
        <v>314</v>
      </c>
      <c r="AA281">
        <f>Tabla35[[#This Row],[COLOR OFICIO]]-Tabla34[[#This Row],[COLOR OFICIO]]</f>
        <v>0</v>
      </c>
      <c r="AB281">
        <f>Tabla35[[#This Row],[ENVIAR]]-Tabla34[[#This Row],[ENVIAR]]</f>
        <v>0</v>
      </c>
      <c r="AC281">
        <f>Tabla35[[#This Row],[COPIAR]]-Tabla34[[#This Row],[COPIAR]]</f>
        <v>0</v>
      </c>
    </row>
    <row r="282" spans="1:29" x14ac:dyDescent="0.25">
      <c r="A282" t="s">
        <v>140</v>
      </c>
      <c r="B282" t="s">
        <v>337</v>
      </c>
      <c r="C282">
        <v>194</v>
      </c>
      <c r="D282">
        <v>0</v>
      </c>
      <c r="E282">
        <v>0</v>
      </c>
      <c r="F282">
        <v>653</v>
      </c>
      <c r="G282">
        <v>0</v>
      </c>
      <c r="H282">
        <v>0</v>
      </c>
      <c r="I282">
        <v>0</v>
      </c>
      <c r="K282" t="s">
        <v>140</v>
      </c>
      <c r="L282" t="s">
        <v>337</v>
      </c>
      <c r="M282">
        <v>606</v>
      </c>
      <c r="N282">
        <v>0</v>
      </c>
      <c r="O282">
        <v>0</v>
      </c>
      <c r="P282">
        <v>1793</v>
      </c>
      <c r="Q282">
        <v>7</v>
      </c>
      <c r="R282">
        <v>0</v>
      </c>
      <c r="S282">
        <v>0</v>
      </c>
      <c r="U282" t="s">
        <v>140</v>
      </c>
      <c r="V282" t="s">
        <v>337</v>
      </c>
      <c r="W282">
        <f>Tabla35[[#This Row],[BN CARTA]]-Tabla34[[#This Row],[BN CARTA]]</f>
        <v>412</v>
      </c>
      <c r="X282">
        <f>Tabla35[[#This Row],[BN OFICIO]]-Tabla34[[#This Row],[BN OFICIO]]</f>
        <v>0</v>
      </c>
      <c r="Y282">
        <f>Tabla35[[#This Row],[BN DC]]-Tabla34[[#This Row],[BN DC]]</f>
        <v>0</v>
      </c>
      <c r="Z282">
        <f>Tabla35[[#This Row],[COLOR CARTA]]-Tabla34[[#This Row],[COLOR CARTA]]</f>
        <v>1140</v>
      </c>
      <c r="AA282">
        <f>Tabla35[[#This Row],[COLOR OFICIO]]-Tabla34[[#This Row],[COLOR OFICIO]]</f>
        <v>7</v>
      </c>
      <c r="AB282">
        <f>Tabla35[[#This Row],[ENVIAR]]-Tabla34[[#This Row],[ENVIAR]]</f>
        <v>0</v>
      </c>
      <c r="AC282">
        <f>Tabla35[[#This Row],[COPIAR]]-Tabla34[[#This Row],[COPIAR]]</f>
        <v>0</v>
      </c>
    </row>
    <row r="283" spans="1:29" x14ac:dyDescent="0.25">
      <c r="A283" t="s">
        <v>104</v>
      </c>
      <c r="B283" t="s">
        <v>338</v>
      </c>
      <c r="C283">
        <v>29</v>
      </c>
      <c r="D283">
        <v>0</v>
      </c>
      <c r="E283">
        <v>0</v>
      </c>
      <c r="F283">
        <v>321</v>
      </c>
      <c r="G283">
        <v>0</v>
      </c>
      <c r="H283">
        <v>0</v>
      </c>
      <c r="I283">
        <v>0</v>
      </c>
      <c r="K283" t="s">
        <v>104</v>
      </c>
      <c r="L283" t="s">
        <v>338</v>
      </c>
      <c r="M283">
        <v>29</v>
      </c>
      <c r="N283">
        <v>0</v>
      </c>
      <c r="O283">
        <v>0</v>
      </c>
      <c r="P283">
        <v>321</v>
      </c>
      <c r="Q283">
        <v>0</v>
      </c>
      <c r="R283">
        <v>0</v>
      </c>
      <c r="S283">
        <v>0</v>
      </c>
      <c r="U283" t="s">
        <v>104</v>
      </c>
      <c r="V283" t="s">
        <v>338</v>
      </c>
      <c r="W283">
        <f>Tabla35[[#This Row],[BN CARTA]]-Tabla34[[#This Row],[BN CARTA]]</f>
        <v>0</v>
      </c>
      <c r="X283">
        <f>Tabla35[[#This Row],[BN OFICIO]]-Tabla34[[#This Row],[BN OFICIO]]</f>
        <v>0</v>
      </c>
      <c r="Y283">
        <f>Tabla35[[#This Row],[BN DC]]-Tabla34[[#This Row],[BN DC]]</f>
        <v>0</v>
      </c>
      <c r="Z283">
        <f>Tabla35[[#This Row],[COLOR CARTA]]-Tabla34[[#This Row],[COLOR CARTA]]</f>
        <v>0</v>
      </c>
      <c r="AA283">
        <f>Tabla35[[#This Row],[COLOR OFICIO]]-Tabla34[[#This Row],[COLOR OFICIO]]</f>
        <v>0</v>
      </c>
      <c r="AB283">
        <f>Tabla35[[#This Row],[ENVIAR]]-Tabla34[[#This Row],[ENVIAR]]</f>
        <v>0</v>
      </c>
      <c r="AC283">
        <f>Tabla35[[#This Row],[COPIAR]]-Tabla34[[#This Row],[COPIAR]]</f>
        <v>0</v>
      </c>
    </row>
    <row r="284" spans="1:29" x14ac:dyDescent="0.25">
      <c r="A284" t="s">
        <v>10</v>
      </c>
      <c r="B284" t="s">
        <v>339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K284" t="s">
        <v>793</v>
      </c>
      <c r="L284" t="s">
        <v>339</v>
      </c>
      <c r="M284">
        <v>237</v>
      </c>
      <c r="N284">
        <v>0</v>
      </c>
      <c r="O284">
        <v>0</v>
      </c>
      <c r="P284">
        <v>429</v>
      </c>
      <c r="Q284">
        <v>0</v>
      </c>
      <c r="R284">
        <v>0</v>
      </c>
      <c r="S284">
        <v>0</v>
      </c>
      <c r="U284" t="s">
        <v>793</v>
      </c>
      <c r="V284" t="s">
        <v>339</v>
      </c>
      <c r="W284">
        <f>Tabla35[[#This Row],[BN CARTA]]-Tabla34[[#This Row],[BN CARTA]]</f>
        <v>237</v>
      </c>
      <c r="X284">
        <f>Tabla35[[#This Row],[BN OFICIO]]-Tabla34[[#This Row],[BN OFICIO]]</f>
        <v>0</v>
      </c>
      <c r="Y284">
        <f>Tabla35[[#This Row],[BN DC]]-Tabla34[[#This Row],[BN DC]]</f>
        <v>0</v>
      </c>
      <c r="Z284">
        <f>Tabla35[[#This Row],[COLOR CARTA]]-Tabla34[[#This Row],[COLOR CARTA]]</f>
        <v>429</v>
      </c>
      <c r="AA284">
        <f>Tabla35[[#This Row],[COLOR OFICIO]]-Tabla34[[#This Row],[COLOR OFICIO]]</f>
        <v>0</v>
      </c>
      <c r="AB284">
        <f>Tabla35[[#This Row],[ENVIAR]]-Tabla34[[#This Row],[ENVIAR]]</f>
        <v>0</v>
      </c>
      <c r="AC284">
        <f>Tabla35[[#This Row],[COPIAR]]-Tabla34[[#This Row],[COPIAR]]</f>
        <v>0</v>
      </c>
    </row>
    <row r="285" spans="1:29" x14ac:dyDescent="0.25">
      <c r="A285" t="s">
        <v>123</v>
      </c>
      <c r="B285" t="s">
        <v>340</v>
      </c>
      <c r="C285">
        <v>13</v>
      </c>
      <c r="D285">
        <v>0</v>
      </c>
      <c r="E285">
        <v>0</v>
      </c>
      <c r="F285">
        <v>45</v>
      </c>
      <c r="G285">
        <v>0</v>
      </c>
      <c r="H285">
        <v>0</v>
      </c>
      <c r="I285">
        <v>0</v>
      </c>
      <c r="K285" t="s">
        <v>123</v>
      </c>
      <c r="L285" t="s">
        <v>340</v>
      </c>
      <c r="M285">
        <v>24</v>
      </c>
      <c r="N285">
        <v>0</v>
      </c>
      <c r="O285">
        <v>0</v>
      </c>
      <c r="P285">
        <v>73</v>
      </c>
      <c r="Q285">
        <v>0</v>
      </c>
      <c r="R285">
        <v>0</v>
      </c>
      <c r="S285">
        <v>0</v>
      </c>
      <c r="U285" t="s">
        <v>123</v>
      </c>
      <c r="V285" t="s">
        <v>340</v>
      </c>
      <c r="W285">
        <f>Tabla35[[#This Row],[BN CARTA]]-Tabla34[[#This Row],[BN CARTA]]</f>
        <v>11</v>
      </c>
      <c r="X285">
        <f>Tabla35[[#This Row],[BN OFICIO]]-Tabla34[[#This Row],[BN OFICIO]]</f>
        <v>0</v>
      </c>
      <c r="Y285">
        <f>Tabla35[[#This Row],[BN DC]]-Tabla34[[#This Row],[BN DC]]</f>
        <v>0</v>
      </c>
      <c r="Z285">
        <f>Tabla35[[#This Row],[COLOR CARTA]]-Tabla34[[#This Row],[COLOR CARTA]]</f>
        <v>28</v>
      </c>
      <c r="AA285">
        <f>Tabla35[[#This Row],[COLOR OFICIO]]-Tabla34[[#This Row],[COLOR OFICIO]]</f>
        <v>0</v>
      </c>
      <c r="AB285">
        <f>Tabla35[[#This Row],[ENVIAR]]-Tabla34[[#This Row],[ENVIAR]]</f>
        <v>0</v>
      </c>
      <c r="AC285">
        <f>Tabla35[[#This Row],[COPIAR]]-Tabla34[[#This Row],[COPIAR]]</f>
        <v>0</v>
      </c>
    </row>
    <row r="286" spans="1:29" x14ac:dyDescent="0.25">
      <c r="A286" t="s">
        <v>40</v>
      </c>
      <c r="B286" t="s">
        <v>341</v>
      </c>
      <c r="C286">
        <v>15</v>
      </c>
      <c r="D286">
        <v>0</v>
      </c>
      <c r="E286">
        <v>0</v>
      </c>
      <c r="F286">
        <v>130</v>
      </c>
      <c r="G286">
        <v>0</v>
      </c>
      <c r="H286">
        <v>0</v>
      </c>
      <c r="I286">
        <v>0</v>
      </c>
      <c r="K286" t="s">
        <v>40</v>
      </c>
      <c r="L286" t="s">
        <v>341</v>
      </c>
      <c r="M286">
        <v>27</v>
      </c>
      <c r="N286">
        <v>0</v>
      </c>
      <c r="O286">
        <v>0</v>
      </c>
      <c r="P286">
        <v>336</v>
      </c>
      <c r="Q286">
        <v>0</v>
      </c>
      <c r="R286">
        <v>0</v>
      </c>
      <c r="S286">
        <v>0</v>
      </c>
      <c r="U286" t="s">
        <v>40</v>
      </c>
      <c r="V286" t="s">
        <v>341</v>
      </c>
      <c r="W286">
        <f>Tabla35[[#This Row],[BN CARTA]]-Tabla34[[#This Row],[BN CARTA]]</f>
        <v>12</v>
      </c>
      <c r="X286">
        <f>Tabla35[[#This Row],[BN OFICIO]]-Tabla34[[#This Row],[BN OFICIO]]</f>
        <v>0</v>
      </c>
      <c r="Y286">
        <f>Tabla35[[#This Row],[BN DC]]-Tabla34[[#This Row],[BN DC]]</f>
        <v>0</v>
      </c>
      <c r="Z286">
        <f>Tabla35[[#This Row],[COLOR CARTA]]-Tabla34[[#This Row],[COLOR CARTA]]</f>
        <v>206</v>
      </c>
      <c r="AA286">
        <f>Tabla35[[#This Row],[COLOR OFICIO]]-Tabla34[[#This Row],[COLOR OFICIO]]</f>
        <v>0</v>
      </c>
      <c r="AB286">
        <f>Tabla35[[#This Row],[ENVIAR]]-Tabla34[[#This Row],[ENVIAR]]</f>
        <v>0</v>
      </c>
      <c r="AC286">
        <f>Tabla35[[#This Row],[COPIAR]]-Tabla34[[#This Row],[COPIAR]]</f>
        <v>0</v>
      </c>
    </row>
    <row r="287" spans="1:29" x14ac:dyDescent="0.25">
      <c r="A287" t="s">
        <v>97</v>
      </c>
      <c r="B287" t="s">
        <v>342</v>
      </c>
      <c r="C287">
        <v>24</v>
      </c>
      <c r="D287">
        <v>0</v>
      </c>
      <c r="E287">
        <v>0</v>
      </c>
      <c r="F287">
        <v>30</v>
      </c>
      <c r="G287">
        <v>0</v>
      </c>
      <c r="H287">
        <v>0</v>
      </c>
      <c r="I287">
        <v>0</v>
      </c>
      <c r="K287" t="s">
        <v>97</v>
      </c>
      <c r="L287" t="s">
        <v>342</v>
      </c>
      <c r="M287">
        <v>31</v>
      </c>
      <c r="N287">
        <v>0</v>
      </c>
      <c r="O287">
        <v>0</v>
      </c>
      <c r="P287">
        <v>99</v>
      </c>
      <c r="Q287">
        <v>0</v>
      </c>
      <c r="R287">
        <v>0</v>
      </c>
      <c r="S287">
        <v>0</v>
      </c>
      <c r="U287" t="s">
        <v>97</v>
      </c>
      <c r="V287" t="s">
        <v>342</v>
      </c>
      <c r="W287">
        <f>Tabla35[[#This Row],[BN CARTA]]-Tabla34[[#This Row],[BN CARTA]]</f>
        <v>7</v>
      </c>
      <c r="X287">
        <f>Tabla35[[#This Row],[BN OFICIO]]-Tabla34[[#This Row],[BN OFICIO]]</f>
        <v>0</v>
      </c>
      <c r="Y287">
        <f>Tabla35[[#This Row],[BN DC]]-Tabla34[[#This Row],[BN DC]]</f>
        <v>0</v>
      </c>
      <c r="Z287">
        <f>Tabla35[[#This Row],[COLOR CARTA]]-Tabla34[[#This Row],[COLOR CARTA]]</f>
        <v>69</v>
      </c>
      <c r="AA287">
        <f>Tabla35[[#This Row],[COLOR OFICIO]]-Tabla34[[#This Row],[COLOR OFICIO]]</f>
        <v>0</v>
      </c>
      <c r="AB287">
        <f>Tabla35[[#This Row],[ENVIAR]]-Tabla34[[#This Row],[ENVIAR]]</f>
        <v>0</v>
      </c>
      <c r="AC287">
        <f>Tabla35[[#This Row],[COPIAR]]-Tabla34[[#This Row],[COPIAR]]</f>
        <v>0</v>
      </c>
    </row>
    <row r="288" spans="1:29" x14ac:dyDescent="0.25">
      <c r="A288" t="s">
        <v>10</v>
      </c>
      <c r="B288" t="s">
        <v>343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K288" t="s">
        <v>10</v>
      </c>
      <c r="L288" t="s">
        <v>343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U288" t="s">
        <v>10</v>
      </c>
      <c r="V288" t="s">
        <v>343</v>
      </c>
      <c r="W288">
        <f>Tabla35[[#This Row],[BN CARTA]]-Tabla34[[#This Row],[BN CARTA]]</f>
        <v>0</v>
      </c>
      <c r="X288">
        <f>Tabla35[[#This Row],[BN OFICIO]]-Tabla34[[#This Row],[BN OFICIO]]</f>
        <v>0</v>
      </c>
      <c r="Y288">
        <f>Tabla35[[#This Row],[BN DC]]-Tabla34[[#This Row],[BN DC]]</f>
        <v>0</v>
      </c>
      <c r="Z288">
        <f>Tabla35[[#This Row],[COLOR CARTA]]-Tabla34[[#This Row],[COLOR CARTA]]</f>
        <v>0</v>
      </c>
      <c r="AA288">
        <f>Tabla35[[#This Row],[COLOR OFICIO]]-Tabla34[[#This Row],[COLOR OFICIO]]</f>
        <v>0</v>
      </c>
      <c r="AB288">
        <f>Tabla35[[#This Row],[ENVIAR]]-Tabla34[[#This Row],[ENVIAR]]</f>
        <v>0</v>
      </c>
      <c r="AC288">
        <f>Tabla35[[#This Row],[COPIAR]]-Tabla34[[#This Row],[COPIAR]]</f>
        <v>0</v>
      </c>
    </row>
    <row r="289" spans="1:29" x14ac:dyDescent="0.25">
      <c r="A289" t="s">
        <v>138</v>
      </c>
      <c r="B289" t="s">
        <v>344</v>
      </c>
      <c r="C289">
        <v>97</v>
      </c>
      <c r="D289">
        <v>0</v>
      </c>
      <c r="E289">
        <v>0</v>
      </c>
      <c r="F289">
        <v>1307</v>
      </c>
      <c r="G289">
        <v>0</v>
      </c>
      <c r="H289">
        <v>0</v>
      </c>
      <c r="I289">
        <v>0</v>
      </c>
      <c r="K289" t="s">
        <v>138</v>
      </c>
      <c r="L289" t="s">
        <v>344</v>
      </c>
      <c r="M289">
        <v>97</v>
      </c>
      <c r="N289">
        <v>0</v>
      </c>
      <c r="O289">
        <v>0</v>
      </c>
      <c r="P289">
        <v>1307</v>
      </c>
      <c r="Q289">
        <v>0</v>
      </c>
      <c r="R289">
        <v>0</v>
      </c>
      <c r="S289">
        <v>0</v>
      </c>
      <c r="U289" t="s">
        <v>138</v>
      </c>
      <c r="V289" t="s">
        <v>344</v>
      </c>
      <c r="W289">
        <f>Tabla35[[#This Row],[BN CARTA]]-Tabla34[[#This Row],[BN CARTA]]</f>
        <v>0</v>
      </c>
      <c r="X289">
        <f>Tabla35[[#This Row],[BN OFICIO]]-Tabla34[[#This Row],[BN OFICIO]]</f>
        <v>0</v>
      </c>
      <c r="Y289">
        <f>Tabla35[[#This Row],[BN DC]]-Tabla34[[#This Row],[BN DC]]</f>
        <v>0</v>
      </c>
      <c r="Z289">
        <f>Tabla35[[#This Row],[COLOR CARTA]]-Tabla34[[#This Row],[COLOR CARTA]]</f>
        <v>0</v>
      </c>
      <c r="AA289">
        <f>Tabla35[[#This Row],[COLOR OFICIO]]-Tabla34[[#This Row],[COLOR OFICIO]]</f>
        <v>0</v>
      </c>
      <c r="AB289">
        <f>Tabla35[[#This Row],[ENVIAR]]-Tabla34[[#This Row],[ENVIAR]]</f>
        <v>0</v>
      </c>
      <c r="AC289">
        <f>Tabla35[[#This Row],[COPIAR]]-Tabla34[[#This Row],[COPIAR]]</f>
        <v>0</v>
      </c>
    </row>
    <row r="290" spans="1:29" x14ac:dyDescent="0.25">
      <c r="A290" t="s">
        <v>140</v>
      </c>
      <c r="B290" t="s">
        <v>345</v>
      </c>
      <c r="C290">
        <v>14</v>
      </c>
      <c r="D290">
        <v>0</v>
      </c>
      <c r="E290">
        <v>0</v>
      </c>
      <c r="F290">
        <v>46</v>
      </c>
      <c r="G290">
        <v>0</v>
      </c>
      <c r="H290">
        <v>0</v>
      </c>
      <c r="I290">
        <v>0</v>
      </c>
      <c r="K290" t="s">
        <v>140</v>
      </c>
      <c r="L290" t="s">
        <v>345</v>
      </c>
      <c r="M290">
        <v>30</v>
      </c>
      <c r="N290">
        <v>0</v>
      </c>
      <c r="O290">
        <v>0</v>
      </c>
      <c r="P290">
        <v>162</v>
      </c>
      <c r="Q290">
        <v>0</v>
      </c>
      <c r="R290">
        <v>0</v>
      </c>
      <c r="S290">
        <v>0</v>
      </c>
      <c r="U290" t="s">
        <v>140</v>
      </c>
      <c r="V290" t="s">
        <v>345</v>
      </c>
      <c r="W290">
        <f>Tabla35[[#This Row],[BN CARTA]]-Tabla34[[#This Row],[BN CARTA]]</f>
        <v>16</v>
      </c>
      <c r="X290">
        <f>Tabla35[[#This Row],[BN OFICIO]]-Tabla34[[#This Row],[BN OFICIO]]</f>
        <v>0</v>
      </c>
      <c r="Y290">
        <f>Tabla35[[#This Row],[BN DC]]-Tabla34[[#This Row],[BN DC]]</f>
        <v>0</v>
      </c>
      <c r="Z290">
        <f>Tabla35[[#This Row],[COLOR CARTA]]-Tabla34[[#This Row],[COLOR CARTA]]</f>
        <v>116</v>
      </c>
      <c r="AA290">
        <f>Tabla35[[#This Row],[COLOR OFICIO]]-Tabla34[[#This Row],[COLOR OFICIO]]</f>
        <v>0</v>
      </c>
      <c r="AB290">
        <f>Tabla35[[#This Row],[ENVIAR]]-Tabla34[[#This Row],[ENVIAR]]</f>
        <v>0</v>
      </c>
      <c r="AC290">
        <f>Tabla35[[#This Row],[COPIAR]]-Tabla34[[#This Row],[COPIAR]]</f>
        <v>0</v>
      </c>
    </row>
    <row r="291" spans="1:29" x14ac:dyDescent="0.25">
      <c r="A291" t="s">
        <v>69</v>
      </c>
      <c r="B291" t="s">
        <v>346</v>
      </c>
      <c r="C291">
        <v>316</v>
      </c>
      <c r="D291">
        <v>0</v>
      </c>
      <c r="E291">
        <v>0</v>
      </c>
      <c r="F291">
        <v>1069</v>
      </c>
      <c r="G291">
        <v>0</v>
      </c>
      <c r="H291">
        <v>0</v>
      </c>
      <c r="I291">
        <v>0</v>
      </c>
      <c r="K291" t="s">
        <v>69</v>
      </c>
      <c r="L291" t="s">
        <v>346</v>
      </c>
      <c r="M291">
        <v>615</v>
      </c>
      <c r="N291">
        <v>0</v>
      </c>
      <c r="O291">
        <v>0</v>
      </c>
      <c r="P291">
        <v>3728</v>
      </c>
      <c r="Q291">
        <v>0</v>
      </c>
      <c r="R291">
        <v>0</v>
      </c>
      <c r="S291">
        <v>0</v>
      </c>
      <c r="U291" t="s">
        <v>69</v>
      </c>
      <c r="V291" t="s">
        <v>346</v>
      </c>
      <c r="W291">
        <f>Tabla35[[#This Row],[BN CARTA]]-Tabla34[[#This Row],[BN CARTA]]</f>
        <v>299</v>
      </c>
      <c r="X291">
        <f>Tabla35[[#This Row],[BN OFICIO]]-Tabla34[[#This Row],[BN OFICIO]]</f>
        <v>0</v>
      </c>
      <c r="Y291">
        <f>Tabla35[[#This Row],[BN DC]]-Tabla34[[#This Row],[BN DC]]</f>
        <v>0</v>
      </c>
      <c r="Z291">
        <f>Tabla35[[#This Row],[COLOR CARTA]]-Tabla34[[#This Row],[COLOR CARTA]]</f>
        <v>2659</v>
      </c>
      <c r="AA291">
        <f>Tabla35[[#This Row],[COLOR OFICIO]]-Tabla34[[#This Row],[COLOR OFICIO]]</f>
        <v>0</v>
      </c>
      <c r="AB291">
        <f>Tabla35[[#This Row],[ENVIAR]]-Tabla34[[#This Row],[ENVIAR]]</f>
        <v>0</v>
      </c>
      <c r="AC291">
        <f>Tabla35[[#This Row],[COPIAR]]-Tabla34[[#This Row],[COPIAR]]</f>
        <v>0</v>
      </c>
    </row>
    <row r="292" spans="1:29" x14ac:dyDescent="0.25">
      <c r="A292" t="s">
        <v>10</v>
      </c>
      <c r="B292" t="s">
        <v>347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K292" t="s">
        <v>10</v>
      </c>
      <c r="L292" t="s">
        <v>347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U292" t="s">
        <v>10</v>
      </c>
      <c r="V292" t="s">
        <v>347</v>
      </c>
      <c r="W292">
        <f>Tabla35[[#This Row],[BN CARTA]]-Tabla34[[#This Row],[BN CARTA]]</f>
        <v>0</v>
      </c>
      <c r="X292">
        <f>Tabla35[[#This Row],[BN OFICIO]]-Tabla34[[#This Row],[BN OFICIO]]</f>
        <v>0</v>
      </c>
      <c r="Y292">
        <f>Tabla35[[#This Row],[BN DC]]-Tabla34[[#This Row],[BN DC]]</f>
        <v>0</v>
      </c>
      <c r="Z292">
        <f>Tabla35[[#This Row],[COLOR CARTA]]-Tabla34[[#This Row],[COLOR CARTA]]</f>
        <v>0</v>
      </c>
      <c r="AA292">
        <f>Tabla35[[#This Row],[COLOR OFICIO]]-Tabla34[[#This Row],[COLOR OFICIO]]</f>
        <v>0</v>
      </c>
      <c r="AB292">
        <f>Tabla35[[#This Row],[ENVIAR]]-Tabla34[[#This Row],[ENVIAR]]</f>
        <v>0</v>
      </c>
      <c r="AC292">
        <f>Tabla35[[#This Row],[COPIAR]]-Tabla34[[#This Row],[COPIAR]]</f>
        <v>0</v>
      </c>
    </row>
    <row r="293" spans="1:29" x14ac:dyDescent="0.25">
      <c r="A293" t="s">
        <v>101</v>
      </c>
      <c r="B293" t="s">
        <v>348</v>
      </c>
      <c r="C293">
        <v>14</v>
      </c>
      <c r="D293">
        <v>0</v>
      </c>
      <c r="E293">
        <v>0</v>
      </c>
      <c r="F293">
        <v>530</v>
      </c>
      <c r="G293">
        <v>0</v>
      </c>
      <c r="H293">
        <v>0</v>
      </c>
      <c r="I293">
        <v>0</v>
      </c>
      <c r="K293" t="s">
        <v>101</v>
      </c>
      <c r="L293" t="s">
        <v>348</v>
      </c>
      <c r="M293">
        <v>14</v>
      </c>
      <c r="N293">
        <v>0</v>
      </c>
      <c r="O293">
        <v>0</v>
      </c>
      <c r="P293">
        <v>530</v>
      </c>
      <c r="Q293">
        <v>0</v>
      </c>
      <c r="R293">
        <v>0</v>
      </c>
      <c r="S293">
        <v>0</v>
      </c>
      <c r="U293" t="s">
        <v>101</v>
      </c>
      <c r="V293" t="s">
        <v>348</v>
      </c>
      <c r="W293">
        <f>Tabla35[[#This Row],[BN CARTA]]-Tabla34[[#This Row],[BN CARTA]]</f>
        <v>0</v>
      </c>
      <c r="X293">
        <f>Tabla35[[#This Row],[BN OFICIO]]-Tabla34[[#This Row],[BN OFICIO]]</f>
        <v>0</v>
      </c>
      <c r="Y293">
        <f>Tabla35[[#This Row],[BN DC]]-Tabla34[[#This Row],[BN DC]]</f>
        <v>0</v>
      </c>
      <c r="Z293">
        <f>Tabla35[[#This Row],[COLOR CARTA]]-Tabla34[[#This Row],[COLOR CARTA]]</f>
        <v>0</v>
      </c>
      <c r="AA293">
        <f>Tabla35[[#This Row],[COLOR OFICIO]]-Tabla34[[#This Row],[COLOR OFICIO]]</f>
        <v>0</v>
      </c>
      <c r="AB293">
        <f>Tabla35[[#This Row],[ENVIAR]]-Tabla34[[#This Row],[ENVIAR]]</f>
        <v>0</v>
      </c>
      <c r="AC293">
        <f>Tabla35[[#This Row],[COPIAR]]-Tabla34[[#This Row],[COPIAR]]</f>
        <v>0</v>
      </c>
    </row>
    <row r="294" spans="1:29" x14ac:dyDescent="0.25">
      <c r="A294" t="s">
        <v>10</v>
      </c>
      <c r="B294" t="s">
        <v>349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K294" t="s">
        <v>10</v>
      </c>
      <c r="L294" t="s">
        <v>349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U294" t="s">
        <v>10</v>
      </c>
      <c r="V294" t="s">
        <v>349</v>
      </c>
      <c r="W294">
        <f>Tabla35[[#This Row],[BN CARTA]]-Tabla34[[#This Row],[BN CARTA]]</f>
        <v>0</v>
      </c>
      <c r="X294">
        <f>Tabla35[[#This Row],[BN OFICIO]]-Tabla34[[#This Row],[BN OFICIO]]</f>
        <v>0</v>
      </c>
      <c r="Y294">
        <f>Tabla35[[#This Row],[BN DC]]-Tabla34[[#This Row],[BN DC]]</f>
        <v>0</v>
      </c>
      <c r="Z294">
        <f>Tabla35[[#This Row],[COLOR CARTA]]-Tabla34[[#This Row],[COLOR CARTA]]</f>
        <v>0</v>
      </c>
      <c r="AA294">
        <f>Tabla35[[#This Row],[COLOR OFICIO]]-Tabla34[[#This Row],[COLOR OFICIO]]</f>
        <v>0</v>
      </c>
      <c r="AB294">
        <f>Tabla35[[#This Row],[ENVIAR]]-Tabla34[[#This Row],[ENVIAR]]</f>
        <v>0</v>
      </c>
      <c r="AC294">
        <f>Tabla35[[#This Row],[COPIAR]]-Tabla34[[#This Row],[COPIAR]]</f>
        <v>0</v>
      </c>
    </row>
    <row r="295" spans="1:29" x14ac:dyDescent="0.25">
      <c r="A295" t="s">
        <v>10</v>
      </c>
      <c r="B295" t="s">
        <v>350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K295" t="s">
        <v>10</v>
      </c>
      <c r="L295" t="s">
        <v>350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U295" t="s">
        <v>10</v>
      </c>
      <c r="V295" t="s">
        <v>350</v>
      </c>
      <c r="W295">
        <f>Tabla35[[#This Row],[BN CARTA]]-Tabla34[[#This Row],[BN CARTA]]</f>
        <v>0</v>
      </c>
      <c r="X295">
        <f>Tabla35[[#This Row],[BN OFICIO]]-Tabla34[[#This Row],[BN OFICIO]]</f>
        <v>0</v>
      </c>
      <c r="Y295">
        <f>Tabla35[[#This Row],[BN DC]]-Tabla34[[#This Row],[BN DC]]</f>
        <v>0</v>
      </c>
      <c r="Z295">
        <f>Tabla35[[#This Row],[COLOR CARTA]]-Tabla34[[#This Row],[COLOR CARTA]]</f>
        <v>0</v>
      </c>
      <c r="AA295">
        <f>Tabla35[[#This Row],[COLOR OFICIO]]-Tabla34[[#This Row],[COLOR OFICIO]]</f>
        <v>0</v>
      </c>
      <c r="AB295">
        <f>Tabla35[[#This Row],[ENVIAR]]-Tabla34[[#This Row],[ENVIAR]]</f>
        <v>0</v>
      </c>
      <c r="AC295">
        <f>Tabla35[[#This Row],[COPIAR]]-Tabla34[[#This Row],[COPIAR]]</f>
        <v>0</v>
      </c>
    </row>
    <row r="296" spans="1:29" x14ac:dyDescent="0.25">
      <c r="A296" t="s">
        <v>45</v>
      </c>
      <c r="B296" t="s">
        <v>351</v>
      </c>
      <c r="C296">
        <v>8</v>
      </c>
      <c r="D296">
        <v>0</v>
      </c>
      <c r="E296">
        <v>0</v>
      </c>
      <c r="F296">
        <v>22</v>
      </c>
      <c r="G296">
        <v>0</v>
      </c>
      <c r="H296">
        <v>0</v>
      </c>
      <c r="I296">
        <v>0</v>
      </c>
      <c r="K296" t="s">
        <v>45</v>
      </c>
      <c r="L296" t="s">
        <v>351</v>
      </c>
      <c r="M296">
        <v>45</v>
      </c>
      <c r="N296">
        <v>0</v>
      </c>
      <c r="O296">
        <v>0</v>
      </c>
      <c r="P296">
        <v>128</v>
      </c>
      <c r="Q296">
        <v>0</v>
      </c>
      <c r="R296">
        <v>0</v>
      </c>
      <c r="S296">
        <v>0</v>
      </c>
      <c r="U296" t="s">
        <v>45</v>
      </c>
      <c r="V296" t="s">
        <v>351</v>
      </c>
      <c r="W296">
        <f>Tabla35[[#This Row],[BN CARTA]]-Tabla34[[#This Row],[BN CARTA]]</f>
        <v>37</v>
      </c>
      <c r="X296">
        <f>Tabla35[[#This Row],[BN OFICIO]]-Tabla34[[#This Row],[BN OFICIO]]</f>
        <v>0</v>
      </c>
      <c r="Y296">
        <f>Tabla35[[#This Row],[BN DC]]-Tabla34[[#This Row],[BN DC]]</f>
        <v>0</v>
      </c>
      <c r="Z296">
        <f>Tabla35[[#This Row],[COLOR CARTA]]-Tabla34[[#This Row],[COLOR CARTA]]</f>
        <v>106</v>
      </c>
      <c r="AA296">
        <f>Tabla35[[#This Row],[COLOR OFICIO]]-Tabla34[[#This Row],[COLOR OFICIO]]</f>
        <v>0</v>
      </c>
      <c r="AB296">
        <f>Tabla35[[#This Row],[ENVIAR]]-Tabla34[[#This Row],[ENVIAR]]</f>
        <v>0</v>
      </c>
      <c r="AC296">
        <f>Tabla35[[#This Row],[COPIAR]]-Tabla34[[#This Row],[COPIAR]]</f>
        <v>0</v>
      </c>
    </row>
    <row r="297" spans="1:29" x14ac:dyDescent="0.25">
      <c r="A297" t="s">
        <v>10</v>
      </c>
      <c r="B297" t="s">
        <v>352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K297" t="s">
        <v>10</v>
      </c>
      <c r="L297" t="s">
        <v>352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U297" t="s">
        <v>10</v>
      </c>
      <c r="V297" t="s">
        <v>352</v>
      </c>
      <c r="W297">
        <f>Tabla35[[#This Row],[BN CARTA]]-Tabla34[[#This Row],[BN CARTA]]</f>
        <v>0</v>
      </c>
      <c r="X297">
        <f>Tabla35[[#This Row],[BN OFICIO]]-Tabla34[[#This Row],[BN OFICIO]]</f>
        <v>0</v>
      </c>
      <c r="Y297">
        <f>Tabla35[[#This Row],[BN DC]]-Tabla34[[#This Row],[BN DC]]</f>
        <v>0</v>
      </c>
      <c r="Z297">
        <f>Tabla35[[#This Row],[COLOR CARTA]]-Tabla34[[#This Row],[COLOR CARTA]]</f>
        <v>0</v>
      </c>
      <c r="AA297">
        <f>Tabla35[[#This Row],[COLOR OFICIO]]-Tabla34[[#This Row],[COLOR OFICIO]]</f>
        <v>0</v>
      </c>
      <c r="AB297">
        <f>Tabla35[[#This Row],[ENVIAR]]-Tabla34[[#This Row],[ENVIAR]]</f>
        <v>0</v>
      </c>
      <c r="AC297">
        <f>Tabla35[[#This Row],[COPIAR]]-Tabla34[[#This Row],[COPIAR]]</f>
        <v>0</v>
      </c>
    </row>
    <row r="298" spans="1:29" x14ac:dyDescent="0.25">
      <c r="A298" t="s">
        <v>31</v>
      </c>
      <c r="B298" t="s">
        <v>353</v>
      </c>
      <c r="C298">
        <v>2551</v>
      </c>
      <c r="D298">
        <v>0</v>
      </c>
      <c r="E298">
        <v>0</v>
      </c>
      <c r="F298">
        <v>167</v>
      </c>
      <c r="G298">
        <v>1</v>
      </c>
      <c r="H298">
        <v>0</v>
      </c>
      <c r="I298">
        <v>0</v>
      </c>
      <c r="K298" t="s">
        <v>31</v>
      </c>
      <c r="L298" t="s">
        <v>353</v>
      </c>
      <c r="M298">
        <v>3483</v>
      </c>
      <c r="N298">
        <v>0</v>
      </c>
      <c r="O298">
        <v>0</v>
      </c>
      <c r="P298">
        <v>494</v>
      </c>
      <c r="Q298">
        <v>1</v>
      </c>
      <c r="R298">
        <v>0</v>
      </c>
      <c r="S298">
        <v>0</v>
      </c>
      <c r="U298" t="s">
        <v>31</v>
      </c>
      <c r="V298" t="s">
        <v>353</v>
      </c>
      <c r="W298">
        <f>Tabla35[[#This Row],[BN CARTA]]-Tabla34[[#This Row],[BN CARTA]]</f>
        <v>932</v>
      </c>
      <c r="X298">
        <f>Tabla35[[#This Row],[BN OFICIO]]-Tabla34[[#This Row],[BN OFICIO]]</f>
        <v>0</v>
      </c>
      <c r="Y298">
        <f>Tabla35[[#This Row],[BN DC]]-Tabla34[[#This Row],[BN DC]]</f>
        <v>0</v>
      </c>
      <c r="Z298">
        <f>Tabla35[[#This Row],[COLOR CARTA]]-Tabla34[[#This Row],[COLOR CARTA]]</f>
        <v>327</v>
      </c>
      <c r="AA298">
        <f>Tabla35[[#This Row],[COLOR OFICIO]]-Tabla34[[#This Row],[COLOR OFICIO]]</f>
        <v>0</v>
      </c>
      <c r="AB298">
        <f>Tabla35[[#This Row],[ENVIAR]]-Tabla34[[#This Row],[ENVIAR]]</f>
        <v>0</v>
      </c>
      <c r="AC298">
        <f>Tabla35[[#This Row],[COPIAR]]-Tabla34[[#This Row],[COPIAR]]</f>
        <v>0</v>
      </c>
    </row>
    <row r="299" spans="1:29" x14ac:dyDescent="0.25">
      <c r="A299" t="s">
        <v>36</v>
      </c>
      <c r="B299" t="s">
        <v>354</v>
      </c>
      <c r="C299">
        <v>16</v>
      </c>
      <c r="D299">
        <v>0</v>
      </c>
      <c r="E299">
        <v>0</v>
      </c>
      <c r="F299">
        <v>78</v>
      </c>
      <c r="G299">
        <v>0</v>
      </c>
      <c r="H299">
        <v>0</v>
      </c>
      <c r="I299">
        <v>0</v>
      </c>
      <c r="K299" t="s">
        <v>36</v>
      </c>
      <c r="L299" t="s">
        <v>354</v>
      </c>
      <c r="M299">
        <v>37</v>
      </c>
      <c r="N299">
        <v>0</v>
      </c>
      <c r="O299">
        <v>0</v>
      </c>
      <c r="P299">
        <v>169</v>
      </c>
      <c r="Q299">
        <v>4</v>
      </c>
      <c r="R299">
        <v>0</v>
      </c>
      <c r="S299">
        <v>0</v>
      </c>
      <c r="U299" t="s">
        <v>36</v>
      </c>
      <c r="V299" t="s">
        <v>354</v>
      </c>
      <c r="W299">
        <f>Tabla35[[#This Row],[BN CARTA]]-Tabla34[[#This Row],[BN CARTA]]</f>
        <v>21</v>
      </c>
      <c r="X299">
        <f>Tabla35[[#This Row],[BN OFICIO]]-Tabla34[[#This Row],[BN OFICIO]]</f>
        <v>0</v>
      </c>
      <c r="Y299">
        <f>Tabla35[[#This Row],[BN DC]]-Tabla34[[#This Row],[BN DC]]</f>
        <v>0</v>
      </c>
      <c r="Z299">
        <f>Tabla35[[#This Row],[COLOR CARTA]]-Tabla34[[#This Row],[COLOR CARTA]]</f>
        <v>91</v>
      </c>
      <c r="AA299">
        <f>Tabla35[[#This Row],[COLOR OFICIO]]-Tabla34[[#This Row],[COLOR OFICIO]]</f>
        <v>4</v>
      </c>
      <c r="AB299">
        <f>Tabla35[[#This Row],[ENVIAR]]-Tabla34[[#This Row],[ENVIAR]]</f>
        <v>0</v>
      </c>
      <c r="AC299">
        <f>Tabla35[[#This Row],[COPIAR]]-Tabla34[[#This Row],[COPIAR]]</f>
        <v>0</v>
      </c>
    </row>
    <row r="300" spans="1:29" x14ac:dyDescent="0.25">
      <c r="A300" t="s">
        <v>38</v>
      </c>
      <c r="B300" t="s">
        <v>355</v>
      </c>
      <c r="C300">
        <v>86</v>
      </c>
      <c r="D300">
        <v>0</v>
      </c>
      <c r="E300">
        <v>0</v>
      </c>
      <c r="F300">
        <v>284</v>
      </c>
      <c r="G300">
        <v>0</v>
      </c>
      <c r="H300">
        <v>0</v>
      </c>
      <c r="I300">
        <v>0</v>
      </c>
      <c r="K300" t="s">
        <v>38</v>
      </c>
      <c r="L300" t="s">
        <v>355</v>
      </c>
      <c r="M300">
        <v>123</v>
      </c>
      <c r="N300">
        <v>0</v>
      </c>
      <c r="O300">
        <v>0</v>
      </c>
      <c r="P300">
        <v>308</v>
      </c>
      <c r="Q300">
        <v>0</v>
      </c>
      <c r="R300">
        <v>0</v>
      </c>
      <c r="S300">
        <v>0</v>
      </c>
      <c r="U300" t="s">
        <v>38</v>
      </c>
      <c r="V300" t="s">
        <v>355</v>
      </c>
      <c r="W300">
        <f>Tabla35[[#This Row],[BN CARTA]]-Tabla34[[#This Row],[BN CARTA]]</f>
        <v>37</v>
      </c>
      <c r="X300">
        <f>Tabla35[[#This Row],[BN OFICIO]]-Tabla34[[#This Row],[BN OFICIO]]</f>
        <v>0</v>
      </c>
      <c r="Y300">
        <f>Tabla35[[#This Row],[BN DC]]-Tabla34[[#This Row],[BN DC]]</f>
        <v>0</v>
      </c>
      <c r="Z300">
        <f>Tabla35[[#This Row],[COLOR CARTA]]-Tabla34[[#This Row],[COLOR CARTA]]</f>
        <v>24</v>
      </c>
      <c r="AA300">
        <f>Tabla35[[#This Row],[COLOR OFICIO]]-Tabla34[[#This Row],[COLOR OFICIO]]</f>
        <v>0</v>
      </c>
      <c r="AB300">
        <f>Tabla35[[#This Row],[ENVIAR]]-Tabla34[[#This Row],[ENVIAR]]</f>
        <v>0</v>
      </c>
      <c r="AC300">
        <f>Tabla35[[#This Row],[COPIAR]]-Tabla34[[#This Row],[COPIAR]]</f>
        <v>0</v>
      </c>
    </row>
    <row r="301" spans="1:29" x14ac:dyDescent="0.25">
      <c r="A301" t="s">
        <v>50</v>
      </c>
      <c r="B301" t="s">
        <v>356</v>
      </c>
      <c r="C301">
        <v>33</v>
      </c>
      <c r="D301">
        <v>0</v>
      </c>
      <c r="E301">
        <v>0</v>
      </c>
      <c r="F301">
        <v>139</v>
      </c>
      <c r="G301">
        <v>0</v>
      </c>
      <c r="H301">
        <v>0</v>
      </c>
      <c r="I301">
        <v>0</v>
      </c>
      <c r="K301" t="s">
        <v>50</v>
      </c>
      <c r="L301" t="s">
        <v>356</v>
      </c>
      <c r="M301">
        <v>33</v>
      </c>
      <c r="N301">
        <v>0</v>
      </c>
      <c r="O301">
        <v>0</v>
      </c>
      <c r="P301">
        <v>139</v>
      </c>
      <c r="Q301">
        <v>0</v>
      </c>
      <c r="R301">
        <v>0</v>
      </c>
      <c r="S301">
        <v>0</v>
      </c>
      <c r="U301" t="s">
        <v>50</v>
      </c>
      <c r="V301" t="s">
        <v>356</v>
      </c>
      <c r="W301">
        <f>Tabla35[[#This Row],[BN CARTA]]-Tabla34[[#This Row],[BN CARTA]]</f>
        <v>0</v>
      </c>
      <c r="X301">
        <f>Tabla35[[#This Row],[BN OFICIO]]-Tabla34[[#This Row],[BN OFICIO]]</f>
        <v>0</v>
      </c>
      <c r="Y301">
        <f>Tabla35[[#This Row],[BN DC]]-Tabla34[[#This Row],[BN DC]]</f>
        <v>0</v>
      </c>
      <c r="Z301">
        <f>Tabla35[[#This Row],[COLOR CARTA]]-Tabla34[[#This Row],[COLOR CARTA]]</f>
        <v>0</v>
      </c>
      <c r="AA301">
        <f>Tabla35[[#This Row],[COLOR OFICIO]]-Tabla34[[#This Row],[COLOR OFICIO]]</f>
        <v>0</v>
      </c>
      <c r="AB301">
        <f>Tabla35[[#This Row],[ENVIAR]]-Tabla34[[#This Row],[ENVIAR]]</f>
        <v>0</v>
      </c>
      <c r="AC301">
        <f>Tabla35[[#This Row],[COPIAR]]-Tabla34[[#This Row],[COPIAR]]</f>
        <v>0</v>
      </c>
    </row>
    <row r="302" spans="1:29" x14ac:dyDescent="0.25">
      <c r="A302" t="s">
        <v>59</v>
      </c>
      <c r="B302" t="s">
        <v>357</v>
      </c>
      <c r="C302">
        <v>229</v>
      </c>
      <c r="D302">
        <v>0</v>
      </c>
      <c r="E302">
        <v>0</v>
      </c>
      <c r="F302">
        <v>38</v>
      </c>
      <c r="G302">
        <v>0</v>
      </c>
      <c r="H302">
        <v>0</v>
      </c>
      <c r="I302">
        <v>0</v>
      </c>
      <c r="K302" t="s">
        <v>59</v>
      </c>
      <c r="L302" t="s">
        <v>357</v>
      </c>
      <c r="M302">
        <v>249</v>
      </c>
      <c r="N302">
        <v>0</v>
      </c>
      <c r="O302">
        <v>0</v>
      </c>
      <c r="P302">
        <v>385</v>
      </c>
      <c r="Q302">
        <v>0</v>
      </c>
      <c r="R302">
        <v>0</v>
      </c>
      <c r="S302">
        <v>0</v>
      </c>
      <c r="U302" t="s">
        <v>59</v>
      </c>
      <c r="V302" t="s">
        <v>357</v>
      </c>
      <c r="W302">
        <f>Tabla35[[#This Row],[BN CARTA]]-Tabla34[[#This Row],[BN CARTA]]</f>
        <v>20</v>
      </c>
      <c r="X302">
        <f>Tabla35[[#This Row],[BN OFICIO]]-Tabla34[[#This Row],[BN OFICIO]]</f>
        <v>0</v>
      </c>
      <c r="Y302">
        <f>Tabla35[[#This Row],[BN DC]]-Tabla34[[#This Row],[BN DC]]</f>
        <v>0</v>
      </c>
      <c r="Z302">
        <f>Tabla35[[#This Row],[COLOR CARTA]]-Tabla34[[#This Row],[COLOR CARTA]]</f>
        <v>347</v>
      </c>
      <c r="AA302">
        <f>Tabla35[[#This Row],[COLOR OFICIO]]-Tabla34[[#This Row],[COLOR OFICIO]]</f>
        <v>0</v>
      </c>
      <c r="AB302">
        <f>Tabla35[[#This Row],[ENVIAR]]-Tabla34[[#This Row],[ENVIAR]]</f>
        <v>0</v>
      </c>
      <c r="AC302">
        <f>Tabla35[[#This Row],[COPIAR]]-Tabla34[[#This Row],[COPIAR]]</f>
        <v>0</v>
      </c>
    </row>
    <row r="303" spans="1:29" x14ac:dyDescent="0.25">
      <c r="A303" t="s">
        <v>10</v>
      </c>
      <c r="B303" t="s">
        <v>358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K303" t="s">
        <v>10</v>
      </c>
      <c r="L303" t="s">
        <v>358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U303" t="s">
        <v>10</v>
      </c>
      <c r="V303" t="s">
        <v>358</v>
      </c>
      <c r="W303">
        <f>Tabla35[[#This Row],[BN CARTA]]-Tabla34[[#This Row],[BN CARTA]]</f>
        <v>0</v>
      </c>
      <c r="X303">
        <f>Tabla35[[#This Row],[BN OFICIO]]-Tabla34[[#This Row],[BN OFICIO]]</f>
        <v>0</v>
      </c>
      <c r="Y303">
        <f>Tabla35[[#This Row],[BN DC]]-Tabla34[[#This Row],[BN DC]]</f>
        <v>0</v>
      </c>
      <c r="Z303">
        <f>Tabla35[[#This Row],[COLOR CARTA]]-Tabla34[[#This Row],[COLOR CARTA]]</f>
        <v>0</v>
      </c>
      <c r="AA303">
        <f>Tabla35[[#This Row],[COLOR OFICIO]]-Tabla34[[#This Row],[COLOR OFICIO]]</f>
        <v>0</v>
      </c>
      <c r="AB303">
        <f>Tabla35[[#This Row],[ENVIAR]]-Tabla34[[#This Row],[ENVIAR]]</f>
        <v>0</v>
      </c>
      <c r="AC303">
        <f>Tabla35[[#This Row],[COPIAR]]-Tabla34[[#This Row],[COPIAR]]</f>
        <v>0</v>
      </c>
    </row>
    <row r="304" spans="1:29" x14ac:dyDescent="0.25">
      <c r="A304" t="s">
        <v>54</v>
      </c>
      <c r="B304" t="s">
        <v>359</v>
      </c>
      <c r="C304">
        <v>376</v>
      </c>
      <c r="D304">
        <v>0</v>
      </c>
      <c r="E304">
        <v>0</v>
      </c>
      <c r="F304">
        <v>719</v>
      </c>
      <c r="G304">
        <v>0</v>
      </c>
      <c r="H304">
        <v>0</v>
      </c>
      <c r="I304">
        <v>0</v>
      </c>
      <c r="K304" t="s">
        <v>54</v>
      </c>
      <c r="L304" t="s">
        <v>359</v>
      </c>
      <c r="M304">
        <v>408</v>
      </c>
      <c r="N304">
        <v>0</v>
      </c>
      <c r="O304">
        <v>0</v>
      </c>
      <c r="P304">
        <v>1248</v>
      </c>
      <c r="Q304">
        <v>0</v>
      </c>
      <c r="R304">
        <v>0</v>
      </c>
      <c r="S304">
        <v>0</v>
      </c>
      <c r="U304" t="s">
        <v>54</v>
      </c>
      <c r="V304" t="s">
        <v>359</v>
      </c>
      <c r="W304">
        <f>Tabla35[[#This Row],[BN CARTA]]-Tabla34[[#This Row],[BN CARTA]]</f>
        <v>32</v>
      </c>
      <c r="X304">
        <f>Tabla35[[#This Row],[BN OFICIO]]-Tabla34[[#This Row],[BN OFICIO]]</f>
        <v>0</v>
      </c>
      <c r="Y304">
        <f>Tabla35[[#This Row],[BN DC]]-Tabla34[[#This Row],[BN DC]]</f>
        <v>0</v>
      </c>
      <c r="Z304">
        <f>Tabla35[[#This Row],[COLOR CARTA]]-Tabla34[[#This Row],[COLOR CARTA]]</f>
        <v>529</v>
      </c>
      <c r="AA304">
        <f>Tabla35[[#This Row],[COLOR OFICIO]]-Tabla34[[#This Row],[COLOR OFICIO]]</f>
        <v>0</v>
      </c>
      <c r="AB304">
        <f>Tabla35[[#This Row],[ENVIAR]]-Tabla34[[#This Row],[ENVIAR]]</f>
        <v>0</v>
      </c>
      <c r="AC304">
        <f>Tabla35[[#This Row],[COPIAR]]-Tabla34[[#This Row],[COPIAR]]</f>
        <v>0</v>
      </c>
    </row>
    <row r="305" spans="1:29" x14ac:dyDescent="0.25">
      <c r="A305" t="s">
        <v>10</v>
      </c>
      <c r="B305" t="s">
        <v>360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K305" t="s">
        <v>787</v>
      </c>
      <c r="L305" t="s">
        <v>360</v>
      </c>
      <c r="M305">
        <v>67</v>
      </c>
      <c r="N305">
        <v>0</v>
      </c>
      <c r="O305">
        <v>0</v>
      </c>
      <c r="P305">
        <v>693</v>
      </c>
      <c r="Q305">
        <v>2</v>
      </c>
      <c r="R305">
        <v>0</v>
      </c>
      <c r="S305">
        <v>0</v>
      </c>
      <c r="U305" t="s">
        <v>787</v>
      </c>
      <c r="V305" t="s">
        <v>360</v>
      </c>
      <c r="W305">
        <f>Tabla35[[#This Row],[BN CARTA]]-Tabla34[[#This Row],[BN CARTA]]</f>
        <v>67</v>
      </c>
      <c r="X305">
        <f>Tabla35[[#This Row],[BN OFICIO]]-Tabla34[[#This Row],[BN OFICIO]]</f>
        <v>0</v>
      </c>
      <c r="Y305">
        <f>Tabla35[[#This Row],[BN DC]]-Tabla34[[#This Row],[BN DC]]</f>
        <v>0</v>
      </c>
      <c r="Z305">
        <f>Tabla35[[#This Row],[COLOR CARTA]]-Tabla34[[#This Row],[COLOR CARTA]]</f>
        <v>693</v>
      </c>
      <c r="AA305">
        <f>Tabla35[[#This Row],[COLOR OFICIO]]-Tabla34[[#This Row],[COLOR OFICIO]]</f>
        <v>2</v>
      </c>
      <c r="AB305">
        <f>Tabla35[[#This Row],[ENVIAR]]-Tabla34[[#This Row],[ENVIAR]]</f>
        <v>0</v>
      </c>
      <c r="AC305">
        <f>Tabla35[[#This Row],[COPIAR]]-Tabla34[[#This Row],[COPIAR]]</f>
        <v>0</v>
      </c>
    </row>
    <row r="306" spans="1:29" x14ac:dyDescent="0.25">
      <c r="A306" t="s">
        <v>10</v>
      </c>
      <c r="B306" t="s">
        <v>361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K306" t="s">
        <v>10</v>
      </c>
      <c r="L306" t="s">
        <v>361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U306" t="s">
        <v>10</v>
      </c>
      <c r="V306" t="s">
        <v>361</v>
      </c>
      <c r="W306">
        <f>Tabla35[[#This Row],[BN CARTA]]-Tabla34[[#This Row],[BN CARTA]]</f>
        <v>0</v>
      </c>
      <c r="X306">
        <f>Tabla35[[#This Row],[BN OFICIO]]-Tabla34[[#This Row],[BN OFICIO]]</f>
        <v>0</v>
      </c>
      <c r="Y306">
        <f>Tabla35[[#This Row],[BN DC]]-Tabla34[[#This Row],[BN DC]]</f>
        <v>0</v>
      </c>
      <c r="Z306">
        <f>Tabla35[[#This Row],[COLOR CARTA]]-Tabla34[[#This Row],[COLOR CARTA]]</f>
        <v>0</v>
      </c>
      <c r="AA306">
        <f>Tabla35[[#This Row],[COLOR OFICIO]]-Tabla34[[#This Row],[COLOR OFICIO]]</f>
        <v>0</v>
      </c>
      <c r="AB306">
        <f>Tabla35[[#This Row],[ENVIAR]]-Tabla34[[#This Row],[ENVIAR]]</f>
        <v>0</v>
      </c>
      <c r="AC306">
        <f>Tabla35[[#This Row],[COPIAR]]-Tabla34[[#This Row],[COPIAR]]</f>
        <v>0</v>
      </c>
    </row>
    <row r="307" spans="1:29" x14ac:dyDescent="0.25">
      <c r="A307" t="s">
        <v>67</v>
      </c>
      <c r="B307" t="s">
        <v>362</v>
      </c>
      <c r="C307">
        <v>12</v>
      </c>
      <c r="D307">
        <v>0</v>
      </c>
      <c r="E307">
        <v>0</v>
      </c>
      <c r="F307">
        <v>150</v>
      </c>
      <c r="G307">
        <v>0</v>
      </c>
      <c r="H307">
        <v>0</v>
      </c>
      <c r="I307">
        <v>0</v>
      </c>
      <c r="K307" t="s">
        <v>67</v>
      </c>
      <c r="L307" t="s">
        <v>362</v>
      </c>
      <c r="M307">
        <v>12</v>
      </c>
      <c r="N307">
        <v>0</v>
      </c>
      <c r="O307">
        <v>0</v>
      </c>
      <c r="P307">
        <v>150</v>
      </c>
      <c r="Q307">
        <v>0</v>
      </c>
      <c r="R307">
        <v>0</v>
      </c>
      <c r="S307">
        <v>0</v>
      </c>
      <c r="U307" t="s">
        <v>67</v>
      </c>
      <c r="V307" t="s">
        <v>362</v>
      </c>
      <c r="W307">
        <f>Tabla35[[#This Row],[BN CARTA]]-Tabla34[[#This Row],[BN CARTA]]</f>
        <v>0</v>
      </c>
      <c r="X307">
        <f>Tabla35[[#This Row],[BN OFICIO]]-Tabla34[[#This Row],[BN OFICIO]]</f>
        <v>0</v>
      </c>
      <c r="Y307">
        <f>Tabla35[[#This Row],[BN DC]]-Tabla34[[#This Row],[BN DC]]</f>
        <v>0</v>
      </c>
      <c r="Z307">
        <f>Tabla35[[#This Row],[COLOR CARTA]]-Tabla34[[#This Row],[COLOR CARTA]]</f>
        <v>0</v>
      </c>
      <c r="AA307">
        <f>Tabla35[[#This Row],[COLOR OFICIO]]-Tabla34[[#This Row],[COLOR OFICIO]]</f>
        <v>0</v>
      </c>
      <c r="AB307">
        <f>Tabla35[[#This Row],[ENVIAR]]-Tabla34[[#This Row],[ENVIAR]]</f>
        <v>0</v>
      </c>
      <c r="AC307">
        <f>Tabla35[[#This Row],[COPIAR]]-Tabla34[[#This Row],[COPIAR]]</f>
        <v>0</v>
      </c>
    </row>
    <row r="308" spans="1:29" x14ac:dyDescent="0.25">
      <c r="A308" t="s">
        <v>10</v>
      </c>
      <c r="B308" t="s">
        <v>363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K308" t="s">
        <v>10</v>
      </c>
      <c r="L308" t="s">
        <v>363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U308" t="s">
        <v>10</v>
      </c>
      <c r="V308" t="s">
        <v>363</v>
      </c>
      <c r="W308">
        <f>Tabla35[[#This Row],[BN CARTA]]-Tabla34[[#This Row],[BN CARTA]]</f>
        <v>0</v>
      </c>
      <c r="X308">
        <f>Tabla35[[#This Row],[BN OFICIO]]-Tabla34[[#This Row],[BN OFICIO]]</f>
        <v>0</v>
      </c>
      <c r="Y308">
        <f>Tabla35[[#This Row],[BN DC]]-Tabla34[[#This Row],[BN DC]]</f>
        <v>0</v>
      </c>
      <c r="Z308">
        <f>Tabla35[[#This Row],[COLOR CARTA]]-Tabla34[[#This Row],[COLOR CARTA]]</f>
        <v>0</v>
      </c>
      <c r="AA308">
        <f>Tabla35[[#This Row],[COLOR OFICIO]]-Tabla34[[#This Row],[COLOR OFICIO]]</f>
        <v>0</v>
      </c>
      <c r="AB308">
        <f>Tabla35[[#This Row],[ENVIAR]]-Tabla34[[#This Row],[ENVIAR]]</f>
        <v>0</v>
      </c>
      <c r="AC308">
        <f>Tabla35[[#This Row],[COPIAR]]-Tabla34[[#This Row],[COPIAR]]</f>
        <v>0</v>
      </c>
    </row>
    <row r="309" spans="1:29" x14ac:dyDescent="0.25">
      <c r="A309" t="s">
        <v>10</v>
      </c>
      <c r="B309" t="s">
        <v>364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K309" t="s">
        <v>10</v>
      </c>
      <c r="L309" t="s">
        <v>364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U309" t="s">
        <v>10</v>
      </c>
      <c r="V309" t="s">
        <v>364</v>
      </c>
      <c r="W309">
        <f>Tabla35[[#This Row],[BN CARTA]]-Tabla34[[#This Row],[BN CARTA]]</f>
        <v>0</v>
      </c>
      <c r="X309">
        <f>Tabla35[[#This Row],[BN OFICIO]]-Tabla34[[#This Row],[BN OFICIO]]</f>
        <v>0</v>
      </c>
      <c r="Y309">
        <f>Tabla35[[#This Row],[BN DC]]-Tabla34[[#This Row],[BN DC]]</f>
        <v>0</v>
      </c>
      <c r="Z309">
        <f>Tabla35[[#This Row],[COLOR CARTA]]-Tabla34[[#This Row],[COLOR CARTA]]</f>
        <v>0</v>
      </c>
      <c r="AA309">
        <f>Tabla35[[#This Row],[COLOR OFICIO]]-Tabla34[[#This Row],[COLOR OFICIO]]</f>
        <v>0</v>
      </c>
      <c r="AB309">
        <f>Tabla35[[#This Row],[ENVIAR]]-Tabla34[[#This Row],[ENVIAR]]</f>
        <v>0</v>
      </c>
      <c r="AC309">
        <f>Tabla35[[#This Row],[COPIAR]]-Tabla34[[#This Row],[COPIAR]]</f>
        <v>0</v>
      </c>
    </row>
    <row r="310" spans="1:29" x14ac:dyDescent="0.25">
      <c r="A310" t="s">
        <v>10</v>
      </c>
      <c r="B310" t="s">
        <v>365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K310" t="s">
        <v>10</v>
      </c>
      <c r="L310" t="s">
        <v>365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U310" t="s">
        <v>10</v>
      </c>
      <c r="V310" t="s">
        <v>365</v>
      </c>
      <c r="W310">
        <f>Tabla35[[#This Row],[BN CARTA]]-Tabla34[[#This Row],[BN CARTA]]</f>
        <v>0</v>
      </c>
      <c r="X310">
        <f>Tabla35[[#This Row],[BN OFICIO]]-Tabla34[[#This Row],[BN OFICIO]]</f>
        <v>0</v>
      </c>
      <c r="Y310">
        <f>Tabla35[[#This Row],[BN DC]]-Tabla34[[#This Row],[BN DC]]</f>
        <v>0</v>
      </c>
      <c r="Z310">
        <f>Tabla35[[#This Row],[COLOR CARTA]]-Tabla34[[#This Row],[COLOR CARTA]]</f>
        <v>0</v>
      </c>
      <c r="AA310">
        <f>Tabla35[[#This Row],[COLOR OFICIO]]-Tabla34[[#This Row],[COLOR OFICIO]]</f>
        <v>0</v>
      </c>
      <c r="AB310">
        <f>Tabla35[[#This Row],[ENVIAR]]-Tabla34[[#This Row],[ENVIAR]]</f>
        <v>0</v>
      </c>
      <c r="AC310">
        <f>Tabla35[[#This Row],[COPIAR]]-Tabla34[[#This Row],[COPIAR]]</f>
        <v>0</v>
      </c>
    </row>
    <row r="311" spans="1:29" x14ac:dyDescent="0.25">
      <c r="A311" t="s">
        <v>10</v>
      </c>
      <c r="B311" t="s">
        <v>366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K311" t="s">
        <v>10</v>
      </c>
      <c r="L311" t="s">
        <v>366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U311" t="s">
        <v>10</v>
      </c>
      <c r="V311" t="s">
        <v>366</v>
      </c>
      <c r="W311">
        <f>Tabla35[[#This Row],[BN CARTA]]-Tabla34[[#This Row],[BN CARTA]]</f>
        <v>0</v>
      </c>
      <c r="X311">
        <f>Tabla35[[#This Row],[BN OFICIO]]-Tabla34[[#This Row],[BN OFICIO]]</f>
        <v>0</v>
      </c>
      <c r="Y311">
        <f>Tabla35[[#This Row],[BN DC]]-Tabla34[[#This Row],[BN DC]]</f>
        <v>0</v>
      </c>
      <c r="Z311">
        <f>Tabla35[[#This Row],[COLOR CARTA]]-Tabla34[[#This Row],[COLOR CARTA]]</f>
        <v>0</v>
      </c>
      <c r="AA311">
        <f>Tabla35[[#This Row],[COLOR OFICIO]]-Tabla34[[#This Row],[COLOR OFICIO]]</f>
        <v>0</v>
      </c>
      <c r="AB311">
        <f>Tabla35[[#This Row],[ENVIAR]]-Tabla34[[#This Row],[ENVIAR]]</f>
        <v>0</v>
      </c>
      <c r="AC311">
        <f>Tabla35[[#This Row],[COPIAR]]-Tabla34[[#This Row],[COPIAR]]</f>
        <v>0</v>
      </c>
    </row>
    <row r="312" spans="1:29" x14ac:dyDescent="0.25">
      <c r="A312" t="s">
        <v>120</v>
      </c>
      <c r="B312" t="s">
        <v>367</v>
      </c>
      <c r="C312">
        <v>25</v>
      </c>
      <c r="D312">
        <v>0</v>
      </c>
      <c r="E312">
        <v>0</v>
      </c>
      <c r="F312">
        <v>1138</v>
      </c>
      <c r="G312">
        <v>0</v>
      </c>
      <c r="H312">
        <v>0</v>
      </c>
      <c r="I312">
        <v>0</v>
      </c>
      <c r="K312" t="s">
        <v>120</v>
      </c>
      <c r="L312" t="s">
        <v>367</v>
      </c>
      <c r="M312">
        <v>165</v>
      </c>
      <c r="N312">
        <v>0</v>
      </c>
      <c r="O312">
        <v>0</v>
      </c>
      <c r="P312">
        <v>4104</v>
      </c>
      <c r="Q312">
        <v>55</v>
      </c>
      <c r="R312">
        <v>0</v>
      </c>
      <c r="S312">
        <v>0</v>
      </c>
      <c r="U312" t="s">
        <v>120</v>
      </c>
      <c r="V312" t="s">
        <v>367</v>
      </c>
      <c r="W312">
        <f>Tabla35[[#This Row],[BN CARTA]]-Tabla34[[#This Row],[BN CARTA]]</f>
        <v>140</v>
      </c>
      <c r="X312">
        <f>Tabla35[[#This Row],[BN OFICIO]]-Tabla34[[#This Row],[BN OFICIO]]</f>
        <v>0</v>
      </c>
      <c r="Y312">
        <f>Tabla35[[#This Row],[BN DC]]-Tabla34[[#This Row],[BN DC]]</f>
        <v>0</v>
      </c>
      <c r="Z312">
        <f>Tabla35[[#This Row],[COLOR CARTA]]-Tabla34[[#This Row],[COLOR CARTA]]</f>
        <v>2966</v>
      </c>
      <c r="AA312">
        <f>Tabla35[[#This Row],[COLOR OFICIO]]-Tabla34[[#This Row],[COLOR OFICIO]]</f>
        <v>55</v>
      </c>
      <c r="AB312">
        <f>Tabla35[[#This Row],[ENVIAR]]-Tabla34[[#This Row],[ENVIAR]]</f>
        <v>0</v>
      </c>
      <c r="AC312">
        <f>Tabla35[[#This Row],[COPIAR]]-Tabla34[[#This Row],[COPIAR]]</f>
        <v>0</v>
      </c>
    </row>
    <row r="313" spans="1:29" x14ac:dyDescent="0.25">
      <c r="A313" t="s">
        <v>188</v>
      </c>
      <c r="B313" t="s">
        <v>368</v>
      </c>
      <c r="C313">
        <v>35</v>
      </c>
      <c r="D313">
        <v>0</v>
      </c>
      <c r="E313">
        <v>0</v>
      </c>
      <c r="F313">
        <v>570</v>
      </c>
      <c r="G313">
        <v>0</v>
      </c>
      <c r="H313">
        <v>0</v>
      </c>
      <c r="I313">
        <v>0</v>
      </c>
      <c r="K313" t="s">
        <v>188</v>
      </c>
      <c r="L313" t="s">
        <v>368</v>
      </c>
      <c r="M313">
        <v>35</v>
      </c>
      <c r="N313">
        <v>0</v>
      </c>
      <c r="O313">
        <v>0</v>
      </c>
      <c r="P313">
        <v>570</v>
      </c>
      <c r="Q313">
        <v>0</v>
      </c>
      <c r="R313">
        <v>0</v>
      </c>
      <c r="S313">
        <v>0</v>
      </c>
      <c r="U313" t="s">
        <v>188</v>
      </c>
      <c r="V313" t="s">
        <v>368</v>
      </c>
      <c r="W313">
        <f>Tabla35[[#This Row],[BN CARTA]]-Tabla34[[#This Row],[BN CARTA]]</f>
        <v>0</v>
      </c>
      <c r="X313">
        <f>Tabla35[[#This Row],[BN OFICIO]]-Tabla34[[#This Row],[BN OFICIO]]</f>
        <v>0</v>
      </c>
      <c r="Y313">
        <f>Tabla35[[#This Row],[BN DC]]-Tabla34[[#This Row],[BN DC]]</f>
        <v>0</v>
      </c>
      <c r="Z313">
        <f>Tabla35[[#This Row],[COLOR CARTA]]-Tabla34[[#This Row],[COLOR CARTA]]</f>
        <v>0</v>
      </c>
      <c r="AA313">
        <f>Tabla35[[#This Row],[COLOR OFICIO]]-Tabla34[[#This Row],[COLOR OFICIO]]</f>
        <v>0</v>
      </c>
      <c r="AB313">
        <f>Tabla35[[#This Row],[ENVIAR]]-Tabla34[[#This Row],[ENVIAR]]</f>
        <v>0</v>
      </c>
      <c r="AC313">
        <f>Tabla35[[#This Row],[COPIAR]]-Tabla34[[#This Row],[COPIAR]]</f>
        <v>0</v>
      </c>
    </row>
    <row r="314" spans="1:29" x14ac:dyDescent="0.25">
      <c r="A314" t="s">
        <v>10</v>
      </c>
      <c r="B314" t="s">
        <v>369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K314" t="s">
        <v>10</v>
      </c>
      <c r="L314" t="s">
        <v>369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U314" t="s">
        <v>10</v>
      </c>
      <c r="V314" t="s">
        <v>369</v>
      </c>
      <c r="W314">
        <f>Tabla35[[#This Row],[BN CARTA]]-Tabla34[[#This Row],[BN CARTA]]</f>
        <v>0</v>
      </c>
      <c r="X314">
        <f>Tabla35[[#This Row],[BN OFICIO]]-Tabla34[[#This Row],[BN OFICIO]]</f>
        <v>0</v>
      </c>
      <c r="Y314">
        <f>Tabla35[[#This Row],[BN DC]]-Tabla34[[#This Row],[BN DC]]</f>
        <v>0</v>
      </c>
      <c r="Z314">
        <f>Tabla35[[#This Row],[COLOR CARTA]]-Tabla34[[#This Row],[COLOR CARTA]]</f>
        <v>0</v>
      </c>
      <c r="AA314">
        <f>Tabla35[[#This Row],[COLOR OFICIO]]-Tabla34[[#This Row],[COLOR OFICIO]]</f>
        <v>0</v>
      </c>
      <c r="AB314">
        <f>Tabla35[[#This Row],[ENVIAR]]-Tabla34[[#This Row],[ENVIAR]]</f>
        <v>0</v>
      </c>
      <c r="AC314">
        <f>Tabla35[[#This Row],[COPIAR]]-Tabla34[[#This Row],[COPIAR]]</f>
        <v>0</v>
      </c>
    </row>
    <row r="315" spans="1:29" x14ac:dyDescent="0.25">
      <c r="A315" t="s">
        <v>10</v>
      </c>
      <c r="B315" t="s">
        <v>370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K315" t="s">
        <v>792</v>
      </c>
      <c r="L315" t="s">
        <v>370</v>
      </c>
      <c r="M315">
        <v>223</v>
      </c>
      <c r="N315">
        <v>47</v>
      </c>
      <c r="O315">
        <v>0</v>
      </c>
      <c r="P315">
        <v>574</v>
      </c>
      <c r="Q315">
        <v>2</v>
      </c>
      <c r="R315">
        <v>0</v>
      </c>
      <c r="S315">
        <v>0</v>
      </c>
      <c r="U315" t="s">
        <v>792</v>
      </c>
      <c r="V315" t="s">
        <v>370</v>
      </c>
      <c r="W315">
        <f>Tabla35[[#This Row],[BN CARTA]]-Tabla34[[#This Row],[BN CARTA]]</f>
        <v>223</v>
      </c>
      <c r="X315">
        <f>Tabla35[[#This Row],[BN OFICIO]]-Tabla34[[#This Row],[BN OFICIO]]</f>
        <v>47</v>
      </c>
      <c r="Y315">
        <f>Tabla35[[#This Row],[BN DC]]-Tabla34[[#This Row],[BN DC]]</f>
        <v>0</v>
      </c>
      <c r="Z315">
        <f>Tabla35[[#This Row],[COLOR CARTA]]-Tabla34[[#This Row],[COLOR CARTA]]</f>
        <v>574</v>
      </c>
      <c r="AA315">
        <f>Tabla35[[#This Row],[COLOR OFICIO]]-Tabla34[[#This Row],[COLOR OFICIO]]</f>
        <v>2</v>
      </c>
      <c r="AB315">
        <f>Tabla35[[#This Row],[ENVIAR]]-Tabla34[[#This Row],[ENVIAR]]</f>
        <v>0</v>
      </c>
      <c r="AC315">
        <f>Tabla35[[#This Row],[COPIAR]]-Tabla34[[#This Row],[COPIAR]]</f>
        <v>0</v>
      </c>
    </row>
    <row r="316" spans="1:29" x14ac:dyDescent="0.25">
      <c r="A316" t="s">
        <v>10</v>
      </c>
      <c r="B316" t="s">
        <v>371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K316" t="s">
        <v>10</v>
      </c>
      <c r="L316" t="s">
        <v>371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U316" t="s">
        <v>10</v>
      </c>
      <c r="V316" t="s">
        <v>371</v>
      </c>
      <c r="W316">
        <f>Tabla35[[#This Row],[BN CARTA]]-Tabla34[[#This Row],[BN CARTA]]</f>
        <v>0</v>
      </c>
      <c r="X316">
        <f>Tabla35[[#This Row],[BN OFICIO]]-Tabla34[[#This Row],[BN OFICIO]]</f>
        <v>0</v>
      </c>
      <c r="Y316">
        <f>Tabla35[[#This Row],[BN DC]]-Tabla34[[#This Row],[BN DC]]</f>
        <v>0</v>
      </c>
      <c r="Z316">
        <f>Tabla35[[#This Row],[COLOR CARTA]]-Tabla34[[#This Row],[COLOR CARTA]]</f>
        <v>0</v>
      </c>
      <c r="AA316">
        <f>Tabla35[[#This Row],[COLOR OFICIO]]-Tabla34[[#This Row],[COLOR OFICIO]]</f>
        <v>0</v>
      </c>
      <c r="AB316">
        <f>Tabla35[[#This Row],[ENVIAR]]-Tabla34[[#This Row],[ENVIAR]]</f>
        <v>0</v>
      </c>
      <c r="AC316">
        <f>Tabla35[[#This Row],[COPIAR]]-Tabla34[[#This Row],[COPIAR]]</f>
        <v>0</v>
      </c>
    </row>
    <row r="317" spans="1:29" x14ac:dyDescent="0.25">
      <c r="A317" t="s">
        <v>10</v>
      </c>
      <c r="B317" t="s">
        <v>372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K317" t="s">
        <v>10</v>
      </c>
      <c r="L317" t="s">
        <v>372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U317" t="s">
        <v>10</v>
      </c>
      <c r="V317" t="s">
        <v>372</v>
      </c>
      <c r="W317">
        <f>Tabla35[[#This Row],[BN CARTA]]-Tabla34[[#This Row],[BN CARTA]]</f>
        <v>0</v>
      </c>
      <c r="X317">
        <f>Tabla35[[#This Row],[BN OFICIO]]-Tabla34[[#This Row],[BN OFICIO]]</f>
        <v>0</v>
      </c>
      <c r="Y317">
        <f>Tabla35[[#This Row],[BN DC]]-Tabla34[[#This Row],[BN DC]]</f>
        <v>0</v>
      </c>
      <c r="Z317">
        <f>Tabla35[[#This Row],[COLOR CARTA]]-Tabla34[[#This Row],[COLOR CARTA]]</f>
        <v>0</v>
      </c>
      <c r="AA317">
        <f>Tabla35[[#This Row],[COLOR OFICIO]]-Tabla34[[#This Row],[COLOR OFICIO]]</f>
        <v>0</v>
      </c>
      <c r="AB317">
        <f>Tabla35[[#This Row],[ENVIAR]]-Tabla34[[#This Row],[ENVIAR]]</f>
        <v>0</v>
      </c>
      <c r="AC317">
        <f>Tabla35[[#This Row],[COPIAR]]-Tabla34[[#This Row],[COPIAR]]</f>
        <v>0</v>
      </c>
    </row>
    <row r="318" spans="1:29" x14ac:dyDescent="0.25">
      <c r="A318" t="s">
        <v>10</v>
      </c>
      <c r="B318" t="s">
        <v>373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K318" t="s">
        <v>791</v>
      </c>
      <c r="L318" t="s">
        <v>373</v>
      </c>
      <c r="M318">
        <v>578</v>
      </c>
      <c r="N318">
        <v>0</v>
      </c>
      <c r="O318">
        <v>0</v>
      </c>
      <c r="P318">
        <v>734</v>
      </c>
      <c r="Q318">
        <v>0</v>
      </c>
      <c r="R318">
        <v>0</v>
      </c>
      <c r="S318">
        <v>0</v>
      </c>
      <c r="U318" t="s">
        <v>791</v>
      </c>
      <c r="V318" t="s">
        <v>373</v>
      </c>
      <c r="W318">
        <f>Tabla35[[#This Row],[BN CARTA]]-Tabla34[[#This Row],[BN CARTA]]</f>
        <v>578</v>
      </c>
      <c r="X318">
        <f>Tabla35[[#This Row],[BN OFICIO]]-Tabla34[[#This Row],[BN OFICIO]]</f>
        <v>0</v>
      </c>
      <c r="Y318">
        <f>Tabla35[[#This Row],[BN DC]]-Tabla34[[#This Row],[BN DC]]</f>
        <v>0</v>
      </c>
      <c r="Z318">
        <f>Tabla35[[#This Row],[COLOR CARTA]]-Tabla34[[#This Row],[COLOR CARTA]]</f>
        <v>734</v>
      </c>
      <c r="AA318">
        <f>Tabla35[[#This Row],[COLOR OFICIO]]-Tabla34[[#This Row],[COLOR OFICIO]]</f>
        <v>0</v>
      </c>
      <c r="AB318">
        <f>Tabla35[[#This Row],[ENVIAR]]-Tabla34[[#This Row],[ENVIAR]]</f>
        <v>0</v>
      </c>
      <c r="AC318">
        <f>Tabla35[[#This Row],[COPIAR]]-Tabla34[[#This Row],[COPIAR]]</f>
        <v>0</v>
      </c>
    </row>
    <row r="319" spans="1:29" x14ac:dyDescent="0.25">
      <c r="A319" t="s">
        <v>10</v>
      </c>
      <c r="B319" t="s">
        <v>374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K319" t="s">
        <v>10</v>
      </c>
      <c r="L319" t="s">
        <v>374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U319" t="s">
        <v>10</v>
      </c>
      <c r="V319" t="s">
        <v>374</v>
      </c>
      <c r="W319">
        <f>Tabla35[[#This Row],[BN CARTA]]-Tabla34[[#This Row],[BN CARTA]]</f>
        <v>0</v>
      </c>
      <c r="X319">
        <f>Tabla35[[#This Row],[BN OFICIO]]-Tabla34[[#This Row],[BN OFICIO]]</f>
        <v>0</v>
      </c>
      <c r="Y319">
        <f>Tabla35[[#This Row],[BN DC]]-Tabla34[[#This Row],[BN DC]]</f>
        <v>0</v>
      </c>
      <c r="Z319">
        <f>Tabla35[[#This Row],[COLOR CARTA]]-Tabla34[[#This Row],[COLOR CARTA]]</f>
        <v>0</v>
      </c>
      <c r="AA319">
        <f>Tabla35[[#This Row],[COLOR OFICIO]]-Tabla34[[#This Row],[COLOR OFICIO]]</f>
        <v>0</v>
      </c>
      <c r="AB319">
        <f>Tabla35[[#This Row],[ENVIAR]]-Tabla34[[#This Row],[ENVIAR]]</f>
        <v>0</v>
      </c>
      <c r="AC319">
        <f>Tabla35[[#This Row],[COPIAR]]-Tabla34[[#This Row],[COPIAR]]</f>
        <v>0</v>
      </c>
    </row>
    <row r="320" spans="1:29" x14ac:dyDescent="0.25">
      <c r="A320" t="s">
        <v>10</v>
      </c>
      <c r="B320" t="s">
        <v>375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K320" t="s">
        <v>512</v>
      </c>
      <c r="L320" t="s">
        <v>375</v>
      </c>
      <c r="M320">
        <v>35</v>
      </c>
      <c r="N320">
        <v>0</v>
      </c>
      <c r="O320">
        <v>0</v>
      </c>
      <c r="P320">
        <v>107</v>
      </c>
      <c r="Q320">
        <v>0</v>
      </c>
      <c r="R320">
        <v>0</v>
      </c>
      <c r="S320">
        <v>0</v>
      </c>
      <c r="U320" t="s">
        <v>512</v>
      </c>
      <c r="V320" t="s">
        <v>375</v>
      </c>
      <c r="W320">
        <f>Tabla35[[#This Row],[BN CARTA]]-Tabla34[[#This Row],[BN CARTA]]</f>
        <v>35</v>
      </c>
      <c r="X320">
        <f>Tabla35[[#This Row],[BN OFICIO]]-Tabla34[[#This Row],[BN OFICIO]]</f>
        <v>0</v>
      </c>
      <c r="Y320">
        <f>Tabla35[[#This Row],[BN DC]]-Tabla34[[#This Row],[BN DC]]</f>
        <v>0</v>
      </c>
      <c r="Z320">
        <f>Tabla35[[#This Row],[COLOR CARTA]]-Tabla34[[#This Row],[COLOR CARTA]]</f>
        <v>107</v>
      </c>
      <c r="AA320">
        <f>Tabla35[[#This Row],[COLOR OFICIO]]-Tabla34[[#This Row],[COLOR OFICIO]]</f>
        <v>0</v>
      </c>
      <c r="AB320">
        <f>Tabla35[[#This Row],[ENVIAR]]-Tabla34[[#This Row],[ENVIAR]]</f>
        <v>0</v>
      </c>
      <c r="AC320">
        <f>Tabla35[[#This Row],[COPIAR]]-Tabla34[[#This Row],[COPIAR]]</f>
        <v>0</v>
      </c>
    </row>
    <row r="321" spans="1:29" x14ac:dyDescent="0.25">
      <c r="A321" t="s">
        <v>10</v>
      </c>
      <c r="B321" t="s">
        <v>376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K321" t="s">
        <v>10</v>
      </c>
      <c r="L321" t="s">
        <v>376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U321" t="s">
        <v>10</v>
      </c>
      <c r="V321" t="s">
        <v>376</v>
      </c>
      <c r="W321">
        <f>Tabla35[[#This Row],[BN CARTA]]-Tabla34[[#This Row],[BN CARTA]]</f>
        <v>0</v>
      </c>
      <c r="X321">
        <f>Tabla35[[#This Row],[BN OFICIO]]-Tabla34[[#This Row],[BN OFICIO]]</f>
        <v>0</v>
      </c>
      <c r="Y321">
        <f>Tabla35[[#This Row],[BN DC]]-Tabla34[[#This Row],[BN DC]]</f>
        <v>0</v>
      </c>
      <c r="Z321">
        <f>Tabla35[[#This Row],[COLOR CARTA]]-Tabla34[[#This Row],[COLOR CARTA]]</f>
        <v>0</v>
      </c>
      <c r="AA321">
        <f>Tabla35[[#This Row],[COLOR OFICIO]]-Tabla34[[#This Row],[COLOR OFICIO]]</f>
        <v>0</v>
      </c>
      <c r="AB321">
        <f>Tabla35[[#This Row],[ENVIAR]]-Tabla34[[#This Row],[ENVIAR]]</f>
        <v>0</v>
      </c>
      <c r="AC321">
        <f>Tabla35[[#This Row],[COPIAR]]-Tabla34[[#This Row],[COPIAR]]</f>
        <v>0</v>
      </c>
    </row>
    <row r="322" spans="1:29" x14ac:dyDescent="0.25">
      <c r="A322" t="s">
        <v>10</v>
      </c>
      <c r="B322" t="s">
        <v>377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K322" t="s">
        <v>10</v>
      </c>
      <c r="L322" t="s">
        <v>377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U322" t="s">
        <v>10</v>
      </c>
      <c r="V322" t="s">
        <v>377</v>
      </c>
      <c r="W322">
        <f>Tabla35[[#This Row],[BN CARTA]]-Tabla34[[#This Row],[BN CARTA]]</f>
        <v>0</v>
      </c>
      <c r="X322">
        <f>Tabla35[[#This Row],[BN OFICIO]]-Tabla34[[#This Row],[BN OFICIO]]</f>
        <v>0</v>
      </c>
      <c r="Y322">
        <f>Tabla35[[#This Row],[BN DC]]-Tabla34[[#This Row],[BN DC]]</f>
        <v>0</v>
      </c>
      <c r="Z322">
        <f>Tabla35[[#This Row],[COLOR CARTA]]-Tabla34[[#This Row],[COLOR CARTA]]</f>
        <v>0</v>
      </c>
      <c r="AA322">
        <f>Tabla35[[#This Row],[COLOR OFICIO]]-Tabla34[[#This Row],[COLOR OFICIO]]</f>
        <v>0</v>
      </c>
      <c r="AB322">
        <f>Tabla35[[#This Row],[ENVIAR]]-Tabla34[[#This Row],[ENVIAR]]</f>
        <v>0</v>
      </c>
      <c r="AC322">
        <f>Tabla35[[#This Row],[COPIAR]]-Tabla34[[#This Row],[COPIAR]]</f>
        <v>0</v>
      </c>
    </row>
    <row r="323" spans="1:29" x14ac:dyDescent="0.25">
      <c r="A323" t="s">
        <v>10</v>
      </c>
      <c r="B323" t="s">
        <v>378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K323" t="s">
        <v>795</v>
      </c>
      <c r="L323" t="s">
        <v>378</v>
      </c>
      <c r="M323">
        <v>93</v>
      </c>
      <c r="N323">
        <v>0</v>
      </c>
      <c r="O323">
        <v>0</v>
      </c>
      <c r="P323">
        <v>684</v>
      </c>
      <c r="Q323">
        <v>0</v>
      </c>
      <c r="R323">
        <v>0</v>
      </c>
      <c r="S323">
        <v>0</v>
      </c>
      <c r="U323" t="s">
        <v>795</v>
      </c>
      <c r="V323" t="s">
        <v>378</v>
      </c>
      <c r="W323">
        <f>Tabla35[[#This Row],[BN CARTA]]-Tabla34[[#This Row],[BN CARTA]]</f>
        <v>93</v>
      </c>
      <c r="X323">
        <f>Tabla35[[#This Row],[BN OFICIO]]-Tabla34[[#This Row],[BN OFICIO]]</f>
        <v>0</v>
      </c>
      <c r="Y323">
        <f>Tabla35[[#This Row],[BN DC]]-Tabla34[[#This Row],[BN DC]]</f>
        <v>0</v>
      </c>
      <c r="Z323">
        <f>Tabla35[[#This Row],[COLOR CARTA]]-Tabla34[[#This Row],[COLOR CARTA]]</f>
        <v>684</v>
      </c>
      <c r="AA323">
        <f>Tabla35[[#This Row],[COLOR OFICIO]]-Tabla34[[#This Row],[COLOR OFICIO]]</f>
        <v>0</v>
      </c>
      <c r="AB323">
        <f>Tabla35[[#This Row],[ENVIAR]]-Tabla34[[#This Row],[ENVIAR]]</f>
        <v>0</v>
      </c>
      <c r="AC323">
        <f>Tabla35[[#This Row],[COPIAR]]-Tabla34[[#This Row],[COPIAR]]</f>
        <v>0</v>
      </c>
    </row>
    <row r="324" spans="1:29" x14ac:dyDescent="0.25">
      <c r="A324" t="s">
        <v>118</v>
      </c>
      <c r="B324" t="s">
        <v>379</v>
      </c>
      <c r="C324">
        <v>66</v>
      </c>
      <c r="D324">
        <v>0</v>
      </c>
      <c r="E324">
        <v>0</v>
      </c>
      <c r="F324">
        <v>17</v>
      </c>
      <c r="G324">
        <v>0</v>
      </c>
      <c r="H324">
        <v>0</v>
      </c>
      <c r="I324">
        <v>0</v>
      </c>
      <c r="K324" t="s">
        <v>118</v>
      </c>
      <c r="L324" t="s">
        <v>379</v>
      </c>
      <c r="M324">
        <v>121</v>
      </c>
      <c r="N324">
        <v>0</v>
      </c>
      <c r="O324">
        <v>0</v>
      </c>
      <c r="P324">
        <v>87</v>
      </c>
      <c r="Q324">
        <v>0</v>
      </c>
      <c r="R324">
        <v>0</v>
      </c>
      <c r="S324">
        <v>0</v>
      </c>
      <c r="U324" t="s">
        <v>118</v>
      </c>
      <c r="V324" t="s">
        <v>379</v>
      </c>
      <c r="W324">
        <f>Tabla35[[#This Row],[BN CARTA]]-Tabla34[[#This Row],[BN CARTA]]</f>
        <v>55</v>
      </c>
      <c r="X324">
        <f>Tabla35[[#This Row],[BN OFICIO]]-Tabla34[[#This Row],[BN OFICIO]]</f>
        <v>0</v>
      </c>
      <c r="Y324">
        <f>Tabla35[[#This Row],[BN DC]]-Tabla34[[#This Row],[BN DC]]</f>
        <v>0</v>
      </c>
      <c r="Z324">
        <f>Tabla35[[#This Row],[COLOR CARTA]]-Tabla34[[#This Row],[COLOR CARTA]]</f>
        <v>70</v>
      </c>
      <c r="AA324">
        <f>Tabla35[[#This Row],[COLOR OFICIO]]-Tabla34[[#This Row],[COLOR OFICIO]]</f>
        <v>0</v>
      </c>
      <c r="AB324">
        <f>Tabla35[[#This Row],[ENVIAR]]-Tabla34[[#This Row],[ENVIAR]]</f>
        <v>0</v>
      </c>
      <c r="AC324">
        <f>Tabla35[[#This Row],[COPIAR]]-Tabla34[[#This Row],[COPIAR]]</f>
        <v>0</v>
      </c>
    </row>
    <row r="325" spans="1:29" x14ac:dyDescent="0.25">
      <c r="A325" t="s">
        <v>10</v>
      </c>
      <c r="B325" t="s">
        <v>380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K325" t="s">
        <v>792</v>
      </c>
      <c r="L325" t="s">
        <v>380</v>
      </c>
      <c r="M325">
        <v>71</v>
      </c>
      <c r="N325">
        <v>0</v>
      </c>
      <c r="O325">
        <v>0</v>
      </c>
      <c r="P325">
        <v>719</v>
      </c>
      <c r="Q325">
        <v>0</v>
      </c>
      <c r="R325">
        <v>0</v>
      </c>
      <c r="S325">
        <v>0</v>
      </c>
      <c r="U325" t="s">
        <v>792</v>
      </c>
      <c r="V325" t="s">
        <v>380</v>
      </c>
      <c r="W325">
        <f>Tabla35[[#This Row],[BN CARTA]]-Tabla34[[#This Row],[BN CARTA]]</f>
        <v>71</v>
      </c>
      <c r="X325">
        <f>Tabla35[[#This Row],[BN OFICIO]]-Tabla34[[#This Row],[BN OFICIO]]</f>
        <v>0</v>
      </c>
      <c r="Y325">
        <f>Tabla35[[#This Row],[BN DC]]-Tabla34[[#This Row],[BN DC]]</f>
        <v>0</v>
      </c>
      <c r="Z325">
        <f>Tabla35[[#This Row],[COLOR CARTA]]-Tabla34[[#This Row],[COLOR CARTA]]</f>
        <v>719</v>
      </c>
      <c r="AA325">
        <f>Tabla35[[#This Row],[COLOR OFICIO]]-Tabla34[[#This Row],[COLOR OFICIO]]</f>
        <v>0</v>
      </c>
      <c r="AB325">
        <f>Tabla35[[#This Row],[ENVIAR]]-Tabla34[[#This Row],[ENVIAR]]</f>
        <v>0</v>
      </c>
      <c r="AC325">
        <f>Tabla35[[#This Row],[COPIAR]]-Tabla34[[#This Row],[COPIAR]]</f>
        <v>0</v>
      </c>
    </row>
    <row r="326" spans="1:29" x14ac:dyDescent="0.25">
      <c r="A326" t="s">
        <v>128</v>
      </c>
      <c r="B326" t="s">
        <v>381</v>
      </c>
      <c r="C326">
        <v>43</v>
      </c>
      <c r="D326">
        <v>0</v>
      </c>
      <c r="E326">
        <v>0</v>
      </c>
      <c r="F326">
        <v>254</v>
      </c>
      <c r="G326">
        <v>0</v>
      </c>
      <c r="H326">
        <v>0</v>
      </c>
      <c r="I326">
        <v>0</v>
      </c>
      <c r="K326" t="s">
        <v>128</v>
      </c>
      <c r="L326" t="s">
        <v>381</v>
      </c>
      <c r="M326">
        <v>93</v>
      </c>
      <c r="N326">
        <v>0</v>
      </c>
      <c r="O326">
        <v>0</v>
      </c>
      <c r="P326">
        <v>608</v>
      </c>
      <c r="Q326">
        <v>0</v>
      </c>
      <c r="R326">
        <v>0</v>
      </c>
      <c r="S326">
        <v>0</v>
      </c>
      <c r="U326" t="s">
        <v>128</v>
      </c>
      <c r="V326" t="s">
        <v>381</v>
      </c>
      <c r="W326">
        <f>Tabla35[[#This Row],[BN CARTA]]-Tabla34[[#This Row],[BN CARTA]]</f>
        <v>50</v>
      </c>
      <c r="X326">
        <f>Tabla35[[#This Row],[BN OFICIO]]-Tabla34[[#This Row],[BN OFICIO]]</f>
        <v>0</v>
      </c>
      <c r="Y326">
        <f>Tabla35[[#This Row],[BN DC]]-Tabla34[[#This Row],[BN DC]]</f>
        <v>0</v>
      </c>
      <c r="Z326">
        <f>Tabla35[[#This Row],[COLOR CARTA]]-Tabla34[[#This Row],[COLOR CARTA]]</f>
        <v>354</v>
      </c>
      <c r="AA326">
        <f>Tabla35[[#This Row],[COLOR OFICIO]]-Tabla34[[#This Row],[COLOR OFICIO]]</f>
        <v>0</v>
      </c>
      <c r="AB326">
        <f>Tabla35[[#This Row],[ENVIAR]]-Tabla34[[#This Row],[ENVIAR]]</f>
        <v>0</v>
      </c>
      <c r="AC326">
        <f>Tabla35[[#This Row],[COPIAR]]-Tabla34[[#This Row],[COPIAR]]</f>
        <v>0</v>
      </c>
    </row>
    <row r="327" spans="1:29" x14ac:dyDescent="0.25">
      <c r="A327" t="s">
        <v>108</v>
      </c>
      <c r="B327" t="s">
        <v>382</v>
      </c>
      <c r="C327">
        <v>110</v>
      </c>
      <c r="D327">
        <v>0</v>
      </c>
      <c r="E327">
        <v>0</v>
      </c>
      <c r="F327">
        <v>6</v>
      </c>
      <c r="G327">
        <v>0</v>
      </c>
      <c r="H327">
        <v>0</v>
      </c>
      <c r="I327">
        <v>0</v>
      </c>
      <c r="K327" t="s">
        <v>108</v>
      </c>
      <c r="L327" t="s">
        <v>382</v>
      </c>
      <c r="M327">
        <v>245</v>
      </c>
      <c r="N327">
        <v>0</v>
      </c>
      <c r="O327">
        <v>0</v>
      </c>
      <c r="P327">
        <v>132</v>
      </c>
      <c r="Q327">
        <v>4</v>
      </c>
      <c r="R327">
        <v>0</v>
      </c>
      <c r="S327">
        <v>0</v>
      </c>
      <c r="U327" t="s">
        <v>108</v>
      </c>
      <c r="V327" t="s">
        <v>382</v>
      </c>
      <c r="W327">
        <f>Tabla35[[#This Row],[BN CARTA]]-Tabla34[[#This Row],[BN CARTA]]</f>
        <v>135</v>
      </c>
      <c r="X327">
        <f>Tabla35[[#This Row],[BN OFICIO]]-Tabla34[[#This Row],[BN OFICIO]]</f>
        <v>0</v>
      </c>
      <c r="Y327">
        <f>Tabla35[[#This Row],[BN DC]]-Tabla34[[#This Row],[BN DC]]</f>
        <v>0</v>
      </c>
      <c r="Z327">
        <f>Tabla35[[#This Row],[COLOR CARTA]]-Tabla34[[#This Row],[COLOR CARTA]]</f>
        <v>126</v>
      </c>
      <c r="AA327">
        <f>Tabla35[[#This Row],[COLOR OFICIO]]-Tabla34[[#This Row],[COLOR OFICIO]]</f>
        <v>4</v>
      </c>
      <c r="AB327">
        <f>Tabla35[[#This Row],[ENVIAR]]-Tabla34[[#This Row],[ENVIAR]]</f>
        <v>0</v>
      </c>
      <c r="AC327">
        <f>Tabla35[[#This Row],[COPIAR]]-Tabla34[[#This Row],[COPIAR]]</f>
        <v>0</v>
      </c>
    </row>
    <row r="328" spans="1:29" x14ac:dyDescent="0.25">
      <c r="A328" t="s">
        <v>106</v>
      </c>
      <c r="B328" t="s">
        <v>383</v>
      </c>
      <c r="C328">
        <v>117</v>
      </c>
      <c r="D328">
        <v>0</v>
      </c>
      <c r="E328">
        <v>0</v>
      </c>
      <c r="F328">
        <v>619</v>
      </c>
      <c r="G328">
        <v>15</v>
      </c>
      <c r="H328">
        <v>0</v>
      </c>
      <c r="I328">
        <v>0</v>
      </c>
      <c r="K328" t="s">
        <v>106</v>
      </c>
      <c r="L328" t="s">
        <v>383</v>
      </c>
      <c r="M328">
        <v>688</v>
      </c>
      <c r="N328">
        <v>21</v>
      </c>
      <c r="O328">
        <v>0</v>
      </c>
      <c r="P328">
        <v>2756</v>
      </c>
      <c r="Q328">
        <v>55</v>
      </c>
      <c r="R328">
        <v>0</v>
      </c>
      <c r="S328">
        <v>0</v>
      </c>
      <c r="U328" t="s">
        <v>106</v>
      </c>
      <c r="V328" t="s">
        <v>383</v>
      </c>
      <c r="W328">
        <f>Tabla35[[#This Row],[BN CARTA]]-Tabla34[[#This Row],[BN CARTA]]</f>
        <v>571</v>
      </c>
      <c r="X328">
        <f>Tabla35[[#This Row],[BN OFICIO]]-Tabla34[[#This Row],[BN OFICIO]]</f>
        <v>21</v>
      </c>
      <c r="Y328">
        <f>Tabla35[[#This Row],[BN DC]]-Tabla34[[#This Row],[BN DC]]</f>
        <v>0</v>
      </c>
      <c r="Z328">
        <f>Tabla35[[#This Row],[COLOR CARTA]]-Tabla34[[#This Row],[COLOR CARTA]]</f>
        <v>2137</v>
      </c>
      <c r="AA328">
        <f>Tabla35[[#This Row],[COLOR OFICIO]]-Tabla34[[#This Row],[COLOR OFICIO]]</f>
        <v>40</v>
      </c>
      <c r="AB328">
        <f>Tabla35[[#This Row],[ENVIAR]]-Tabla34[[#This Row],[ENVIAR]]</f>
        <v>0</v>
      </c>
      <c r="AC328">
        <f>Tabla35[[#This Row],[COPIAR]]-Tabla34[[#This Row],[COPIAR]]</f>
        <v>0</v>
      </c>
    </row>
    <row r="329" spans="1:29" x14ac:dyDescent="0.25">
      <c r="A329" t="s">
        <v>99</v>
      </c>
      <c r="B329" t="s">
        <v>384</v>
      </c>
      <c r="C329">
        <v>28</v>
      </c>
      <c r="D329">
        <v>0</v>
      </c>
      <c r="E329">
        <v>0</v>
      </c>
      <c r="F329">
        <v>45</v>
      </c>
      <c r="G329">
        <v>0</v>
      </c>
      <c r="H329">
        <v>0</v>
      </c>
      <c r="I329">
        <v>0</v>
      </c>
      <c r="K329" t="s">
        <v>99</v>
      </c>
      <c r="L329" t="s">
        <v>384</v>
      </c>
      <c r="M329">
        <v>102</v>
      </c>
      <c r="N329">
        <v>1</v>
      </c>
      <c r="O329">
        <v>0</v>
      </c>
      <c r="P329">
        <v>53</v>
      </c>
      <c r="Q329">
        <v>0</v>
      </c>
      <c r="R329">
        <v>0</v>
      </c>
      <c r="S329">
        <v>0</v>
      </c>
      <c r="U329" t="s">
        <v>99</v>
      </c>
      <c r="V329" t="s">
        <v>384</v>
      </c>
      <c r="W329">
        <f>Tabla35[[#This Row],[BN CARTA]]-Tabla34[[#This Row],[BN CARTA]]</f>
        <v>74</v>
      </c>
      <c r="X329">
        <f>Tabla35[[#This Row],[BN OFICIO]]-Tabla34[[#This Row],[BN OFICIO]]</f>
        <v>1</v>
      </c>
      <c r="Y329">
        <f>Tabla35[[#This Row],[BN DC]]-Tabla34[[#This Row],[BN DC]]</f>
        <v>0</v>
      </c>
      <c r="Z329">
        <f>Tabla35[[#This Row],[COLOR CARTA]]-Tabla34[[#This Row],[COLOR CARTA]]</f>
        <v>8</v>
      </c>
      <c r="AA329">
        <f>Tabla35[[#This Row],[COLOR OFICIO]]-Tabla34[[#This Row],[COLOR OFICIO]]</f>
        <v>0</v>
      </c>
      <c r="AB329">
        <f>Tabla35[[#This Row],[ENVIAR]]-Tabla34[[#This Row],[ENVIAR]]</f>
        <v>0</v>
      </c>
      <c r="AC329">
        <f>Tabla35[[#This Row],[COPIAR]]-Tabla34[[#This Row],[COPIAR]]</f>
        <v>0</v>
      </c>
    </row>
    <row r="330" spans="1:29" x14ac:dyDescent="0.25">
      <c r="A330" t="s">
        <v>113</v>
      </c>
      <c r="B330" t="s">
        <v>385</v>
      </c>
      <c r="C330">
        <v>205</v>
      </c>
      <c r="D330">
        <v>0</v>
      </c>
      <c r="E330">
        <v>0</v>
      </c>
      <c r="F330">
        <v>142</v>
      </c>
      <c r="G330">
        <v>0</v>
      </c>
      <c r="H330">
        <v>0</v>
      </c>
      <c r="I330">
        <v>0</v>
      </c>
      <c r="K330" t="s">
        <v>113</v>
      </c>
      <c r="L330" t="s">
        <v>385</v>
      </c>
      <c r="M330">
        <v>390</v>
      </c>
      <c r="N330">
        <v>0</v>
      </c>
      <c r="O330">
        <v>0</v>
      </c>
      <c r="P330">
        <v>249</v>
      </c>
      <c r="Q330">
        <v>0</v>
      </c>
      <c r="R330">
        <v>0</v>
      </c>
      <c r="S330">
        <v>0</v>
      </c>
      <c r="U330" t="s">
        <v>113</v>
      </c>
      <c r="V330" t="s">
        <v>385</v>
      </c>
      <c r="W330">
        <f>Tabla35[[#This Row],[BN CARTA]]-Tabla34[[#This Row],[BN CARTA]]</f>
        <v>185</v>
      </c>
      <c r="X330">
        <f>Tabla35[[#This Row],[BN OFICIO]]-Tabla34[[#This Row],[BN OFICIO]]</f>
        <v>0</v>
      </c>
      <c r="Y330">
        <f>Tabla35[[#This Row],[BN DC]]-Tabla34[[#This Row],[BN DC]]</f>
        <v>0</v>
      </c>
      <c r="Z330">
        <f>Tabla35[[#This Row],[COLOR CARTA]]-Tabla34[[#This Row],[COLOR CARTA]]</f>
        <v>107</v>
      </c>
      <c r="AA330">
        <f>Tabla35[[#This Row],[COLOR OFICIO]]-Tabla34[[#This Row],[COLOR OFICIO]]</f>
        <v>0</v>
      </c>
      <c r="AB330">
        <f>Tabla35[[#This Row],[ENVIAR]]-Tabla34[[#This Row],[ENVIAR]]</f>
        <v>0</v>
      </c>
      <c r="AC330">
        <f>Tabla35[[#This Row],[COPIAR]]-Tabla34[[#This Row],[COPIAR]]</f>
        <v>0</v>
      </c>
    </row>
    <row r="331" spans="1:29" x14ac:dyDescent="0.25">
      <c r="A331" t="s">
        <v>10</v>
      </c>
      <c r="B331" t="s">
        <v>386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K331" t="s">
        <v>10</v>
      </c>
      <c r="L331" t="s">
        <v>386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U331" t="s">
        <v>10</v>
      </c>
      <c r="V331" t="s">
        <v>386</v>
      </c>
      <c r="W331">
        <f>Tabla35[[#This Row],[BN CARTA]]-Tabla34[[#This Row],[BN CARTA]]</f>
        <v>0</v>
      </c>
      <c r="X331">
        <f>Tabla35[[#This Row],[BN OFICIO]]-Tabla34[[#This Row],[BN OFICIO]]</f>
        <v>0</v>
      </c>
      <c r="Y331">
        <f>Tabla35[[#This Row],[BN DC]]-Tabla34[[#This Row],[BN DC]]</f>
        <v>0</v>
      </c>
      <c r="Z331">
        <f>Tabla35[[#This Row],[COLOR CARTA]]-Tabla34[[#This Row],[COLOR CARTA]]</f>
        <v>0</v>
      </c>
      <c r="AA331">
        <f>Tabla35[[#This Row],[COLOR OFICIO]]-Tabla34[[#This Row],[COLOR OFICIO]]</f>
        <v>0</v>
      </c>
      <c r="AB331">
        <f>Tabla35[[#This Row],[ENVIAR]]-Tabla34[[#This Row],[ENVIAR]]</f>
        <v>0</v>
      </c>
      <c r="AC331">
        <f>Tabla35[[#This Row],[COPIAR]]-Tabla34[[#This Row],[COPIAR]]</f>
        <v>0</v>
      </c>
    </row>
    <row r="332" spans="1:29" x14ac:dyDescent="0.25">
      <c r="A332" t="s">
        <v>10</v>
      </c>
      <c r="B332" t="s">
        <v>387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K332" t="s">
        <v>10</v>
      </c>
      <c r="L332" t="s">
        <v>387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U332" t="s">
        <v>10</v>
      </c>
      <c r="V332" t="s">
        <v>387</v>
      </c>
      <c r="W332">
        <f>Tabla35[[#This Row],[BN CARTA]]-Tabla34[[#This Row],[BN CARTA]]</f>
        <v>0</v>
      </c>
      <c r="X332">
        <f>Tabla35[[#This Row],[BN OFICIO]]-Tabla34[[#This Row],[BN OFICIO]]</f>
        <v>0</v>
      </c>
      <c r="Y332">
        <f>Tabla35[[#This Row],[BN DC]]-Tabla34[[#This Row],[BN DC]]</f>
        <v>0</v>
      </c>
      <c r="Z332">
        <f>Tabla35[[#This Row],[COLOR CARTA]]-Tabla34[[#This Row],[COLOR CARTA]]</f>
        <v>0</v>
      </c>
      <c r="AA332">
        <f>Tabla35[[#This Row],[COLOR OFICIO]]-Tabla34[[#This Row],[COLOR OFICIO]]</f>
        <v>0</v>
      </c>
      <c r="AB332">
        <f>Tabla35[[#This Row],[ENVIAR]]-Tabla34[[#This Row],[ENVIAR]]</f>
        <v>0</v>
      </c>
      <c r="AC332">
        <f>Tabla35[[#This Row],[COPIAR]]-Tabla34[[#This Row],[COPIAR]]</f>
        <v>0</v>
      </c>
    </row>
    <row r="333" spans="1:29" x14ac:dyDescent="0.25">
      <c r="A333" t="s">
        <v>10</v>
      </c>
      <c r="B333" t="s">
        <v>388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K333" t="s">
        <v>10</v>
      </c>
      <c r="L333" t="s">
        <v>388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U333" t="s">
        <v>10</v>
      </c>
      <c r="V333" t="s">
        <v>388</v>
      </c>
      <c r="W333">
        <f>Tabla35[[#This Row],[BN CARTA]]-Tabla34[[#This Row],[BN CARTA]]</f>
        <v>0</v>
      </c>
      <c r="X333">
        <f>Tabla35[[#This Row],[BN OFICIO]]-Tabla34[[#This Row],[BN OFICIO]]</f>
        <v>0</v>
      </c>
      <c r="Y333">
        <f>Tabla35[[#This Row],[BN DC]]-Tabla34[[#This Row],[BN DC]]</f>
        <v>0</v>
      </c>
      <c r="Z333">
        <f>Tabla35[[#This Row],[COLOR CARTA]]-Tabla34[[#This Row],[COLOR CARTA]]</f>
        <v>0</v>
      </c>
      <c r="AA333">
        <f>Tabla35[[#This Row],[COLOR OFICIO]]-Tabla34[[#This Row],[COLOR OFICIO]]</f>
        <v>0</v>
      </c>
      <c r="AB333">
        <f>Tabla35[[#This Row],[ENVIAR]]-Tabla34[[#This Row],[ENVIAR]]</f>
        <v>0</v>
      </c>
      <c r="AC333">
        <f>Tabla35[[#This Row],[COPIAR]]-Tabla34[[#This Row],[COPIAR]]</f>
        <v>0</v>
      </c>
    </row>
    <row r="334" spans="1:29" x14ac:dyDescent="0.25">
      <c r="A334" t="s">
        <v>10</v>
      </c>
      <c r="B334" t="s">
        <v>389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K334" t="s">
        <v>10</v>
      </c>
      <c r="L334" t="s">
        <v>389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U334" t="s">
        <v>10</v>
      </c>
      <c r="V334" t="s">
        <v>389</v>
      </c>
      <c r="W334">
        <f>Tabla35[[#This Row],[BN CARTA]]-Tabla34[[#This Row],[BN CARTA]]</f>
        <v>0</v>
      </c>
      <c r="X334">
        <f>Tabla35[[#This Row],[BN OFICIO]]-Tabla34[[#This Row],[BN OFICIO]]</f>
        <v>0</v>
      </c>
      <c r="Y334">
        <f>Tabla35[[#This Row],[BN DC]]-Tabla34[[#This Row],[BN DC]]</f>
        <v>0</v>
      </c>
      <c r="Z334">
        <f>Tabla35[[#This Row],[COLOR CARTA]]-Tabla34[[#This Row],[COLOR CARTA]]</f>
        <v>0</v>
      </c>
      <c r="AA334">
        <f>Tabla35[[#This Row],[COLOR OFICIO]]-Tabla34[[#This Row],[COLOR OFICIO]]</f>
        <v>0</v>
      </c>
      <c r="AB334">
        <f>Tabla35[[#This Row],[ENVIAR]]-Tabla34[[#This Row],[ENVIAR]]</f>
        <v>0</v>
      </c>
      <c r="AC334">
        <f>Tabla35[[#This Row],[COPIAR]]-Tabla34[[#This Row],[COPIAR]]</f>
        <v>0</v>
      </c>
    </row>
    <row r="335" spans="1:29" x14ac:dyDescent="0.25">
      <c r="A335" t="s">
        <v>10</v>
      </c>
      <c r="B335" t="s">
        <v>390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K335" t="s">
        <v>10</v>
      </c>
      <c r="L335" t="s">
        <v>390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U335" t="s">
        <v>10</v>
      </c>
      <c r="V335" t="s">
        <v>390</v>
      </c>
      <c r="W335">
        <f>Tabla35[[#This Row],[BN CARTA]]-Tabla34[[#This Row],[BN CARTA]]</f>
        <v>0</v>
      </c>
      <c r="X335">
        <f>Tabla35[[#This Row],[BN OFICIO]]-Tabla34[[#This Row],[BN OFICIO]]</f>
        <v>0</v>
      </c>
      <c r="Y335">
        <f>Tabla35[[#This Row],[BN DC]]-Tabla34[[#This Row],[BN DC]]</f>
        <v>0</v>
      </c>
      <c r="Z335">
        <f>Tabla35[[#This Row],[COLOR CARTA]]-Tabla34[[#This Row],[COLOR CARTA]]</f>
        <v>0</v>
      </c>
      <c r="AA335">
        <f>Tabla35[[#This Row],[COLOR OFICIO]]-Tabla34[[#This Row],[COLOR OFICIO]]</f>
        <v>0</v>
      </c>
      <c r="AB335">
        <f>Tabla35[[#This Row],[ENVIAR]]-Tabla34[[#This Row],[ENVIAR]]</f>
        <v>0</v>
      </c>
      <c r="AC335">
        <f>Tabla35[[#This Row],[COPIAR]]-Tabla34[[#This Row],[COPIAR]]</f>
        <v>0</v>
      </c>
    </row>
    <row r="336" spans="1:29" x14ac:dyDescent="0.25">
      <c r="A336" t="s">
        <v>10</v>
      </c>
      <c r="B336" t="s">
        <v>391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K336" t="s">
        <v>10</v>
      </c>
      <c r="L336" t="s">
        <v>391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U336" t="s">
        <v>10</v>
      </c>
      <c r="V336" t="s">
        <v>391</v>
      </c>
      <c r="W336">
        <f>Tabla35[[#This Row],[BN CARTA]]-Tabla34[[#This Row],[BN CARTA]]</f>
        <v>0</v>
      </c>
      <c r="X336">
        <f>Tabla35[[#This Row],[BN OFICIO]]-Tabla34[[#This Row],[BN OFICIO]]</f>
        <v>0</v>
      </c>
      <c r="Y336">
        <f>Tabla35[[#This Row],[BN DC]]-Tabla34[[#This Row],[BN DC]]</f>
        <v>0</v>
      </c>
      <c r="Z336">
        <f>Tabla35[[#This Row],[COLOR CARTA]]-Tabla34[[#This Row],[COLOR CARTA]]</f>
        <v>0</v>
      </c>
      <c r="AA336">
        <f>Tabla35[[#This Row],[COLOR OFICIO]]-Tabla34[[#This Row],[COLOR OFICIO]]</f>
        <v>0</v>
      </c>
      <c r="AB336">
        <f>Tabla35[[#This Row],[ENVIAR]]-Tabla34[[#This Row],[ENVIAR]]</f>
        <v>0</v>
      </c>
      <c r="AC336">
        <f>Tabla35[[#This Row],[COPIAR]]-Tabla34[[#This Row],[COPIAR]]</f>
        <v>0</v>
      </c>
    </row>
    <row r="337" spans="1:29" x14ac:dyDescent="0.25">
      <c r="A337" t="s">
        <v>10</v>
      </c>
      <c r="B337" t="s">
        <v>392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K337" t="s">
        <v>10</v>
      </c>
      <c r="L337" t="s">
        <v>392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U337" t="s">
        <v>10</v>
      </c>
      <c r="V337" t="s">
        <v>392</v>
      </c>
      <c r="W337">
        <f>Tabla35[[#This Row],[BN CARTA]]-Tabla34[[#This Row],[BN CARTA]]</f>
        <v>0</v>
      </c>
      <c r="X337">
        <f>Tabla35[[#This Row],[BN OFICIO]]-Tabla34[[#This Row],[BN OFICIO]]</f>
        <v>0</v>
      </c>
      <c r="Y337">
        <f>Tabla35[[#This Row],[BN DC]]-Tabla34[[#This Row],[BN DC]]</f>
        <v>0</v>
      </c>
      <c r="Z337">
        <f>Tabla35[[#This Row],[COLOR CARTA]]-Tabla34[[#This Row],[COLOR CARTA]]</f>
        <v>0</v>
      </c>
      <c r="AA337">
        <f>Tabla35[[#This Row],[COLOR OFICIO]]-Tabla34[[#This Row],[COLOR OFICIO]]</f>
        <v>0</v>
      </c>
      <c r="AB337">
        <f>Tabla35[[#This Row],[ENVIAR]]-Tabla34[[#This Row],[ENVIAR]]</f>
        <v>0</v>
      </c>
      <c r="AC337">
        <f>Tabla35[[#This Row],[COPIAR]]-Tabla34[[#This Row],[COPIAR]]</f>
        <v>0</v>
      </c>
    </row>
    <row r="338" spans="1:29" x14ac:dyDescent="0.25">
      <c r="A338" t="s">
        <v>10</v>
      </c>
      <c r="B338" t="s">
        <v>393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K338" t="s">
        <v>10</v>
      </c>
      <c r="L338" t="s">
        <v>393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U338" t="s">
        <v>10</v>
      </c>
      <c r="V338" t="s">
        <v>393</v>
      </c>
      <c r="W338">
        <f>Tabla35[[#This Row],[BN CARTA]]-Tabla34[[#This Row],[BN CARTA]]</f>
        <v>0</v>
      </c>
      <c r="X338">
        <f>Tabla35[[#This Row],[BN OFICIO]]-Tabla34[[#This Row],[BN OFICIO]]</f>
        <v>0</v>
      </c>
      <c r="Y338">
        <f>Tabla35[[#This Row],[BN DC]]-Tabla34[[#This Row],[BN DC]]</f>
        <v>0</v>
      </c>
      <c r="Z338">
        <f>Tabla35[[#This Row],[COLOR CARTA]]-Tabla34[[#This Row],[COLOR CARTA]]</f>
        <v>0</v>
      </c>
      <c r="AA338">
        <f>Tabla35[[#This Row],[COLOR OFICIO]]-Tabla34[[#This Row],[COLOR OFICIO]]</f>
        <v>0</v>
      </c>
      <c r="AB338">
        <f>Tabla35[[#This Row],[ENVIAR]]-Tabla34[[#This Row],[ENVIAR]]</f>
        <v>0</v>
      </c>
      <c r="AC338">
        <f>Tabla35[[#This Row],[COPIAR]]-Tabla34[[#This Row],[COPIAR]]</f>
        <v>0</v>
      </c>
    </row>
    <row r="339" spans="1:29" x14ac:dyDescent="0.25">
      <c r="A339" t="s">
        <v>10</v>
      </c>
      <c r="B339" t="s">
        <v>394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K339" t="s">
        <v>10</v>
      </c>
      <c r="L339" t="s">
        <v>394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U339" t="s">
        <v>10</v>
      </c>
      <c r="V339" t="s">
        <v>394</v>
      </c>
      <c r="W339">
        <f>Tabla35[[#This Row],[BN CARTA]]-Tabla34[[#This Row],[BN CARTA]]</f>
        <v>0</v>
      </c>
      <c r="X339">
        <f>Tabla35[[#This Row],[BN OFICIO]]-Tabla34[[#This Row],[BN OFICIO]]</f>
        <v>0</v>
      </c>
      <c r="Y339">
        <f>Tabla35[[#This Row],[BN DC]]-Tabla34[[#This Row],[BN DC]]</f>
        <v>0</v>
      </c>
      <c r="Z339">
        <f>Tabla35[[#This Row],[COLOR CARTA]]-Tabla34[[#This Row],[COLOR CARTA]]</f>
        <v>0</v>
      </c>
      <c r="AA339">
        <f>Tabla35[[#This Row],[COLOR OFICIO]]-Tabla34[[#This Row],[COLOR OFICIO]]</f>
        <v>0</v>
      </c>
      <c r="AB339">
        <f>Tabla35[[#This Row],[ENVIAR]]-Tabla34[[#This Row],[ENVIAR]]</f>
        <v>0</v>
      </c>
      <c r="AC339">
        <f>Tabla35[[#This Row],[COPIAR]]-Tabla34[[#This Row],[COPIAR]]</f>
        <v>0</v>
      </c>
    </row>
    <row r="340" spans="1:29" x14ac:dyDescent="0.25">
      <c r="A340" t="s">
        <v>10</v>
      </c>
      <c r="B340" s="1" t="s">
        <v>778</v>
      </c>
      <c r="K340" t="s">
        <v>10</v>
      </c>
      <c r="L340" t="s">
        <v>395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U340" t="s">
        <v>10</v>
      </c>
      <c r="V340" t="s">
        <v>395</v>
      </c>
      <c r="W340">
        <f>Tabla35[[#This Row],[BN CARTA]]-Tabla34[[#This Row],[BN CARTA]]</f>
        <v>0</v>
      </c>
      <c r="X340">
        <f>Tabla35[[#This Row],[BN OFICIO]]-Tabla34[[#This Row],[BN OFICIO]]</f>
        <v>0</v>
      </c>
      <c r="Y340">
        <f>Tabla35[[#This Row],[BN DC]]-Tabla34[[#This Row],[BN DC]]</f>
        <v>0</v>
      </c>
      <c r="Z340">
        <f>Tabla35[[#This Row],[COLOR CARTA]]-Tabla34[[#This Row],[COLOR CARTA]]</f>
        <v>0</v>
      </c>
      <c r="AA340">
        <f>Tabla35[[#This Row],[COLOR OFICIO]]-Tabla34[[#This Row],[COLOR OFICIO]]</f>
        <v>0</v>
      </c>
      <c r="AB340">
        <f>Tabla35[[#This Row],[ENVIAR]]-Tabla34[[#This Row],[ENVIAR]]</f>
        <v>0</v>
      </c>
      <c r="AC340">
        <f>Tabla35[[#This Row],[COPIAR]]-Tabla34[[#This Row],[COPIAR]]</f>
        <v>0</v>
      </c>
    </row>
    <row r="341" spans="1:29" x14ac:dyDescent="0.25">
      <c r="A341" t="s">
        <v>10</v>
      </c>
      <c r="B341" t="s">
        <v>395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K341" t="s">
        <v>10</v>
      </c>
      <c r="L341" t="s">
        <v>396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U341" t="s">
        <v>10</v>
      </c>
      <c r="V341" t="s">
        <v>396</v>
      </c>
      <c r="W341">
        <f>Tabla35[[#This Row],[BN CARTA]]-Tabla34[[#This Row],[BN CARTA]]</f>
        <v>0</v>
      </c>
      <c r="X341">
        <f>Tabla35[[#This Row],[BN OFICIO]]-Tabla34[[#This Row],[BN OFICIO]]</f>
        <v>0</v>
      </c>
      <c r="Y341">
        <f>Tabla35[[#This Row],[BN DC]]-Tabla34[[#This Row],[BN DC]]</f>
        <v>0</v>
      </c>
      <c r="Z341">
        <f>Tabla35[[#This Row],[COLOR CARTA]]-Tabla34[[#This Row],[COLOR CARTA]]</f>
        <v>0</v>
      </c>
      <c r="AA341">
        <f>Tabla35[[#This Row],[COLOR OFICIO]]-Tabla34[[#This Row],[COLOR OFICIO]]</f>
        <v>0</v>
      </c>
      <c r="AB341">
        <f>Tabla35[[#This Row],[ENVIAR]]-Tabla34[[#This Row],[ENVIAR]]</f>
        <v>0</v>
      </c>
      <c r="AC341">
        <f>Tabla35[[#This Row],[COPIAR]]-Tabla34[[#This Row],[COPIAR]]</f>
        <v>0</v>
      </c>
    </row>
    <row r="342" spans="1:29" x14ac:dyDescent="0.25">
      <c r="A342" t="s">
        <v>10</v>
      </c>
      <c r="B342" t="s">
        <v>396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K342" t="s">
        <v>10</v>
      </c>
      <c r="L342" t="s">
        <v>397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U342" t="s">
        <v>10</v>
      </c>
      <c r="V342" t="s">
        <v>397</v>
      </c>
      <c r="W342">
        <f>Tabla35[[#This Row],[BN CARTA]]-Tabla34[[#This Row],[BN CARTA]]</f>
        <v>0</v>
      </c>
      <c r="X342">
        <f>Tabla35[[#This Row],[BN OFICIO]]-Tabla34[[#This Row],[BN OFICIO]]</f>
        <v>0</v>
      </c>
      <c r="Y342">
        <f>Tabla35[[#This Row],[BN DC]]-Tabla34[[#This Row],[BN DC]]</f>
        <v>0</v>
      </c>
      <c r="Z342">
        <f>Tabla35[[#This Row],[COLOR CARTA]]-Tabla34[[#This Row],[COLOR CARTA]]</f>
        <v>0</v>
      </c>
      <c r="AA342">
        <f>Tabla35[[#This Row],[COLOR OFICIO]]-Tabla34[[#This Row],[COLOR OFICIO]]</f>
        <v>0</v>
      </c>
      <c r="AB342">
        <f>Tabla35[[#This Row],[ENVIAR]]-Tabla34[[#This Row],[ENVIAR]]</f>
        <v>0</v>
      </c>
      <c r="AC342">
        <f>Tabla35[[#This Row],[COPIAR]]-Tabla34[[#This Row],[COPIAR]]</f>
        <v>0</v>
      </c>
    </row>
    <row r="343" spans="1:29" x14ac:dyDescent="0.25">
      <c r="A343" t="s">
        <v>10</v>
      </c>
      <c r="B343" t="s">
        <v>397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K343" t="s">
        <v>10</v>
      </c>
      <c r="L343" t="s">
        <v>398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U343" t="s">
        <v>10</v>
      </c>
      <c r="V343" t="s">
        <v>398</v>
      </c>
      <c r="W343">
        <f>Tabla35[[#This Row],[BN CARTA]]-Tabla34[[#This Row],[BN CARTA]]</f>
        <v>0</v>
      </c>
      <c r="X343">
        <f>Tabla35[[#This Row],[BN OFICIO]]-Tabla34[[#This Row],[BN OFICIO]]</f>
        <v>0</v>
      </c>
      <c r="Y343">
        <f>Tabla35[[#This Row],[BN DC]]-Tabla34[[#This Row],[BN DC]]</f>
        <v>0</v>
      </c>
      <c r="Z343">
        <f>Tabla35[[#This Row],[COLOR CARTA]]-Tabla34[[#This Row],[COLOR CARTA]]</f>
        <v>0</v>
      </c>
      <c r="AA343">
        <f>Tabla35[[#This Row],[COLOR OFICIO]]-Tabla34[[#This Row],[COLOR OFICIO]]</f>
        <v>0</v>
      </c>
      <c r="AB343">
        <f>Tabla35[[#This Row],[ENVIAR]]-Tabla34[[#This Row],[ENVIAR]]</f>
        <v>0</v>
      </c>
      <c r="AC343">
        <f>Tabla35[[#This Row],[COPIAR]]-Tabla34[[#This Row],[COPIAR]]</f>
        <v>0</v>
      </c>
    </row>
    <row r="344" spans="1:29" x14ac:dyDescent="0.25">
      <c r="A344" t="s">
        <v>10</v>
      </c>
      <c r="B344" t="s">
        <v>398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K344" t="s">
        <v>10</v>
      </c>
      <c r="L344" t="s">
        <v>399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U344" t="s">
        <v>10</v>
      </c>
      <c r="V344" t="s">
        <v>399</v>
      </c>
      <c r="W344">
        <f>Tabla35[[#This Row],[BN CARTA]]-Tabla34[[#This Row],[BN CARTA]]</f>
        <v>0</v>
      </c>
      <c r="X344">
        <f>Tabla35[[#This Row],[BN OFICIO]]-Tabla34[[#This Row],[BN OFICIO]]</f>
        <v>0</v>
      </c>
      <c r="Y344">
        <f>Tabla35[[#This Row],[BN DC]]-Tabla34[[#This Row],[BN DC]]</f>
        <v>0</v>
      </c>
      <c r="Z344">
        <f>Tabla35[[#This Row],[COLOR CARTA]]-Tabla34[[#This Row],[COLOR CARTA]]</f>
        <v>0</v>
      </c>
      <c r="AA344">
        <f>Tabla35[[#This Row],[COLOR OFICIO]]-Tabla34[[#This Row],[COLOR OFICIO]]</f>
        <v>0</v>
      </c>
      <c r="AB344">
        <f>Tabla35[[#This Row],[ENVIAR]]-Tabla34[[#This Row],[ENVIAR]]</f>
        <v>0</v>
      </c>
      <c r="AC344">
        <f>Tabla35[[#This Row],[COPIAR]]-Tabla34[[#This Row],[COPIAR]]</f>
        <v>0</v>
      </c>
    </row>
    <row r="345" spans="1:29" x14ac:dyDescent="0.25">
      <c r="A345" t="s">
        <v>10</v>
      </c>
      <c r="B345" t="s">
        <v>399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K345" t="s">
        <v>10</v>
      </c>
      <c r="L345" t="s">
        <v>400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U345" t="s">
        <v>10</v>
      </c>
      <c r="V345" t="s">
        <v>400</v>
      </c>
      <c r="W345">
        <f>Tabla35[[#This Row],[BN CARTA]]-Tabla34[[#This Row],[BN CARTA]]</f>
        <v>0</v>
      </c>
      <c r="X345">
        <f>Tabla35[[#This Row],[BN OFICIO]]-Tabla34[[#This Row],[BN OFICIO]]</f>
        <v>0</v>
      </c>
      <c r="Y345">
        <f>Tabla35[[#This Row],[BN DC]]-Tabla34[[#This Row],[BN DC]]</f>
        <v>0</v>
      </c>
      <c r="Z345">
        <f>Tabla35[[#This Row],[COLOR CARTA]]-Tabla34[[#This Row],[COLOR CARTA]]</f>
        <v>0</v>
      </c>
      <c r="AA345">
        <f>Tabla35[[#This Row],[COLOR OFICIO]]-Tabla34[[#This Row],[COLOR OFICIO]]</f>
        <v>0</v>
      </c>
      <c r="AB345">
        <f>Tabla35[[#This Row],[ENVIAR]]-Tabla34[[#This Row],[ENVIAR]]</f>
        <v>0</v>
      </c>
      <c r="AC345">
        <f>Tabla35[[#This Row],[COPIAR]]-Tabla34[[#This Row],[COPIAR]]</f>
        <v>0</v>
      </c>
    </row>
    <row r="346" spans="1:29" x14ac:dyDescent="0.25">
      <c r="A346" t="s">
        <v>10</v>
      </c>
      <c r="B346" t="s">
        <v>400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K346" t="s">
        <v>10</v>
      </c>
      <c r="L346" t="s">
        <v>401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U346" t="s">
        <v>10</v>
      </c>
      <c r="V346" t="s">
        <v>401</v>
      </c>
      <c r="W346">
        <f>Tabla35[[#This Row],[BN CARTA]]-Tabla34[[#This Row],[BN CARTA]]</f>
        <v>0</v>
      </c>
      <c r="X346">
        <f>Tabla35[[#This Row],[BN OFICIO]]-Tabla34[[#This Row],[BN OFICIO]]</f>
        <v>0</v>
      </c>
      <c r="Y346">
        <f>Tabla35[[#This Row],[BN DC]]-Tabla34[[#This Row],[BN DC]]</f>
        <v>0</v>
      </c>
      <c r="Z346">
        <f>Tabla35[[#This Row],[COLOR CARTA]]-Tabla34[[#This Row],[COLOR CARTA]]</f>
        <v>0</v>
      </c>
      <c r="AA346">
        <f>Tabla35[[#This Row],[COLOR OFICIO]]-Tabla34[[#This Row],[COLOR OFICIO]]</f>
        <v>0</v>
      </c>
      <c r="AB346">
        <f>Tabla35[[#This Row],[ENVIAR]]-Tabla34[[#This Row],[ENVIAR]]</f>
        <v>0</v>
      </c>
      <c r="AC346">
        <f>Tabla35[[#This Row],[COPIAR]]-Tabla34[[#This Row],[COPIAR]]</f>
        <v>0</v>
      </c>
    </row>
    <row r="347" spans="1:29" x14ac:dyDescent="0.25">
      <c r="A347" t="s">
        <v>10</v>
      </c>
      <c r="B347" t="s">
        <v>401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K347" t="s">
        <v>10</v>
      </c>
      <c r="L347" t="s">
        <v>402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U347" t="s">
        <v>10</v>
      </c>
      <c r="V347" t="s">
        <v>402</v>
      </c>
      <c r="W347">
        <f>Tabla35[[#This Row],[BN CARTA]]-Tabla34[[#This Row],[BN CARTA]]</f>
        <v>0</v>
      </c>
      <c r="X347">
        <f>Tabla35[[#This Row],[BN OFICIO]]-Tabla34[[#This Row],[BN OFICIO]]</f>
        <v>0</v>
      </c>
      <c r="Y347">
        <f>Tabla35[[#This Row],[BN DC]]-Tabla34[[#This Row],[BN DC]]</f>
        <v>0</v>
      </c>
      <c r="Z347">
        <f>Tabla35[[#This Row],[COLOR CARTA]]-Tabla34[[#This Row],[COLOR CARTA]]</f>
        <v>0</v>
      </c>
      <c r="AA347">
        <f>Tabla35[[#This Row],[COLOR OFICIO]]-Tabla34[[#This Row],[COLOR OFICIO]]</f>
        <v>0</v>
      </c>
      <c r="AB347">
        <f>Tabla35[[#This Row],[ENVIAR]]-Tabla34[[#This Row],[ENVIAR]]</f>
        <v>0</v>
      </c>
      <c r="AC347">
        <f>Tabla35[[#This Row],[COPIAR]]-Tabla34[[#This Row],[COPIAR]]</f>
        <v>0</v>
      </c>
    </row>
    <row r="348" spans="1:29" x14ac:dyDescent="0.25">
      <c r="A348" t="s">
        <v>10</v>
      </c>
      <c r="B348" t="s">
        <v>402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K348" t="s">
        <v>10</v>
      </c>
      <c r="L348" t="s">
        <v>403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U348" t="s">
        <v>10</v>
      </c>
      <c r="V348" t="s">
        <v>403</v>
      </c>
      <c r="W348">
        <f>Tabla35[[#This Row],[BN CARTA]]-Tabla34[[#This Row],[BN CARTA]]</f>
        <v>0</v>
      </c>
      <c r="X348">
        <f>Tabla35[[#This Row],[BN OFICIO]]-Tabla34[[#This Row],[BN OFICIO]]</f>
        <v>0</v>
      </c>
      <c r="Y348">
        <f>Tabla35[[#This Row],[BN DC]]-Tabla34[[#This Row],[BN DC]]</f>
        <v>0</v>
      </c>
      <c r="Z348">
        <f>Tabla35[[#This Row],[COLOR CARTA]]-Tabla34[[#This Row],[COLOR CARTA]]</f>
        <v>0</v>
      </c>
      <c r="AA348">
        <f>Tabla35[[#This Row],[COLOR OFICIO]]-Tabla34[[#This Row],[COLOR OFICIO]]</f>
        <v>0</v>
      </c>
      <c r="AB348">
        <f>Tabla35[[#This Row],[ENVIAR]]-Tabla34[[#This Row],[ENVIAR]]</f>
        <v>0</v>
      </c>
      <c r="AC348">
        <f>Tabla35[[#This Row],[COPIAR]]-Tabla34[[#This Row],[COPIAR]]</f>
        <v>0</v>
      </c>
    </row>
    <row r="349" spans="1:29" x14ac:dyDescent="0.25">
      <c r="A349" t="s">
        <v>10</v>
      </c>
      <c r="B349" t="s">
        <v>403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K349" t="s">
        <v>10</v>
      </c>
      <c r="L349" t="s">
        <v>404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U349" t="s">
        <v>10</v>
      </c>
      <c r="V349" t="s">
        <v>404</v>
      </c>
      <c r="W349">
        <f>Tabla35[[#This Row],[BN CARTA]]-Tabla34[[#This Row],[BN CARTA]]</f>
        <v>0</v>
      </c>
      <c r="X349">
        <f>Tabla35[[#This Row],[BN OFICIO]]-Tabla34[[#This Row],[BN OFICIO]]</f>
        <v>0</v>
      </c>
      <c r="Y349">
        <f>Tabla35[[#This Row],[BN DC]]-Tabla34[[#This Row],[BN DC]]</f>
        <v>0</v>
      </c>
      <c r="Z349">
        <f>Tabla35[[#This Row],[COLOR CARTA]]-Tabla34[[#This Row],[COLOR CARTA]]</f>
        <v>0</v>
      </c>
      <c r="AA349">
        <f>Tabla35[[#This Row],[COLOR OFICIO]]-Tabla34[[#This Row],[COLOR OFICIO]]</f>
        <v>0</v>
      </c>
      <c r="AB349">
        <f>Tabla35[[#This Row],[ENVIAR]]-Tabla34[[#This Row],[ENVIAR]]</f>
        <v>0</v>
      </c>
      <c r="AC349">
        <f>Tabla35[[#This Row],[COPIAR]]-Tabla34[[#This Row],[COPIAR]]</f>
        <v>0</v>
      </c>
    </row>
    <row r="350" spans="1:29" x14ac:dyDescent="0.25">
      <c r="A350" t="s">
        <v>10</v>
      </c>
      <c r="B350" t="s">
        <v>404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K350" t="s">
        <v>10</v>
      </c>
      <c r="L350" t="s">
        <v>405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U350" t="s">
        <v>10</v>
      </c>
      <c r="V350" t="s">
        <v>405</v>
      </c>
      <c r="W350">
        <f>Tabla35[[#This Row],[BN CARTA]]-Tabla34[[#This Row],[BN CARTA]]</f>
        <v>0</v>
      </c>
      <c r="X350">
        <f>Tabla35[[#This Row],[BN OFICIO]]-Tabla34[[#This Row],[BN OFICIO]]</f>
        <v>0</v>
      </c>
      <c r="Y350">
        <f>Tabla35[[#This Row],[BN DC]]-Tabla34[[#This Row],[BN DC]]</f>
        <v>0</v>
      </c>
      <c r="Z350">
        <f>Tabla35[[#This Row],[COLOR CARTA]]-Tabla34[[#This Row],[COLOR CARTA]]</f>
        <v>0</v>
      </c>
      <c r="AA350">
        <f>Tabla35[[#This Row],[COLOR OFICIO]]-Tabla34[[#This Row],[COLOR OFICIO]]</f>
        <v>0</v>
      </c>
      <c r="AB350">
        <f>Tabla35[[#This Row],[ENVIAR]]-Tabla34[[#This Row],[ENVIAR]]</f>
        <v>0</v>
      </c>
      <c r="AC350">
        <f>Tabla35[[#This Row],[COPIAR]]-Tabla34[[#This Row],[COPIAR]]</f>
        <v>0</v>
      </c>
    </row>
    <row r="351" spans="1:29" x14ac:dyDescent="0.25">
      <c r="A351" t="s">
        <v>10</v>
      </c>
      <c r="B351" t="s">
        <v>405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K351" t="s">
        <v>10</v>
      </c>
      <c r="L351" t="s">
        <v>406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U351" t="s">
        <v>10</v>
      </c>
      <c r="V351" t="s">
        <v>406</v>
      </c>
      <c r="W351">
        <f>Tabla35[[#This Row],[BN CARTA]]-Tabla34[[#This Row],[BN CARTA]]</f>
        <v>0</v>
      </c>
      <c r="X351">
        <f>Tabla35[[#This Row],[BN OFICIO]]-Tabla34[[#This Row],[BN OFICIO]]</f>
        <v>0</v>
      </c>
      <c r="Y351">
        <f>Tabla35[[#This Row],[BN DC]]-Tabla34[[#This Row],[BN DC]]</f>
        <v>0</v>
      </c>
      <c r="Z351">
        <f>Tabla35[[#This Row],[COLOR CARTA]]-Tabla34[[#This Row],[COLOR CARTA]]</f>
        <v>0</v>
      </c>
      <c r="AA351">
        <f>Tabla35[[#This Row],[COLOR OFICIO]]-Tabla34[[#This Row],[COLOR OFICIO]]</f>
        <v>0</v>
      </c>
      <c r="AB351">
        <f>Tabla35[[#This Row],[ENVIAR]]-Tabla34[[#This Row],[ENVIAR]]</f>
        <v>0</v>
      </c>
      <c r="AC351">
        <f>Tabla35[[#This Row],[COPIAR]]-Tabla34[[#This Row],[COPIAR]]</f>
        <v>0</v>
      </c>
    </row>
    <row r="352" spans="1:29" x14ac:dyDescent="0.25">
      <c r="A352" t="s">
        <v>10</v>
      </c>
      <c r="B352" t="s">
        <v>406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K352" t="s">
        <v>792</v>
      </c>
      <c r="L352" t="s">
        <v>407</v>
      </c>
      <c r="M352">
        <v>1278</v>
      </c>
      <c r="N352">
        <v>51</v>
      </c>
      <c r="O352">
        <v>0</v>
      </c>
      <c r="P352">
        <v>0</v>
      </c>
      <c r="Q352">
        <v>0</v>
      </c>
      <c r="R352">
        <v>192</v>
      </c>
      <c r="S352">
        <v>293</v>
      </c>
      <c r="U352" t="s">
        <v>792</v>
      </c>
      <c r="V352" t="s">
        <v>407</v>
      </c>
      <c r="W352">
        <f>Tabla35[[#This Row],[BN CARTA]]-Tabla34[[#This Row],[BN CARTA]]</f>
        <v>1278</v>
      </c>
      <c r="X352">
        <f>Tabla35[[#This Row],[BN OFICIO]]-Tabla34[[#This Row],[BN OFICIO]]</f>
        <v>51</v>
      </c>
      <c r="Y352">
        <f>Tabla35[[#This Row],[BN DC]]-Tabla34[[#This Row],[BN DC]]</f>
        <v>0</v>
      </c>
      <c r="Z352">
        <f>Tabla35[[#This Row],[COLOR CARTA]]-Tabla34[[#This Row],[COLOR CARTA]]</f>
        <v>0</v>
      </c>
      <c r="AA352">
        <f>Tabla35[[#This Row],[COLOR OFICIO]]-Tabla34[[#This Row],[COLOR OFICIO]]</f>
        <v>0</v>
      </c>
      <c r="AB352">
        <f>Tabla35[[#This Row],[ENVIAR]]-Tabla34[[#This Row],[ENVIAR]]</f>
        <v>192</v>
      </c>
      <c r="AC352">
        <f>Tabla35[[#This Row],[COPIAR]]-Tabla34[[#This Row],[COPIAR]]</f>
        <v>293</v>
      </c>
    </row>
    <row r="353" spans="1:29" x14ac:dyDescent="0.25">
      <c r="A353" t="s">
        <v>10</v>
      </c>
      <c r="B353" s="1" t="s">
        <v>779</v>
      </c>
      <c r="K353" t="s">
        <v>10</v>
      </c>
      <c r="L353" t="s">
        <v>408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U353" t="s">
        <v>10</v>
      </c>
      <c r="V353" t="s">
        <v>408</v>
      </c>
      <c r="W353">
        <f>Tabla35[[#This Row],[BN CARTA]]-Tabla34[[#This Row],[BN CARTA]]</f>
        <v>0</v>
      </c>
      <c r="X353">
        <f>Tabla35[[#This Row],[BN OFICIO]]-Tabla34[[#This Row],[BN OFICIO]]</f>
        <v>0</v>
      </c>
      <c r="Y353">
        <f>Tabla35[[#This Row],[BN DC]]-Tabla34[[#This Row],[BN DC]]</f>
        <v>0</v>
      </c>
      <c r="Z353">
        <f>Tabla35[[#This Row],[COLOR CARTA]]-Tabla34[[#This Row],[COLOR CARTA]]</f>
        <v>0</v>
      </c>
      <c r="AA353">
        <f>Tabla35[[#This Row],[COLOR OFICIO]]-Tabla34[[#This Row],[COLOR OFICIO]]</f>
        <v>0</v>
      </c>
      <c r="AB353">
        <f>Tabla35[[#This Row],[ENVIAR]]-Tabla34[[#This Row],[ENVIAR]]</f>
        <v>0</v>
      </c>
      <c r="AC353">
        <f>Tabla35[[#This Row],[COPIAR]]-Tabla34[[#This Row],[COPIAR]]</f>
        <v>0</v>
      </c>
    </row>
    <row r="354" spans="1:29" x14ac:dyDescent="0.25">
      <c r="A354" t="s">
        <v>10</v>
      </c>
      <c r="B354" t="s">
        <v>407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K354" t="s">
        <v>10</v>
      </c>
      <c r="L354" t="s">
        <v>409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U354" t="s">
        <v>10</v>
      </c>
      <c r="V354" t="s">
        <v>409</v>
      </c>
      <c r="W354">
        <f>Tabla35[[#This Row],[BN CARTA]]-Tabla34[[#This Row],[BN CARTA]]</f>
        <v>0</v>
      </c>
      <c r="X354">
        <f>Tabla35[[#This Row],[BN OFICIO]]-Tabla34[[#This Row],[BN OFICIO]]</f>
        <v>0</v>
      </c>
      <c r="Y354">
        <f>Tabla35[[#This Row],[BN DC]]-Tabla34[[#This Row],[BN DC]]</f>
        <v>0</v>
      </c>
      <c r="Z354">
        <f>Tabla35[[#This Row],[COLOR CARTA]]-Tabla34[[#This Row],[COLOR CARTA]]</f>
        <v>0</v>
      </c>
      <c r="AA354">
        <f>Tabla35[[#This Row],[COLOR OFICIO]]-Tabla34[[#This Row],[COLOR OFICIO]]</f>
        <v>0</v>
      </c>
      <c r="AB354">
        <f>Tabla35[[#This Row],[ENVIAR]]-Tabla34[[#This Row],[ENVIAR]]</f>
        <v>0</v>
      </c>
      <c r="AC354">
        <f>Tabla35[[#This Row],[COPIAR]]-Tabla34[[#This Row],[COPIAR]]</f>
        <v>0</v>
      </c>
    </row>
    <row r="355" spans="1:29" x14ac:dyDescent="0.25">
      <c r="A355" t="s">
        <v>10</v>
      </c>
      <c r="B355" t="s">
        <v>408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K355" t="s">
        <v>83</v>
      </c>
      <c r="L355" t="s">
        <v>410</v>
      </c>
      <c r="M355">
        <v>110</v>
      </c>
      <c r="N355">
        <v>0</v>
      </c>
      <c r="O355">
        <v>0</v>
      </c>
      <c r="P355">
        <v>0</v>
      </c>
      <c r="Q355">
        <v>0</v>
      </c>
      <c r="R355">
        <v>1149</v>
      </c>
      <c r="S355">
        <v>20</v>
      </c>
      <c r="U355" t="s">
        <v>83</v>
      </c>
      <c r="V355" t="s">
        <v>410</v>
      </c>
      <c r="W355">
        <f>Tabla35[[#This Row],[BN CARTA]]-Tabla34[[#This Row],[BN CARTA]]</f>
        <v>110</v>
      </c>
      <c r="X355">
        <f>Tabla35[[#This Row],[BN OFICIO]]-Tabla34[[#This Row],[BN OFICIO]]</f>
        <v>0</v>
      </c>
      <c r="Y355">
        <f>Tabla35[[#This Row],[BN DC]]-Tabla34[[#This Row],[BN DC]]</f>
        <v>0</v>
      </c>
      <c r="Z355">
        <f>Tabla35[[#This Row],[COLOR CARTA]]-Tabla34[[#This Row],[COLOR CARTA]]</f>
        <v>0</v>
      </c>
      <c r="AA355">
        <f>Tabla35[[#This Row],[COLOR OFICIO]]-Tabla34[[#This Row],[COLOR OFICIO]]</f>
        <v>0</v>
      </c>
      <c r="AB355">
        <f>Tabla35[[#This Row],[ENVIAR]]-Tabla34[[#This Row],[ENVIAR]]</f>
        <v>1149</v>
      </c>
      <c r="AC355">
        <f>Tabla35[[#This Row],[COPIAR]]-Tabla34[[#This Row],[COPIAR]]</f>
        <v>20</v>
      </c>
    </row>
    <row r="356" spans="1:29" x14ac:dyDescent="0.25">
      <c r="A356" t="s">
        <v>10</v>
      </c>
      <c r="B356" t="s">
        <v>409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K356" t="s">
        <v>120</v>
      </c>
      <c r="L356" t="s">
        <v>411</v>
      </c>
      <c r="M356">
        <v>1290</v>
      </c>
      <c r="N356">
        <v>12</v>
      </c>
      <c r="O356">
        <v>0</v>
      </c>
      <c r="P356">
        <v>0</v>
      </c>
      <c r="Q356">
        <v>0</v>
      </c>
      <c r="R356">
        <v>692</v>
      </c>
      <c r="S356">
        <v>318</v>
      </c>
      <c r="U356" t="s">
        <v>120</v>
      </c>
      <c r="V356" t="s">
        <v>411</v>
      </c>
      <c r="W356">
        <f>Tabla35[[#This Row],[BN CARTA]]-Tabla34[[#This Row],[BN CARTA]]</f>
        <v>1290</v>
      </c>
      <c r="X356">
        <f>Tabla35[[#This Row],[BN OFICIO]]-Tabla34[[#This Row],[BN OFICIO]]</f>
        <v>12</v>
      </c>
      <c r="Y356">
        <f>Tabla35[[#This Row],[BN DC]]-Tabla34[[#This Row],[BN DC]]</f>
        <v>0</v>
      </c>
      <c r="Z356">
        <f>Tabla35[[#This Row],[COLOR CARTA]]-Tabla34[[#This Row],[COLOR CARTA]]</f>
        <v>0</v>
      </c>
      <c r="AA356">
        <f>Tabla35[[#This Row],[COLOR OFICIO]]-Tabla34[[#This Row],[COLOR OFICIO]]</f>
        <v>0</v>
      </c>
      <c r="AB356">
        <f>Tabla35[[#This Row],[ENVIAR]]-Tabla34[[#This Row],[ENVIAR]]</f>
        <v>692</v>
      </c>
      <c r="AC356">
        <f>Tabla35[[#This Row],[COPIAR]]-Tabla34[[#This Row],[COPIAR]]</f>
        <v>318</v>
      </c>
    </row>
    <row r="357" spans="1:29" x14ac:dyDescent="0.25">
      <c r="A357" t="s">
        <v>83</v>
      </c>
      <c r="B357" t="s">
        <v>410</v>
      </c>
      <c r="C357">
        <v>110</v>
      </c>
      <c r="D357">
        <v>0</v>
      </c>
      <c r="E357">
        <v>0</v>
      </c>
      <c r="F357">
        <v>0</v>
      </c>
      <c r="G357">
        <v>0</v>
      </c>
      <c r="H357">
        <v>1149</v>
      </c>
      <c r="I357">
        <v>20</v>
      </c>
      <c r="K357" t="s">
        <v>134</v>
      </c>
      <c r="L357" t="s">
        <v>412</v>
      </c>
      <c r="M357">
        <v>629</v>
      </c>
      <c r="N357">
        <v>0</v>
      </c>
      <c r="O357">
        <v>0</v>
      </c>
      <c r="P357">
        <v>0</v>
      </c>
      <c r="Q357">
        <v>0</v>
      </c>
      <c r="R357">
        <v>474</v>
      </c>
      <c r="S357">
        <v>94</v>
      </c>
      <c r="U357" t="s">
        <v>134</v>
      </c>
      <c r="V357" t="s">
        <v>412</v>
      </c>
      <c r="W357">
        <f>Tabla35[[#This Row],[BN CARTA]]-Tabla34[[#This Row],[BN CARTA]]</f>
        <v>519</v>
      </c>
      <c r="X357">
        <f>Tabla35[[#This Row],[BN OFICIO]]-Tabla34[[#This Row],[BN OFICIO]]</f>
        <v>0</v>
      </c>
      <c r="Y357">
        <f>Tabla35[[#This Row],[BN DC]]-Tabla34[[#This Row],[BN DC]]</f>
        <v>0</v>
      </c>
      <c r="Z357">
        <f>Tabla35[[#This Row],[COLOR CARTA]]-Tabla34[[#This Row],[COLOR CARTA]]</f>
        <v>0</v>
      </c>
      <c r="AA357">
        <f>Tabla35[[#This Row],[COLOR OFICIO]]-Tabla34[[#This Row],[COLOR OFICIO]]</f>
        <v>0</v>
      </c>
      <c r="AB357">
        <f>Tabla35[[#This Row],[ENVIAR]]-Tabla34[[#This Row],[ENVIAR]]</f>
        <v>-675</v>
      </c>
      <c r="AC357">
        <f>Tabla35[[#This Row],[COPIAR]]-Tabla34[[#This Row],[COPIAR]]</f>
        <v>74</v>
      </c>
    </row>
    <row r="358" spans="1:29" x14ac:dyDescent="0.25">
      <c r="A358" t="s">
        <v>120</v>
      </c>
      <c r="B358" t="s">
        <v>411</v>
      </c>
      <c r="C358">
        <v>585</v>
      </c>
      <c r="D358">
        <v>0</v>
      </c>
      <c r="E358">
        <v>0</v>
      </c>
      <c r="F358">
        <v>0</v>
      </c>
      <c r="G358">
        <v>0</v>
      </c>
      <c r="H358">
        <v>6</v>
      </c>
      <c r="I358">
        <v>12</v>
      </c>
      <c r="K358" t="s">
        <v>120</v>
      </c>
      <c r="L358" t="s">
        <v>413</v>
      </c>
      <c r="M358">
        <v>4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U358" t="s">
        <v>120</v>
      </c>
      <c r="V358" t="s">
        <v>413</v>
      </c>
      <c r="W358">
        <f>Tabla35[[#This Row],[BN CARTA]]-Tabla34[[#This Row],[BN CARTA]]</f>
        <v>-581</v>
      </c>
      <c r="X358">
        <f>Tabla35[[#This Row],[BN OFICIO]]-Tabla34[[#This Row],[BN OFICIO]]</f>
        <v>0</v>
      </c>
      <c r="Y358">
        <f>Tabla35[[#This Row],[BN DC]]-Tabla34[[#This Row],[BN DC]]</f>
        <v>0</v>
      </c>
      <c r="Z358">
        <f>Tabla35[[#This Row],[COLOR CARTA]]-Tabla34[[#This Row],[COLOR CARTA]]</f>
        <v>0</v>
      </c>
      <c r="AA358">
        <f>Tabla35[[#This Row],[COLOR OFICIO]]-Tabla34[[#This Row],[COLOR OFICIO]]</f>
        <v>0</v>
      </c>
      <c r="AB358">
        <f>Tabla35[[#This Row],[ENVIAR]]-Tabla34[[#This Row],[ENVIAR]]</f>
        <v>-6</v>
      </c>
      <c r="AC358">
        <f>Tabla35[[#This Row],[COPIAR]]-Tabla34[[#This Row],[COPIAR]]</f>
        <v>-12</v>
      </c>
    </row>
    <row r="359" spans="1:29" x14ac:dyDescent="0.25">
      <c r="A359" t="s">
        <v>134</v>
      </c>
      <c r="B359" t="s">
        <v>412</v>
      </c>
      <c r="C359">
        <v>213</v>
      </c>
      <c r="D359">
        <v>0</v>
      </c>
      <c r="E359">
        <v>0</v>
      </c>
      <c r="F359">
        <v>0</v>
      </c>
      <c r="G359">
        <v>0</v>
      </c>
      <c r="H359">
        <v>28</v>
      </c>
      <c r="I359">
        <v>35</v>
      </c>
      <c r="K359" t="s">
        <v>138</v>
      </c>
      <c r="L359" t="s">
        <v>414</v>
      </c>
      <c r="M359">
        <v>1026</v>
      </c>
      <c r="N359">
        <v>0</v>
      </c>
      <c r="O359">
        <v>0</v>
      </c>
      <c r="P359">
        <v>0</v>
      </c>
      <c r="Q359">
        <v>0</v>
      </c>
      <c r="R359">
        <v>384</v>
      </c>
      <c r="S359">
        <v>21</v>
      </c>
      <c r="U359" t="s">
        <v>138</v>
      </c>
      <c r="V359" t="s">
        <v>414</v>
      </c>
      <c r="W359">
        <f>Tabla35[[#This Row],[BN CARTA]]-Tabla34[[#This Row],[BN CARTA]]</f>
        <v>813</v>
      </c>
      <c r="X359">
        <f>Tabla35[[#This Row],[BN OFICIO]]-Tabla34[[#This Row],[BN OFICIO]]</f>
        <v>0</v>
      </c>
      <c r="Y359">
        <f>Tabla35[[#This Row],[BN DC]]-Tabla34[[#This Row],[BN DC]]</f>
        <v>0</v>
      </c>
      <c r="Z359">
        <f>Tabla35[[#This Row],[COLOR CARTA]]-Tabla34[[#This Row],[COLOR CARTA]]</f>
        <v>0</v>
      </c>
      <c r="AA359">
        <f>Tabla35[[#This Row],[COLOR OFICIO]]-Tabla34[[#This Row],[COLOR OFICIO]]</f>
        <v>0</v>
      </c>
      <c r="AB359">
        <f>Tabla35[[#This Row],[ENVIAR]]-Tabla34[[#This Row],[ENVIAR]]</f>
        <v>356</v>
      </c>
      <c r="AC359">
        <f>Tabla35[[#This Row],[COPIAR]]-Tabla34[[#This Row],[COPIAR]]</f>
        <v>-14</v>
      </c>
    </row>
    <row r="360" spans="1:29" x14ac:dyDescent="0.25">
      <c r="A360" t="s">
        <v>120</v>
      </c>
      <c r="B360" t="s">
        <v>413</v>
      </c>
      <c r="C360">
        <v>4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K360" t="s">
        <v>10</v>
      </c>
      <c r="L360" t="s">
        <v>415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U360" t="s">
        <v>10</v>
      </c>
      <c r="V360" t="s">
        <v>415</v>
      </c>
      <c r="W360">
        <f>Tabla35[[#This Row],[BN CARTA]]-Tabla34[[#This Row],[BN CARTA]]</f>
        <v>-4</v>
      </c>
      <c r="X360">
        <f>Tabla35[[#This Row],[BN OFICIO]]-Tabla34[[#This Row],[BN OFICIO]]</f>
        <v>0</v>
      </c>
      <c r="Y360">
        <f>Tabla35[[#This Row],[BN DC]]-Tabla34[[#This Row],[BN DC]]</f>
        <v>0</v>
      </c>
      <c r="Z360">
        <f>Tabla35[[#This Row],[COLOR CARTA]]-Tabla34[[#This Row],[COLOR CARTA]]</f>
        <v>0</v>
      </c>
      <c r="AA360">
        <f>Tabla35[[#This Row],[COLOR OFICIO]]-Tabla34[[#This Row],[COLOR OFICIO]]</f>
        <v>0</v>
      </c>
      <c r="AB360">
        <f>Tabla35[[#This Row],[ENVIAR]]-Tabla34[[#This Row],[ENVIAR]]</f>
        <v>0</v>
      </c>
      <c r="AC360">
        <f>Tabla35[[#This Row],[COPIAR]]-Tabla34[[#This Row],[COPIAR]]</f>
        <v>0</v>
      </c>
    </row>
    <row r="361" spans="1:29" x14ac:dyDescent="0.25">
      <c r="A361" t="s">
        <v>138</v>
      </c>
      <c r="B361" t="s">
        <v>414</v>
      </c>
      <c r="C361">
        <v>1026</v>
      </c>
      <c r="D361">
        <v>0</v>
      </c>
      <c r="E361">
        <v>0</v>
      </c>
      <c r="F361">
        <v>0</v>
      </c>
      <c r="G361">
        <v>0</v>
      </c>
      <c r="H361">
        <v>384</v>
      </c>
      <c r="I361">
        <v>21</v>
      </c>
      <c r="K361" t="s">
        <v>226</v>
      </c>
      <c r="L361" t="s">
        <v>416</v>
      </c>
      <c r="M361">
        <v>464</v>
      </c>
      <c r="N361">
        <v>1</v>
      </c>
      <c r="O361">
        <v>0</v>
      </c>
      <c r="P361">
        <v>0</v>
      </c>
      <c r="Q361">
        <v>0</v>
      </c>
      <c r="R361">
        <v>1075</v>
      </c>
      <c r="S361">
        <v>13</v>
      </c>
      <c r="U361" t="s">
        <v>226</v>
      </c>
      <c r="V361" t="s">
        <v>416</v>
      </c>
      <c r="W361">
        <f>Tabla35[[#This Row],[BN CARTA]]-Tabla34[[#This Row],[BN CARTA]]</f>
        <v>-562</v>
      </c>
      <c r="X361">
        <f>Tabla35[[#This Row],[BN OFICIO]]-Tabla34[[#This Row],[BN OFICIO]]</f>
        <v>1</v>
      </c>
      <c r="Y361">
        <f>Tabla35[[#This Row],[BN DC]]-Tabla34[[#This Row],[BN DC]]</f>
        <v>0</v>
      </c>
      <c r="Z361">
        <f>Tabla35[[#This Row],[COLOR CARTA]]-Tabla34[[#This Row],[COLOR CARTA]]</f>
        <v>0</v>
      </c>
      <c r="AA361">
        <f>Tabla35[[#This Row],[COLOR OFICIO]]-Tabla34[[#This Row],[COLOR OFICIO]]</f>
        <v>0</v>
      </c>
      <c r="AB361">
        <f>Tabla35[[#This Row],[ENVIAR]]-Tabla34[[#This Row],[ENVIAR]]</f>
        <v>691</v>
      </c>
      <c r="AC361">
        <f>Tabla35[[#This Row],[COPIAR]]-Tabla34[[#This Row],[COPIAR]]</f>
        <v>-8</v>
      </c>
    </row>
    <row r="362" spans="1:29" x14ac:dyDescent="0.25">
      <c r="A362" t="s">
        <v>10</v>
      </c>
      <c r="B362" t="s">
        <v>415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K362" t="s">
        <v>138</v>
      </c>
      <c r="L362" t="s">
        <v>417</v>
      </c>
      <c r="M362">
        <v>3126</v>
      </c>
      <c r="N362">
        <v>0</v>
      </c>
      <c r="O362">
        <v>0</v>
      </c>
      <c r="P362">
        <v>0</v>
      </c>
      <c r="Q362">
        <v>0</v>
      </c>
      <c r="R362">
        <v>2558</v>
      </c>
      <c r="S362">
        <v>752</v>
      </c>
      <c r="U362" t="s">
        <v>138</v>
      </c>
      <c r="V362" t="s">
        <v>417</v>
      </c>
      <c r="W362">
        <f>Tabla35[[#This Row],[BN CARTA]]-Tabla34[[#This Row],[BN CARTA]]</f>
        <v>3126</v>
      </c>
      <c r="X362">
        <f>Tabla35[[#This Row],[BN OFICIO]]-Tabla34[[#This Row],[BN OFICIO]]</f>
        <v>0</v>
      </c>
      <c r="Y362">
        <f>Tabla35[[#This Row],[BN DC]]-Tabla34[[#This Row],[BN DC]]</f>
        <v>0</v>
      </c>
      <c r="Z362">
        <f>Tabla35[[#This Row],[COLOR CARTA]]-Tabla34[[#This Row],[COLOR CARTA]]</f>
        <v>0</v>
      </c>
      <c r="AA362">
        <f>Tabla35[[#This Row],[COLOR OFICIO]]-Tabla34[[#This Row],[COLOR OFICIO]]</f>
        <v>0</v>
      </c>
      <c r="AB362">
        <f>Tabla35[[#This Row],[ENVIAR]]-Tabla34[[#This Row],[ENVIAR]]</f>
        <v>2558</v>
      </c>
      <c r="AC362">
        <f>Tabla35[[#This Row],[COPIAR]]-Tabla34[[#This Row],[COPIAR]]</f>
        <v>752</v>
      </c>
    </row>
    <row r="363" spans="1:29" x14ac:dyDescent="0.25">
      <c r="A363" t="s">
        <v>226</v>
      </c>
      <c r="B363" t="s">
        <v>416</v>
      </c>
      <c r="C363">
        <v>464</v>
      </c>
      <c r="D363">
        <v>1</v>
      </c>
      <c r="E363">
        <v>0</v>
      </c>
      <c r="F363">
        <v>0</v>
      </c>
      <c r="G363">
        <v>0</v>
      </c>
      <c r="H363">
        <v>1075</v>
      </c>
      <c r="I363">
        <v>13</v>
      </c>
      <c r="K363" t="s">
        <v>138</v>
      </c>
      <c r="L363" t="s">
        <v>418</v>
      </c>
      <c r="M363">
        <v>254</v>
      </c>
      <c r="N363">
        <v>35</v>
      </c>
      <c r="O363">
        <v>0</v>
      </c>
      <c r="P363">
        <v>0</v>
      </c>
      <c r="Q363">
        <v>0</v>
      </c>
      <c r="R363">
        <v>612</v>
      </c>
      <c r="S363">
        <v>23</v>
      </c>
      <c r="U363" t="s">
        <v>138</v>
      </c>
      <c r="V363" t="s">
        <v>418</v>
      </c>
      <c r="W363">
        <f>Tabla35[[#This Row],[BN CARTA]]-Tabla34[[#This Row],[BN CARTA]]</f>
        <v>-210</v>
      </c>
      <c r="X363">
        <f>Tabla35[[#This Row],[BN OFICIO]]-Tabla34[[#This Row],[BN OFICIO]]</f>
        <v>34</v>
      </c>
      <c r="Y363">
        <f>Tabla35[[#This Row],[BN DC]]-Tabla34[[#This Row],[BN DC]]</f>
        <v>0</v>
      </c>
      <c r="Z363">
        <f>Tabla35[[#This Row],[COLOR CARTA]]-Tabla34[[#This Row],[COLOR CARTA]]</f>
        <v>0</v>
      </c>
      <c r="AA363">
        <f>Tabla35[[#This Row],[COLOR OFICIO]]-Tabla34[[#This Row],[COLOR OFICIO]]</f>
        <v>0</v>
      </c>
      <c r="AB363">
        <f>Tabla35[[#This Row],[ENVIAR]]-Tabla34[[#This Row],[ENVIAR]]</f>
        <v>-463</v>
      </c>
      <c r="AC363">
        <f>Tabla35[[#This Row],[COPIAR]]-Tabla34[[#This Row],[COPIAR]]</f>
        <v>10</v>
      </c>
    </row>
    <row r="364" spans="1:29" x14ac:dyDescent="0.25">
      <c r="A364" t="s">
        <v>138</v>
      </c>
      <c r="B364" t="s">
        <v>417</v>
      </c>
      <c r="C364">
        <v>3126</v>
      </c>
      <c r="D364">
        <v>0</v>
      </c>
      <c r="E364">
        <v>0</v>
      </c>
      <c r="F364">
        <v>0</v>
      </c>
      <c r="G364">
        <v>0</v>
      </c>
      <c r="H364">
        <v>2558</v>
      </c>
      <c r="I364">
        <v>752</v>
      </c>
      <c r="K364" t="s">
        <v>796</v>
      </c>
      <c r="L364" t="s">
        <v>419</v>
      </c>
      <c r="M364">
        <v>5032</v>
      </c>
      <c r="N364">
        <v>442</v>
      </c>
      <c r="O364">
        <v>0</v>
      </c>
      <c r="P364">
        <v>0</v>
      </c>
      <c r="Q364">
        <v>0</v>
      </c>
      <c r="R364">
        <v>4214</v>
      </c>
      <c r="S364">
        <v>1081</v>
      </c>
      <c r="U364" t="s">
        <v>796</v>
      </c>
      <c r="V364" t="s">
        <v>419</v>
      </c>
      <c r="W364">
        <f>Tabla35[[#This Row],[BN CARTA]]-Tabla34[[#This Row],[BN CARTA]]</f>
        <v>1906</v>
      </c>
      <c r="X364">
        <f>Tabla35[[#This Row],[BN OFICIO]]-Tabla34[[#This Row],[BN OFICIO]]</f>
        <v>442</v>
      </c>
      <c r="Y364">
        <f>Tabla35[[#This Row],[BN DC]]-Tabla34[[#This Row],[BN DC]]</f>
        <v>0</v>
      </c>
      <c r="Z364">
        <f>Tabla35[[#This Row],[COLOR CARTA]]-Tabla34[[#This Row],[COLOR CARTA]]</f>
        <v>0</v>
      </c>
      <c r="AA364">
        <f>Tabla35[[#This Row],[COLOR OFICIO]]-Tabla34[[#This Row],[COLOR OFICIO]]</f>
        <v>0</v>
      </c>
      <c r="AB364">
        <f>Tabla35[[#This Row],[ENVIAR]]-Tabla34[[#This Row],[ENVIAR]]</f>
        <v>1656</v>
      </c>
      <c r="AC364">
        <f>Tabla35[[#This Row],[COPIAR]]-Tabla34[[#This Row],[COPIAR]]</f>
        <v>329</v>
      </c>
    </row>
    <row r="365" spans="1:29" x14ac:dyDescent="0.25">
      <c r="A365" t="s">
        <v>138</v>
      </c>
      <c r="B365" t="s">
        <v>418</v>
      </c>
      <c r="C365">
        <v>254</v>
      </c>
      <c r="D365">
        <v>35</v>
      </c>
      <c r="E365">
        <v>0</v>
      </c>
      <c r="F365">
        <v>0</v>
      </c>
      <c r="G365">
        <v>0</v>
      </c>
      <c r="H365">
        <v>612</v>
      </c>
      <c r="I365">
        <v>23</v>
      </c>
      <c r="K365" t="s">
        <v>150</v>
      </c>
      <c r="L365" t="s">
        <v>420</v>
      </c>
      <c r="M365">
        <v>3423</v>
      </c>
      <c r="N365">
        <v>22</v>
      </c>
      <c r="O365">
        <v>0</v>
      </c>
      <c r="P365">
        <v>0</v>
      </c>
      <c r="Q365">
        <v>0</v>
      </c>
      <c r="R365">
        <v>3177</v>
      </c>
      <c r="S365">
        <v>2146</v>
      </c>
      <c r="U365" t="s">
        <v>150</v>
      </c>
      <c r="V365" t="s">
        <v>420</v>
      </c>
      <c r="W365">
        <f>Tabla35[[#This Row],[BN CARTA]]-Tabla34[[#This Row],[BN CARTA]]</f>
        <v>3169</v>
      </c>
      <c r="X365">
        <f>Tabla35[[#This Row],[BN OFICIO]]-Tabla34[[#This Row],[BN OFICIO]]</f>
        <v>-13</v>
      </c>
      <c r="Y365">
        <f>Tabla35[[#This Row],[BN DC]]-Tabla34[[#This Row],[BN DC]]</f>
        <v>0</v>
      </c>
      <c r="Z365">
        <f>Tabla35[[#This Row],[COLOR CARTA]]-Tabla34[[#This Row],[COLOR CARTA]]</f>
        <v>0</v>
      </c>
      <c r="AA365">
        <f>Tabla35[[#This Row],[COLOR OFICIO]]-Tabla34[[#This Row],[COLOR OFICIO]]</f>
        <v>0</v>
      </c>
      <c r="AB365">
        <f>Tabla35[[#This Row],[ENVIAR]]-Tabla34[[#This Row],[ENVIAR]]</f>
        <v>2565</v>
      </c>
      <c r="AC365">
        <f>Tabla35[[#This Row],[COPIAR]]-Tabla34[[#This Row],[COPIAR]]</f>
        <v>2123</v>
      </c>
    </row>
    <row r="366" spans="1:29" x14ac:dyDescent="0.25">
      <c r="A366" t="s">
        <v>10</v>
      </c>
      <c r="B366" t="s">
        <v>419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K366" t="s">
        <v>69</v>
      </c>
      <c r="L366" t="s">
        <v>421</v>
      </c>
      <c r="M366">
        <v>3451</v>
      </c>
      <c r="N366">
        <v>2</v>
      </c>
      <c r="O366">
        <v>0</v>
      </c>
      <c r="P366">
        <v>0</v>
      </c>
      <c r="Q366">
        <v>0</v>
      </c>
      <c r="R366">
        <v>1394</v>
      </c>
      <c r="S366">
        <v>1043</v>
      </c>
      <c r="U366" t="s">
        <v>69</v>
      </c>
      <c r="V366" t="s">
        <v>421</v>
      </c>
      <c r="W366">
        <f>Tabla35[[#This Row],[BN CARTA]]-Tabla34[[#This Row],[BN CARTA]]</f>
        <v>3451</v>
      </c>
      <c r="X366">
        <f>Tabla35[[#This Row],[BN OFICIO]]-Tabla34[[#This Row],[BN OFICIO]]</f>
        <v>2</v>
      </c>
      <c r="Y366">
        <f>Tabla35[[#This Row],[BN DC]]-Tabla34[[#This Row],[BN DC]]</f>
        <v>0</v>
      </c>
      <c r="Z366">
        <f>Tabla35[[#This Row],[COLOR CARTA]]-Tabla34[[#This Row],[COLOR CARTA]]</f>
        <v>0</v>
      </c>
      <c r="AA366">
        <f>Tabla35[[#This Row],[COLOR OFICIO]]-Tabla34[[#This Row],[COLOR OFICIO]]</f>
        <v>0</v>
      </c>
      <c r="AB366">
        <f>Tabla35[[#This Row],[ENVIAR]]-Tabla34[[#This Row],[ENVIAR]]</f>
        <v>1394</v>
      </c>
      <c r="AC366">
        <f>Tabla35[[#This Row],[COPIAR]]-Tabla34[[#This Row],[COPIAR]]</f>
        <v>1043</v>
      </c>
    </row>
    <row r="367" spans="1:29" x14ac:dyDescent="0.25">
      <c r="A367" t="s">
        <v>150</v>
      </c>
      <c r="B367" t="s">
        <v>420</v>
      </c>
      <c r="C367">
        <v>101</v>
      </c>
      <c r="D367">
        <v>19</v>
      </c>
      <c r="E367">
        <v>0</v>
      </c>
      <c r="F367">
        <v>0</v>
      </c>
      <c r="G367">
        <v>0</v>
      </c>
      <c r="H367">
        <v>2</v>
      </c>
      <c r="I367">
        <v>56</v>
      </c>
      <c r="K367" t="s">
        <v>146</v>
      </c>
      <c r="L367" t="s">
        <v>422</v>
      </c>
      <c r="M367">
        <v>823</v>
      </c>
      <c r="N367">
        <v>18</v>
      </c>
      <c r="O367">
        <v>0</v>
      </c>
      <c r="P367">
        <v>0</v>
      </c>
      <c r="Q367">
        <v>0</v>
      </c>
      <c r="R367">
        <v>1258</v>
      </c>
      <c r="S367">
        <v>493</v>
      </c>
      <c r="U367" t="s">
        <v>146</v>
      </c>
      <c r="V367" t="s">
        <v>422</v>
      </c>
      <c r="W367">
        <f>Tabla35[[#This Row],[BN CARTA]]-Tabla34[[#This Row],[BN CARTA]]</f>
        <v>722</v>
      </c>
      <c r="X367">
        <f>Tabla35[[#This Row],[BN OFICIO]]-Tabla34[[#This Row],[BN OFICIO]]</f>
        <v>-1</v>
      </c>
      <c r="Y367">
        <f>Tabla35[[#This Row],[BN DC]]-Tabla34[[#This Row],[BN DC]]</f>
        <v>0</v>
      </c>
      <c r="Z367">
        <f>Tabla35[[#This Row],[COLOR CARTA]]-Tabla34[[#This Row],[COLOR CARTA]]</f>
        <v>0</v>
      </c>
      <c r="AA367">
        <f>Tabla35[[#This Row],[COLOR OFICIO]]-Tabla34[[#This Row],[COLOR OFICIO]]</f>
        <v>0</v>
      </c>
      <c r="AB367">
        <f>Tabla35[[#This Row],[ENVIAR]]-Tabla34[[#This Row],[ENVIAR]]</f>
        <v>1256</v>
      </c>
      <c r="AC367">
        <f>Tabla35[[#This Row],[COPIAR]]-Tabla34[[#This Row],[COPIAR]]</f>
        <v>437</v>
      </c>
    </row>
    <row r="368" spans="1:29" x14ac:dyDescent="0.25">
      <c r="A368" t="s">
        <v>69</v>
      </c>
      <c r="B368" t="s">
        <v>421</v>
      </c>
      <c r="C368">
        <v>1311</v>
      </c>
      <c r="D368">
        <v>0</v>
      </c>
      <c r="E368">
        <v>0</v>
      </c>
      <c r="F368">
        <v>0</v>
      </c>
      <c r="G368">
        <v>0</v>
      </c>
      <c r="H368">
        <v>387</v>
      </c>
      <c r="I368">
        <v>298</v>
      </c>
      <c r="K368" t="s">
        <v>146</v>
      </c>
      <c r="L368" t="s">
        <v>423</v>
      </c>
      <c r="M368">
        <v>530</v>
      </c>
      <c r="N368">
        <v>0</v>
      </c>
      <c r="O368">
        <v>0</v>
      </c>
      <c r="P368">
        <v>0</v>
      </c>
      <c r="Q368">
        <v>0</v>
      </c>
      <c r="R368">
        <v>1118</v>
      </c>
      <c r="S368">
        <v>403</v>
      </c>
      <c r="U368" t="s">
        <v>146</v>
      </c>
      <c r="V368" t="s">
        <v>423</v>
      </c>
      <c r="W368">
        <f>Tabla35[[#This Row],[BN CARTA]]-Tabla34[[#This Row],[BN CARTA]]</f>
        <v>-781</v>
      </c>
      <c r="X368">
        <f>Tabla35[[#This Row],[BN OFICIO]]-Tabla34[[#This Row],[BN OFICIO]]</f>
        <v>0</v>
      </c>
      <c r="Y368">
        <f>Tabla35[[#This Row],[BN DC]]-Tabla34[[#This Row],[BN DC]]</f>
        <v>0</v>
      </c>
      <c r="Z368">
        <f>Tabla35[[#This Row],[COLOR CARTA]]-Tabla34[[#This Row],[COLOR CARTA]]</f>
        <v>0</v>
      </c>
      <c r="AA368">
        <f>Tabla35[[#This Row],[COLOR OFICIO]]-Tabla34[[#This Row],[COLOR OFICIO]]</f>
        <v>0</v>
      </c>
      <c r="AB368">
        <f>Tabla35[[#This Row],[ENVIAR]]-Tabla34[[#This Row],[ENVIAR]]</f>
        <v>731</v>
      </c>
      <c r="AC368">
        <f>Tabla35[[#This Row],[COPIAR]]-Tabla34[[#This Row],[COPIAR]]</f>
        <v>105</v>
      </c>
    </row>
    <row r="369" spans="1:29" x14ac:dyDescent="0.25">
      <c r="A369" t="s">
        <v>10</v>
      </c>
      <c r="B369" t="s">
        <v>422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K369" t="s">
        <v>76</v>
      </c>
      <c r="L369" t="s">
        <v>424</v>
      </c>
      <c r="M369">
        <v>8636</v>
      </c>
      <c r="N369">
        <v>24</v>
      </c>
      <c r="O369">
        <v>0</v>
      </c>
      <c r="P369">
        <v>0</v>
      </c>
      <c r="Q369">
        <v>0</v>
      </c>
      <c r="R369">
        <v>5882</v>
      </c>
      <c r="S369">
        <v>1838</v>
      </c>
      <c r="U369" t="s">
        <v>76</v>
      </c>
      <c r="V369" t="s">
        <v>424</v>
      </c>
      <c r="W369">
        <f>Tabla35[[#This Row],[BN CARTA]]-Tabla34[[#This Row],[BN CARTA]]</f>
        <v>8636</v>
      </c>
      <c r="X369">
        <f>Tabla35[[#This Row],[BN OFICIO]]-Tabla34[[#This Row],[BN OFICIO]]</f>
        <v>24</v>
      </c>
      <c r="Y369">
        <f>Tabla35[[#This Row],[BN DC]]-Tabla34[[#This Row],[BN DC]]</f>
        <v>0</v>
      </c>
      <c r="Z369">
        <f>Tabla35[[#This Row],[COLOR CARTA]]-Tabla34[[#This Row],[COLOR CARTA]]</f>
        <v>0</v>
      </c>
      <c r="AA369">
        <f>Tabla35[[#This Row],[COLOR OFICIO]]-Tabla34[[#This Row],[COLOR OFICIO]]</f>
        <v>0</v>
      </c>
      <c r="AB369">
        <f>Tabla35[[#This Row],[ENVIAR]]-Tabla34[[#This Row],[ENVIAR]]</f>
        <v>5882</v>
      </c>
      <c r="AC369">
        <f>Tabla35[[#This Row],[COPIAR]]-Tabla34[[#This Row],[COPIAR]]</f>
        <v>1838</v>
      </c>
    </row>
    <row r="370" spans="1:29" x14ac:dyDescent="0.25">
      <c r="A370" t="s">
        <v>146</v>
      </c>
      <c r="B370" t="s">
        <v>423</v>
      </c>
      <c r="C370">
        <v>72</v>
      </c>
      <c r="D370">
        <v>0</v>
      </c>
      <c r="E370">
        <v>0</v>
      </c>
      <c r="F370">
        <v>0</v>
      </c>
      <c r="G370">
        <v>0</v>
      </c>
      <c r="H370">
        <v>69</v>
      </c>
      <c r="I370">
        <v>64</v>
      </c>
      <c r="K370" t="s">
        <v>795</v>
      </c>
      <c r="L370" t="s">
        <v>425</v>
      </c>
      <c r="M370">
        <v>23358</v>
      </c>
      <c r="N370">
        <v>4</v>
      </c>
      <c r="O370">
        <v>0</v>
      </c>
      <c r="P370">
        <v>0</v>
      </c>
      <c r="Q370">
        <v>0</v>
      </c>
      <c r="R370">
        <v>9408</v>
      </c>
      <c r="S370">
        <v>5807</v>
      </c>
      <c r="U370" t="s">
        <v>795</v>
      </c>
      <c r="V370" t="s">
        <v>425</v>
      </c>
      <c r="W370">
        <f>Tabla35[[#This Row],[BN CARTA]]-Tabla34[[#This Row],[BN CARTA]]</f>
        <v>23286</v>
      </c>
      <c r="X370">
        <f>Tabla35[[#This Row],[BN OFICIO]]-Tabla34[[#This Row],[BN OFICIO]]</f>
        <v>4</v>
      </c>
      <c r="Y370">
        <f>Tabla35[[#This Row],[BN DC]]-Tabla34[[#This Row],[BN DC]]</f>
        <v>0</v>
      </c>
      <c r="Z370">
        <f>Tabla35[[#This Row],[COLOR CARTA]]-Tabla34[[#This Row],[COLOR CARTA]]</f>
        <v>0</v>
      </c>
      <c r="AA370">
        <f>Tabla35[[#This Row],[COLOR OFICIO]]-Tabla34[[#This Row],[COLOR OFICIO]]</f>
        <v>0</v>
      </c>
      <c r="AB370">
        <f>Tabla35[[#This Row],[ENVIAR]]-Tabla34[[#This Row],[ENVIAR]]</f>
        <v>9339</v>
      </c>
      <c r="AC370">
        <f>Tabla35[[#This Row],[COPIAR]]-Tabla34[[#This Row],[COPIAR]]</f>
        <v>5743</v>
      </c>
    </row>
    <row r="371" spans="1:29" x14ac:dyDescent="0.25">
      <c r="A371" t="s">
        <v>76</v>
      </c>
      <c r="B371" t="s">
        <v>424</v>
      </c>
      <c r="C371">
        <v>2110</v>
      </c>
      <c r="D371">
        <v>0</v>
      </c>
      <c r="E371">
        <v>0</v>
      </c>
      <c r="F371">
        <v>0</v>
      </c>
      <c r="G371">
        <v>0</v>
      </c>
      <c r="H371">
        <v>514</v>
      </c>
      <c r="I371">
        <v>149</v>
      </c>
      <c r="K371" t="s">
        <v>10</v>
      </c>
      <c r="L371" t="s">
        <v>426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U371" t="s">
        <v>10</v>
      </c>
      <c r="V371" t="s">
        <v>426</v>
      </c>
      <c r="W371">
        <f>Tabla35[[#This Row],[BN CARTA]]-Tabla34[[#This Row],[BN CARTA]]</f>
        <v>-2110</v>
      </c>
      <c r="X371">
        <f>Tabla35[[#This Row],[BN OFICIO]]-Tabla34[[#This Row],[BN OFICIO]]</f>
        <v>0</v>
      </c>
      <c r="Y371">
        <f>Tabla35[[#This Row],[BN DC]]-Tabla34[[#This Row],[BN DC]]</f>
        <v>0</v>
      </c>
      <c r="Z371">
        <f>Tabla35[[#This Row],[COLOR CARTA]]-Tabla34[[#This Row],[COLOR CARTA]]</f>
        <v>0</v>
      </c>
      <c r="AA371">
        <f>Tabla35[[#This Row],[COLOR OFICIO]]-Tabla34[[#This Row],[COLOR OFICIO]]</f>
        <v>0</v>
      </c>
      <c r="AB371">
        <f>Tabla35[[#This Row],[ENVIAR]]-Tabla34[[#This Row],[ENVIAR]]</f>
        <v>-514</v>
      </c>
      <c r="AC371">
        <f>Tabla35[[#This Row],[COPIAR]]-Tabla34[[#This Row],[COPIAR]]</f>
        <v>-149</v>
      </c>
    </row>
    <row r="372" spans="1:29" x14ac:dyDescent="0.25">
      <c r="A372" t="s">
        <v>10</v>
      </c>
      <c r="B372" t="s">
        <v>425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K372" t="s">
        <v>788</v>
      </c>
      <c r="L372" t="s">
        <v>427</v>
      </c>
      <c r="M372">
        <v>9105</v>
      </c>
      <c r="N372">
        <v>0</v>
      </c>
      <c r="O372">
        <v>0</v>
      </c>
      <c r="P372">
        <v>0</v>
      </c>
      <c r="Q372">
        <v>0</v>
      </c>
      <c r="R372">
        <v>5570</v>
      </c>
      <c r="S372">
        <v>4312</v>
      </c>
      <c r="U372" t="s">
        <v>788</v>
      </c>
      <c r="V372" t="s">
        <v>427</v>
      </c>
      <c r="W372">
        <f>Tabla35[[#This Row],[BN CARTA]]-Tabla34[[#This Row],[BN CARTA]]</f>
        <v>9105</v>
      </c>
      <c r="X372">
        <f>Tabla35[[#This Row],[BN OFICIO]]-Tabla34[[#This Row],[BN OFICIO]]</f>
        <v>0</v>
      </c>
      <c r="Y372">
        <f>Tabla35[[#This Row],[BN DC]]-Tabla34[[#This Row],[BN DC]]</f>
        <v>0</v>
      </c>
      <c r="Z372">
        <f>Tabla35[[#This Row],[COLOR CARTA]]-Tabla34[[#This Row],[COLOR CARTA]]</f>
        <v>0</v>
      </c>
      <c r="AA372">
        <f>Tabla35[[#This Row],[COLOR OFICIO]]-Tabla34[[#This Row],[COLOR OFICIO]]</f>
        <v>0</v>
      </c>
      <c r="AB372">
        <f>Tabla35[[#This Row],[ENVIAR]]-Tabla34[[#This Row],[ENVIAR]]</f>
        <v>5570</v>
      </c>
      <c r="AC372">
        <f>Tabla35[[#This Row],[COPIAR]]-Tabla34[[#This Row],[COPIAR]]</f>
        <v>4312</v>
      </c>
    </row>
    <row r="373" spans="1:29" x14ac:dyDescent="0.25">
      <c r="A373" t="s">
        <v>10</v>
      </c>
      <c r="B373" t="s">
        <v>426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K373" t="s">
        <v>10</v>
      </c>
      <c r="L373" t="s">
        <v>428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U373" t="s">
        <v>10</v>
      </c>
      <c r="V373" t="s">
        <v>428</v>
      </c>
      <c r="W373">
        <f>Tabla35[[#This Row],[BN CARTA]]-Tabla34[[#This Row],[BN CARTA]]</f>
        <v>0</v>
      </c>
      <c r="X373">
        <f>Tabla35[[#This Row],[BN OFICIO]]-Tabla34[[#This Row],[BN OFICIO]]</f>
        <v>0</v>
      </c>
      <c r="Y373">
        <f>Tabla35[[#This Row],[BN DC]]-Tabla34[[#This Row],[BN DC]]</f>
        <v>0</v>
      </c>
      <c r="Z373">
        <f>Tabla35[[#This Row],[COLOR CARTA]]-Tabla34[[#This Row],[COLOR CARTA]]</f>
        <v>0</v>
      </c>
      <c r="AA373">
        <f>Tabla35[[#This Row],[COLOR OFICIO]]-Tabla34[[#This Row],[COLOR OFICIO]]</f>
        <v>0</v>
      </c>
      <c r="AB373">
        <f>Tabla35[[#This Row],[ENVIAR]]-Tabla34[[#This Row],[ENVIAR]]</f>
        <v>0</v>
      </c>
      <c r="AC373">
        <f>Tabla35[[#This Row],[COPIAR]]-Tabla34[[#This Row],[COPIAR]]</f>
        <v>0</v>
      </c>
    </row>
    <row r="374" spans="1:29" x14ac:dyDescent="0.25">
      <c r="A374" t="s">
        <v>10</v>
      </c>
      <c r="B374" t="s">
        <v>427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K374" t="s">
        <v>791</v>
      </c>
      <c r="L374" t="s">
        <v>429</v>
      </c>
      <c r="M374">
        <v>290</v>
      </c>
      <c r="N374">
        <v>0</v>
      </c>
      <c r="O374">
        <v>0</v>
      </c>
      <c r="P374">
        <v>0</v>
      </c>
      <c r="Q374">
        <v>0</v>
      </c>
      <c r="R374">
        <v>27</v>
      </c>
      <c r="S374">
        <v>92</v>
      </c>
      <c r="U374" t="s">
        <v>791</v>
      </c>
      <c r="V374" t="s">
        <v>429</v>
      </c>
      <c r="W374">
        <f>Tabla35[[#This Row],[BN CARTA]]-Tabla34[[#This Row],[BN CARTA]]</f>
        <v>290</v>
      </c>
      <c r="X374">
        <f>Tabla35[[#This Row],[BN OFICIO]]-Tabla34[[#This Row],[BN OFICIO]]</f>
        <v>0</v>
      </c>
      <c r="Y374">
        <f>Tabla35[[#This Row],[BN DC]]-Tabla34[[#This Row],[BN DC]]</f>
        <v>0</v>
      </c>
      <c r="Z374">
        <f>Tabla35[[#This Row],[COLOR CARTA]]-Tabla34[[#This Row],[COLOR CARTA]]</f>
        <v>0</v>
      </c>
      <c r="AA374">
        <f>Tabla35[[#This Row],[COLOR OFICIO]]-Tabla34[[#This Row],[COLOR OFICIO]]</f>
        <v>0</v>
      </c>
      <c r="AB374">
        <f>Tabla35[[#This Row],[ENVIAR]]-Tabla34[[#This Row],[ENVIAR]]</f>
        <v>27</v>
      </c>
      <c r="AC374">
        <f>Tabla35[[#This Row],[COPIAR]]-Tabla34[[#This Row],[COPIAR]]</f>
        <v>92</v>
      </c>
    </row>
    <row r="375" spans="1:29" x14ac:dyDescent="0.25">
      <c r="A375" t="s">
        <v>10</v>
      </c>
      <c r="B375" t="s">
        <v>428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K375" t="s">
        <v>788</v>
      </c>
      <c r="L375" t="s">
        <v>430</v>
      </c>
      <c r="M375">
        <v>1699</v>
      </c>
      <c r="N375">
        <v>0</v>
      </c>
      <c r="O375">
        <v>0</v>
      </c>
      <c r="P375">
        <v>0</v>
      </c>
      <c r="Q375">
        <v>0</v>
      </c>
      <c r="R375">
        <v>493</v>
      </c>
      <c r="S375">
        <v>429</v>
      </c>
      <c r="U375" t="s">
        <v>788</v>
      </c>
      <c r="V375" t="s">
        <v>430</v>
      </c>
      <c r="W375">
        <f>Tabla35[[#This Row],[BN CARTA]]-Tabla34[[#This Row],[BN CARTA]]</f>
        <v>1699</v>
      </c>
      <c r="X375">
        <f>Tabla35[[#This Row],[BN OFICIO]]-Tabla34[[#This Row],[BN OFICIO]]</f>
        <v>0</v>
      </c>
      <c r="Y375">
        <f>Tabla35[[#This Row],[BN DC]]-Tabla34[[#This Row],[BN DC]]</f>
        <v>0</v>
      </c>
      <c r="Z375">
        <f>Tabla35[[#This Row],[COLOR CARTA]]-Tabla34[[#This Row],[COLOR CARTA]]</f>
        <v>0</v>
      </c>
      <c r="AA375">
        <f>Tabla35[[#This Row],[COLOR OFICIO]]-Tabla34[[#This Row],[COLOR OFICIO]]</f>
        <v>0</v>
      </c>
      <c r="AB375">
        <f>Tabla35[[#This Row],[ENVIAR]]-Tabla34[[#This Row],[ENVIAR]]</f>
        <v>493</v>
      </c>
      <c r="AC375">
        <f>Tabla35[[#This Row],[COPIAR]]-Tabla34[[#This Row],[COPIAR]]</f>
        <v>429</v>
      </c>
    </row>
    <row r="376" spans="1:29" x14ac:dyDescent="0.25">
      <c r="A376" t="s">
        <v>10</v>
      </c>
      <c r="B376" t="s">
        <v>429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K376" t="s">
        <v>10</v>
      </c>
      <c r="L376" t="s">
        <v>431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U376" t="s">
        <v>10</v>
      </c>
      <c r="V376" t="s">
        <v>431</v>
      </c>
      <c r="W376">
        <f>Tabla35[[#This Row],[BN CARTA]]-Tabla34[[#This Row],[BN CARTA]]</f>
        <v>0</v>
      </c>
      <c r="X376">
        <f>Tabla35[[#This Row],[BN OFICIO]]-Tabla34[[#This Row],[BN OFICIO]]</f>
        <v>0</v>
      </c>
      <c r="Y376">
        <f>Tabla35[[#This Row],[BN DC]]-Tabla34[[#This Row],[BN DC]]</f>
        <v>0</v>
      </c>
      <c r="Z376">
        <f>Tabla35[[#This Row],[COLOR CARTA]]-Tabla34[[#This Row],[COLOR CARTA]]</f>
        <v>0</v>
      </c>
      <c r="AA376">
        <f>Tabla35[[#This Row],[COLOR OFICIO]]-Tabla34[[#This Row],[COLOR OFICIO]]</f>
        <v>0</v>
      </c>
      <c r="AB376">
        <f>Tabla35[[#This Row],[ENVIAR]]-Tabla34[[#This Row],[ENVIAR]]</f>
        <v>0</v>
      </c>
      <c r="AC376">
        <f>Tabla35[[#This Row],[COPIAR]]-Tabla34[[#This Row],[COPIAR]]</f>
        <v>0</v>
      </c>
    </row>
    <row r="377" spans="1:29" x14ac:dyDescent="0.25">
      <c r="A377" t="s">
        <v>10</v>
      </c>
      <c r="B377" t="s">
        <v>430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K377" t="s">
        <v>10</v>
      </c>
      <c r="L377" t="s">
        <v>432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U377" t="s">
        <v>10</v>
      </c>
      <c r="V377" t="s">
        <v>432</v>
      </c>
      <c r="W377">
        <f>Tabla35[[#This Row],[BN CARTA]]-Tabla34[[#This Row],[BN CARTA]]</f>
        <v>0</v>
      </c>
      <c r="X377">
        <f>Tabla35[[#This Row],[BN OFICIO]]-Tabla34[[#This Row],[BN OFICIO]]</f>
        <v>0</v>
      </c>
      <c r="Y377">
        <f>Tabla35[[#This Row],[BN DC]]-Tabla34[[#This Row],[BN DC]]</f>
        <v>0</v>
      </c>
      <c r="Z377">
        <f>Tabla35[[#This Row],[COLOR CARTA]]-Tabla34[[#This Row],[COLOR CARTA]]</f>
        <v>0</v>
      </c>
      <c r="AA377">
        <f>Tabla35[[#This Row],[COLOR OFICIO]]-Tabla34[[#This Row],[COLOR OFICIO]]</f>
        <v>0</v>
      </c>
      <c r="AB377">
        <f>Tabla35[[#This Row],[ENVIAR]]-Tabla34[[#This Row],[ENVIAR]]</f>
        <v>0</v>
      </c>
      <c r="AC377">
        <f>Tabla35[[#This Row],[COPIAR]]-Tabla34[[#This Row],[COPIAR]]</f>
        <v>0</v>
      </c>
    </row>
    <row r="378" spans="1:29" x14ac:dyDescent="0.25">
      <c r="A378" t="s">
        <v>10</v>
      </c>
      <c r="B378" t="s">
        <v>431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K378" t="s">
        <v>226</v>
      </c>
      <c r="L378" t="s">
        <v>433</v>
      </c>
      <c r="M378">
        <v>1136</v>
      </c>
      <c r="N378">
        <v>0</v>
      </c>
      <c r="O378">
        <v>0</v>
      </c>
      <c r="P378">
        <v>0</v>
      </c>
      <c r="Q378">
        <v>0</v>
      </c>
      <c r="R378">
        <v>15</v>
      </c>
      <c r="S378">
        <v>217</v>
      </c>
      <c r="U378" t="s">
        <v>226</v>
      </c>
      <c r="V378" t="s">
        <v>433</v>
      </c>
      <c r="W378">
        <f>Tabla35[[#This Row],[BN CARTA]]-Tabla34[[#This Row],[BN CARTA]]</f>
        <v>1136</v>
      </c>
      <c r="X378">
        <f>Tabla35[[#This Row],[BN OFICIO]]-Tabla34[[#This Row],[BN OFICIO]]</f>
        <v>0</v>
      </c>
      <c r="Y378">
        <f>Tabla35[[#This Row],[BN DC]]-Tabla34[[#This Row],[BN DC]]</f>
        <v>0</v>
      </c>
      <c r="Z378">
        <f>Tabla35[[#This Row],[COLOR CARTA]]-Tabla34[[#This Row],[COLOR CARTA]]</f>
        <v>0</v>
      </c>
      <c r="AA378">
        <f>Tabla35[[#This Row],[COLOR OFICIO]]-Tabla34[[#This Row],[COLOR OFICIO]]</f>
        <v>0</v>
      </c>
      <c r="AB378">
        <f>Tabla35[[#This Row],[ENVIAR]]-Tabla34[[#This Row],[ENVIAR]]</f>
        <v>15</v>
      </c>
      <c r="AC378">
        <f>Tabla35[[#This Row],[COPIAR]]-Tabla34[[#This Row],[COPIAR]]</f>
        <v>217</v>
      </c>
    </row>
    <row r="379" spans="1:29" x14ac:dyDescent="0.25">
      <c r="A379" t="s">
        <v>10</v>
      </c>
      <c r="B379" t="s">
        <v>432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K379" t="s">
        <v>131</v>
      </c>
      <c r="L379" t="s">
        <v>434</v>
      </c>
      <c r="M379">
        <v>73</v>
      </c>
      <c r="N379">
        <v>0</v>
      </c>
      <c r="O379">
        <v>0</v>
      </c>
      <c r="P379">
        <v>0</v>
      </c>
      <c r="Q379">
        <v>0</v>
      </c>
      <c r="R379">
        <v>314</v>
      </c>
      <c r="S379">
        <v>32</v>
      </c>
      <c r="U379" t="s">
        <v>131</v>
      </c>
      <c r="V379" t="s">
        <v>434</v>
      </c>
      <c r="W379">
        <f>Tabla35[[#This Row],[BN CARTA]]-Tabla34[[#This Row],[BN CARTA]]</f>
        <v>73</v>
      </c>
      <c r="X379">
        <f>Tabla35[[#This Row],[BN OFICIO]]-Tabla34[[#This Row],[BN OFICIO]]</f>
        <v>0</v>
      </c>
      <c r="Y379">
        <f>Tabla35[[#This Row],[BN DC]]-Tabla34[[#This Row],[BN DC]]</f>
        <v>0</v>
      </c>
      <c r="Z379">
        <f>Tabla35[[#This Row],[COLOR CARTA]]-Tabla34[[#This Row],[COLOR CARTA]]</f>
        <v>0</v>
      </c>
      <c r="AA379">
        <f>Tabla35[[#This Row],[COLOR OFICIO]]-Tabla34[[#This Row],[COLOR OFICIO]]</f>
        <v>0</v>
      </c>
      <c r="AB379">
        <f>Tabla35[[#This Row],[ENVIAR]]-Tabla34[[#This Row],[ENVIAR]]</f>
        <v>314</v>
      </c>
      <c r="AC379">
        <f>Tabla35[[#This Row],[COPIAR]]-Tabla34[[#This Row],[COPIAR]]</f>
        <v>32</v>
      </c>
    </row>
    <row r="380" spans="1:29" x14ac:dyDescent="0.25">
      <c r="A380" t="s">
        <v>226</v>
      </c>
      <c r="B380" t="s">
        <v>433</v>
      </c>
      <c r="C380">
        <v>1136</v>
      </c>
      <c r="D380">
        <v>0</v>
      </c>
      <c r="E380">
        <v>0</v>
      </c>
      <c r="F380">
        <v>0</v>
      </c>
      <c r="G380">
        <v>0</v>
      </c>
      <c r="H380">
        <v>15</v>
      </c>
      <c r="I380">
        <v>217</v>
      </c>
      <c r="K380" t="s">
        <v>10</v>
      </c>
      <c r="L380" t="s">
        <v>435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U380" t="s">
        <v>10</v>
      </c>
      <c r="V380" t="s">
        <v>435</v>
      </c>
      <c r="W380">
        <f>Tabla35[[#This Row],[BN CARTA]]-Tabla34[[#This Row],[BN CARTA]]</f>
        <v>-1136</v>
      </c>
      <c r="X380">
        <f>Tabla35[[#This Row],[BN OFICIO]]-Tabla34[[#This Row],[BN OFICIO]]</f>
        <v>0</v>
      </c>
      <c r="Y380">
        <f>Tabla35[[#This Row],[BN DC]]-Tabla34[[#This Row],[BN DC]]</f>
        <v>0</v>
      </c>
      <c r="Z380">
        <f>Tabla35[[#This Row],[COLOR CARTA]]-Tabla34[[#This Row],[COLOR CARTA]]</f>
        <v>0</v>
      </c>
      <c r="AA380">
        <f>Tabla35[[#This Row],[COLOR OFICIO]]-Tabla34[[#This Row],[COLOR OFICIO]]</f>
        <v>0</v>
      </c>
      <c r="AB380">
        <f>Tabla35[[#This Row],[ENVIAR]]-Tabla34[[#This Row],[ENVIAR]]</f>
        <v>-15</v>
      </c>
      <c r="AC380">
        <f>Tabla35[[#This Row],[COPIAR]]-Tabla34[[#This Row],[COPIAR]]</f>
        <v>-217</v>
      </c>
    </row>
    <row r="381" spans="1:29" x14ac:dyDescent="0.25">
      <c r="A381" t="s">
        <v>131</v>
      </c>
      <c r="B381" t="s">
        <v>434</v>
      </c>
      <c r="C381">
        <v>73</v>
      </c>
      <c r="D381">
        <v>0</v>
      </c>
      <c r="E381">
        <v>0</v>
      </c>
      <c r="F381">
        <v>0</v>
      </c>
      <c r="G381">
        <v>0</v>
      </c>
      <c r="H381">
        <v>314</v>
      </c>
      <c r="I381">
        <v>32</v>
      </c>
      <c r="K381" t="s">
        <v>138</v>
      </c>
      <c r="L381" t="s">
        <v>436</v>
      </c>
      <c r="M381">
        <v>1749</v>
      </c>
      <c r="N381">
        <v>42</v>
      </c>
      <c r="O381">
        <v>0</v>
      </c>
      <c r="P381">
        <v>0</v>
      </c>
      <c r="Q381">
        <v>0</v>
      </c>
      <c r="R381">
        <v>3983</v>
      </c>
      <c r="S381">
        <v>142</v>
      </c>
      <c r="U381" t="s">
        <v>138</v>
      </c>
      <c r="V381" t="s">
        <v>436</v>
      </c>
      <c r="W381">
        <f>Tabla35[[#This Row],[BN CARTA]]-Tabla34[[#This Row],[BN CARTA]]</f>
        <v>1676</v>
      </c>
      <c r="X381">
        <f>Tabla35[[#This Row],[BN OFICIO]]-Tabla34[[#This Row],[BN OFICIO]]</f>
        <v>42</v>
      </c>
      <c r="Y381">
        <f>Tabla35[[#This Row],[BN DC]]-Tabla34[[#This Row],[BN DC]]</f>
        <v>0</v>
      </c>
      <c r="Z381">
        <f>Tabla35[[#This Row],[COLOR CARTA]]-Tabla34[[#This Row],[COLOR CARTA]]</f>
        <v>0</v>
      </c>
      <c r="AA381">
        <f>Tabla35[[#This Row],[COLOR OFICIO]]-Tabla34[[#This Row],[COLOR OFICIO]]</f>
        <v>0</v>
      </c>
      <c r="AB381">
        <f>Tabla35[[#This Row],[ENVIAR]]-Tabla34[[#This Row],[ENVIAR]]</f>
        <v>3669</v>
      </c>
      <c r="AC381">
        <f>Tabla35[[#This Row],[COPIAR]]-Tabla34[[#This Row],[COPIAR]]</f>
        <v>110</v>
      </c>
    </row>
    <row r="382" spans="1:29" x14ac:dyDescent="0.25">
      <c r="A382" t="s">
        <v>10</v>
      </c>
      <c r="B382" t="s">
        <v>435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K382" t="s">
        <v>305</v>
      </c>
      <c r="L382" t="s">
        <v>437</v>
      </c>
      <c r="M382">
        <v>2220</v>
      </c>
      <c r="N382">
        <v>0</v>
      </c>
      <c r="O382">
        <v>0</v>
      </c>
      <c r="P382">
        <v>0</v>
      </c>
      <c r="Q382">
        <v>0</v>
      </c>
      <c r="R382">
        <v>5231</v>
      </c>
      <c r="S382">
        <v>651</v>
      </c>
      <c r="U382" t="s">
        <v>305</v>
      </c>
      <c r="V382" t="s">
        <v>437</v>
      </c>
      <c r="W382">
        <f>Tabla35[[#This Row],[BN CARTA]]-Tabla34[[#This Row],[BN CARTA]]</f>
        <v>2220</v>
      </c>
      <c r="X382">
        <f>Tabla35[[#This Row],[BN OFICIO]]-Tabla34[[#This Row],[BN OFICIO]]</f>
        <v>0</v>
      </c>
      <c r="Y382">
        <f>Tabla35[[#This Row],[BN DC]]-Tabla34[[#This Row],[BN DC]]</f>
        <v>0</v>
      </c>
      <c r="Z382">
        <f>Tabla35[[#This Row],[COLOR CARTA]]-Tabla34[[#This Row],[COLOR CARTA]]</f>
        <v>0</v>
      </c>
      <c r="AA382">
        <f>Tabla35[[#This Row],[COLOR OFICIO]]-Tabla34[[#This Row],[COLOR OFICIO]]</f>
        <v>0</v>
      </c>
      <c r="AB382">
        <f>Tabla35[[#This Row],[ENVIAR]]-Tabla34[[#This Row],[ENVIAR]]</f>
        <v>5231</v>
      </c>
      <c r="AC382">
        <f>Tabla35[[#This Row],[COPIAR]]-Tabla34[[#This Row],[COPIAR]]</f>
        <v>651</v>
      </c>
    </row>
    <row r="383" spans="1:29" x14ac:dyDescent="0.25">
      <c r="A383" t="s">
        <v>138</v>
      </c>
      <c r="B383" t="s">
        <v>436</v>
      </c>
      <c r="C383">
        <v>1749</v>
      </c>
      <c r="D383">
        <v>42</v>
      </c>
      <c r="E383">
        <v>0</v>
      </c>
      <c r="F383">
        <v>0</v>
      </c>
      <c r="G383">
        <v>0</v>
      </c>
      <c r="H383">
        <v>3983</v>
      </c>
      <c r="I383">
        <v>142</v>
      </c>
      <c r="K383" t="s">
        <v>10</v>
      </c>
      <c r="L383" t="s">
        <v>438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U383" t="s">
        <v>10</v>
      </c>
      <c r="V383" t="s">
        <v>438</v>
      </c>
      <c r="W383">
        <f>Tabla35[[#This Row],[BN CARTA]]-Tabla34[[#This Row],[BN CARTA]]</f>
        <v>-1749</v>
      </c>
      <c r="X383">
        <f>Tabla35[[#This Row],[BN OFICIO]]-Tabla34[[#This Row],[BN OFICIO]]</f>
        <v>-42</v>
      </c>
      <c r="Y383">
        <f>Tabla35[[#This Row],[BN DC]]-Tabla34[[#This Row],[BN DC]]</f>
        <v>0</v>
      </c>
      <c r="Z383">
        <f>Tabla35[[#This Row],[COLOR CARTA]]-Tabla34[[#This Row],[COLOR CARTA]]</f>
        <v>0</v>
      </c>
      <c r="AA383">
        <f>Tabla35[[#This Row],[COLOR OFICIO]]-Tabla34[[#This Row],[COLOR OFICIO]]</f>
        <v>0</v>
      </c>
      <c r="AB383">
        <f>Tabla35[[#This Row],[ENVIAR]]-Tabla34[[#This Row],[ENVIAR]]</f>
        <v>-3983</v>
      </c>
      <c r="AC383">
        <f>Tabla35[[#This Row],[COPIAR]]-Tabla34[[#This Row],[COPIAR]]</f>
        <v>-142</v>
      </c>
    </row>
    <row r="384" spans="1:29" x14ac:dyDescent="0.25">
      <c r="A384" t="s">
        <v>229</v>
      </c>
      <c r="B384" t="s">
        <v>437</v>
      </c>
      <c r="C384">
        <v>492</v>
      </c>
      <c r="D384">
        <v>0</v>
      </c>
      <c r="E384">
        <v>0</v>
      </c>
      <c r="F384">
        <v>0</v>
      </c>
      <c r="G384">
        <v>0</v>
      </c>
      <c r="H384">
        <v>515</v>
      </c>
      <c r="I384">
        <v>108</v>
      </c>
      <c r="K384" t="s">
        <v>10</v>
      </c>
      <c r="L384" t="s">
        <v>439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U384" t="s">
        <v>10</v>
      </c>
      <c r="V384" t="s">
        <v>439</v>
      </c>
      <c r="W384">
        <f>Tabla35[[#This Row],[BN CARTA]]-Tabla34[[#This Row],[BN CARTA]]</f>
        <v>-492</v>
      </c>
      <c r="X384">
        <f>Tabla35[[#This Row],[BN OFICIO]]-Tabla34[[#This Row],[BN OFICIO]]</f>
        <v>0</v>
      </c>
      <c r="Y384">
        <f>Tabla35[[#This Row],[BN DC]]-Tabla34[[#This Row],[BN DC]]</f>
        <v>0</v>
      </c>
      <c r="Z384">
        <f>Tabla35[[#This Row],[COLOR CARTA]]-Tabla34[[#This Row],[COLOR CARTA]]</f>
        <v>0</v>
      </c>
      <c r="AA384">
        <f>Tabla35[[#This Row],[COLOR OFICIO]]-Tabla34[[#This Row],[COLOR OFICIO]]</f>
        <v>0</v>
      </c>
      <c r="AB384">
        <f>Tabla35[[#This Row],[ENVIAR]]-Tabla34[[#This Row],[ENVIAR]]</f>
        <v>-515</v>
      </c>
      <c r="AC384">
        <f>Tabla35[[#This Row],[COPIAR]]-Tabla34[[#This Row],[COPIAR]]</f>
        <v>-108</v>
      </c>
    </row>
    <row r="385" spans="1:29" x14ac:dyDescent="0.25">
      <c r="A385" t="s">
        <v>10</v>
      </c>
      <c r="B385" t="s">
        <v>438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K385" t="s">
        <v>83</v>
      </c>
      <c r="L385" t="s">
        <v>440</v>
      </c>
      <c r="M385">
        <v>192</v>
      </c>
      <c r="N385">
        <v>0</v>
      </c>
      <c r="O385">
        <v>0</v>
      </c>
      <c r="P385">
        <v>0</v>
      </c>
      <c r="Q385">
        <v>0</v>
      </c>
      <c r="R385">
        <v>1300</v>
      </c>
      <c r="S385">
        <v>46</v>
      </c>
      <c r="U385" t="s">
        <v>83</v>
      </c>
      <c r="V385" t="s">
        <v>440</v>
      </c>
      <c r="W385">
        <f>Tabla35[[#This Row],[BN CARTA]]-Tabla34[[#This Row],[BN CARTA]]</f>
        <v>192</v>
      </c>
      <c r="X385">
        <f>Tabla35[[#This Row],[BN OFICIO]]-Tabla34[[#This Row],[BN OFICIO]]</f>
        <v>0</v>
      </c>
      <c r="Y385">
        <f>Tabla35[[#This Row],[BN DC]]-Tabla34[[#This Row],[BN DC]]</f>
        <v>0</v>
      </c>
      <c r="Z385">
        <f>Tabla35[[#This Row],[COLOR CARTA]]-Tabla34[[#This Row],[COLOR CARTA]]</f>
        <v>0</v>
      </c>
      <c r="AA385">
        <f>Tabla35[[#This Row],[COLOR OFICIO]]-Tabla34[[#This Row],[COLOR OFICIO]]</f>
        <v>0</v>
      </c>
      <c r="AB385">
        <f>Tabla35[[#This Row],[ENVIAR]]-Tabla34[[#This Row],[ENVIAR]]</f>
        <v>1300</v>
      </c>
      <c r="AC385">
        <f>Tabla35[[#This Row],[COPIAR]]-Tabla34[[#This Row],[COPIAR]]</f>
        <v>46</v>
      </c>
    </row>
    <row r="386" spans="1:29" x14ac:dyDescent="0.25">
      <c r="A386" t="s">
        <v>10</v>
      </c>
      <c r="B386" s="1" t="s">
        <v>780</v>
      </c>
      <c r="K386" t="s">
        <v>10</v>
      </c>
      <c r="L386" t="s">
        <v>441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U386" t="s">
        <v>10</v>
      </c>
      <c r="V386" t="s">
        <v>441</v>
      </c>
      <c r="W386">
        <f>Tabla35[[#This Row],[BN CARTA]]-Tabla34[[#This Row],[BN CARTA]]</f>
        <v>0</v>
      </c>
      <c r="X386">
        <f>Tabla35[[#This Row],[BN OFICIO]]-Tabla34[[#This Row],[BN OFICIO]]</f>
        <v>0</v>
      </c>
      <c r="Y386">
        <f>Tabla35[[#This Row],[BN DC]]-Tabla34[[#This Row],[BN DC]]</f>
        <v>0</v>
      </c>
      <c r="Z386">
        <f>Tabla35[[#This Row],[COLOR CARTA]]-Tabla34[[#This Row],[COLOR CARTA]]</f>
        <v>0</v>
      </c>
      <c r="AA386">
        <f>Tabla35[[#This Row],[COLOR OFICIO]]-Tabla34[[#This Row],[COLOR OFICIO]]</f>
        <v>0</v>
      </c>
      <c r="AB386">
        <f>Tabla35[[#This Row],[ENVIAR]]-Tabla34[[#This Row],[ENVIAR]]</f>
        <v>0</v>
      </c>
      <c r="AC386">
        <f>Tabla35[[#This Row],[COPIAR]]-Tabla34[[#This Row],[COPIAR]]</f>
        <v>0</v>
      </c>
    </row>
    <row r="387" spans="1:29" x14ac:dyDescent="0.25">
      <c r="A387" t="s">
        <v>10</v>
      </c>
      <c r="B387" t="s">
        <v>439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K387" t="s">
        <v>794</v>
      </c>
      <c r="L387" t="s">
        <v>442</v>
      </c>
      <c r="M387">
        <v>2899</v>
      </c>
      <c r="N387">
        <v>2</v>
      </c>
      <c r="O387">
        <v>0</v>
      </c>
      <c r="P387">
        <v>0</v>
      </c>
      <c r="Q387">
        <v>0</v>
      </c>
      <c r="R387">
        <v>2092</v>
      </c>
      <c r="S387">
        <v>1127</v>
      </c>
      <c r="U387" t="s">
        <v>794</v>
      </c>
      <c r="V387" t="s">
        <v>442</v>
      </c>
      <c r="W387">
        <f>Tabla35[[#This Row],[BN CARTA]]-Tabla34[[#This Row],[BN CARTA]]</f>
        <v>2899</v>
      </c>
      <c r="X387">
        <f>Tabla35[[#This Row],[BN OFICIO]]-Tabla34[[#This Row],[BN OFICIO]]</f>
        <v>2</v>
      </c>
      <c r="Y387">
        <f>Tabla35[[#This Row],[BN DC]]-Tabla34[[#This Row],[BN DC]]</f>
        <v>0</v>
      </c>
      <c r="Z387">
        <f>Tabla35[[#This Row],[COLOR CARTA]]-Tabla34[[#This Row],[COLOR CARTA]]</f>
        <v>0</v>
      </c>
      <c r="AA387">
        <f>Tabla35[[#This Row],[COLOR OFICIO]]-Tabla34[[#This Row],[COLOR OFICIO]]</f>
        <v>0</v>
      </c>
      <c r="AB387">
        <f>Tabla35[[#This Row],[ENVIAR]]-Tabla34[[#This Row],[ENVIAR]]</f>
        <v>2092</v>
      </c>
      <c r="AC387">
        <f>Tabla35[[#This Row],[COPIAR]]-Tabla34[[#This Row],[COPIAR]]</f>
        <v>1127</v>
      </c>
    </row>
    <row r="388" spans="1:29" x14ac:dyDescent="0.25">
      <c r="A388" t="s">
        <v>83</v>
      </c>
      <c r="B388" t="s">
        <v>440</v>
      </c>
      <c r="C388">
        <v>192</v>
      </c>
      <c r="D388">
        <v>0</v>
      </c>
      <c r="E388">
        <v>0</v>
      </c>
      <c r="F388">
        <v>0</v>
      </c>
      <c r="G388">
        <v>0</v>
      </c>
      <c r="H388">
        <v>1300</v>
      </c>
      <c r="I388">
        <v>46</v>
      </c>
      <c r="K388" t="s">
        <v>796</v>
      </c>
      <c r="L388" t="s">
        <v>443</v>
      </c>
      <c r="M388">
        <v>4313</v>
      </c>
      <c r="N388">
        <v>1</v>
      </c>
      <c r="O388">
        <v>0</v>
      </c>
      <c r="P388">
        <v>0</v>
      </c>
      <c r="Q388">
        <v>0</v>
      </c>
      <c r="R388">
        <v>6060</v>
      </c>
      <c r="S388">
        <v>605</v>
      </c>
      <c r="U388" t="s">
        <v>796</v>
      </c>
      <c r="V388" t="s">
        <v>443</v>
      </c>
      <c r="W388">
        <f>Tabla35[[#This Row],[BN CARTA]]-Tabla34[[#This Row],[BN CARTA]]</f>
        <v>4121</v>
      </c>
      <c r="X388">
        <f>Tabla35[[#This Row],[BN OFICIO]]-Tabla34[[#This Row],[BN OFICIO]]</f>
        <v>1</v>
      </c>
      <c r="Y388">
        <f>Tabla35[[#This Row],[BN DC]]-Tabla34[[#This Row],[BN DC]]</f>
        <v>0</v>
      </c>
      <c r="Z388">
        <f>Tabla35[[#This Row],[COLOR CARTA]]-Tabla34[[#This Row],[COLOR CARTA]]</f>
        <v>0</v>
      </c>
      <c r="AA388">
        <f>Tabla35[[#This Row],[COLOR OFICIO]]-Tabla34[[#This Row],[COLOR OFICIO]]</f>
        <v>0</v>
      </c>
      <c r="AB388">
        <f>Tabla35[[#This Row],[ENVIAR]]-Tabla34[[#This Row],[ENVIAR]]</f>
        <v>4760</v>
      </c>
      <c r="AC388">
        <f>Tabla35[[#This Row],[COPIAR]]-Tabla34[[#This Row],[COPIAR]]</f>
        <v>559</v>
      </c>
    </row>
    <row r="389" spans="1:29" x14ac:dyDescent="0.25">
      <c r="A389" t="s">
        <v>10</v>
      </c>
      <c r="B389" t="s">
        <v>441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K389" t="s">
        <v>794</v>
      </c>
      <c r="L389" t="s">
        <v>444</v>
      </c>
      <c r="M389">
        <v>3586</v>
      </c>
      <c r="N389">
        <v>39</v>
      </c>
      <c r="O389">
        <v>0</v>
      </c>
      <c r="P389">
        <v>0</v>
      </c>
      <c r="Q389">
        <v>0</v>
      </c>
      <c r="R389">
        <v>404</v>
      </c>
      <c r="S389">
        <v>523</v>
      </c>
      <c r="U389" t="s">
        <v>794</v>
      </c>
      <c r="V389" t="s">
        <v>444</v>
      </c>
      <c r="W389">
        <f>Tabla35[[#This Row],[BN CARTA]]-Tabla34[[#This Row],[BN CARTA]]</f>
        <v>3586</v>
      </c>
      <c r="X389">
        <f>Tabla35[[#This Row],[BN OFICIO]]-Tabla34[[#This Row],[BN OFICIO]]</f>
        <v>39</v>
      </c>
      <c r="Y389">
        <f>Tabla35[[#This Row],[BN DC]]-Tabla34[[#This Row],[BN DC]]</f>
        <v>0</v>
      </c>
      <c r="Z389">
        <f>Tabla35[[#This Row],[COLOR CARTA]]-Tabla34[[#This Row],[COLOR CARTA]]</f>
        <v>0</v>
      </c>
      <c r="AA389">
        <f>Tabla35[[#This Row],[COLOR OFICIO]]-Tabla34[[#This Row],[COLOR OFICIO]]</f>
        <v>0</v>
      </c>
      <c r="AB389">
        <f>Tabla35[[#This Row],[ENVIAR]]-Tabla34[[#This Row],[ENVIAR]]</f>
        <v>404</v>
      </c>
      <c r="AC389">
        <f>Tabla35[[#This Row],[COPIAR]]-Tabla34[[#This Row],[COPIAR]]</f>
        <v>523</v>
      </c>
    </row>
    <row r="390" spans="1:29" x14ac:dyDescent="0.25">
      <c r="A390" t="s">
        <v>10</v>
      </c>
      <c r="B390" t="s">
        <v>442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K390" t="s">
        <v>10</v>
      </c>
      <c r="L390" t="s">
        <v>445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U390" t="s">
        <v>10</v>
      </c>
      <c r="V390" t="s">
        <v>445</v>
      </c>
      <c r="W390">
        <f>Tabla35[[#This Row],[BN CARTA]]-Tabla34[[#This Row],[BN CARTA]]</f>
        <v>0</v>
      </c>
      <c r="X390">
        <f>Tabla35[[#This Row],[BN OFICIO]]-Tabla34[[#This Row],[BN OFICIO]]</f>
        <v>0</v>
      </c>
      <c r="Y390">
        <f>Tabla35[[#This Row],[BN DC]]-Tabla34[[#This Row],[BN DC]]</f>
        <v>0</v>
      </c>
      <c r="Z390">
        <f>Tabla35[[#This Row],[COLOR CARTA]]-Tabla34[[#This Row],[COLOR CARTA]]</f>
        <v>0</v>
      </c>
      <c r="AA390">
        <f>Tabla35[[#This Row],[COLOR OFICIO]]-Tabla34[[#This Row],[COLOR OFICIO]]</f>
        <v>0</v>
      </c>
      <c r="AB390">
        <f>Tabla35[[#This Row],[ENVIAR]]-Tabla34[[#This Row],[ENVIAR]]</f>
        <v>0</v>
      </c>
      <c r="AC390">
        <f>Tabla35[[#This Row],[COPIAR]]-Tabla34[[#This Row],[COPIAR]]</f>
        <v>0</v>
      </c>
    </row>
    <row r="391" spans="1:29" x14ac:dyDescent="0.25">
      <c r="A391" t="s">
        <v>10</v>
      </c>
      <c r="B391" t="s">
        <v>443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K391" t="s">
        <v>792</v>
      </c>
      <c r="L391" t="s">
        <v>446</v>
      </c>
      <c r="M391">
        <v>261</v>
      </c>
      <c r="N391">
        <v>0</v>
      </c>
      <c r="O391">
        <v>0</v>
      </c>
      <c r="P391">
        <v>0</v>
      </c>
      <c r="Q391">
        <v>0</v>
      </c>
      <c r="R391">
        <v>10</v>
      </c>
      <c r="S391">
        <v>131</v>
      </c>
      <c r="U391" t="s">
        <v>792</v>
      </c>
      <c r="V391" t="s">
        <v>446</v>
      </c>
      <c r="W391">
        <f>Tabla35[[#This Row],[BN CARTA]]-Tabla34[[#This Row],[BN CARTA]]</f>
        <v>261</v>
      </c>
      <c r="X391">
        <f>Tabla35[[#This Row],[BN OFICIO]]-Tabla34[[#This Row],[BN OFICIO]]</f>
        <v>0</v>
      </c>
      <c r="Y391">
        <f>Tabla35[[#This Row],[BN DC]]-Tabla34[[#This Row],[BN DC]]</f>
        <v>0</v>
      </c>
      <c r="Z391">
        <f>Tabla35[[#This Row],[COLOR CARTA]]-Tabla34[[#This Row],[COLOR CARTA]]</f>
        <v>0</v>
      </c>
      <c r="AA391">
        <f>Tabla35[[#This Row],[COLOR OFICIO]]-Tabla34[[#This Row],[COLOR OFICIO]]</f>
        <v>0</v>
      </c>
      <c r="AB391">
        <f>Tabla35[[#This Row],[ENVIAR]]-Tabla34[[#This Row],[ENVIAR]]</f>
        <v>10</v>
      </c>
      <c r="AC391">
        <f>Tabla35[[#This Row],[COPIAR]]-Tabla34[[#This Row],[COPIAR]]</f>
        <v>131</v>
      </c>
    </row>
    <row r="392" spans="1:29" x14ac:dyDescent="0.25">
      <c r="A392" t="s">
        <v>10</v>
      </c>
      <c r="B392" t="s">
        <v>444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K392" t="s">
        <v>10</v>
      </c>
      <c r="L392" t="s">
        <v>447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U392" t="s">
        <v>10</v>
      </c>
      <c r="V392" t="s">
        <v>447</v>
      </c>
      <c r="W392">
        <f>Tabla35[[#This Row],[BN CARTA]]-Tabla34[[#This Row],[BN CARTA]]</f>
        <v>0</v>
      </c>
      <c r="X392">
        <f>Tabla35[[#This Row],[BN OFICIO]]-Tabla34[[#This Row],[BN OFICIO]]</f>
        <v>0</v>
      </c>
      <c r="Y392">
        <f>Tabla35[[#This Row],[BN DC]]-Tabla34[[#This Row],[BN DC]]</f>
        <v>0</v>
      </c>
      <c r="Z392">
        <f>Tabla35[[#This Row],[COLOR CARTA]]-Tabla34[[#This Row],[COLOR CARTA]]</f>
        <v>0</v>
      </c>
      <c r="AA392">
        <f>Tabla35[[#This Row],[COLOR OFICIO]]-Tabla34[[#This Row],[COLOR OFICIO]]</f>
        <v>0</v>
      </c>
      <c r="AB392">
        <f>Tabla35[[#This Row],[ENVIAR]]-Tabla34[[#This Row],[ENVIAR]]</f>
        <v>0</v>
      </c>
      <c r="AC392">
        <f>Tabla35[[#This Row],[COPIAR]]-Tabla34[[#This Row],[COPIAR]]</f>
        <v>0</v>
      </c>
    </row>
    <row r="393" spans="1:29" x14ac:dyDescent="0.25">
      <c r="A393" t="s">
        <v>10</v>
      </c>
      <c r="B393" t="s">
        <v>445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K393" t="s">
        <v>76</v>
      </c>
      <c r="L393" t="s">
        <v>448</v>
      </c>
      <c r="M393">
        <v>17540</v>
      </c>
      <c r="N393">
        <v>1</v>
      </c>
      <c r="O393">
        <v>0</v>
      </c>
      <c r="P393">
        <v>0</v>
      </c>
      <c r="Q393">
        <v>0</v>
      </c>
      <c r="R393">
        <v>12103</v>
      </c>
      <c r="S393">
        <v>1594</v>
      </c>
      <c r="U393" t="s">
        <v>76</v>
      </c>
      <c r="V393" t="s">
        <v>448</v>
      </c>
      <c r="W393">
        <f>Tabla35[[#This Row],[BN CARTA]]-Tabla34[[#This Row],[BN CARTA]]</f>
        <v>17540</v>
      </c>
      <c r="X393">
        <f>Tabla35[[#This Row],[BN OFICIO]]-Tabla34[[#This Row],[BN OFICIO]]</f>
        <v>1</v>
      </c>
      <c r="Y393">
        <f>Tabla35[[#This Row],[BN DC]]-Tabla34[[#This Row],[BN DC]]</f>
        <v>0</v>
      </c>
      <c r="Z393">
        <f>Tabla35[[#This Row],[COLOR CARTA]]-Tabla34[[#This Row],[COLOR CARTA]]</f>
        <v>0</v>
      </c>
      <c r="AA393">
        <f>Tabla35[[#This Row],[COLOR OFICIO]]-Tabla34[[#This Row],[COLOR OFICIO]]</f>
        <v>0</v>
      </c>
      <c r="AB393">
        <f>Tabla35[[#This Row],[ENVIAR]]-Tabla34[[#This Row],[ENVIAR]]</f>
        <v>12103</v>
      </c>
      <c r="AC393">
        <f>Tabla35[[#This Row],[COPIAR]]-Tabla34[[#This Row],[COPIAR]]</f>
        <v>1594</v>
      </c>
    </row>
    <row r="394" spans="1:29" x14ac:dyDescent="0.25">
      <c r="A394" t="s">
        <v>10</v>
      </c>
      <c r="B394" t="s">
        <v>446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K394" t="s">
        <v>10</v>
      </c>
      <c r="L394" t="s">
        <v>449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U394" t="s">
        <v>10</v>
      </c>
      <c r="V394" t="s">
        <v>449</v>
      </c>
      <c r="W394">
        <f>Tabla35[[#This Row],[BN CARTA]]-Tabla34[[#This Row],[BN CARTA]]</f>
        <v>0</v>
      </c>
      <c r="X394">
        <f>Tabla35[[#This Row],[BN OFICIO]]-Tabla34[[#This Row],[BN OFICIO]]</f>
        <v>0</v>
      </c>
      <c r="Y394">
        <f>Tabla35[[#This Row],[BN DC]]-Tabla34[[#This Row],[BN DC]]</f>
        <v>0</v>
      </c>
      <c r="Z394">
        <f>Tabla35[[#This Row],[COLOR CARTA]]-Tabla34[[#This Row],[COLOR CARTA]]</f>
        <v>0</v>
      </c>
      <c r="AA394">
        <f>Tabla35[[#This Row],[COLOR OFICIO]]-Tabla34[[#This Row],[COLOR OFICIO]]</f>
        <v>0</v>
      </c>
      <c r="AB394">
        <f>Tabla35[[#This Row],[ENVIAR]]-Tabla34[[#This Row],[ENVIAR]]</f>
        <v>0</v>
      </c>
      <c r="AC394">
        <f>Tabla35[[#This Row],[COPIAR]]-Tabla34[[#This Row],[COPIAR]]</f>
        <v>0</v>
      </c>
    </row>
    <row r="395" spans="1:29" x14ac:dyDescent="0.25">
      <c r="A395" t="s">
        <v>10</v>
      </c>
      <c r="B395" t="s">
        <v>447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K395" t="s">
        <v>788</v>
      </c>
      <c r="L395" t="s">
        <v>450</v>
      </c>
      <c r="M395">
        <v>2287</v>
      </c>
      <c r="N395">
        <v>146</v>
      </c>
      <c r="O395">
        <v>0</v>
      </c>
      <c r="P395">
        <v>0</v>
      </c>
      <c r="Q395">
        <v>0</v>
      </c>
      <c r="R395">
        <v>3030</v>
      </c>
      <c r="S395">
        <v>1125</v>
      </c>
      <c r="U395" t="s">
        <v>788</v>
      </c>
      <c r="V395" t="s">
        <v>450</v>
      </c>
      <c r="W395">
        <f>Tabla35[[#This Row],[BN CARTA]]-Tabla34[[#This Row],[BN CARTA]]</f>
        <v>2287</v>
      </c>
      <c r="X395">
        <f>Tabla35[[#This Row],[BN OFICIO]]-Tabla34[[#This Row],[BN OFICIO]]</f>
        <v>146</v>
      </c>
      <c r="Y395">
        <f>Tabla35[[#This Row],[BN DC]]-Tabla34[[#This Row],[BN DC]]</f>
        <v>0</v>
      </c>
      <c r="Z395">
        <f>Tabla35[[#This Row],[COLOR CARTA]]-Tabla34[[#This Row],[COLOR CARTA]]</f>
        <v>0</v>
      </c>
      <c r="AA395">
        <f>Tabla35[[#This Row],[COLOR OFICIO]]-Tabla34[[#This Row],[COLOR OFICIO]]</f>
        <v>0</v>
      </c>
      <c r="AB395">
        <f>Tabla35[[#This Row],[ENVIAR]]-Tabla34[[#This Row],[ENVIAR]]</f>
        <v>3030</v>
      </c>
      <c r="AC395">
        <f>Tabla35[[#This Row],[COPIAR]]-Tabla34[[#This Row],[COPIAR]]</f>
        <v>1125</v>
      </c>
    </row>
    <row r="396" spans="1:29" x14ac:dyDescent="0.25">
      <c r="A396" t="s">
        <v>76</v>
      </c>
      <c r="B396" t="s">
        <v>448</v>
      </c>
      <c r="C396">
        <v>6212</v>
      </c>
      <c r="D396">
        <v>0</v>
      </c>
      <c r="E396">
        <v>0</v>
      </c>
      <c r="F396">
        <v>0</v>
      </c>
      <c r="G396">
        <v>0</v>
      </c>
      <c r="H396">
        <v>6125</v>
      </c>
      <c r="I396">
        <v>445</v>
      </c>
      <c r="K396" t="s">
        <v>795</v>
      </c>
      <c r="L396" t="s">
        <v>451</v>
      </c>
      <c r="M396">
        <v>26772</v>
      </c>
      <c r="N396">
        <v>239</v>
      </c>
      <c r="O396">
        <v>0</v>
      </c>
      <c r="P396">
        <v>0</v>
      </c>
      <c r="Q396">
        <v>0</v>
      </c>
      <c r="R396">
        <v>4156</v>
      </c>
      <c r="S396">
        <v>13491</v>
      </c>
      <c r="U396" t="s">
        <v>795</v>
      </c>
      <c r="V396" t="s">
        <v>451</v>
      </c>
      <c r="W396">
        <f>Tabla35[[#This Row],[BN CARTA]]-Tabla34[[#This Row],[BN CARTA]]</f>
        <v>20560</v>
      </c>
      <c r="X396">
        <f>Tabla35[[#This Row],[BN OFICIO]]-Tabla34[[#This Row],[BN OFICIO]]</f>
        <v>239</v>
      </c>
      <c r="Y396">
        <f>Tabla35[[#This Row],[BN DC]]-Tabla34[[#This Row],[BN DC]]</f>
        <v>0</v>
      </c>
      <c r="Z396">
        <f>Tabla35[[#This Row],[COLOR CARTA]]-Tabla34[[#This Row],[COLOR CARTA]]</f>
        <v>0</v>
      </c>
      <c r="AA396">
        <f>Tabla35[[#This Row],[COLOR OFICIO]]-Tabla34[[#This Row],[COLOR OFICIO]]</f>
        <v>0</v>
      </c>
      <c r="AB396">
        <f>Tabla35[[#This Row],[ENVIAR]]-Tabla34[[#This Row],[ENVIAR]]</f>
        <v>-1969</v>
      </c>
      <c r="AC396">
        <f>Tabla35[[#This Row],[COPIAR]]-Tabla34[[#This Row],[COPIAR]]</f>
        <v>13046</v>
      </c>
    </row>
    <row r="397" spans="1:29" x14ac:dyDescent="0.25">
      <c r="A397" t="s">
        <v>10</v>
      </c>
      <c r="B397" t="s">
        <v>449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K397" t="s">
        <v>10</v>
      </c>
      <c r="L397" t="s">
        <v>452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U397" t="s">
        <v>10</v>
      </c>
      <c r="V397" t="s">
        <v>452</v>
      </c>
      <c r="W397">
        <f>Tabla35[[#This Row],[BN CARTA]]-Tabla34[[#This Row],[BN CARTA]]</f>
        <v>0</v>
      </c>
      <c r="X397">
        <f>Tabla35[[#This Row],[BN OFICIO]]-Tabla34[[#This Row],[BN OFICIO]]</f>
        <v>0</v>
      </c>
      <c r="Y397">
        <f>Tabla35[[#This Row],[BN DC]]-Tabla34[[#This Row],[BN DC]]</f>
        <v>0</v>
      </c>
      <c r="Z397">
        <f>Tabla35[[#This Row],[COLOR CARTA]]-Tabla34[[#This Row],[COLOR CARTA]]</f>
        <v>0</v>
      </c>
      <c r="AA397">
        <f>Tabla35[[#This Row],[COLOR OFICIO]]-Tabla34[[#This Row],[COLOR OFICIO]]</f>
        <v>0</v>
      </c>
      <c r="AB397">
        <f>Tabla35[[#This Row],[ENVIAR]]-Tabla34[[#This Row],[ENVIAR]]</f>
        <v>0</v>
      </c>
      <c r="AC397">
        <f>Tabla35[[#This Row],[COPIAR]]-Tabla34[[#This Row],[COPIAR]]</f>
        <v>0</v>
      </c>
    </row>
    <row r="398" spans="1:29" x14ac:dyDescent="0.25">
      <c r="A398" t="s">
        <v>10</v>
      </c>
      <c r="B398" t="s">
        <v>450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K398" t="s">
        <v>101</v>
      </c>
      <c r="L398" t="s">
        <v>453</v>
      </c>
      <c r="M398">
        <v>1967</v>
      </c>
      <c r="N398">
        <v>0</v>
      </c>
      <c r="O398">
        <v>0</v>
      </c>
      <c r="P398">
        <v>0</v>
      </c>
      <c r="Q398">
        <v>0</v>
      </c>
      <c r="R398">
        <v>229</v>
      </c>
      <c r="S398">
        <v>208</v>
      </c>
      <c r="U398" t="s">
        <v>101</v>
      </c>
      <c r="V398" t="s">
        <v>453</v>
      </c>
      <c r="W398">
        <f>Tabla35[[#This Row],[BN CARTA]]-Tabla34[[#This Row],[BN CARTA]]</f>
        <v>1967</v>
      </c>
      <c r="X398">
        <f>Tabla35[[#This Row],[BN OFICIO]]-Tabla34[[#This Row],[BN OFICIO]]</f>
        <v>0</v>
      </c>
      <c r="Y398">
        <f>Tabla35[[#This Row],[BN DC]]-Tabla34[[#This Row],[BN DC]]</f>
        <v>0</v>
      </c>
      <c r="Z398">
        <f>Tabla35[[#This Row],[COLOR CARTA]]-Tabla34[[#This Row],[COLOR CARTA]]</f>
        <v>0</v>
      </c>
      <c r="AA398">
        <f>Tabla35[[#This Row],[COLOR OFICIO]]-Tabla34[[#This Row],[COLOR OFICIO]]</f>
        <v>0</v>
      </c>
      <c r="AB398">
        <f>Tabla35[[#This Row],[ENVIAR]]-Tabla34[[#This Row],[ENVIAR]]</f>
        <v>229</v>
      </c>
      <c r="AC398">
        <f>Tabla35[[#This Row],[COPIAR]]-Tabla34[[#This Row],[COPIAR]]</f>
        <v>208</v>
      </c>
    </row>
    <row r="399" spans="1:29" x14ac:dyDescent="0.25">
      <c r="A399" t="s">
        <v>10</v>
      </c>
      <c r="B399" t="s">
        <v>451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K399" t="s">
        <v>265</v>
      </c>
      <c r="L399" t="s">
        <v>454</v>
      </c>
      <c r="M399">
        <v>25965</v>
      </c>
      <c r="N399">
        <v>18</v>
      </c>
      <c r="O399">
        <v>0</v>
      </c>
      <c r="P399">
        <v>0</v>
      </c>
      <c r="Q399">
        <v>0</v>
      </c>
      <c r="R399">
        <v>20052</v>
      </c>
      <c r="S399">
        <v>2496</v>
      </c>
      <c r="U399" t="s">
        <v>265</v>
      </c>
      <c r="V399" t="s">
        <v>454</v>
      </c>
      <c r="W399">
        <f>Tabla35[[#This Row],[BN CARTA]]-Tabla34[[#This Row],[BN CARTA]]</f>
        <v>25965</v>
      </c>
      <c r="X399">
        <f>Tabla35[[#This Row],[BN OFICIO]]-Tabla34[[#This Row],[BN OFICIO]]</f>
        <v>18</v>
      </c>
      <c r="Y399">
        <f>Tabla35[[#This Row],[BN DC]]-Tabla34[[#This Row],[BN DC]]</f>
        <v>0</v>
      </c>
      <c r="Z399">
        <f>Tabla35[[#This Row],[COLOR CARTA]]-Tabla34[[#This Row],[COLOR CARTA]]</f>
        <v>0</v>
      </c>
      <c r="AA399">
        <f>Tabla35[[#This Row],[COLOR OFICIO]]-Tabla34[[#This Row],[COLOR OFICIO]]</f>
        <v>0</v>
      </c>
      <c r="AB399">
        <f>Tabla35[[#This Row],[ENVIAR]]-Tabla34[[#This Row],[ENVIAR]]</f>
        <v>20052</v>
      </c>
      <c r="AC399">
        <f>Tabla35[[#This Row],[COPIAR]]-Tabla34[[#This Row],[COPIAR]]</f>
        <v>2496</v>
      </c>
    </row>
    <row r="400" spans="1:29" x14ac:dyDescent="0.25">
      <c r="A400" t="s">
        <v>10</v>
      </c>
      <c r="B400" t="s">
        <v>452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K400" t="s">
        <v>10</v>
      </c>
      <c r="L400" t="s">
        <v>455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U400" t="s">
        <v>10</v>
      </c>
      <c r="V400" t="s">
        <v>455</v>
      </c>
      <c r="W400">
        <f>Tabla35[[#This Row],[BN CARTA]]-Tabla34[[#This Row],[BN CARTA]]</f>
        <v>0</v>
      </c>
      <c r="X400">
        <f>Tabla35[[#This Row],[BN OFICIO]]-Tabla34[[#This Row],[BN OFICIO]]</f>
        <v>0</v>
      </c>
      <c r="Y400">
        <f>Tabla35[[#This Row],[BN DC]]-Tabla34[[#This Row],[BN DC]]</f>
        <v>0</v>
      </c>
      <c r="Z400">
        <f>Tabla35[[#This Row],[COLOR CARTA]]-Tabla34[[#This Row],[COLOR CARTA]]</f>
        <v>0</v>
      </c>
      <c r="AA400">
        <f>Tabla35[[#This Row],[COLOR OFICIO]]-Tabla34[[#This Row],[COLOR OFICIO]]</f>
        <v>0</v>
      </c>
      <c r="AB400">
        <f>Tabla35[[#This Row],[ENVIAR]]-Tabla34[[#This Row],[ENVIAR]]</f>
        <v>0</v>
      </c>
      <c r="AC400">
        <f>Tabla35[[#This Row],[COPIAR]]-Tabla34[[#This Row],[COPIAR]]</f>
        <v>0</v>
      </c>
    </row>
    <row r="401" spans="1:29" x14ac:dyDescent="0.25">
      <c r="A401" t="s">
        <v>101</v>
      </c>
      <c r="B401" t="s">
        <v>453</v>
      </c>
      <c r="C401">
        <v>1967</v>
      </c>
      <c r="D401">
        <v>0</v>
      </c>
      <c r="E401">
        <v>0</v>
      </c>
      <c r="F401">
        <v>0</v>
      </c>
      <c r="G401">
        <v>0</v>
      </c>
      <c r="H401">
        <v>229</v>
      </c>
      <c r="I401">
        <v>208</v>
      </c>
      <c r="K401" t="s">
        <v>76</v>
      </c>
      <c r="L401" t="s">
        <v>456</v>
      </c>
      <c r="M401">
        <v>9261</v>
      </c>
      <c r="N401">
        <v>0</v>
      </c>
      <c r="O401">
        <v>0</v>
      </c>
      <c r="P401">
        <v>0</v>
      </c>
      <c r="Q401">
        <v>0</v>
      </c>
      <c r="R401">
        <v>10212</v>
      </c>
      <c r="S401">
        <v>864</v>
      </c>
      <c r="U401" t="s">
        <v>76</v>
      </c>
      <c r="V401" t="s">
        <v>456</v>
      </c>
      <c r="W401">
        <f>Tabla35[[#This Row],[BN CARTA]]-Tabla34[[#This Row],[BN CARTA]]</f>
        <v>7294</v>
      </c>
      <c r="X401">
        <f>Tabla35[[#This Row],[BN OFICIO]]-Tabla34[[#This Row],[BN OFICIO]]</f>
        <v>0</v>
      </c>
      <c r="Y401">
        <f>Tabla35[[#This Row],[BN DC]]-Tabla34[[#This Row],[BN DC]]</f>
        <v>0</v>
      </c>
      <c r="Z401">
        <f>Tabla35[[#This Row],[COLOR CARTA]]-Tabla34[[#This Row],[COLOR CARTA]]</f>
        <v>0</v>
      </c>
      <c r="AA401">
        <f>Tabla35[[#This Row],[COLOR OFICIO]]-Tabla34[[#This Row],[COLOR OFICIO]]</f>
        <v>0</v>
      </c>
      <c r="AB401">
        <f>Tabla35[[#This Row],[ENVIAR]]-Tabla34[[#This Row],[ENVIAR]]</f>
        <v>9983</v>
      </c>
      <c r="AC401">
        <f>Tabla35[[#This Row],[COPIAR]]-Tabla34[[#This Row],[COPIAR]]</f>
        <v>656</v>
      </c>
    </row>
    <row r="402" spans="1:29" x14ac:dyDescent="0.25">
      <c r="A402" t="s">
        <v>265</v>
      </c>
      <c r="B402" t="s">
        <v>454</v>
      </c>
      <c r="C402">
        <v>4702</v>
      </c>
      <c r="D402">
        <v>0</v>
      </c>
      <c r="E402">
        <v>0</v>
      </c>
      <c r="F402">
        <v>0</v>
      </c>
      <c r="G402">
        <v>0</v>
      </c>
      <c r="H402">
        <v>394</v>
      </c>
      <c r="I402">
        <v>340</v>
      </c>
      <c r="K402" t="s">
        <v>76</v>
      </c>
      <c r="L402" t="s">
        <v>457</v>
      </c>
      <c r="M402">
        <v>11972</v>
      </c>
      <c r="N402">
        <v>24</v>
      </c>
      <c r="O402">
        <v>0</v>
      </c>
      <c r="P402">
        <v>0</v>
      </c>
      <c r="Q402">
        <v>0</v>
      </c>
      <c r="R402">
        <v>2308</v>
      </c>
      <c r="S402">
        <v>6946</v>
      </c>
      <c r="U402" t="s">
        <v>76</v>
      </c>
      <c r="V402" t="s">
        <v>457</v>
      </c>
      <c r="W402">
        <f>Tabla35[[#This Row],[BN CARTA]]-Tabla34[[#This Row],[BN CARTA]]</f>
        <v>7270</v>
      </c>
      <c r="X402">
        <f>Tabla35[[#This Row],[BN OFICIO]]-Tabla34[[#This Row],[BN OFICIO]]</f>
        <v>24</v>
      </c>
      <c r="Y402">
        <f>Tabla35[[#This Row],[BN DC]]-Tabla34[[#This Row],[BN DC]]</f>
        <v>0</v>
      </c>
      <c r="Z402">
        <f>Tabla35[[#This Row],[COLOR CARTA]]-Tabla34[[#This Row],[COLOR CARTA]]</f>
        <v>0</v>
      </c>
      <c r="AA402">
        <f>Tabla35[[#This Row],[COLOR OFICIO]]-Tabla34[[#This Row],[COLOR OFICIO]]</f>
        <v>0</v>
      </c>
      <c r="AB402">
        <f>Tabla35[[#This Row],[ENVIAR]]-Tabla34[[#This Row],[ENVIAR]]</f>
        <v>1914</v>
      </c>
      <c r="AC402">
        <f>Tabla35[[#This Row],[COPIAR]]-Tabla34[[#This Row],[COPIAR]]</f>
        <v>6606</v>
      </c>
    </row>
    <row r="403" spans="1:29" x14ac:dyDescent="0.25">
      <c r="A403" t="s">
        <v>10</v>
      </c>
      <c r="B403" t="s">
        <v>455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K403" t="s">
        <v>146</v>
      </c>
      <c r="L403" t="s">
        <v>458</v>
      </c>
      <c r="M403">
        <v>554</v>
      </c>
      <c r="N403">
        <v>45</v>
      </c>
      <c r="O403">
        <v>0</v>
      </c>
      <c r="P403">
        <v>0</v>
      </c>
      <c r="Q403">
        <v>0</v>
      </c>
      <c r="R403">
        <v>2507</v>
      </c>
      <c r="S403">
        <v>148</v>
      </c>
      <c r="U403" t="s">
        <v>146</v>
      </c>
      <c r="V403" t="s">
        <v>458</v>
      </c>
      <c r="W403">
        <f>Tabla35[[#This Row],[BN CARTA]]-Tabla34[[#This Row],[BN CARTA]]</f>
        <v>554</v>
      </c>
      <c r="X403">
        <f>Tabla35[[#This Row],[BN OFICIO]]-Tabla34[[#This Row],[BN OFICIO]]</f>
        <v>45</v>
      </c>
      <c r="Y403">
        <f>Tabla35[[#This Row],[BN DC]]-Tabla34[[#This Row],[BN DC]]</f>
        <v>0</v>
      </c>
      <c r="Z403">
        <f>Tabla35[[#This Row],[COLOR CARTA]]-Tabla34[[#This Row],[COLOR CARTA]]</f>
        <v>0</v>
      </c>
      <c r="AA403">
        <f>Tabla35[[#This Row],[COLOR OFICIO]]-Tabla34[[#This Row],[COLOR OFICIO]]</f>
        <v>0</v>
      </c>
      <c r="AB403">
        <f>Tabla35[[#This Row],[ENVIAR]]-Tabla34[[#This Row],[ENVIAR]]</f>
        <v>2507</v>
      </c>
      <c r="AC403">
        <f>Tabla35[[#This Row],[COPIAR]]-Tabla34[[#This Row],[COPIAR]]</f>
        <v>148</v>
      </c>
    </row>
    <row r="404" spans="1:29" x14ac:dyDescent="0.25">
      <c r="A404" t="s">
        <v>76</v>
      </c>
      <c r="B404" t="s">
        <v>456</v>
      </c>
      <c r="C404">
        <v>3826</v>
      </c>
      <c r="D404">
        <v>0</v>
      </c>
      <c r="E404">
        <v>0</v>
      </c>
      <c r="F404">
        <v>0</v>
      </c>
      <c r="G404">
        <v>0</v>
      </c>
      <c r="H404">
        <v>1153</v>
      </c>
      <c r="I404">
        <v>187</v>
      </c>
      <c r="K404" t="s">
        <v>10</v>
      </c>
      <c r="L404" t="s">
        <v>459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U404" t="s">
        <v>10</v>
      </c>
      <c r="V404" t="s">
        <v>459</v>
      </c>
      <c r="W404">
        <f>Tabla35[[#This Row],[BN CARTA]]-Tabla34[[#This Row],[BN CARTA]]</f>
        <v>-3826</v>
      </c>
      <c r="X404">
        <f>Tabla35[[#This Row],[BN OFICIO]]-Tabla34[[#This Row],[BN OFICIO]]</f>
        <v>0</v>
      </c>
      <c r="Y404">
        <f>Tabla35[[#This Row],[BN DC]]-Tabla34[[#This Row],[BN DC]]</f>
        <v>0</v>
      </c>
      <c r="Z404">
        <f>Tabla35[[#This Row],[COLOR CARTA]]-Tabla34[[#This Row],[COLOR CARTA]]</f>
        <v>0</v>
      </c>
      <c r="AA404">
        <f>Tabla35[[#This Row],[COLOR OFICIO]]-Tabla34[[#This Row],[COLOR OFICIO]]</f>
        <v>0</v>
      </c>
      <c r="AB404">
        <f>Tabla35[[#This Row],[ENVIAR]]-Tabla34[[#This Row],[ENVIAR]]</f>
        <v>-1153</v>
      </c>
      <c r="AC404">
        <f>Tabla35[[#This Row],[COPIAR]]-Tabla34[[#This Row],[COPIAR]]</f>
        <v>-187</v>
      </c>
    </row>
    <row r="405" spans="1:29" x14ac:dyDescent="0.25">
      <c r="A405" t="s">
        <v>76</v>
      </c>
      <c r="B405" t="s">
        <v>457</v>
      </c>
      <c r="C405">
        <v>6996</v>
      </c>
      <c r="D405">
        <v>24</v>
      </c>
      <c r="E405">
        <v>0</v>
      </c>
      <c r="F405">
        <v>0</v>
      </c>
      <c r="G405">
        <v>0</v>
      </c>
      <c r="H405">
        <v>458</v>
      </c>
      <c r="I405">
        <v>5874</v>
      </c>
      <c r="K405" t="s">
        <v>10</v>
      </c>
      <c r="L405" t="s">
        <v>460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U405" t="s">
        <v>10</v>
      </c>
      <c r="V405" t="s">
        <v>460</v>
      </c>
      <c r="W405">
        <f>Tabla35[[#This Row],[BN CARTA]]-Tabla34[[#This Row],[BN CARTA]]</f>
        <v>-6996</v>
      </c>
      <c r="X405">
        <f>Tabla35[[#This Row],[BN OFICIO]]-Tabla34[[#This Row],[BN OFICIO]]</f>
        <v>-24</v>
      </c>
      <c r="Y405">
        <f>Tabla35[[#This Row],[BN DC]]-Tabla34[[#This Row],[BN DC]]</f>
        <v>0</v>
      </c>
      <c r="Z405">
        <f>Tabla35[[#This Row],[COLOR CARTA]]-Tabla34[[#This Row],[COLOR CARTA]]</f>
        <v>0</v>
      </c>
      <c r="AA405">
        <f>Tabla35[[#This Row],[COLOR OFICIO]]-Tabla34[[#This Row],[COLOR OFICIO]]</f>
        <v>0</v>
      </c>
      <c r="AB405">
        <f>Tabla35[[#This Row],[ENVIAR]]-Tabla34[[#This Row],[ENVIAR]]</f>
        <v>-458</v>
      </c>
      <c r="AC405">
        <f>Tabla35[[#This Row],[COPIAR]]-Tabla34[[#This Row],[COPIAR]]</f>
        <v>-5874</v>
      </c>
    </row>
    <row r="406" spans="1:29" x14ac:dyDescent="0.25">
      <c r="A406" t="s">
        <v>146</v>
      </c>
      <c r="B406" t="s">
        <v>458</v>
      </c>
      <c r="C406">
        <v>378</v>
      </c>
      <c r="D406">
        <v>0</v>
      </c>
      <c r="E406">
        <v>0</v>
      </c>
      <c r="F406">
        <v>0</v>
      </c>
      <c r="G406">
        <v>0</v>
      </c>
      <c r="H406">
        <v>77</v>
      </c>
      <c r="I406">
        <v>52</v>
      </c>
      <c r="K406" t="s">
        <v>10</v>
      </c>
      <c r="L406" t="s">
        <v>461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U406" t="s">
        <v>10</v>
      </c>
      <c r="V406" t="s">
        <v>461</v>
      </c>
      <c r="W406">
        <f>Tabla35[[#This Row],[BN CARTA]]-Tabla34[[#This Row],[BN CARTA]]</f>
        <v>-378</v>
      </c>
      <c r="X406">
        <f>Tabla35[[#This Row],[BN OFICIO]]-Tabla34[[#This Row],[BN OFICIO]]</f>
        <v>0</v>
      </c>
      <c r="Y406">
        <f>Tabla35[[#This Row],[BN DC]]-Tabla34[[#This Row],[BN DC]]</f>
        <v>0</v>
      </c>
      <c r="Z406">
        <f>Tabla35[[#This Row],[COLOR CARTA]]-Tabla34[[#This Row],[COLOR CARTA]]</f>
        <v>0</v>
      </c>
      <c r="AA406">
        <f>Tabla35[[#This Row],[COLOR OFICIO]]-Tabla34[[#This Row],[COLOR OFICIO]]</f>
        <v>0</v>
      </c>
      <c r="AB406">
        <f>Tabla35[[#This Row],[ENVIAR]]-Tabla34[[#This Row],[ENVIAR]]</f>
        <v>-77</v>
      </c>
      <c r="AC406">
        <f>Tabla35[[#This Row],[COPIAR]]-Tabla34[[#This Row],[COPIAR]]</f>
        <v>-52</v>
      </c>
    </row>
    <row r="407" spans="1:29" x14ac:dyDescent="0.25">
      <c r="A407" t="s">
        <v>10</v>
      </c>
      <c r="B407" t="s">
        <v>459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K407" t="s">
        <v>10</v>
      </c>
      <c r="L407" t="s">
        <v>462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U407" t="s">
        <v>10</v>
      </c>
      <c r="V407" t="s">
        <v>462</v>
      </c>
      <c r="W407">
        <f>Tabla35[[#This Row],[BN CARTA]]-Tabla34[[#This Row],[BN CARTA]]</f>
        <v>0</v>
      </c>
      <c r="X407">
        <f>Tabla35[[#This Row],[BN OFICIO]]-Tabla34[[#This Row],[BN OFICIO]]</f>
        <v>0</v>
      </c>
      <c r="Y407">
        <f>Tabla35[[#This Row],[BN DC]]-Tabla34[[#This Row],[BN DC]]</f>
        <v>0</v>
      </c>
      <c r="Z407">
        <f>Tabla35[[#This Row],[COLOR CARTA]]-Tabla34[[#This Row],[COLOR CARTA]]</f>
        <v>0</v>
      </c>
      <c r="AA407">
        <f>Tabla35[[#This Row],[COLOR OFICIO]]-Tabla34[[#This Row],[COLOR OFICIO]]</f>
        <v>0</v>
      </c>
      <c r="AB407">
        <f>Tabla35[[#This Row],[ENVIAR]]-Tabla34[[#This Row],[ENVIAR]]</f>
        <v>0</v>
      </c>
      <c r="AC407">
        <f>Tabla35[[#This Row],[COPIAR]]-Tabla34[[#This Row],[COPIAR]]</f>
        <v>0</v>
      </c>
    </row>
    <row r="408" spans="1:29" x14ac:dyDescent="0.25">
      <c r="A408" t="s">
        <v>10</v>
      </c>
      <c r="B408" t="s">
        <v>460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K408" t="s">
        <v>10</v>
      </c>
      <c r="L408" t="s">
        <v>463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U408" t="s">
        <v>10</v>
      </c>
      <c r="V408" t="s">
        <v>463</v>
      </c>
      <c r="W408">
        <f>Tabla35[[#This Row],[BN CARTA]]-Tabla34[[#This Row],[BN CARTA]]</f>
        <v>0</v>
      </c>
      <c r="X408">
        <f>Tabla35[[#This Row],[BN OFICIO]]-Tabla34[[#This Row],[BN OFICIO]]</f>
        <v>0</v>
      </c>
      <c r="Y408">
        <f>Tabla35[[#This Row],[BN DC]]-Tabla34[[#This Row],[BN DC]]</f>
        <v>0</v>
      </c>
      <c r="Z408">
        <f>Tabla35[[#This Row],[COLOR CARTA]]-Tabla34[[#This Row],[COLOR CARTA]]</f>
        <v>0</v>
      </c>
      <c r="AA408">
        <f>Tabla35[[#This Row],[COLOR OFICIO]]-Tabla34[[#This Row],[COLOR OFICIO]]</f>
        <v>0</v>
      </c>
      <c r="AB408">
        <f>Tabla35[[#This Row],[ENVIAR]]-Tabla34[[#This Row],[ENVIAR]]</f>
        <v>0</v>
      </c>
      <c r="AC408">
        <f>Tabla35[[#This Row],[COPIAR]]-Tabla34[[#This Row],[COPIAR]]</f>
        <v>0</v>
      </c>
    </row>
    <row r="409" spans="1:29" x14ac:dyDescent="0.25">
      <c r="A409" t="s">
        <v>10</v>
      </c>
      <c r="B409" t="s">
        <v>461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K409" t="s">
        <v>10</v>
      </c>
      <c r="L409" t="s">
        <v>464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U409" t="s">
        <v>10</v>
      </c>
      <c r="V409" t="s">
        <v>464</v>
      </c>
      <c r="W409">
        <f>Tabla35[[#This Row],[BN CARTA]]-Tabla34[[#This Row],[BN CARTA]]</f>
        <v>0</v>
      </c>
      <c r="X409">
        <f>Tabla35[[#This Row],[BN OFICIO]]-Tabla34[[#This Row],[BN OFICIO]]</f>
        <v>0</v>
      </c>
      <c r="Y409">
        <f>Tabla35[[#This Row],[BN DC]]-Tabla34[[#This Row],[BN DC]]</f>
        <v>0</v>
      </c>
      <c r="Z409">
        <f>Tabla35[[#This Row],[COLOR CARTA]]-Tabla34[[#This Row],[COLOR CARTA]]</f>
        <v>0</v>
      </c>
      <c r="AA409">
        <f>Tabla35[[#This Row],[COLOR OFICIO]]-Tabla34[[#This Row],[COLOR OFICIO]]</f>
        <v>0</v>
      </c>
      <c r="AB409">
        <f>Tabla35[[#This Row],[ENVIAR]]-Tabla34[[#This Row],[ENVIAR]]</f>
        <v>0</v>
      </c>
      <c r="AC409">
        <f>Tabla35[[#This Row],[COPIAR]]-Tabla34[[#This Row],[COPIAR]]</f>
        <v>0</v>
      </c>
    </row>
    <row r="410" spans="1:29" x14ac:dyDescent="0.25">
      <c r="A410" t="s">
        <v>10</v>
      </c>
      <c r="B410" t="s">
        <v>462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K410" t="s">
        <v>101</v>
      </c>
      <c r="L410" t="s">
        <v>465</v>
      </c>
      <c r="M410">
        <v>1162</v>
      </c>
      <c r="N410">
        <v>0</v>
      </c>
      <c r="O410">
        <v>0</v>
      </c>
      <c r="P410">
        <v>0</v>
      </c>
      <c r="Q410">
        <v>0</v>
      </c>
      <c r="R410">
        <v>762</v>
      </c>
      <c r="S410">
        <v>192</v>
      </c>
      <c r="U410" t="s">
        <v>101</v>
      </c>
      <c r="V410" t="s">
        <v>465</v>
      </c>
      <c r="W410">
        <f>Tabla35[[#This Row],[BN CARTA]]-Tabla34[[#This Row],[BN CARTA]]</f>
        <v>1162</v>
      </c>
      <c r="X410">
        <f>Tabla35[[#This Row],[BN OFICIO]]-Tabla34[[#This Row],[BN OFICIO]]</f>
        <v>0</v>
      </c>
      <c r="Y410">
        <f>Tabla35[[#This Row],[BN DC]]-Tabla34[[#This Row],[BN DC]]</f>
        <v>0</v>
      </c>
      <c r="Z410">
        <f>Tabla35[[#This Row],[COLOR CARTA]]-Tabla34[[#This Row],[COLOR CARTA]]</f>
        <v>0</v>
      </c>
      <c r="AA410">
        <f>Tabla35[[#This Row],[COLOR OFICIO]]-Tabla34[[#This Row],[COLOR OFICIO]]</f>
        <v>0</v>
      </c>
      <c r="AB410">
        <f>Tabla35[[#This Row],[ENVIAR]]-Tabla34[[#This Row],[ENVIAR]]</f>
        <v>762</v>
      </c>
      <c r="AC410">
        <f>Tabla35[[#This Row],[COPIAR]]-Tabla34[[#This Row],[COPIAR]]</f>
        <v>192</v>
      </c>
    </row>
    <row r="411" spans="1:29" x14ac:dyDescent="0.25">
      <c r="A411" t="s">
        <v>10</v>
      </c>
      <c r="B411" t="s">
        <v>463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K411" t="s">
        <v>185</v>
      </c>
      <c r="L411" t="s">
        <v>466</v>
      </c>
      <c r="M411">
        <v>4366</v>
      </c>
      <c r="N411">
        <v>6</v>
      </c>
      <c r="O411">
        <v>0</v>
      </c>
      <c r="P411">
        <v>0</v>
      </c>
      <c r="Q411">
        <v>0</v>
      </c>
      <c r="R411">
        <v>231</v>
      </c>
      <c r="S411">
        <v>378</v>
      </c>
      <c r="U411" t="s">
        <v>185</v>
      </c>
      <c r="V411" t="s">
        <v>466</v>
      </c>
      <c r="W411">
        <f>Tabla35[[#This Row],[BN CARTA]]-Tabla34[[#This Row],[BN CARTA]]</f>
        <v>4366</v>
      </c>
      <c r="X411">
        <f>Tabla35[[#This Row],[BN OFICIO]]-Tabla34[[#This Row],[BN OFICIO]]</f>
        <v>6</v>
      </c>
      <c r="Y411">
        <f>Tabla35[[#This Row],[BN DC]]-Tabla34[[#This Row],[BN DC]]</f>
        <v>0</v>
      </c>
      <c r="Z411">
        <f>Tabla35[[#This Row],[COLOR CARTA]]-Tabla34[[#This Row],[COLOR CARTA]]</f>
        <v>0</v>
      </c>
      <c r="AA411">
        <f>Tabla35[[#This Row],[COLOR OFICIO]]-Tabla34[[#This Row],[COLOR OFICIO]]</f>
        <v>0</v>
      </c>
      <c r="AB411">
        <f>Tabla35[[#This Row],[ENVIAR]]-Tabla34[[#This Row],[ENVIAR]]</f>
        <v>231</v>
      </c>
      <c r="AC411">
        <f>Tabla35[[#This Row],[COPIAR]]-Tabla34[[#This Row],[COPIAR]]</f>
        <v>378</v>
      </c>
    </row>
    <row r="412" spans="1:29" x14ac:dyDescent="0.25">
      <c r="A412" t="s">
        <v>10</v>
      </c>
      <c r="B412" t="s">
        <v>464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K412" t="s">
        <v>512</v>
      </c>
      <c r="L412" t="s">
        <v>467</v>
      </c>
      <c r="M412">
        <v>992</v>
      </c>
      <c r="N412">
        <v>3</v>
      </c>
      <c r="O412">
        <v>0</v>
      </c>
      <c r="P412">
        <v>0</v>
      </c>
      <c r="Q412">
        <v>0</v>
      </c>
      <c r="R412">
        <v>213</v>
      </c>
      <c r="S412">
        <v>447</v>
      </c>
      <c r="U412" t="s">
        <v>512</v>
      </c>
      <c r="V412" t="s">
        <v>467</v>
      </c>
      <c r="W412">
        <f>Tabla35[[#This Row],[BN CARTA]]-Tabla34[[#This Row],[BN CARTA]]</f>
        <v>992</v>
      </c>
      <c r="X412">
        <f>Tabla35[[#This Row],[BN OFICIO]]-Tabla34[[#This Row],[BN OFICIO]]</f>
        <v>3</v>
      </c>
      <c r="Y412">
        <f>Tabla35[[#This Row],[BN DC]]-Tabla34[[#This Row],[BN DC]]</f>
        <v>0</v>
      </c>
      <c r="Z412">
        <f>Tabla35[[#This Row],[COLOR CARTA]]-Tabla34[[#This Row],[COLOR CARTA]]</f>
        <v>0</v>
      </c>
      <c r="AA412">
        <f>Tabla35[[#This Row],[COLOR OFICIO]]-Tabla34[[#This Row],[COLOR OFICIO]]</f>
        <v>0</v>
      </c>
      <c r="AB412">
        <f>Tabla35[[#This Row],[ENVIAR]]-Tabla34[[#This Row],[ENVIAR]]</f>
        <v>213</v>
      </c>
      <c r="AC412">
        <f>Tabla35[[#This Row],[COPIAR]]-Tabla34[[#This Row],[COPIAR]]</f>
        <v>447</v>
      </c>
    </row>
    <row r="413" spans="1:29" x14ac:dyDescent="0.25">
      <c r="A413" t="s">
        <v>101</v>
      </c>
      <c r="B413" t="s">
        <v>465</v>
      </c>
      <c r="C413">
        <v>1162</v>
      </c>
      <c r="D413">
        <v>0</v>
      </c>
      <c r="E413">
        <v>0</v>
      </c>
      <c r="F413">
        <v>0</v>
      </c>
      <c r="G413">
        <v>0</v>
      </c>
      <c r="H413">
        <v>762</v>
      </c>
      <c r="I413">
        <v>192</v>
      </c>
      <c r="K413" t="s">
        <v>140</v>
      </c>
      <c r="L413" t="s">
        <v>468</v>
      </c>
      <c r="M413">
        <v>1642</v>
      </c>
      <c r="N413">
        <v>5</v>
      </c>
      <c r="O413">
        <v>0</v>
      </c>
      <c r="P413">
        <v>0</v>
      </c>
      <c r="Q413">
        <v>0</v>
      </c>
      <c r="R413">
        <v>621</v>
      </c>
      <c r="S413">
        <v>337</v>
      </c>
      <c r="U413" t="s">
        <v>140</v>
      </c>
      <c r="V413" t="s">
        <v>468</v>
      </c>
      <c r="W413">
        <f>Tabla35[[#This Row],[BN CARTA]]-Tabla34[[#This Row],[BN CARTA]]</f>
        <v>480</v>
      </c>
      <c r="X413">
        <f>Tabla35[[#This Row],[BN OFICIO]]-Tabla34[[#This Row],[BN OFICIO]]</f>
        <v>5</v>
      </c>
      <c r="Y413">
        <f>Tabla35[[#This Row],[BN DC]]-Tabla34[[#This Row],[BN DC]]</f>
        <v>0</v>
      </c>
      <c r="Z413">
        <f>Tabla35[[#This Row],[COLOR CARTA]]-Tabla34[[#This Row],[COLOR CARTA]]</f>
        <v>0</v>
      </c>
      <c r="AA413">
        <f>Tabla35[[#This Row],[COLOR OFICIO]]-Tabla34[[#This Row],[COLOR OFICIO]]</f>
        <v>0</v>
      </c>
      <c r="AB413">
        <f>Tabla35[[#This Row],[ENVIAR]]-Tabla34[[#This Row],[ENVIAR]]</f>
        <v>-141</v>
      </c>
      <c r="AC413">
        <f>Tabla35[[#This Row],[COPIAR]]-Tabla34[[#This Row],[COPIAR]]</f>
        <v>145</v>
      </c>
    </row>
    <row r="414" spans="1:29" x14ac:dyDescent="0.25">
      <c r="A414" t="s">
        <v>185</v>
      </c>
      <c r="B414" t="s">
        <v>466</v>
      </c>
      <c r="C414">
        <v>1880</v>
      </c>
      <c r="D414">
        <v>5</v>
      </c>
      <c r="E414">
        <v>0</v>
      </c>
      <c r="F414">
        <v>0</v>
      </c>
      <c r="G414">
        <v>0</v>
      </c>
      <c r="H414">
        <v>123</v>
      </c>
      <c r="I414">
        <v>119</v>
      </c>
      <c r="K414" t="s">
        <v>10</v>
      </c>
      <c r="L414" t="s">
        <v>469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U414" t="s">
        <v>10</v>
      </c>
      <c r="V414" t="s">
        <v>469</v>
      </c>
      <c r="W414">
        <f>Tabla35[[#This Row],[BN CARTA]]-Tabla34[[#This Row],[BN CARTA]]</f>
        <v>-1880</v>
      </c>
      <c r="X414">
        <f>Tabla35[[#This Row],[BN OFICIO]]-Tabla34[[#This Row],[BN OFICIO]]</f>
        <v>-5</v>
      </c>
      <c r="Y414">
        <f>Tabla35[[#This Row],[BN DC]]-Tabla34[[#This Row],[BN DC]]</f>
        <v>0</v>
      </c>
      <c r="Z414">
        <f>Tabla35[[#This Row],[COLOR CARTA]]-Tabla34[[#This Row],[COLOR CARTA]]</f>
        <v>0</v>
      </c>
      <c r="AA414">
        <f>Tabla35[[#This Row],[COLOR OFICIO]]-Tabla34[[#This Row],[COLOR OFICIO]]</f>
        <v>0</v>
      </c>
      <c r="AB414">
        <f>Tabla35[[#This Row],[ENVIAR]]-Tabla34[[#This Row],[ENVIAR]]</f>
        <v>-123</v>
      </c>
      <c r="AC414">
        <f>Tabla35[[#This Row],[COPIAR]]-Tabla34[[#This Row],[COPIAR]]</f>
        <v>-119</v>
      </c>
    </row>
    <row r="415" spans="1:29" x14ac:dyDescent="0.25">
      <c r="A415" t="s">
        <v>10</v>
      </c>
      <c r="B415" t="s">
        <v>467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K415" t="s">
        <v>791</v>
      </c>
      <c r="L415" t="s">
        <v>470</v>
      </c>
      <c r="M415">
        <v>953</v>
      </c>
      <c r="N415">
        <v>36</v>
      </c>
      <c r="O415">
        <v>0</v>
      </c>
      <c r="P415">
        <v>0</v>
      </c>
      <c r="Q415">
        <v>0</v>
      </c>
      <c r="R415">
        <v>5</v>
      </c>
      <c r="S415">
        <v>975</v>
      </c>
      <c r="U415" t="s">
        <v>791</v>
      </c>
      <c r="V415" t="s">
        <v>470</v>
      </c>
      <c r="W415">
        <f>Tabla35[[#This Row],[BN CARTA]]-Tabla34[[#This Row],[BN CARTA]]</f>
        <v>953</v>
      </c>
      <c r="X415">
        <f>Tabla35[[#This Row],[BN OFICIO]]-Tabla34[[#This Row],[BN OFICIO]]</f>
        <v>36</v>
      </c>
      <c r="Y415">
        <f>Tabla35[[#This Row],[BN DC]]-Tabla34[[#This Row],[BN DC]]</f>
        <v>0</v>
      </c>
      <c r="Z415">
        <f>Tabla35[[#This Row],[COLOR CARTA]]-Tabla34[[#This Row],[COLOR CARTA]]</f>
        <v>0</v>
      </c>
      <c r="AA415">
        <f>Tabla35[[#This Row],[COLOR OFICIO]]-Tabla34[[#This Row],[COLOR OFICIO]]</f>
        <v>0</v>
      </c>
      <c r="AB415">
        <f>Tabla35[[#This Row],[ENVIAR]]-Tabla34[[#This Row],[ENVIAR]]</f>
        <v>5</v>
      </c>
      <c r="AC415">
        <f>Tabla35[[#This Row],[COPIAR]]-Tabla34[[#This Row],[COPIAR]]</f>
        <v>975</v>
      </c>
    </row>
    <row r="416" spans="1:29" x14ac:dyDescent="0.25">
      <c r="A416" t="s">
        <v>10</v>
      </c>
      <c r="B416" s="1" t="s">
        <v>781</v>
      </c>
      <c r="K416" t="s">
        <v>788</v>
      </c>
      <c r="L416" t="s">
        <v>471</v>
      </c>
      <c r="M416">
        <v>1011</v>
      </c>
      <c r="N416">
        <v>0</v>
      </c>
      <c r="O416">
        <v>0</v>
      </c>
      <c r="P416">
        <v>0</v>
      </c>
      <c r="Q416">
        <v>0</v>
      </c>
      <c r="R416">
        <v>45</v>
      </c>
      <c r="S416">
        <v>295</v>
      </c>
      <c r="U416" t="s">
        <v>788</v>
      </c>
      <c r="V416" t="s">
        <v>471</v>
      </c>
      <c r="W416">
        <f>Tabla35[[#This Row],[BN CARTA]]-Tabla34[[#This Row],[BN CARTA]]</f>
        <v>1011</v>
      </c>
      <c r="X416">
        <f>Tabla35[[#This Row],[BN OFICIO]]-Tabla34[[#This Row],[BN OFICIO]]</f>
        <v>0</v>
      </c>
      <c r="Y416">
        <f>Tabla35[[#This Row],[BN DC]]-Tabla34[[#This Row],[BN DC]]</f>
        <v>0</v>
      </c>
      <c r="Z416">
        <f>Tabla35[[#This Row],[COLOR CARTA]]-Tabla34[[#This Row],[COLOR CARTA]]</f>
        <v>0</v>
      </c>
      <c r="AA416">
        <f>Tabla35[[#This Row],[COLOR OFICIO]]-Tabla34[[#This Row],[COLOR OFICIO]]</f>
        <v>0</v>
      </c>
      <c r="AB416">
        <f>Tabla35[[#This Row],[ENVIAR]]-Tabla34[[#This Row],[ENVIAR]]</f>
        <v>45</v>
      </c>
      <c r="AC416">
        <f>Tabla35[[#This Row],[COPIAR]]-Tabla34[[#This Row],[COPIAR]]</f>
        <v>295</v>
      </c>
    </row>
    <row r="417" spans="1:29" x14ac:dyDescent="0.25">
      <c r="A417" t="s">
        <v>140</v>
      </c>
      <c r="B417" t="s">
        <v>468</v>
      </c>
      <c r="C417">
        <v>239</v>
      </c>
      <c r="D417">
        <v>1</v>
      </c>
      <c r="E417">
        <v>0</v>
      </c>
      <c r="F417">
        <v>0</v>
      </c>
      <c r="G417">
        <v>0</v>
      </c>
      <c r="H417">
        <v>252</v>
      </c>
      <c r="I417">
        <v>51</v>
      </c>
      <c r="K417" t="s">
        <v>795</v>
      </c>
      <c r="L417" t="s">
        <v>472</v>
      </c>
      <c r="M417">
        <v>4332</v>
      </c>
      <c r="N417">
        <v>19</v>
      </c>
      <c r="O417">
        <v>0</v>
      </c>
      <c r="P417">
        <v>0</v>
      </c>
      <c r="Q417">
        <v>0</v>
      </c>
      <c r="R417">
        <v>1995</v>
      </c>
      <c r="S417">
        <v>1024</v>
      </c>
      <c r="U417" t="s">
        <v>795</v>
      </c>
      <c r="V417" t="s">
        <v>472</v>
      </c>
      <c r="W417">
        <f>Tabla35[[#This Row],[BN CARTA]]-Tabla34[[#This Row],[BN CARTA]]</f>
        <v>4093</v>
      </c>
      <c r="X417">
        <f>Tabla35[[#This Row],[BN OFICIO]]-Tabla34[[#This Row],[BN OFICIO]]</f>
        <v>18</v>
      </c>
      <c r="Y417">
        <f>Tabla35[[#This Row],[BN DC]]-Tabla34[[#This Row],[BN DC]]</f>
        <v>0</v>
      </c>
      <c r="Z417">
        <f>Tabla35[[#This Row],[COLOR CARTA]]-Tabla34[[#This Row],[COLOR CARTA]]</f>
        <v>0</v>
      </c>
      <c r="AA417">
        <f>Tabla35[[#This Row],[COLOR OFICIO]]-Tabla34[[#This Row],[COLOR OFICIO]]</f>
        <v>0</v>
      </c>
      <c r="AB417">
        <f>Tabla35[[#This Row],[ENVIAR]]-Tabla34[[#This Row],[ENVIAR]]</f>
        <v>1743</v>
      </c>
      <c r="AC417">
        <f>Tabla35[[#This Row],[COPIAR]]-Tabla34[[#This Row],[COPIAR]]</f>
        <v>973</v>
      </c>
    </row>
    <row r="418" spans="1:29" x14ac:dyDescent="0.25">
      <c r="A418" t="s">
        <v>10</v>
      </c>
      <c r="B418" t="s">
        <v>469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K418" t="s">
        <v>788</v>
      </c>
      <c r="L418" t="s">
        <v>473</v>
      </c>
      <c r="M418">
        <v>5956</v>
      </c>
      <c r="N418">
        <v>100</v>
      </c>
      <c r="O418">
        <v>0</v>
      </c>
      <c r="P418">
        <v>0</v>
      </c>
      <c r="Q418">
        <v>0</v>
      </c>
      <c r="R418">
        <v>2088</v>
      </c>
      <c r="S418">
        <v>2031</v>
      </c>
      <c r="U418" t="s">
        <v>788</v>
      </c>
      <c r="V418" t="s">
        <v>473</v>
      </c>
      <c r="W418">
        <f>Tabla35[[#This Row],[BN CARTA]]-Tabla34[[#This Row],[BN CARTA]]</f>
        <v>5956</v>
      </c>
      <c r="X418">
        <f>Tabla35[[#This Row],[BN OFICIO]]-Tabla34[[#This Row],[BN OFICIO]]</f>
        <v>100</v>
      </c>
      <c r="Y418">
        <f>Tabla35[[#This Row],[BN DC]]-Tabla34[[#This Row],[BN DC]]</f>
        <v>0</v>
      </c>
      <c r="Z418">
        <f>Tabla35[[#This Row],[COLOR CARTA]]-Tabla34[[#This Row],[COLOR CARTA]]</f>
        <v>0</v>
      </c>
      <c r="AA418">
        <f>Tabla35[[#This Row],[COLOR OFICIO]]-Tabla34[[#This Row],[COLOR OFICIO]]</f>
        <v>0</v>
      </c>
      <c r="AB418">
        <f>Tabla35[[#This Row],[ENVIAR]]-Tabla34[[#This Row],[ENVIAR]]</f>
        <v>2088</v>
      </c>
      <c r="AC418">
        <f>Tabla35[[#This Row],[COPIAR]]-Tabla34[[#This Row],[COPIAR]]</f>
        <v>2031</v>
      </c>
    </row>
    <row r="419" spans="1:29" x14ac:dyDescent="0.25">
      <c r="A419" t="s">
        <v>10</v>
      </c>
      <c r="B419" t="s">
        <v>470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K419" t="s">
        <v>10</v>
      </c>
      <c r="L419" t="s">
        <v>474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U419" t="s">
        <v>10</v>
      </c>
      <c r="V419" t="s">
        <v>474</v>
      </c>
      <c r="W419">
        <f>Tabla35[[#This Row],[BN CARTA]]-Tabla34[[#This Row],[BN CARTA]]</f>
        <v>0</v>
      </c>
      <c r="X419">
        <f>Tabla35[[#This Row],[BN OFICIO]]-Tabla34[[#This Row],[BN OFICIO]]</f>
        <v>0</v>
      </c>
      <c r="Y419">
        <f>Tabla35[[#This Row],[BN DC]]-Tabla34[[#This Row],[BN DC]]</f>
        <v>0</v>
      </c>
      <c r="Z419">
        <f>Tabla35[[#This Row],[COLOR CARTA]]-Tabla34[[#This Row],[COLOR CARTA]]</f>
        <v>0</v>
      </c>
      <c r="AA419">
        <f>Tabla35[[#This Row],[COLOR OFICIO]]-Tabla34[[#This Row],[COLOR OFICIO]]</f>
        <v>0</v>
      </c>
      <c r="AB419">
        <f>Tabla35[[#This Row],[ENVIAR]]-Tabla34[[#This Row],[ENVIAR]]</f>
        <v>0</v>
      </c>
      <c r="AC419">
        <f>Tabla35[[#This Row],[COPIAR]]-Tabla34[[#This Row],[COPIAR]]</f>
        <v>0</v>
      </c>
    </row>
    <row r="420" spans="1:29" x14ac:dyDescent="0.25">
      <c r="A420" t="s">
        <v>10</v>
      </c>
      <c r="B420" t="s">
        <v>471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K420" t="s">
        <v>512</v>
      </c>
      <c r="L420" t="s">
        <v>475</v>
      </c>
      <c r="M420">
        <v>40</v>
      </c>
      <c r="N420">
        <v>13</v>
      </c>
      <c r="O420">
        <v>0</v>
      </c>
      <c r="P420">
        <v>0</v>
      </c>
      <c r="Q420">
        <v>0</v>
      </c>
      <c r="R420">
        <v>3444</v>
      </c>
      <c r="S420">
        <v>39</v>
      </c>
      <c r="U420" t="s">
        <v>512</v>
      </c>
      <c r="V420" t="s">
        <v>475</v>
      </c>
      <c r="W420">
        <f>Tabla35[[#This Row],[BN CARTA]]-Tabla34[[#This Row],[BN CARTA]]</f>
        <v>40</v>
      </c>
      <c r="X420">
        <f>Tabla35[[#This Row],[BN OFICIO]]-Tabla34[[#This Row],[BN OFICIO]]</f>
        <v>13</v>
      </c>
      <c r="Y420">
        <f>Tabla35[[#This Row],[BN DC]]-Tabla34[[#This Row],[BN DC]]</f>
        <v>0</v>
      </c>
      <c r="Z420">
        <f>Tabla35[[#This Row],[COLOR CARTA]]-Tabla34[[#This Row],[COLOR CARTA]]</f>
        <v>0</v>
      </c>
      <c r="AA420">
        <f>Tabla35[[#This Row],[COLOR OFICIO]]-Tabla34[[#This Row],[COLOR OFICIO]]</f>
        <v>0</v>
      </c>
      <c r="AB420">
        <f>Tabla35[[#This Row],[ENVIAR]]-Tabla34[[#This Row],[ENVIAR]]</f>
        <v>3444</v>
      </c>
      <c r="AC420">
        <f>Tabla35[[#This Row],[COPIAR]]-Tabla34[[#This Row],[COPIAR]]</f>
        <v>39</v>
      </c>
    </row>
    <row r="421" spans="1:29" x14ac:dyDescent="0.25">
      <c r="A421" t="s">
        <v>10</v>
      </c>
      <c r="B421" t="s">
        <v>472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K421" t="s">
        <v>146</v>
      </c>
      <c r="L421" t="s">
        <v>476</v>
      </c>
      <c r="M421">
        <v>2557</v>
      </c>
      <c r="N421">
        <v>8</v>
      </c>
      <c r="O421">
        <v>0</v>
      </c>
      <c r="P421">
        <v>0</v>
      </c>
      <c r="Q421">
        <v>0</v>
      </c>
      <c r="R421">
        <v>366</v>
      </c>
      <c r="S421">
        <v>590</v>
      </c>
      <c r="U421" t="s">
        <v>146</v>
      </c>
      <c r="V421" t="s">
        <v>476</v>
      </c>
      <c r="W421">
        <f>Tabla35[[#This Row],[BN CARTA]]-Tabla34[[#This Row],[BN CARTA]]</f>
        <v>2557</v>
      </c>
      <c r="X421">
        <f>Tabla35[[#This Row],[BN OFICIO]]-Tabla34[[#This Row],[BN OFICIO]]</f>
        <v>8</v>
      </c>
      <c r="Y421">
        <f>Tabla35[[#This Row],[BN DC]]-Tabla34[[#This Row],[BN DC]]</f>
        <v>0</v>
      </c>
      <c r="Z421">
        <f>Tabla35[[#This Row],[COLOR CARTA]]-Tabla34[[#This Row],[COLOR CARTA]]</f>
        <v>0</v>
      </c>
      <c r="AA421">
        <f>Tabla35[[#This Row],[COLOR OFICIO]]-Tabla34[[#This Row],[COLOR OFICIO]]</f>
        <v>0</v>
      </c>
      <c r="AB421">
        <f>Tabla35[[#This Row],[ENVIAR]]-Tabla34[[#This Row],[ENVIAR]]</f>
        <v>366</v>
      </c>
      <c r="AC421">
        <f>Tabla35[[#This Row],[COPIAR]]-Tabla34[[#This Row],[COPIAR]]</f>
        <v>590</v>
      </c>
    </row>
    <row r="422" spans="1:29" x14ac:dyDescent="0.25">
      <c r="A422" t="s">
        <v>10</v>
      </c>
      <c r="B422" t="s">
        <v>473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K422" t="s">
        <v>76</v>
      </c>
      <c r="L422" t="s">
        <v>477</v>
      </c>
      <c r="M422">
        <v>10220</v>
      </c>
      <c r="N422">
        <v>75</v>
      </c>
      <c r="O422">
        <v>0</v>
      </c>
      <c r="P422">
        <v>0</v>
      </c>
      <c r="Q422">
        <v>0</v>
      </c>
      <c r="R422">
        <v>4543</v>
      </c>
      <c r="S422">
        <v>3005</v>
      </c>
      <c r="U422" t="s">
        <v>76</v>
      </c>
      <c r="V422" t="s">
        <v>477</v>
      </c>
      <c r="W422">
        <f>Tabla35[[#This Row],[BN CARTA]]-Tabla34[[#This Row],[BN CARTA]]</f>
        <v>10220</v>
      </c>
      <c r="X422">
        <f>Tabla35[[#This Row],[BN OFICIO]]-Tabla34[[#This Row],[BN OFICIO]]</f>
        <v>75</v>
      </c>
      <c r="Y422">
        <f>Tabla35[[#This Row],[BN DC]]-Tabla34[[#This Row],[BN DC]]</f>
        <v>0</v>
      </c>
      <c r="Z422">
        <f>Tabla35[[#This Row],[COLOR CARTA]]-Tabla34[[#This Row],[COLOR CARTA]]</f>
        <v>0</v>
      </c>
      <c r="AA422">
        <f>Tabla35[[#This Row],[COLOR OFICIO]]-Tabla34[[#This Row],[COLOR OFICIO]]</f>
        <v>0</v>
      </c>
      <c r="AB422">
        <f>Tabla35[[#This Row],[ENVIAR]]-Tabla34[[#This Row],[ENVIAR]]</f>
        <v>4543</v>
      </c>
      <c r="AC422">
        <f>Tabla35[[#This Row],[COPIAR]]-Tabla34[[#This Row],[COPIAR]]</f>
        <v>3005</v>
      </c>
    </row>
    <row r="423" spans="1:29" x14ac:dyDescent="0.25">
      <c r="A423" t="s">
        <v>10</v>
      </c>
      <c r="B423" t="s">
        <v>474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K423" t="s">
        <v>76</v>
      </c>
      <c r="L423" t="s">
        <v>478</v>
      </c>
      <c r="M423">
        <v>8415</v>
      </c>
      <c r="N423">
        <v>37</v>
      </c>
      <c r="O423">
        <v>0</v>
      </c>
      <c r="P423">
        <v>0</v>
      </c>
      <c r="Q423">
        <v>0</v>
      </c>
      <c r="R423">
        <v>5602</v>
      </c>
      <c r="S423">
        <v>2190</v>
      </c>
      <c r="U423" t="s">
        <v>76</v>
      </c>
      <c r="V423" t="s">
        <v>478</v>
      </c>
      <c r="W423">
        <f>Tabla35[[#This Row],[BN CARTA]]-Tabla34[[#This Row],[BN CARTA]]</f>
        <v>8415</v>
      </c>
      <c r="X423">
        <f>Tabla35[[#This Row],[BN OFICIO]]-Tabla34[[#This Row],[BN OFICIO]]</f>
        <v>37</v>
      </c>
      <c r="Y423">
        <f>Tabla35[[#This Row],[BN DC]]-Tabla34[[#This Row],[BN DC]]</f>
        <v>0</v>
      </c>
      <c r="Z423">
        <f>Tabla35[[#This Row],[COLOR CARTA]]-Tabla34[[#This Row],[COLOR CARTA]]</f>
        <v>0</v>
      </c>
      <c r="AA423">
        <f>Tabla35[[#This Row],[COLOR OFICIO]]-Tabla34[[#This Row],[COLOR OFICIO]]</f>
        <v>0</v>
      </c>
      <c r="AB423">
        <f>Tabla35[[#This Row],[ENVIAR]]-Tabla34[[#This Row],[ENVIAR]]</f>
        <v>5602</v>
      </c>
      <c r="AC423">
        <f>Tabla35[[#This Row],[COPIAR]]-Tabla34[[#This Row],[COPIAR]]</f>
        <v>2190</v>
      </c>
    </row>
    <row r="424" spans="1:29" x14ac:dyDescent="0.25">
      <c r="A424" t="s">
        <v>10</v>
      </c>
      <c r="B424" t="s">
        <v>475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K424" t="s">
        <v>10</v>
      </c>
      <c r="L424" t="s">
        <v>479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U424" t="s">
        <v>10</v>
      </c>
      <c r="V424" t="s">
        <v>479</v>
      </c>
      <c r="W424">
        <f>Tabla35[[#This Row],[BN CARTA]]-Tabla34[[#This Row],[BN CARTA]]</f>
        <v>0</v>
      </c>
      <c r="X424">
        <f>Tabla35[[#This Row],[BN OFICIO]]-Tabla34[[#This Row],[BN OFICIO]]</f>
        <v>0</v>
      </c>
      <c r="Y424">
        <f>Tabla35[[#This Row],[BN DC]]-Tabla34[[#This Row],[BN DC]]</f>
        <v>0</v>
      </c>
      <c r="Z424">
        <f>Tabla35[[#This Row],[COLOR CARTA]]-Tabla34[[#This Row],[COLOR CARTA]]</f>
        <v>0</v>
      </c>
      <c r="AA424">
        <f>Tabla35[[#This Row],[COLOR OFICIO]]-Tabla34[[#This Row],[COLOR OFICIO]]</f>
        <v>0</v>
      </c>
      <c r="AB424">
        <f>Tabla35[[#This Row],[ENVIAR]]-Tabla34[[#This Row],[ENVIAR]]</f>
        <v>0</v>
      </c>
      <c r="AC424">
        <f>Tabla35[[#This Row],[COPIAR]]-Tabla34[[#This Row],[COPIAR]]</f>
        <v>0</v>
      </c>
    </row>
    <row r="425" spans="1:29" x14ac:dyDescent="0.25">
      <c r="A425" t="s">
        <v>146</v>
      </c>
      <c r="B425" t="s">
        <v>476</v>
      </c>
      <c r="C425">
        <v>425</v>
      </c>
      <c r="D425">
        <v>0</v>
      </c>
      <c r="E425">
        <v>0</v>
      </c>
      <c r="F425">
        <v>0</v>
      </c>
      <c r="G425">
        <v>0</v>
      </c>
      <c r="H425">
        <v>17</v>
      </c>
      <c r="I425">
        <v>63</v>
      </c>
      <c r="K425" t="s">
        <v>83</v>
      </c>
      <c r="L425" t="s">
        <v>480</v>
      </c>
      <c r="M425">
        <v>862</v>
      </c>
      <c r="N425">
        <v>0</v>
      </c>
      <c r="O425">
        <v>0</v>
      </c>
      <c r="P425">
        <v>0</v>
      </c>
      <c r="Q425">
        <v>0</v>
      </c>
      <c r="R425">
        <v>160</v>
      </c>
      <c r="S425">
        <v>71</v>
      </c>
      <c r="U425" t="s">
        <v>83</v>
      </c>
      <c r="V425" t="s">
        <v>480</v>
      </c>
      <c r="W425">
        <f>Tabla35[[#This Row],[BN CARTA]]-Tabla34[[#This Row],[BN CARTA]]</f>
        <v>437</v>
      </c>
      <c r="X425">
        <f>Tabla35[[#This Row],[BN OFICIO]]-Tabla34[[#This Row],[BN OFICIO]]</f>
        <v>0</v>
      </c>
      <c r="Y425">
        <f>Tabla35[[#This Row],[BN DC]]-Tabla34[[#This Row],[BN DC]]</f>
        <v>0</v>
      </c>
      <c r="Z425">
        <f>Tabla35[[#This Row],[COLOR CARTA]]-Tabla34[[#This Row],[COLOR CARTA]]</f>
        <v>0</v>
      </c>
      <c r="AA425">
        <f>Tabla35[[#This Row],[COLOR OFICIO]]-Tabla34[[#This Row],[COLOR OFICIO]]</f>
        <v>0</v>
      </c>
      <c r="AB425">
        <f>Tabla35[[#This Row],[ENVIAR]]-Tabla34[[#This Row],[ENVIAR]]</f>
        <v>143</v>
      </c>
      <c r="AC425">
        <f>Tabla35[[#This Row],[COPIAR]]-Tabla34[[#This Row],[COPIAR]]</f>
        <v>8</v>
      </c>
    </row>
    <row r="426" spans="1:29" x14ac:dyDescent="0.25">
      <c r="A426" t="s">
        <v>76</v>
      </c>
      <c r="B426" t="s">
        <v>477</v>
      </c>
      <c r="C426">
        <v>3623</v>
      </c>
      <c r="D426">
        <v>5</v>
      </c>
      <c r="E426">
        <v>0</v>
      </c>
      <c r="F426">
        <v>0</v>
      </c>
      <c r="G426">
        <v>0</v>
      </c>
      <c r="H426">
        <v>1534</v>
      </c>
      <c r="I426">
        <v>1087</v>
      </c>
      <c r="K426" t="s">
        <v>512</v>
      </c>
      <c r="L426" t="s">
        <v>481</v>
      </c>
      <c r="M426">
        <v>986</v>
      </c>
      <c r="N426">
        <v>2</v>
      </c>
      <c r="O426">
        <v>0</v>
      </c>
      <c r="P426">
        <v>0</v>
      </c>
      <c r="Q426">
        <v>0</v>
      </c>
      <c r="R426">
        <v>907</v>
      </c>
      <c r="S426">
        <v>104</v>
      </c>
      <c r="U426" t="s">
        <v>512</v>
      </c>
      <c r="V426" t="s">
        <v>481</v>
      </c>
      <c r="W426">
        <f>Tabla35[[#This Row],[BN CARTA]]-Tabla34[[#This Row],[BN CARTA]]</f>
        <v>-2637</v>
      </c>
      <c r="X426">
        <f>Tabla35[[#This Row],[BN OFICIO]]-Tabla34[[#This Row],[BN OFICIO]]</f>
        <v>-3</v>
      </c>
      <c r="Y426">
        <f>Tabla35[[#This Row],[BN DC]]-Tabla34[[#This Row],[BN DC]]</f>
        <v>0</v>
      </c>
      <c r="Z426">
        <f>Tabla35[[#This Row],[COLOR CARTA]]-Tabla34[[#This Row],[COLOR CARTA]]</f>
        <v>0</v>
      </c>
      <c r="AA426">
        <f>Tabla35[[#This Row],[COLOR OFICIO]]-Tabla34[[#This Row],[COLOR OFICIO]]</f>
        <v>0</v>
      </c>
      <c r="AB426">
        <f>Tabla35[[#This Row],[ENVIAR]]-Tabla34[[#This Row],[ENVIAR]]</f>
        <v>-627</v>
      </c>
      <c r="AC426">
        <f>Tabla35[[#This Row],[COPIAR]]-Tabla34[[#This Row],[COPIAR]]</f>
        <v>-983</v>
      </c>
    </row>
    <row r="427" spans="1:29" x14ac:dyDescent="0.25">
      <c r="A427" t="s">
        <v>76</v>
      </c>
      <c r="B427" t="s">
        <v>478</v>
      </c>
      <c r="C427">
        <v>2821</v>
      </c>
      <c r="D427">
        <v>0</v>
      </c>
      <c r="E427">
        <v>0</v>
      </c>
      <c r="F427">
        <v>0</v>
      </c>
      <c r="G427">
        <v>0</v>
      </c>
      <c r="H427">
        <v>1508</v>
      </c>
      <c r="I427">
        <v>434</v>
      </c>
      <c r="K427" t="s">
        <v>10</v>
      </c>
      <c r="L427" t="s">
        <v>482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U427" t="s">
        <v>10</v>
      </c>
      <c r="V427" t="s">
        <v>482</v>
      </c>
      <c r="W427">
        <f>Tabla35[[#This Row],[BN CARTA]]-Tabla34[[#This Row],[BN CARTA]]</f>
        <v>-2821</v>
      </c>
      <c r="X427">
        <f>Tabla35[[#This Row],[BN OFICIO]]-Tabla34[[#This Row],[BN OFICIO]]</f>
        <v>0</v>
      </c>
      <c r="Y427">
        <f>Tabla35[[#This Row],[BN DC]]-Tabla34[[#This Row],[BN DC]]</f>
        <v>0</v>
      </c>
      <c r="Z427">
        <f>Tabla35[[#This Row],[COLOR CARTA]]-Tabla34[[#This Row],[COLOR CARTA]]</f>
        <v>0</v>
      </c>
      <c r="AA427">
        <f>Tabla35[[#This Row],[COLOR OFICIO]]-Tabla34[[#This Row],[COLOR OFICIO]]</f>
        <v>0</v>
      </c>
      <c r="AB427">
        <f>Tabla35[[#This Row],[ENVIAR]]-Tabla34[[#This Row],[ENVIAR]]</f>
        <v>-1508</v>
      </c>
      <c r="AC427">
        <f>Tabla35[[#This Row],[COPIAR]]-Tabla34[[#This Row],[COPIAR]]</f>
        <v>-434</v>
      </c>
    </row>
    <row r="428" spans="1:29" x14ac:dyDescent="0.25">
      <c r="A428" t="s">
        <v>10</v>
      </c>
      <c r="B428" t="s">
        <v>479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K428" t="s">
        <v>72</v>
      </c>
      <c r="L428" t="s">
        <v>483</v>
      </c>
      <c r="M428">
        <v>5214</v>
      </c>
      <c r="N428">
        <v>64</v>
      </c>
      <c r="O428">
        <v>0</v>
      </c>
      <c r="P428">
        <v>0</v>
      </c>
      <c r="Q428">
        <v>0</v>
      </c>
      <c r="R428">
        <v>14792</v>
      </c>
      <c r="S428">
        <v>572</v>
      </c>
      <c r="U428" t="s">
        <v>72</v>
      </c>
      <c r="V428" t="s">
        <v>483</v>
      </c>
      <c r="W428">
        <f>Tabla35[[#This Row],[BN CARTA]]-Tabla34[[#This Row],[BN CARTA]]</f>
        <v>5214</v>
      </c>
      <c r="X428">
        <f>Tabla35[[#This Row],[BN OFICIO]]-Tabla34[[#This Row],[BN OFICIO]]</f>
        <v>64</v>
      </c>
      <c r="Y428">
        <f>Tabla35[[#This Row],[BN DC]]-Tabla34[[#This Row],[BN DC]]</f>
        <v>0</v>
      </c>
      <c r="Z428">
        <f>Tabla35[[#This Row],[COLOR CARTA]]-Tabla34[[#This Row],[COLOR CARTA]]</f>
        <v>0</v>
      </c>
      <c r="AA428">
        <f>Tabla35[[#This Row],[COLOR OFICIO]]-Tabla34[[#This Row],[COLOR OFICIO]]</f>
        <v>0</v>
      </c>
      <c r="AB428">
        <f>Tabla35[[#This Row],[ENVIAR]]-Tabla34[[#This Row],[ENVIAR]]</f>
        <v>14792</v>
      </c>
      <c r="AC428">
        <f>Tabla35[[#This Row],[COPIAR]]-Tabla34[[#This Row],[COPIAR]]</f>
        <v>572</v>
      </c>
    </row>
    <row r="429" spans="1:29" x14ac:dyDescent="0.25">
      <c r="A429" t="s">
        <v>83</v>
      </c>
      <c r="B429" t="s">
        <v>480</v>
      </c>
      <c r="C429">
        <v>862</v>
      </c>
      <c r="D429">
        <v>0</v>
      </c>
      <c r="E429">
        <v>0</v>
      </c>
      <c r="F429">
        <v>0</v>
      </c>
      <c r="G429">
        <v>0</v>
      </c>
      <c r="H429">
        <v>160</v>
      </c>
      <c r="I429">
        <v>71</v>
      </c>
      <c r="K429" t="s">
        <v>10</v>
      </c>
      <c r="L429" t="s">
        <v>484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U429" t="s">
        <v>10</v>
      </c>
      <c r="V429" t="s">
        <v>484</v>
      </c>
      <c r="W429">
        <f>Tabla35[[#This Row],[BN CARTA]]-Tabla34[[#This Row],[BN CARTA]]</f>
        <v>-862</v>
      </c>
      <c r="X429">
        <f>Tabla35[[#This Row],[BN OFICIO]]-Tabla34[[#This Row],[BN OFICIO]]</f>
        <v>0</v>
      </c>
      <c r="Y429">
        <f>Tabla35[[#This Row],[BN DC]]-Tabla34[[#This Row],[BN DC]]</f>
        <v>0</v>
      </c>
      <c r="Z429">
        <f>Tabla35[[#This Row],[COLOR CARTA]]-Tabla34[[#This Row],[COLOR CARTA]]</f>
        <v>0</v>
      </c>
      <c r="AA429">
        <f>Tabla35[[#This Row],[COLOR OFICIO]]-Tabla34[[#This Row],[COLOR OFICIO]]</f>
        <v>0</v>
      </c>
      <c r="AB429">
        <f>Tabla35[[#This Row],[ENVIAR]]-Tabla34[[#This Row],[ENVIAR]]</f>
        <v>-160</v>
      </c>
      <c r="AC429">
        <f>Tabla35[[#This Row],[COPIAR]]-Tabla34[[#This Row],[COPIAR]]</f>
        <v>-71</v>
      </c>
    </row>
    <row r="430" spans="1:29" x14ac:dyDescent="0.25">
      <c r="A430" t="s">
        <v>10</v>
      </c>
      <c r="B430" t="s">
        <v>481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K430" t="s">
        <v>10</v>
      </c>
      <c r="L430" t="s">
        <v>485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U430" t="s">
        <v>10</v>
      </c>
      <c r="V430" t="s">
        <v>485</v>
      </c>
      <c r="W430">
        <f>Tabla35[[#This Row],[BN CARTA]]-Tabla34[[#This Row],[BN CARTA]]</f>
        <v>0</v>
      </c>
      <c r="X430">
        <f>Tabla35[[#This Row],[BN OFICIO]]-Tabla34[[#This Row],[BN OFICIO]]</f>
        <v>0</v>
      </c>
      <c r="Y430">
        <f>Tabla35[[#This Row],[BN DC]]-Tabla34[[#This Row],[BN DC]]</f>
        <v>0</v>
      </c>
      <c r="Z430">
        <f>Tabla35[[#This Row],[COLOR CARTA]]-Tabla34[[#This Row],[COLOR CARTA]]</f>
        <v>0</v>
      </c>
      <c r="AA430">
        <f>Tabla35[[#This Row],[COLOR OFICIO]]-Tabla34[[#This Row],[COLOR OFICIO]]</f>
        <v>0</v>
      </c>
      <c r="AB430">
        <f>Tabla35[[#This Row],[ENVIAR]]-Tabla34[[#This Row],[ENVIAR]]</f>
        <v>0</v>
      </c>
      <c r="AC430">
        <f>Tabla35[[#This Row],[COPIAR]]-Tabla34[[#This Row],[COPIAR]]</f>
        <v>0</v>
      </c>
    </row>
    <row r="431" spans="1:29" x14ac:dyDescent="0.25">
      <c r="A431" t="s">
        <v>10</v>
      </c>
      <c r="B431" t="s">
        <v>482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K431" t="s">
        <v>10</v>
      </c>
      <c r="L431" t="s">
        <v>486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U431" t="s">
        <v>10</v>
      </c>
      <c r="V431" t="s">
        <v>486</v>
      </c>
      <c r="W431">
        <f>Tabla35[[#This Row],[BN CARTA]]-Tabla34[[#This Row],[BN CARTA]]</f>
        <v>0</v>
      </c>
      <c r="X431">
        <f>Tabla35[[#This Row],[BN OFICIO]]-Tabla34[[#This Row],[BN OFICIO]]</f>
        <v>0</v>
      </c>
      <c r="Y431">
        <f>Tabla35[[#This Row],[BN DC]]-Tabla34[[#This Row],[BN DC]]</f>
        <v>0</v>
      </c>
      <c r="Z431">
        <f>Tabla35[[#This Row],[COLOR CARTA]]-Tabla34[[#This Row],[COLOR CARTA]]</f>
        <v>0</v>
      </c>
      <c r="AA431">
        <f>Tabla35[[#This Row],[COLOR OFICIO]]-Tabla34[[#This Row],[COLOR OFICIO]]</f>
        <v>0</v>
      </c>
      <c r="AB431">
        <f>Tabla35[[#This Row],[ENVIAR]]-Tabla34[[#This Row],[ENVIAR]]</f>
        <v>0</v>
      </c>
      <c r="AC431">
        <f>Tabla35[[#This Row],[COPIAR]]-Tabla34[[#This Row],[COPIAR]]</f>
        <v>0</v>
      </c>
    </row>
    <row r="432" spans="1:29" x14ac:dyDescent="0.25">
      <c r="A432" t="s">
        <v>72</v>
      </c>
      <c r="B432" t="s">
        <v>483</v>
      </c>
      <c r="C432">
        <v>1280</v>
      </c>
      <c r="D432">
        <v>64</v>
      </c>
      <c r="E432">
        <v>0</v>
      </c>
      <c r="F432">
        <v>0</v>
      </c>
      <c r="G432">
        <v>0</v>
      </c>
      <c r="H432">
        <v>4265</v>
      </c>
      <c r="I432">
        <v>82</v>
      </c>
      <c r="K432" t="s">
        <v>799</v>
      </c>
      <c r="L432" t="s">
        <v>487</v>
      </c>
      <c r="M432">
        <v>943</v>
      </c>
      <c r="N432">
        <v>5</v>
      </c>
      <c r="O432">
        <v>0</v>
      </c>
      <c r="P432">
        <v>0</v>
      </c>
      <c r="Q432">
        <v>0</v>
      </c>
      <c r="R432">
        <v>192</v>
      </c>
      <c r="S432">
        <v>181</v>
      </c>
      <c r="U432" t="s">
        <v>799</v>
      </c>
      <c r="V432" t="s">
        <v>487</v>
      </c>
      <c r="W432">
        <f>Tabla35[[#This Row],[BN CARTA]]-Tabla34[[#This Row],[BN CARTA]]</f>
        <v>-337</v>
      </c>
      <c r="X432">
        <f>Tabla35[[#This Row],[BN OFICIO]]-Tabla34[[#This Row],[BN OFICIO]]</f>
        <v>-59</v>
      </c>
      <c r="Y432">
        <f>Tabla35[[#This Row],[BN DC]]-Tabla34[[#This Row],[BN DC]]</f>
        <v>0</v>
      </c>
      <c r="Z432">
        <f>Tabla35[[#This Row],[COLOR CARTA]]-Tabla34[[#This Row],[COLOR CARTA]]</f>
        <v>0</v>
      </c>
      <c r="AA432">
        <f>Tabla35[[#This Row],[COLOR OFICIO]]-Tabla34[[#This Row],[COLOR OFICIO]]</f>
        <v>0</v>
      </c>
      <c r="AB432">
        <f>Tabla35[[#This Row],[ENVIAR]]-Tabla34[[#This Row],[ENVIAR]]</f>
        <v>-4073</v>
      </c>
      <c r="AC432">
        <f>Tabla35[[#This Row],[COPIAR]]-Tabla34[[#This Row],[COPIAR]]</f>
        <v>99</v>
      </c>
    </row>
    <row r="433" spans="1:29" x14ac:dyDescent="0.25">
      <c r="A433" t="s">
        <v>10</v>
      </c>
      <c r="B433" t="s">
        <v>484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K433" t="s">
        <v>226</v>
      </c>
      <c r="L433" t="s">
        <v>488</v>
      </c>
      <c r="M433">
        <v>2777</v>
      </c>
      <c r="N433">
        <v>0</v>
      </c>
      <c r="O433">
        <v>0</v>
      </c>
      <c r="P433">
        <v>0</v>
      </c>
      <c r="Q433">
        <v>0</v>
      </c>
      <c r="R433">
        <v>639</v>
      </c>
      <c r="S433">
        <v>405</v>
      </c>
      <c r="U433" t="s">
        <v>226</v>
      </c>
      <c r="V433" t="s">
        <v>488</v>
      </c>
      <c r="W433">
        <f>Tabla35[[#This Row],[BN CARTA]]-Tabla34[[#This Row],[BN CARTA]]</f>
        <v>2777</v>
      </c>
      <c r="X433">
        <f>Tabla35[[#This Row],[BN OFICIO]]-Tabla34[[#This Row],[BN OFICIO]]</f>
        <v>0</v>
      </c>
      <c r="Y433">
        <f>Tabla35[[#This Row],[BN DC]]-Tabla34[[#This Row],[BN DC]]</f>
        <v>0</v>
      </c>
      <c r="Z433">
        <f>Tabla35[[#This Row],[COLOR CARTA]]-Tabla34[[#This Row],[COLOR CARTA]]</f>
        <v>0</v>
      </c>
      <c r="AA433">
        <f>Tabla35[[#This Row],[COLOR OFICIO]]-Tabla34[[#This Row],[COLOR OFICIO]]</f>
        <v>0</v>
      </c>
      <c r="AB433">
        <f>Tabla35[[#This Row],[ENVIAR]]-Tabla34[[#This Row],[ENVIAR]]</f>
        <v>639</v>
      </c>
      <c r="AC433">
        <f>Tabla35[[#This Row],[COPIAR]]-Tabla34[[#This Row],[COPIAR]]</f>
        <v>405</v>
      </c>
    </row>
    <row r="434" spans="1:29" x14ac:dyDescent="0.25">
      <c r="A434" t="s">
        <v>10</v>
      </c>
      <c r="B434" t="s">
        <v>485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K434" t="s">
        <v>265</v>
      </c>
      <c r="L434" t="s">
        <v>489</v>
      </c>
      <c r="M434">
        <v>3510</v>
      </c>
      <c r="N434">
        <v>2</v>
      </c>
      <c r="O434">
        <v>0</v>
      </c>
      <c r="P434">
        <v>0</v>
      </c>
      <c r="Q434">
        <v>0</v>
      </c>
      <c r="R434">
        <v>3466</v>
      </c>
      <c r="S434">
        <v>534</v>
      </c>
      <c r="U434" t="s">
        <v>265</v>
      </c>
      <c r="V434" t="s">
        <v>489</v>
      </c>
      <c r="W434">
        <f>Tabla35[[#This Row],[BN CARTA]]-Tabla34[[#This Row],[BN CARTA]]</f>
        <v>3510</v>
      </c>
      <c r="X434">
        <f>Tabla35[[#This Row],[BN OFICIO]]-Tabla34[[#This Row],[BN OFICIO]]</f>
        <v>2</v>
      </c>
      <c r="Y434">
        <f>Tabla35[[#This Row],[BN DC]]-Tabla34[[#This Row],[BN DC]]</f>
        <v>0</v>
      </c>
      <c r="Z434">
        <f>Tabla35[[#This Row],[COLOR CARTA]]-Tabla34[[#This Row],[COLOR CARTA]]</f>
        <v>0</v>
      </c>
      <c r="AA434">
        <f>Tabla35[[#This Row],[COLOR OFICIO]]-Tabla34[[#This Row],[COLOR OFICIO]]</f>
        <v>0</v>
      </c>
      <c r="AB434">
        <f>Tabla35[[#This Row],[ENVIAR]]-Tabla34[[#This Row],[ENVIAR]]</f>
        <v>3466</v>
      </c>
      <c r="AC434">
        <f>Tabla35[[#This Row],[COPIAR]]-Tabla34[[#This Row],[COPIAR]]</f>
        <v>534</v>
      </c>
    </row>
    <row r="435" spans="1:29" x14ac:dyDescent="0.25">
      <c r="A435" t="s">
        <v>10</v>
      </c>
      <c r="B435" t="s">
        <v>486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K435" t="s">
        <v>10</v>
      </c>
      <c r="L435" t="s">
        <v>490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U435" t="s">
        <v>10</v>
      </c>
      <c r="V435" t="s">
        <v>490</v>
      </c>
      <c r="W435">
        <f>Tabla35[[#This Row],[BN CARTA]]-Tabla34[[#This Row],[BN CARTA]]</f>
        <v>0</v>
      </c>
      <c r="X435">
        <f>Tabla35[[#This Row],[BN OFICIO]]-Tabla34[[#This Row],[BN OFICIO]]</f>
        <v>0</v>
      </c>
      <c r="Y435">
        <f>Tabla35[[#This Row],[BN DC]]-Tabla34[[#This Row],[BN DC]]</f>
        <v>0</v>
      </c>
      <c r="Z435">
        <f>Tabla35[[#This Row],[COLOR CARTA]]-Tabla34[[#This Row],[COLOR CARTA]]</f>
        <v>0</v>
      </c>
      <c r="AA435">
        <f>Tabla35[[#This Row],[COLOR OFICIO]]-Tabla34[[#This Row],[COLOR OFICIO]]</f>
        <v>0</v>
      </c>
      <c r="AB435">
        <f>Tabla35[[#This Row],[ENVIAR]]-Tabla34[[#This Row],[ENVIAR]]</f>
        <v>0</v>
      </c>
      <c r="AC435">
        <f>Tabla35[[#This Row],[COPIAR]]-Tabla34[[#This Row],[COPIAR]]</f>
        <v>0</v>
      </c>
    </row>
    <row r="436" spans="1:29" x14ac:dyDescent="0.25">
      <c r="A436" t="s">
        <v>10</v>
      </c>
      <c r="B436" t="s">
        <v>487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K436" t="s">
        <v>10</v>
      </c>
      <c r="L436" t="s">
        <v>491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U436" t="s">
        <v>10</v>
      </c>
      <c r="V436" t="s">
        <v>491</v>
      </c>
      <c r="W436">
        <f>Tabla35[[#This Row],[BN CARTA]]-Tabla34[[#This Row],[BN CARTA]]</f>
        <v>0</v>
      </c>
      <c r="X436">
        <f>Tabla35[[#This Row],[BN OFICIO]]-Tabla34[[#This Row],[BN OFICIO]]</f>
        <v>0</v>
      </c>
      <c r="Y436">
        <f>Tabla35[[#This Row],[BN DC]]-Tabla34[[#This Row],[BN DC]]</f>
        <v>0</v>
      </c>
      <c r="Z436">
        <f>Tabla35[[#This Row],[COLOR CARTA]]-Tabla34[[#This Row],[COLOR CARTA]]</f>
        <v>0</v>
      </c>
      <c r="AA436">
        <f>Tabla35[[#This Row],[COLOR OFICIO]]-Tabla34[[#This Row],[COLOR OFICIO]]</f>
        <v>0</v>
      </c>
      <c r="AB436">
        <f>Tabla35[[#This Row],[ENVIAR]]-Tabla34[[#This Row],[ENVIAR]]</f>
        <v>0</v>
      </c>
      <c r="AC436">
        <f>Tabla35[[#This Row],[COPIAR]]-Tabla34[[#This Row],[COPIAR]]</f>
        <v>0</v>
      </c>
    </row>
    <row r="437" spans="1:29" x14ac:dyDescent="0.25">
      <c r="A437" t="s">
        <v>226</v>
      </c>
      <c r="B437" t="s">
        <v>488</v>
      </c>
      <c r="C437">
        <v>2777</v>
      </c>
      <c r="D437">
        <v>0</v>
      </c>
      <c r="E437">
        <v>0</v>
      </c>
      <c r="F437">
        <v>0</v>
      </c>
      <c r="G437">
        <v>0</v>
      </c>
      <c r="H437">
        <v>639</v>
      </c>
      <c r="I437">
        <v>405</v>
      </c>
      <c r="K437" t="s">
        <v>10</v>
      </c>
      <c r="L437" t="s">
        <v>492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U437" t="s">
        <v>10</v>
      </c>
      <c r="V437" t="s">
        <v>492</v>
      </c>
      <c r="W437">
        <f>Tabla35[[#This Row],[BN CARTA]]-Tabla34[[#This Row],[BN CARTA]]</f>
        <v>-2777</v>
      </c>
      <c r="X437">
        <f>Tabla35[[#This Row],[BN OFICIO]]-Tabla34[[#This Row],[BN OFICIO]]</f>
        <v>0</v>
      </c>
      <c r="Y437">
        <f>Tabla35[[#This Row],[BN DC]]-Tabla34[[#This Row],[BN DC]]</f>
        <v>0</v>
      </c>
      <c r="Z437">
        <f>Tabla35[[#This Row],[COLOR CARTA]]-Tabla34[[#This Row],[COLOR CARTA]]</f>
        <v>0</v>
      </c>
      <c r="AA437">
        <f>Tabla35[[#This Row],[COLOR OFICIO]]-Tabla34[[#This Row],[COLOR OFICIO]]</f>
        <v>0</v>
      </c>
      <c r="AB437">
        <f>Tabla35[[#This Row],[ENVIAR]]-Tabla34[[#This Row],[ENVIAR]]</f>
        <v>-639</v>
      </c>
      <c r="AC437">
        <f>Tabla35[[#This Row],[COPIAR]]-Tabla34[[#This Row],[COPIAR]]</f>
        <v>-405</v>
      </c>
    </row>
    <row r="438" spans="1:29" x14ac:dyDescent="0.25">
      <c r="A438" t="s">
        <v>10</v>
      </c>
      <c r="B438" t="s">
        <v>489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K438" t="s">
        <v>791</v>
      </c>
      <c r="L438" t="s">
        <v>493</v>
      </c>
      <c r="M438">
        <v>940</v>
      </c>
      <c r="N438">
        <v>83</v>
      </c>
      <c r="O438">
        <v>0</v>
      </c>
      <c r="P438">
        <v>0</v>
      </c>
      <c r="Q438">
        <v>0</v>
      </c>
      <c r="R438">
        <v>2151</v>
      </c>
      <c r="S438">
        <v>312</v>
      </c>
      <c r="U438" t="s">
        <v>791</v>
      </c>
      <c r="V438" t="s">
        <v>493</v>
      </c>
      <c r="W438">
        <f>Tabla35[[#This Row],[BN CARTA]]-Tabla34[[#This Row],[BN CARTA]]</f>
        <v>940</v>
      </c>
      <c r="X438">
        <f>Tabla35[[#This Row],[BN OFICIO]]-Tabla34[[#This Row],[BN OFICIO]]</f>
        <v>83</v>
      </c>
      <c r="Y438">
        <f>Tabla35[[#This Row],[BN DC]]-Tabla34[[#This Row],[BN DC]]</f>
        <v>0</v>
      </c>
      <c r="Z438">
        <f>Tabla35[[#This Row],[COLOR CARTA]]-Tabla34[[#This Row],[COLOR CARTA]]</f>
        <v>0</v>
      </c>
      <c r="AA438">
        <f>Tabla35[[#This Row],[COLOR OFICIO]]-Tabla34[[#This Row],[COLOR OFICIO]]</f>
        <v>0</v>
      </c>
      <c r="AB438">
        <f>Tabla35[[#This Row],[ENVIAR]]-Tabla34[[#This Row],[ENVIAR]]</f>
        <v>2151</v>
      </c>
      <c r="AC438">
        <f>Tabla35[[#This Row],[COPIAR]]-Tabla34[[#This Row],[COPIAR]]</f>
        <v>312</v>
      </c>
    </row>
    <row r="439" spans="1:29" x14ac:dyDescent="0.25">
      <c r="A439" t="s">
        <v>10</v>
      </c>
      <c r="B439" t="s">
        <v>490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K439" t="s">
        <v>138</v>
      </c>
      <c r="L439" t="s">
        <v>494</v>
      </c>
      <c r="M439">
        <v>237</v>
      </c>
      <c r="N439">
        <v>0</v>
      </c>
      <c r="O439">
        <v>0</v>
      </c>
      <c r="P439">
        <v>0</v>
      </c>
      <c r="Q439">
        <v>0</v>
      </c>
      <c r="R439">
        <v>2797</v>
      </c>
      <c r="S439">
        <v>103</v>
      </c>
      <c r="U439" t="s">
        <v>138</v>
      </c>
      <c r="V439" t="s">
        <v>494</v>
      </c>
      <c r="W439">
        <f>Tabla35[[#This Row],[BN CARTA]]-Tabla34[[#This Row],[BN CARTA]]</f>
        <v>237</v>
      </c>
      <c r="X439">
        <f>Tabla35[[#This Row],[BN OFICIO]]-Tabla34[[#This Row],[BN OFICIO]]</f>
        <v>0</v>
      </c>
      <c r="Y439">
        <f>Tabla35[[#This Row],[BN DC]]-Tabla34[[#This Row],[BN DC]]</f>
        <v>0</v>
      </c>
      <c r="Z439">
        <f>Tabla35[[#This Row],[COLOR CARTA]]-Tabla34[[#This Row],[COLOR CARTA]]</f>
        <v>0</v>
      </c>
      <c r="AA439">
        <f>Tabla35[[#This Row],[COLOR OFICIO]]-Tabla34[[#This Row],[COLOR OFICIO]]</f>
        <v>0</v>
      </c>
      <c r="AB439">
        <f>Tabla35[[#This Row],[ENVIAR]]-Tabla34[[#This Row],[ENVIAR]]</f>
        <v>2797</v>
      </c>
      <c r="AC439">
        <f>Tabla35[[#This Row],[COPIAR]]-Tabla34[[#This Row],[COPIAR]]</f>
        <v>103</v>
      </c>
    </row>
    <row r="440" spans="1:29" x14ac:dyDescent="0.25">
      <c r="A440" t="s">
        <v>10</v>
      </c>
      <c r="B440" t="s">
        <v>491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K440" t="s">
        <v>495</v>
      </c>
      <c r="L440" t="s">
        <v>496</v>
      </c>
      <c r="M440">
        <v>10505</v>
      </c>
      <c r="N440">
        <v>33</v>
      </c>
      <c r="O440">
        <v>0</v>
      </c>
      <c r="P440">
        <v>0</v>
      </c>
      <c r="Q440">
        <v>0</v>
      </c>
      <c r="R440">
        <v>1336</v>
      </c>
      <c r="S440">
        <v>2100</v>
      </c>
      <c r="U440" t="s">
        <v>495</v>
      </c>
      <c r="V440" t="s">
        <v>496</v>
      </c>
      <c r="W440">
        <f>Tabla35[[#This Row],[BN CARTA]]-Tabla34[[#This Row],[BN CARTA]]</f>
        <v>10505</v>
      </c>
      <c r="X440">
        <f>Tabla35[[#This Row],[BN OFICIO]]-Tabla34[[#This Row],[BN OFICIO]]</f>
        <v>33</v>
      </c>
      <c r="Y440">
        <f>Tabla35[[#This Row],[BN DC]]-Tabla34[[#This Row],[BN DC]]</f>
        <v>0</v>
      </c>
      <c r="Z440">
        <f>Tabla35[[#This Row],[COLOR CARTA]]-Tabla34[[#This Row],[COLOR CARTA]]</f>
        <v>0</v>
      </c>
      <c r="AA440">
        <f>Tabla35[[#This Row],[COLOR OFICIO]]-Tabla34[[#This Row],[COLOR OFICIO]]</f>
        <v>0</v>
      </c>
      <c r="AB440">
        <f>Tabla35[[#This Row],[ENVIAR]]-Tabla34[[#This Row],[ENVIAR]]</f>
        <v>1336</v>
      </c>
      <c r="AC440">
        <f>Tabla35[[#This Row],[COPIAR]]-Tabla34[[#This Row],[COPIAR]]</f>
        <v>2100</v>
      </c>
    </row>
    <row r="441" spans="1:29" x14ac:dyDescent="0.25">
      <c r="A441" t="s">
        <v>10</v>
      </c>
      <c r="B441" t="s">
        <v>492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K441" t="s">
        <v>791</v>
      </c>
      <c r="L441" t="s">
        <v>497</v>
      </c>
      <c r="M441">
        <v>1854</v>
      </c>
      <c r="N441">
        <v>0</v>
      </c>
      <c r="O441">
        <v>0</v>
      </c>
      <c r="P441">
        <v>0</v>
      </c>
      <c r="Q441">
        <v>0</v>
      </c>
      <c r="R441">
        <v>1296</v>
      </c>
      <c r="S441">
        <v>567</v>
      </c>
      <c r="U441" t="s">
        <v>791</v>
      </c>
      <c r="V441" t="s">
        <v>497</v>
      </c>
      <c r="W441">
        <f>Tabla35[[#This Row],[BN CARTA]]-Tabla34[[#This Row],[BN CARTA]]</f>
        <v>1854</v>
      </c>
      <c r="X441">
        <f>Tabla35[[#This Row],[BN OFICIO]]-Tabla34[[#This Row],[BN OFICIO]]</f>
        <v>0</v>
      </c>
      <c r="Y441">
        <f>Tabla35[[#This Row],[BN DC]]-Tabla34[[#This Row],[BN DC]]</f>
        <v>0</v>
      </c>
      <c r="Z441">
        <f>Tabla35[[#This Row],[COLOR CARTA]]-Tabla34[[#This Row],[COLOR CARTA]]</f>
        <v>0</v>
      </c>
      <c r="AA441">
        <f>Tabla35[[#This Row],[COLOR OFICIO]]-Tabla34[[#This Row],[COLOR OFICIO]]</f>
        <v>0</v>
      </c>
      <c r="AB441">
        <f>Tabla35[[#This Row],[ENVIAR]]-Tabla34[[#This Row],[ENVIAR]]</f>
        <v>1296</v>
      </c>
      <c r="AC441">
        <f>Tabla35[[#This Row],[COPIAR]]-Tabla34[[#This Row],[COPIAR]]</f>
        <v>567</v>
      </c>
    </row>
    <row r="442" spans="1:29" x14ac:dyDescent="0.25">
      <c r="A442" t="s">
        <v>10</v>
      </c>
      <c r="B442" t="s">
        <v>493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K442" t="s">
        <v>10</v>
      </c>
      <c r="L442" t="s">
        <v>498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U442" t="s">
        <v>10</v>
      </c>
      <c r="V442" t="s">
        <v>498</v>
      </c>
      <c r="W442">
        <f>Tabla35[[#This Row],[BN CARTA]]-Tabla34[[#This Row],[BN CARTA]]</f>
        <v>0</v>
      </c>
      <c r="X442">
        <f>Tabla35[[#This Row],[BN OFICIO]]-Tabla34[[#This Row],[BN OFICIO]]</f>
        <v>0</v>
      </c>
      <c r="Y442">
        <f>Tabla35[[#This Row],[BN DC]]-Tabla34[[#This Row],[BN DC]]</f>
        <v>0</v>
      </c>
      <c r="Z442">
        <f>Tabla35[[#This Row],[COLOR CARTA]]-Tabla34[[#This Row],[COLOR CARTA]]</f>
        <v>0</v>
      </c>
      <c r="AA442">
        <f>Tabla35[[#This Row],[COLOR OFICIO]]-Tabla34[[#This Row],[COLOR OFICIO]]</f>
        <v>0</v>
      </c>
      <c r="AB442">
        <f>Tabla35[[#This Row],[ENVIAR]]-Tabla34[[#This Row],[ENVIAR]]</f>
        <v>0</v>
      </c>
      <c r="AC442">
        <f>Tabla35[[#This Row],[COPIAR]]-Tabla34[[#This Row],[COPIAR]]</f>
        <v>0</v>
      </c>
    </row>
    <row r="443" spans="1:29" x14ac:dyDescent="0.25">
      <c r="A443" t="s">
        <v>138</v>
      </c>
      <c r="B443" t="s">
        <v>494</v>
      </c>
      <c r="C443">
        <v>237</v>
      </c>
      <c r="D443">
        <v>0</v>
      </c>
      <c r="E443">
        <v>0</v>
      </c>
      <c r="F443">
        <v>0</v>
      </c>
      <c r="G443">
        <v>0</v>
      </c>
      <c r="H443">
        <v>2797</v>
      </c>
      <c r="I443">
        <v>103</v>
      </c>
      <c r="K443" t="s">
        <v>10</v>
      </c>
      <c r="L443" t="s">
        <v>499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U443" t="s">
        <v>10</v>
      </c>
      <c r="V443" t="s">
        <v>499</v>
      </c>
      <c r="W443">
        <f>Tabla35[[#This Row],[BN CARTA]]-Tabla34[[#This Row],[BN CARTA]]</f>
        <v>-237</v>
      </c>
      <c r="X443">
        <f>Tabla35[[#This Row],[BN OFICIO]]-Tabla34[[#This Row],[BN OFICIO]]</f>
        <v>0</v>
      </c>
      <c r="Y443">
        <f>Tabla35[[#This Row],[BN DC]]-Tabla34[[#This Row],[BN DC]]</f>
        <v>0</v>
      </c>
      <c r="Z443">
        <f>Tabla35[[#This Row],[COLOR CARTA]]-Tabla34[[#This Row],[COLOR CARTA]]</f>
        <v>0</v>
      </c>
      <c r="AA443">
        <f>Tabla35[[#This Row],[COLOR OFICIO]]-Tabla34[[#This Row],[COLOR OFICIO]]</f>
        <v>0</v>
      </c>
      <c r="AB443">
        <f>Tabla35[[#This Row],[ENVIAR]]-Tabla34[[#This Row],[ENVIAR]]</f>
        <v>-2797</v>
      </c>
      <c r="AC443">
        <f>Tabla35[[#This Row],[COPIAR]]-Tabla34[[#This Row],[COPIAR]]</f>
        <v>-103</v>
      </c>
    </row>
    <row r="444" spans="1:29" x14ac:dyDescent="0.25">
      <c r="A444" t="s">
        <v>495</v>
      </c>
      <c r="B444" t="s">
        <v>496</v>
      </c>
      <c r="C444">
        <v>1025</v>
      </c>
      <c r="D444">
        <v>13</v>
      </c>
      <c r="E444">
        <v>0</v>
      </c>
      <c r="F444">
        <v>0</v>
      </c>
      <c r="G444">
        <v>0</v>
      </c>
      <c r="H444">
        <v>200</v>
      </c>
      <c r="I444">
        <v>236</v>
      </c>
      <c r="K444" t="s">
        <v>10</v>
      </c>
      <c r="L444" t="s">
        <v>500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U444" t="s">
        <v>10</v>
      </c>
      <c r="V444" t="s">
        <v>500</v>
      </c>
      <c r="W444">
        <f>Tabla35[[#This Row],[BN CARTA]]-Tabla34[[#This Row],[BN CARTA]]</f>
        <v>-1025</v>
      </c>
      <c r="X444">
        <f>Tabla35[[#This Row],[BN OFICIO]]-Tabla34[[#This Row],[BN OFICIO]]</f>
        <v>-13</v>
      </c>
      <c r="Y444">
        <f>Tabla35[[#This Row],[BN DC]]-Tabla34[[#This Row],[BN DC]]</f>
        <v>0</v>
      </c>
      <c r="Z444">
        <f>Tabla35[[#This Row],[COLOR CARTA]]-Tabla34[[#This Row],[COLOR CARTA]]</f>
        <v>0</v>
      </c>
      <c r="AA444">
        <f>Tabla35[[#This Row],[COLOR OFICIO]]-Tabla34[[#This Row],[COLOR OFICIO]]</f>
        <v>0</v>
      </c>
      <c r="AB444">
        <f>Tabla35[[#This Row],[ENVIAR]]-Tabla34[[#This Row],[ENVIAR]]</f>
        <v>-200</v>
      </c>
      <c r="AC444">
        <f>Tabla35[[#This Row],[COPIAR]]-Tabla34[[#This Row],[COPIAR]]</f>
        <v>-236</v>
      </c>
    </row>
    <row r="445" spans="1:29" x14ac:dyDescent="0.25">
      <c r="A445" t="s">
        <v>10</v>
      </c>
      <c r="B445" t="s">
        <v>497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K445" t="s">
        <v>10</v>
      </c>
      <c r="L445" t="s">
        <v>501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U445" t="s">
        <v>10</v>
      </c>
      <c r="V445" t="s">
        <v>501</v>
      </c>
      <c r="W445">
        <f>Tabla35[[#This Row],[BN CARTA]]-Tabla34[[#This Row],[BN CARTA]]</f>
        <v>0</v>
      </c>
      <c r="X445">
        <f>Tabla35[[#This Row],[BN OFICIO]]-Tabla34[[#This Row],[BN OFICIO]]</f>
        <v>0</v>
      </c>
      <c r="Y445">
        <f>Tabla35[[#This Row],[BN DC]]-Tabla34[[#This Row],[BN DC]]</f>
        <v>0</v>
      </c>
      <c r="Z445">
        <f>Tabla35[[#This Row],[COLOR CARTA]]-Tabla34[[#This Row],[COLOR CARTA]]</f>
        <v>0</v>
      </c>
      <c r="AA445">
        <f>Tabla35[[#This Row],[COLOR OFICIO]]-Tabla34[[#This Row],[COLOR OFICIO]]</f>
        <v>0</v>
      </c>
      <c r="AB445">
        <f>Tabla35[[#This Row],[ENVIAR]]-Tabla34[[#This Row],[ENVIAR]]</f>
        <v>0</v>
      </c>
      <c r="AC445">
        <f>Tabla35[[#This Row],[COPIAR]]-Tabla34[[#This Row],[COPIAR]]</f>
        <v>0</v>
      </c>
    </row>
    <row r="446" spans="1:29" x14ac:dyDescent="0.25">
      <c r="A446" t="s">
        <v>10</v>
      </c>
      <c r="B446" s="1" t="s">
        <v>782</v>
      </c>
      <c r="K446" t="s">
        <v>10</v>
      </c>
      <c r="L446" t="s">
        <v>502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U446" t="s">
        <v>10</v>
      </c>
      <c r="V446" t="s">
        <v>502</v>
      </c>
      <c r="W446">
        <f>Tabla35[[#This Row],[BN CARTA]]-Tabla34[[#This Row],[BN CARTA]]</f>
        <v>0</v>
      </c>
      <c r="X446">
        <f>Tabla35[[#This Row],[BN OFICIO]]-Tabla34[[#This Row],[BN OFICIO]]</f>
        <v>0</v>
      </c>
      <c r="Y446">
        <f>Tabla35[[#This Row],[BN DC]]-Tabla34[[#This Row],[BN DC]]</f>
        <v>0</v>
      </c>
      <c r="Z446">
        <f>Tabla35[[#This Row],[COLOR CARTA]]-Tabla34[[#This Row],[COLOR CARTA]]</f>
        <v>0</v>
      </c>
      <c r="AA446">
        <f>Tabla35[[#This Row],[COLOR OFICIO]]-Tabla34[[#This Row],[COLOR OFICIO]]</f>
        <v>0</v>
      </c>
      <c r="AB446">
        <f>Tabla35[[#This Row],[ENVIAR]]-Tabla34[[#This Row],[ENVIAR]]</f>
        <v>0</v>
      </c>
      <c r="AC446">
        <f>Tabla35[[#This Row],[COPIAR]]-Tabla34[[#This Row],[COPIAR]]</f>
        <v>0</v>
      </c>
    </row>
    <row r="447" spans="1:29" x14ac:dyDescent="0.25">
      <c r="A447" t="s">
        <v>10</v>
      </c>
      <c r="B447" s="1" t="s">
        <v>783</v>
      </c>
      <c r="K447" t="s">
        <v>150</v>
      </c>
      <c r="L447" t="s">
        <v>503</v>
      </c>
      <c r="M447">
        <v>253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U447" t="s">
        <v>150</v>
      </c>
      <c r="V447" t="s">
        <v>503</v>
      </c>
      <c r="W447">
        <f>Tabla35[[#This Row],[BN CARTA]]-Tabla34[[#This Row],[BN CARTA]]</f>
        <v>253</v>
      </c>
      <c r="X447">
        <f>Tabla35[[#This Row],[BN OFICIO]]-Tabla34[[#This Row],[BN OFICIO]]</f>
        <v>0</v>
      </c>
      <c r="Y447">
        <f>Tabla35[[#This Row],[BN DC]]-Tabla34[[#This Row],[BN DC]]</f>
        <v>0</v>
      </c>
      <c r="Z447">
        <f>Tabla35[[#This Row],[COLOR CARTA]]-Tabla34[[#This Row],[COLOR CARTA]]</f>
        <v>0</v>
      </c>
      <c r="AA447">
        <f>Tabla35[[#This Row],[COLOR OFICIO]]-Tabla34[[#This Row],[COLOR OFICIO]]</f>
        <v>0</v>
      </c>
      <c r="AB447">
        <f>Tabla35[[#This Row],[ENVIAR]]-Tabla34[[#This Row],[ENVIAR]]</f>
        <v>0</v>
      </c>
      <c r="AC447">
        <f>Tabla35[[#This Row],[COPIAR]]-Tabla34[[#This Row],[COPIAR]]</f>
        <v>0</v>
      </c>
    </row>
    <row r="448" spans="1:29" x14ac:dyDescent="0.25">
      <c r="A448" t="s">
        <v>10</v>
      </c>
      <c r="B448" s="1" t="s">
        <v>784</v>
      </c>
      <c r="K448" t="s">
        <v>10</v>
      </c>
      <c r="L448" t="s">
        <v>504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U448" t="s">
        <v>10</v>
      </c>
      <c r="V448" t="s">
        <v>504</v>
      </c>
      <c r="W448">
        <f>Tabla35[[#This Row],[BN CARTA]]-Tabla34[[#This Row],[BN CARTA]]</f>
        <v>0</v>
      </c>
      <c r="X448">
        <f>Tabla35[[#This Row],[BN OFICIO]]-Tabla34[[#This Row],[BN OFICIO]]</f>
        <v>0</v>
      </c>
      <c r="Y448">
        <f>Tabla35[[#This Row],[BN DC]]-Tabla34[[#This Row],[BN DC]]</f>
        <v>0</v>
      </c>
      <c r="Z448">
        <f>Tabla35[[#This Row],[COLOR CARTA]]-Tabla34[[#This Row],[COLOR CARTA]]</f>
        <v>0</v>
      </c>
      <c r="AA448">
        <f>Tabla35[[#This Row],[COLOR OFICIO]]-Tabla34[[#This Row],[COLOR OFICIO]]</f>
        <v>0</v>
      </c>
      <c r="AB448">
        <f>Tabla35[[#This Row],[ENVIAR]]-Tabla34[[#This Row],[ENVIAR]]</f>
        <v>0</v>
      </c>
      <c r="AC448">
        <f>Tabla35[[#This Row],[COPIAR]]-Tabla34[[#This Row],[COPIAR]]</f>
        <v>0</v>
      </c>
    </row>
    <row r="449" spans="1:29" x14ac:dyDescent="0.25">
      <c r="A449" t="s">
        <v>10</v>
      </c>
      <c r="B449" s="1" t="s">
        <v>785</v>
      </c>
      <c r="K449" t="s">
        <v>10</v>
      </c>
      <c r="L449" t="s">
        <v>505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U449" t="s">
        <v>10</v>
      </c>
      <c r="V449" t="s">
        <v>505</v>
      </c>
      <c r="W449">
        <f>Tabla35[[#This Row],[BN CARTA]]-Tabla34[[#This Row],[BN CARTA]]</f>
        <v>0</v>
      </c>
      <c r="X449">
        <f>Tabla35[[#This Row],[BN OFICIO]]-Tabla34[[#This Row],[BN OFICIO]]</f>
        <v>0</v>
      </c>
      <c r="Y449">
        <f>Tabla35[[#This Row],[BN DC]]-Tabla34[[#This Row],[BN DC]]</f>
        <v>0</v>
      </c>
      <c r="Z449">
        <f>Tabla35[[#This Row],[COLOR CARTA]]-Tabla34[[#This Row],[COLOR CARTA]]</f>
        <v>0</v>
      </c>
      <c r="AA449">
        <f>Tabla35[[#This Row],[COLOR OFICIO]]-Tabla34[[#This Row],[COLOR OFICIO]]</f>
        <v>0</v>
      </c>
      <c r="AB449">
        <f>Tabla35[[#This Row],[ENVIAR]]-Tabla34[[#This Row],[ENVIAR]]</f>
        <v>0</v>
      </c>
      <c r="AC449">
        <f>Tabla35[[#This Row],[COPIAR]]-Tabla34[[#This Row],[COPIAR]]</f>
        <v>0</v>
      </c>
    </row>
    <row r="450" spans="1:29" x14ac:dyDescent="0.25">
      <c r="A450" t="s">
        <v>10</v>
      </c>
      <c r="B450" t="s">
        <v>498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K450" t="s">
        <v>10</v>
      </c>
      <c r="L450" t="s">
        <v>506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U450" t="s">
        <v>10</v>
      </c>
      <c r="V450" t="s">
        <v>506</v>
      </c>
      <c r="W450">
        <f>Tabla35[[#This Row],[BN CARTA]]-Tabla34[[#This Row],[BN CARTA]]</f>
        <v>0</v>
      </c>
      <c r="X450">
        <f>Tabla35[[#This Row],[BN OFICIO]]-Tabla34[[#This Row],[BN OFICIO]]</f>
        <v>0</v>
      </c>
      <c r="Y450">
        <f>Tabla35[[#This Row],[BN DC]]-Tabla34[[#This Row],[BN DC]]</f>
        <v>0</v>
      </c>
      <c r="Z450">
        <f>Tabla35[[#This Row],[COLOR CARTA]]-Tabla34[[#This Row],[COLOR CARTA]]</f>
        <v>0</v>
      </c>
      <c r="AA450">
        <f>Tabla35[[#This Row],[COLOR OFICIO]]-Tabla34[[#This Row],[COLOR OFICIO]]</f>
        <v>0</v>
      </c>
      <c r="AB450">
        <f>Tabla35[[#This Row],[ENVIAR]]-Tabla34[[#This Row],[ENVIAR]]</f>
        <v>0</v>
      </c>
      <c r="AC450">
        <f>Tabla35[[#This Row],[COPIAR]]-Tabla34[[#This Row],[COPIAR]]</f>
        <v>0</v>
      </c>
    </row>
    <row r="451" spans="1:29" x14ac:dyDescent="0.25">
      <c r="A451" t="s">
        <v>10</v>
      </c>
      <c r="B451" s="1" t="s">
        <v>786</v>
      </c>
      <c r="K451" t="s">
        <v>10</v>
      </c>
      <c r="L451" t="s">
        <v>507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U451" t="s">
        <v>10</v>
      </c>
      <c r="V451" t="s">
        <v>507</v>
      </c>
      <c r="W451">
        <f>Tabla35[[#This Row],[BN CARTA]]-Tabla34[[#This Row],[BN CARTA]]</f>
        <v>0</v>
      </c>
      <c r="X451">
        <f>Tabla35[[#This Row],[BN OFICIO]]-Tabla34[[#This Row],[BN OFICIO]]</f>
        <v>0</v>
      </c>
      <c r="Y451">
        <f>Tabla35[[#This Row],[BN DC]]-Tabla34[[#This Row],[BN DC]]</f>
        <v>0</v>
      </c>
      <c r="Z451">
        <f>Tabla35[[#This Row],[COLOR CARTA]]-Tabla34[[#This Row],[COLOR CARTA]]</f>
        <v>0</v>
      </c>
      <c r="AA451">
        <f>Tabla35[[#This Row],[COLOR OFICIO]]-Tabla34[[#This Row],[COLOR OFICIO]]</f>
        <v>0</v>
      </c>
      <c r="AB451">
        <f>Tabla35[[#This Row],[ENVIAR]]-Tabla34[[#This Row],[ENVIAR]]</f>
        <v>0</v>
      </c>
      <c r="AC451">
        <f>Tabla35[[#This Row],[COPIAR]]-Tabla34[[#This Row],[COPIAR]]</f>
        <v>0</v>
      </c>
    </row>
    <row r="452" spans="1:29" x14ac:dyDescent="0.25">
      <c r="A452" t="s">
        <v>10</v>
      </c>
      <c r="B452" t="s">
        <v>499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K452" t="s">
        <v>10</v>
      </c>
      <c r="L452" t="s">
        <v>508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U452" t="s">
        <v>10</v>
      </c>
      <c r="V452" t="s">
        <v>508</v>
      </c>
      <c r="W452">
        <f>Tabla35[[#This Row],[BN CARTA]]-Tabla34[[#This Row],[BN CARTA]]</f>
        <v>0</v>
      </c>
      <c r="X452">
        <f>Tabla35[[#This Row],[BN OFICIO]]-Tabla34[[#This Row],[BN OFICIO]]</f>
        <v>0</v>
      </c>
      <c r="Y452">
        <f>Tabla35[[#This Row],[BN DC]]-Tabla34[[#This Row],[BN DC]]</f>
        <v>0</v>
      </c>
      <c r="Z452">
        <f>Tabla35[[#This Row],[COLOR CARTA]]-Tabla34[[#This Row],[COLOR CARTA]]</f>
        <v>0</v>
      </c>
      <c r="AA452">
        <f>Tabla35[[#This Row],[COLOR OFICIO]]-Tabla34[[#This Row],[COLOR OFICIO]]</f>
        <v>0</v>
      </c>
      <c r="AB452">
        <f>Tabla35[[#This Row],[ENVIAR]]-Tabla34[[#This Row],[ENVIAR]]</f>
        <v>0</v>
      </c>
      <c r="AC452">
        <f>Tabla35[[#This Row],[COPIAR]]-Tabla34[[#This Row],[COPIAR]]</f>
        <v>0</v>
      </c>
    </row>
    <row r="453" spans="1:29" x14ac:dyDescent="0.25">
      <c r="A453" t="s">
        <v>10</v>
      </c>
      <c r="B453" t="s">
        <v>500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K453" t="s">
        <v>10</v>
      </c>
      <c r="L453" t="s">
        <v>509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U453" t="s">
        <v>10</v>
      </c>
      <c r="V453" t="s">
        <v>509</v>
      </c>
      <c r="W453">
        <f>Tabla35[[#This Row],[BN CARTA]]-Tabla34[[#This Row],[BN CARTA]]</f>
        <v>0</v>
      </c>
      <c r="X453">
        <f>Tabla35[[#This Row],[BN OFICIO]]-Tabla34[[#This Row],[BN OFICIO]]</f>
        <v>0</v>
      </c>
      <c r="Y453">
        <f>Tabla35[[#This Row],[BN DC]]-Tabla34[[#This Row],[BN DC]]</f>
        <v>0</v>
      </c>
      <c r="Z453">
        <f>Tabla35[[#This Row],[COLOR CARTA]]-Tabla34[[#This Row],[COLOR CARTA]]</f>
        <v>0</v>
      </c>
      <c r="AA453">
        <f>Tabla35[[#This Row],[COLOR OFICIO]]-Tabla34[[#This Row],[COLOR OFICIO]]</f>
        <v>0</v>
      </c>
      <c r="AB453">
        <f>Tabla35[[#This Row],[ENVIAR]]-Tabla34[[#This Row],[ENVIAR]]</f>
        <v>0</v>
      </c>
      <c r="AC453">
        <f>Tabla35[[#This Row],[COPIAR]]-Tabla34[[#This Row],[COPIAR]]</f>
        <v>0</v>
      </c>
    </row>
    <row r="454" spans="1:29" x14ac:dyDescent="0.25">
      <c r="A454" t="s">
        <v>10</v>
      </c>
      <c r="B454" t="s">
        <v>501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K454" t="s">
        <v>10</v>
      </c>
      <c r="L454" t="s">
        <v>510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U454" t="s">
        <v>10</v>
      </c>
      <c r="V454" t="s">
        <v>510</v>
      </c>
      <c r="W454">
        <f>Tabla35[[#This Row],[BN CARTA]]-Tabla34[[#This Row],[BN CARTA]]</f>
        <v>0</v>
      </c>
      <c r="X454">
        <f>Tabla35[[#This Row],[BN OFICIO]]-Tabla34[[#This Row],[BN OFICIO]]</f>
        <v>0</v>
      </c>
      <c r="Y454">
        <f>Tabla35[[#This Row],[BN DC]]-Tabla34[[#This Row],[BN DC]]</f>
        <v>0</v>
      </c>
      <c r="Z454">
        <f>Tabla35[[#This Row],[COLOR CARTA]]-Tabla34[[#This Row],[COLOR CARTA]]</f>
        <v>0</v>
      </c>
      <c r="AA454">
        <f>Tabla35[[#This Row],[COLOR OFICIO]]-Tabla34[[#This Row],[COLOR OFICIO]]</f>
        <v>0</v>
      </c>
      <c r="AB454">
        <f>Tabla35[[#This Row],[ENVIAR]]-Tabla34[[#This Row],[ENVIAR]]</f>
        <v>0</v>
      </c>
      <c r="AC454">
        <f>Tabla35[[#This Row],[COPIAR]]-Tabla34[[#This Row],[COPIAR]]</f>
        <v>0</v>
      </c>
    </row>
    <row r="455" spans="1:29" x14ac:dyDescent="0.25">
      <c r="A455" t="s">
        <v>10</v>
      </c>
      <c r="B455" t="s">
        <v>502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K455" t="s">
        <v>150</v>
      </c>
      <c r="L455" t="s">
        <v>511</v>
      </c>
      <c r="M455">
        <v>8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U455" t="s">
        <v>150</v>
      </c>
      <c r="V455" t="s">
        <v>511</v>
      </c>
      <c r="W455">
        <f>Tabla35[[#This Row],[BN CARTA]]-Tabla34[[#This Row],[BN CARTA]]</f>
        <v>8</v>
      </c>
      <c r="X455">
        <f>Tabla35[[#This Row],[BN OFICIO]]-Tabla34[[#This Row],[BN OFICIO]]</f>
        <v>0</v>
      </c>
      <c r="Y455">
        <f>Tabla35[[#This Row],[BN DC]]-Tabla34[[#This Row],[BN DC]]</f>
        <v>0</v>
      </c>
      <c r="Z455">
        <f>Tabla35[[#This Row],[COLOR CARTA]]-Tabla34[[#This Row],[COLOR CARTA]]</f>
        <v>0</v>
      </c>
      <c r="AA455">
        <f>Tabla35[[#This Row],[COLOR OFICIO]]-Tabla34[[#This Row],[COLOR OFICIO]]</f>
        <v>0</v>
      </c>
      <c r="AB455">
        <f>Tabla35[[#This Row],[ENVIAR]]-Tabla34[[#This Row],[ENVIAR]]</f>
        <v>0</v>
      </c>
      <c r="AC455">
        <f>Tabla35[[#This Row],[COPIAR]]-Tabla34[[#This Row],[COPIAR]]</f>
        <v>0</v>
      </c>
    </row>
    <row r="456" spans="1:29" x14ac:dyDescent="0.25">
      <c r="A456" t="s">
        <v>150</v>
      </c>
      <c r="B456" t="s">
        <v>503</v>
      </c>
      <c r="C456">
        <v>2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K456" t="s">
        <v>512</v>
      </c>
      <c r="L456" t="s">
        <v>513</v>
      </c>
      <c r="M456">
        <v>243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U456" t="s">
        <v>512</v>
      </c>
      <c r="V456" t="s">
        <v>513</v>
      </c>
      <c r="W456">
        <f>Tabla35[[#This Row],[BN CARTA]]-Tabla34[[#This Row],[BN CARTA]]</f>
        <v>241</v>
      </c>
      <c r="X456">
        <f>Tabla35[[#This Row],[BN OFICIO]]-Tabla34[[#This Row],[BN OFICIO]]</f>
        <v>0</v>
      </c>
      <c r="Y456">
        <f>Tabla35[[#This Row],[BN DC]]-Tabla34[[#This Row],[BN DC]]</f>
        <v>0</v>
      </c>
      <c r="Z456">
        <f>Tabla35[[#This Row],[COLOR CARTA]]-Tabla34[[#This Row],[COLOR CARTA]]</f>
        <v>0</v>
      </c>
      <c r="AA456">
        <f>Tabla35[[#This Row],[COLOR OFICIO]]-Tabla34[[#This Row],[COLOR OFICIO]]</f>
        <v>0</v>
      </c>
      <c r="AB456">
        <f>Tabla35[[#This Row],[ENVIAR]]-Tabla34[[#This Row],[ENVIAR]]</f>
        <v>0</v>
      </c>
      <c r="AC456">
        <f>Tabla35[[#This Row],[COPIAR]]-Tabla34[[#This Row],[COPIAR]]</f>
        <v>0</v>
      </c>
    </row>
    <row r="457" spans="1:29" x14ac:dyDescent="0.25">
      <c r="A457" t="s">
        <v>10</v>
      </c>
      <c r="B457" t="s">
        <v>504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K457" t="s">
        <v>10</v>
      </c>
      <c r="L457" t="s">
        <v>514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U457" t="s">
        <v>10</v>
      </c>
      <c r="V457" t="s">
        <v>514</v>
      </c>
      <c r="W457">
        <f>Tabla35[[#This Row],[BN CARTA]]-Tabla34[[#This Row],[BN CARTA]]</f>
        <v>0</v>
      </c>
      <c r="X457">
        <f>Tabla35[[#This Row],[BN OFICIO]]-Tabla34[[#This Row],[BN OFICIO]]</f>
        <v>0</v>
      </c>
      <c r="Y457">
        <f>Tabla35[[#This Row],[BN DC]]-Tabla34[[#This Row],[BN DC]]</f>
        <v>0</v>
      </c>
      <c r="Z457">
        <f>Tabla35[[#This Row],[COLOR CARTA]]-Tabla34[[#This Row],[COLOR CARTA]]</f>
        <v>0</v>
      </c>
      <c r="AA457">
        <f>Tabla35[[#This Row],[COLOR OFICIO]]-Tabla34[[#This Row],[COLOR OFICIO]]</f>
        <v>0</v>
      </c>
      <c r="AB457">
        <f>Tabla35[[#This Row],[ENVIAR]]-Tabla34[[#This Row],[ENVIAR]]</f>
        <v>0</v>
      </c>
      <c r="AC457">
        <f>Tabla35[[#This Row],[COPIAR]]-Tabla34[[#This Row],[COPIAR]]</f>
        <v>0</v>
      </c>
    </row>
    <row r="458" spans="1:29" x14ac:dyDescent="0.25">
      <c r="A458" t="s">
        <v>10</v>
      </c>
      <c r="B458" t="s">
        <v>505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K458" t="s">
        <v>10</v>
      </c>
      <c r="L458" t="s">
        <v>515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U458" t="s">
        <v>10</v>
      </c>
      <c r="V458" t="s">
        <v>515</v>
      </c>
      <c r="W458">
        <f>Tabla35[[#This Row],[BN CARTA]]-Tabla34[[#This Row],[BN CARTA]]</f>
        <v>0</v>
      </c>
      <c r="X458">
        <f>Tabla35[[#This Row],[BN OFICIO]]-Tabla34[[#This Row],[BN OFICIO]]</f>
        <v>0</v>
      </c>
      <c r="Y458">
        <f>Tabla35[[#This Row],[BN DC]]-Tabla34[[#This Row],[BN DC]]</f>
        <v>0</v>
      </c>
      <c r="Z458">
        <f>Tabla35[[#This Row],[COLOR CARTA]]-Tabla34[[#This Row],[COLOR CARTA]]</f>
        <v>0</v>
      </c>
      <c r="AA458">
        <f>Tabla35[[#This Row],[COLOR OFICIO]]-Tabla34[[#This Row],[COLOR OFICIO]]</f>
        <v>0</v>
      </c>
      <c r="AB458">
        <f>Tabla35[[#This Row],[ENVIAR]]-Tabla34[[#This Row],[ENVIAR]]</f>
        <v>0</v>
      </c>
      <c r="AC458">
        <f>Tabla35[[#This Row],[COPIAR]]-Tabla34[[#This Row],[COPIAR]]</f>
        <v>0</v>
      </c>
    </row>
    <row r="459" spans="1:29" x14ac:dyDescent="0.25">
      <c r="A459" t="s">
        <v>10</v>
      </c>
      <c r="B459" t="s">
        <v>506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K459" t="s">
        <v>792</v>
      </c>
      <c r="L459" t="s">
        <v>516</v>
      </c>
      <c r="M459">
        <v>10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U459" t="s">
        <v>792</v>
      </c>
      <c r="V459" t="s">
        <v>516</v>
      </c>
      <c r="W459">
        <f>Tabla35[[#This Row],[BN CARTA]]-Tabla34[[#This Row],[BN CARTA]]</f>
        <v>10</v>
      </c>
      <c r="X459">
        <f>Tabla35[[#This Row],[BN OFICIO]]-Tabla34[[#This Row],[BN OFICIO]]</f>
        <v>0</v>
      </c>
      <c r="Y459">
        <f>Tabla35[[#This Row],[BN DC]]-Tabla34[[#This Row],[BN DC]]</f>
        <v>0</v>
      </c>
      <c r="Z459">
        <f>Tabla35[[#This Row],[COLOR CARTA]]-Tabla34[[#This Row],[COLOR CARTA]]</f>
        <v>0</v>
      </c>
      <c r="AA459">
        <f>Tabla35[[#This Row],[COLOR OFICIO]]-Tabla34[[#This Row],[COLOR OFICIO]]</f>
        <v>0</v>
      </c>
      <c r="AB459">
        <f>Tabla35[[#This Row],[ENVIAR]]-Tabla34[[#This Row],[ENVIAR]]</f>
        <v>0</v>
      </c>
      <c r="AC459">
        <f>Tabla35[[#This Row],[COPIAR]]-Tabla34[[#This Row],[COPIAR]]</f>
        <v>0</v>
      </c>
    </row>
    <row r="460" spans="1:29" x14ac:dyDescent="0.25">
      <c r="A460" t="s">
        <v>10</v>
      </c>
      <c r="B460" t="s">
        <v>507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K460" t="s">
        <v>10</v>
      </c>
      <c r="L460" t="s">
        <v>517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U460" t="s">
        <v>10</v>
      </c>
      <c r="V460" t="s">
        <v>517</v>
      </c>
      <c r="W460">
        <f>Tabla35[[#This Row],[BN CARTA]]-Tabla34[[#This Row],[BN CARTA]]</f>
        <v>0</v>
      </c>
      <c r="X460">
        <f>Tabla35[[#This Row],[BN OFICIO]]-Tabla34[[#This Row],[BN OFICIO]]</f>
        <v>0</v>
      </c>
      <c r="Y460">
        <f>Tabla35[[#This Row],[BN DC]]-Tabla34[[#This Row],[BN DC]]</f>
        <v>0</v>
      </c>
      <c r="Z460">
        <f>Tabla35[[#This Row],[COLOR CARTA]]-Tabla34[[#This Row],[COLOR CARTA]]</f>
        <v>0</v>
      </c>
      <c r="AA460">
        <f>Tabla35[[#This Row],[COLOR OFICIO]]-Tabla34[[#This Row],[COLOR OFICIO]]</f>
        <v>0</v>
      </c>
      <c r="AB460">
        <f>Tabla35[[#This Row],[ENVIAR]]-Tabla34[[#This Row],[ENVIAR]]</f>
        <v>0</v>
      </c>
      <c r="AC460">
        <f>Tabla35[[#This Row],[COPIAR]]-Tabla34[[#This Row],[COPIAR]]</f>
        <v>0</v>
      </c>
    </row>
    <row r="461" spans="1:29" x14ac:dyDescent="0.25">
      <c r="A461" t="s">
        <v>10</v>
      </c>
      <c r="B461" t="s">
        <v>508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K461" t="s">
        <v>10</v>
      </c>
      <c r="L461" t="s">
        <v>518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U461" t="s">
        <v>10</v>
      </c>
      <c r="V461" t="s">
        <v>518</v>
      </c>
      <c r="W461">
        <f>Tabla35[[#This Row],[BN CARTA]]-Tabla34[[#This Row],[BN CARTA]]</f>
        <v>0</v>
      </c>
      <c r="X461">
        <f>Tabla35[[#This Row],[BN OFICIO]]-Tabla34[[#This Row],[BN OFICIO]]</f>
        <v>0</v>
      </c>
      <c r="Y461">
        <f>Tabla35[[#This Row],[BN DC]]-Tabla34[[#This Row],[BN DC]]</f>
        <v>0</v>
      </c>
      <c r="Z461">
        <f>Tabla35[[#This Row],[COLOR CARTA]]-Tabla34[[#This Row],[COLOR CARTA]]</f>
        <v>0</v>
      </c>
      <c r="AA461">
        <f>Tabla35[[#This Row],[COLOR OFICIO]]-Tabla34[[#This Row],[COLOR OFICIO]]</f>
        <v>0</v>
      </c>
      <c r="AB461">
        <f>Tabla35[[#This Row],[ENVIAR]]-Tabla34[[#This Row],[ENVIAR]]</f>
        <v>0</v>
      </c>
      <c r="AC461">
        <f>Tabla35[[#This Row],[COPIAR]]-Tabla34[[#This Row],[COPIAR]]</f>
        <v>0</v>
      </c>
    </row>
    <row r="462" spans="1:29" x14ac:dyDescent="0.25">
      <c r="A462" t="s">
        <v>10</v>
      </c>
      <c r="B462" t="s">
        <v>509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K462" t="s">
        <v>10</v>
      </c>
      <c r="L462" t="s">
        <v>519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U462" t="s">
        <v>10</v>
      </c>
      <c r="V462" t="s">
        <v>519</v>
      </c>
      <c r="W462">
        <f>Tabla35[[#This Row],[BN CARTA]]-Tabla34[[#This Row],[BN CARTA]]</f>
        <v>0</v>
      </c>
      <c r="X462">
        <f>Tabla35[[#This Row],[BN OFICIO]]-Tabla34[[#This Row],[BN OFICIO]]</f>
        <v>0</v>
      </c>
      <c r="Y462">
        <f>Tabla35[[#This Row],[BN DC]]-Tabla34[[#This Row],[BN DC]]</f>
        <v>0</v>
      </c>
      <c r="Z462">
        <f>Tabla35[[#This Row],[COLOR CARTA]]-Tabla34[[#This Row],[COLOR CARTA]]</f>
        <v>0</v>
      </c>
      <c r="AA462">
        <f>Tabla35[[#This Row],[COLOR OFICIO]]-Tabla34[[#This Row],[COLOR OFICIO]]</f>
        <v>0</v>
      </c>
      <c r="AB462">
        <f>Tabla35[[#This Row],[ENVIAR]]-Tabla34[[#This Row],[ENVIAR]]</f>
        <v>0</v>
      </c>
      <c r="AC462">
        <f>Tabla35[[#This Row],[COPIAR]]-Tabla34[[#This Row],[COPIAR]]</f>
        <v>0</v>
      </c>
    </row>
    <row r="463" spans="1:29" x14ac:dyDescent="0.25">
      <c r="A463" t="s">
        <v>10</v>
      </c>
      <c r="B463" t="s">
        <v>510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K463" t="s">
        <v>10</v>
      </c>
      <c r="L463" t="s">
        <v>520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U463" t="s">
        <v>10</v>
      </c>
      <c r="V463" t="s">
        <v>520</v>
      </c>
      <c r="W463">
        <f>Tabla35[[#This Row],[BN CARTA]]-Tabla34[[#This Row],[BN CARTA]]</f>
        <v>0</v>
      </c>
      <c r="X463">
        <f>Tabla35[[#This Row],[BN OFICIO]]-Tabla34[[#This Row],[BN OFICIO]]</f>
        <v>0</v>
      </c>
      <c r="Y463">
        <f>Tabla35[[#This Row],[BN DC]]-Tabla34[[#This Row],[BN DC]]</f>
        <v>0</v>
      </c>
      <c r="Z463">
        <f>Tabla35[[#This Row],[COLOR CARTA]]-Tabla34[[#This Row],[COLOR CARTA]]</f>
        <v>0</v>
      </c>
      <c r="AA463">
        <f>Tabla35[[#This Row],[COLOR OFICIO]]-Tabla34[[#This Row],[COLOR OFICIO]]</f>
        <v>0</v>
      </c>
      <c r="AB463">
        <f>Tabla35[[#This Row],[ENVIAR]]-Tabla34[[#This Row],[ENVIAR]]</f>
        <v>0</v>
      </c>
      <c r="AC463">
        <f>Tabla35[[#This Row],[COPIAR]]-Tabla34[[#This Row],[COPIAR]]</f>
        <v>0</v>
      </c>
    </row>
    <row r="464" spans="1:29" x14ac:dyDescent="0.25">
      <c r="A464" t="s">
        <v>150</v>
      </c>
      <c r="B464" t="s">
        <v>511</v>
      </c>
      <c r="C464">
        <v>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K464" t="s">
        <v>150</v>
      </c>
      <c r="L464" t="s">
        <v>521</v>
      </c>
      <c r="M464">
        <v>3095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U464" t="s">
        <v>150</v>
      </c>
      <c r="V464" t="s">
        <v>521</v>
      </c>
      <c r="W464">
        <f>Tabla35[[#This Row],[BN CARTA]]-Tabla34[[#This Row],[BN CARTA]]</f>
        <v>3093</v>
      </c>
      <c r="X464">
        <f>Tabla35[[#This Row],[BN OFICIO]]-Tabla34[[#This Row],[BN OFICIO]]</f>
        <v>0</v>
      </c>
      <c r="Y464">
        <f>Tabla35[[#This Row],[BN DC]]-Tabla34[[#This Row],[BN DC]]</f>
        <v>0</v>
      </c>
      <c r="Z464">
        <f>Tabla35[[#This Row],[COLOR CARTA]]-Tabla34[[#This Row],[COLOR CARTA]]</f>
        <v>0</v>
      </c>
      <c r="AA464">
        <f>Tabla35[[#This Row],[COLOR OFICIO]]-Tabla34[[#This Row],[COLOR OFICIO]]</f>
        <v>0</v>
      </c>
      <c r="AB464">
        <f>Tabla35[[#This Row],[ENVIAR]]-Tabla34[[#This Row],[ENVIAR]]</f>
        <v>0</v>
      </c>
      <c r="AC464">
        <f>Tabla35[[#This Row],[COPIAR]]-Tabla34[[#This Row],[COPIAR]]</f>
        <v>0</v>
      </c>
    </row>
    <row r="465" spans="1:29" x14ac:dyDescent="0.25">
      <c r="A465" t="s">
        <v>512</v>
      </c>
      <c r="B465" t="s">
        <v>513</v>
      </c>
      <c r="C465">
        <v>155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K465" t="s">
        <v>72</v>
      </c>
      <c r="L465" t="s">
        <v>522</v>
      </c>
      <c r="M465">
        <v>117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 t="s">
        <v>72</v>
      </c>
      <c r="V465" t="s">
        <v>522</v>
      </c>
      <c r="W465">
        <f>Tabla35[[#This Row],[BN CARTA]]-Tabla34[[#This Row],[BN CARTA]]</f>
        <v>-38</v>
      </c>
      <c r="X465">
        <f>Tabla35[[#This Row],[BN OFICIO]]-Tabla34[[#This Row],[BN OFICIO]]</f>
        <v>0</v>
      </c>
      <c r="Y465">
        <f>Tabla35[[#This Row],[BN DC]]-Tabla34[[#This Row],[BN DC]]</f>
        <v>0</v>
      </c>
      <c r="Z465">
        <f>Tabla35[[#This Row],[COLOR CARTA]]-Tabla34[[#This Row],[COLOR CARTA]]</f>
        <v>0</v>
      </c>
      <c r="AA465">
        <f>Tabla35[[#This Row],[COLOR OFICIO]]-Tabla34[[#This Row],[COLOR OFICIO]]</f>
        <v>0</v>
      </c>
      <c r="AB465">
        <f>Tabla35[[#This Row],[ENVIAR]]-Tabla34[[#This Row],[ENVIAR]]</f>
        <v>0</v>
      </c>
      <c r="AC465">
        <f>Tabla35[[#This Row],[COPIAR]]-Tabla34[[#This Row],[COPIAR]]</f>
        <v>0</v>
      </c>
    </row>
    <row r="466" spans="1:29" x14ac:dyDescent="0.25">
      <c r="A466" t="s">
        <v>10</v>
      </c>
      <c r="B466" t="s">
        <v>514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K466" t="s">
        <v>10</v>
      </c>
      <c r="L466" t="s">
        <v>523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U466" t="s">
        <v>10</v>
      </c>
      <c r="V466" t="s">
        <v>523</v>
      </c>
      <c r="W466">
        <f>Tabla35[[#This Row],[BN CARTA]]-Tabla34[[#This Row],[BN CARTA]]</f>
        <v>0</v>
      </c>
      <c r="X466">
        <f>Tabla35[[#This Row],[BN OFICIO]]-Tabla34[[#This Row],[BN OFICIO]]</f>
        <v>0</v>
      </c>
      <c r="Y466">
        <f>Tabla35[[#This Row],[BN DC]]-Tabla34[[#This Row],[BN DC]]</f>
        <v>0</v>
      </c>
      <c r="Z466">
        <f>Tabla35[[#This Row],[COLOR CARTA]]-Tabla34[[#This Row],[COLOR CARTA]]</f>
        <v>0</v>
      </c>
      <c r="AA466">
        <f>Tabla35[[#This Row],[COLOR OFICIO]]-Tabla34[[#This Row],[COLOR OFICIO]]</f>
        <v>0</v>
      </c>
      <c r="AB466">
        <f>Tabla35[[#This Row],[ENVIAR]]-Tabla34[[#This Row],[ENVIAR]]</f>
        <v>0</v>
      </c>
      <c r="AC466">
        <f>Tabla35[[#This Row],[COPIAR]]-Tabla34[[#This Row],[COPIAR]]</f>
        <v>0</v>
      </c>
    </row>
    <row r="467" spans="1:29" x14ac:dyDescent="0.25">
      <c r="A467" t="s">
        <v>10</v>
      </c>
      <c r="B467" t="s">
        <v>515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K467" t="s">
        <v>10</v>
      </c>
      <c r="L467" t="s">
        <v>524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 t="s">
        <v>10</v>
      </c>
      <c r="V467" t="s">
        <v>524</v>
      </c>
      <c r="W467">
        <f>Tabla35[[#This Row],[BN CARTA]]-Tabla34[[#This Row],[BN CARTA]]</f>
        <v>0</v>
      </c>
      <c r="X467">
        <f>Tabla35[[#This Row],[BN OFICIO]]-Tabla34[[#This Row],[BN OFICIO]]</f>
        <v>0</v>
      </c>
      <c r="Y467">
        <f>Tabla35[[#This Row],[BN DC]]-Tabla34[[#This Row],[BN DC]]</f>
        <v>0</v>
      </c>
      <c r="Z467">
        <f>Tabla35[[#This Row],[COLOR CARTA]]-Tabla34[[#This Row],[COLOR CARTA]]</f>
        <v>0</v>
      </c>
      <c r="AA467">
        <f>Tabla35[[#This Row],[COLOR OFICIO]]-Tabla34[[#This Row],[COLOR OFICIO]]</f>
        <v>0</v>
      </c>
      <c r="AB467">
        <f>Tabla35[[#This Row],[ENVIAR]]-Tabla34[[#This Row],[ENVIAR]]</f>
        <v>0</v>
      </c>
      <c r="AC467">
        <f>Tabla35[[#This Row],[COPIAR]]-Tabla34[[#This Row],[COPIAR]]</f>
        <v>0</v>
      </c>
    </row>
    <row r="468" spans="1:29" x14ac:dyDescent="0.25">
      <c r="A468" t="s">
        <v>10</v>
      </c>
      <c r="B468" t="s">
        <v>516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K468" t="s">
        <v>188</v>
      </c>
      <c r="L468" t="s">
        <v>525</v>
      </c>
      <c r="M468">
        <v>6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U468" t="s">
        <v>188</v>
      </c>
      <c r="V468" t="s">
        <v>525</v>
      </c>
      <c r="W468">
        <f>Tabla35[[#This Row],[BN CARTA]]-Tabla34[[#This Row],[BN CARTA]]</f>
        <v>6</v>
      </c>
      <c r="X468">
        <f>Tabla35[[#This Row],[BN OFICIO]]-Tabla34[[#This Row],[BN OFICIO]]</f>
        <v>0</v>
      </c>
      <c r="Y468">
        <f>Tabla35[[#This Row],[BN DC]]-Tabla34[[#This Row],[BN DC]]</f>
        <v>0</v>
      </c>
      <c r="Z468">
        <f>Tabla35[[#This Row],[COLOR CARTA]]-Tabla34[[#This Row],[COLOR CARTA]]</f>
        <v>0</v>
      </c>
      <c r="AA468">
        <f>Tabla35[[#This Row],[COLOR OFICIO]]-Tabla34[[#This Row],[COLOR OFICIO]]</f>
        <v>0</v>
      </c>
      <c r="AB468">
        <f>Tabla35[[#This Row],[ENVIAR]]-Tabla34[[#This Row],[ENVIAR]]</f>
        <v>0</v>
      </c>
      <c r="AC468">
        <f>Tabla35[[#This Row],[COPIAR]]-Tabla34[[#This Row],[COPIAR]]</f>
        <v>0</v>
      </c>
    </row>
    <row r="469" spans="1:29" x14ac:dyDescent="0.25">
      <c r="A469" t="s">
        <v>10</v>
      </c>
      <c r="B469" t="s">
        <v>517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K469" t="s">
        <v>10</v>
      </c>
      <c r="L469" t="s">
        <v>526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U469" t="s">
        <v>10</v>
      </c>
      <c r="V469" t="s">
        <v>526</v>
      </c>
      <c r="W469">
        <f>Tabla35[[#This Row],[BN CARTA]]-Tabla34[[#This Row],[BN CARTA]]</f>
        <v>0</v>
      </c>
      <c r="X469">
        <f>Tabla35[[#This Row],[BN OFICIO]]-Tabla34[[#This Row],[BN OFICIO]]</f>
        <v>0</v>
      </c>
      <c r="Y469">
        <f>Tabla35[[#This Row],[BN DC]]-Tabla34[[#This Row],[BN DC]]</f>
        <v>0</v>
      </c>
      <c r="Z469">
        <f>Tabla35[[#This Row],[COLOR CARTA]]-Tabla34[[#This Row],[COLOR CARTA]]</f>
        <v>0</v>
      </c>
      <c r="AA469">
        <f>Tabla35[[#This Row],[COLOR OFICIO]]-Tabla34[[#This Row],[COLOR OFICIO]]</f>
        <v>0</v>
      </c>
      <c r="AB469">
        <f>Tabla35[[#This Row],[ENVIAR]]-Tabla34[[#This Row],[ENVIAR]]</f>
        <v>0</v>
      </c>
      <c r="AC469">
        <f>Tabla35[[#This Row],[COPIAR]]-Tabla34[[#This Row],[COPIAR]]</f>
        <v>0</v>
      </c>
    </row>
    <row r="470" spans="1:29" x14ac:dyDescent="0.25">
      <c r="A470" t="s">
        <v>10</v>
      </c>
      <c r="B470" t="s">
        <v>518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K470" t="s">
        <v>799</v>
      </c>
      <c r="L470" t="s">
        <v>527</v>
      </c>
      <c r="M470">
        <v>7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U470" t="s">
        <v>799</v>
      </c>
      <c r="V470" t="s">
        <v>527</v>
      </c>
      <c r="W470">
        <f>Tabla35[[#This Row],[BN CARTA]]-Tabla34[[#This Row],[BN CARTA]]</f>
        <v>7</v>
      </c>
      <c r="X470">
        <f>Tabla35[[#This Row],[BN OFICIO]]-Tabla34[[#This Row],[BN OFICIO]]</f>
        <v>0</v>
      </c>
      <c r="Y470">
        <f>Tabla35[[#This Row],[BN DC]]-Tabla34[[#This Row],[BN DC]]</f>
        <v>0</v>
      </c>
      <c r="Z470">
        <f>Tabla35[[#This Row],[COLOR CARTA]]-Tabla34[[#This Row],[COLOR CARTA]]</f>
        <v>0</v>
      </c>
      <c r="AA470">
        <f>Tabla35[[#This Row],[COLOR OFICIO]]-Tabla34[[#This Row],[COLOR OFICIO]]</f>
        <v>0</v>
      </c>
      <c r="AB470">
        <f>Tabla35[[#This Row],[ENVIAR]]-Tabla34[[#This Row],[ENVIAR]]</f>
        <v>0</v>
      </c>
      <c r="AC470">
        <f>Tabla35[[#This Row],[COPIAR]]-Tabla34[[#This Row],[COPIAR]]</f>
        <v>0</v>
      </c>
    </row>
    <row r="471" spans="1:29" x14ac:dyDescent="0.25">
      <c r="A471" t="s">
        <v>10</v>
      </c>
      <c r="B471" t="s">
        <v>519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K471" t="s">
        <v>76</v>
      </c>
      <c r="L471" t="s">
        <v>528</v>
      </c>
      <c r="M471">
        <v>67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U471" t="s">
        <v>76</v>
      </c>
      <c r="V471" t="s">
        <v>528</v>
      </c>
      <c r="W471">
        <f>Tabla35[[#This Row],[BN CARTA]]-Tabla34[[#This Row],[BN CARTA]]</f>
        <v>67</v>
      </c>
      <c r="X471">
        <f>Tabla35[[#This Row],[BN OFICIO]]-Tabla34[[#This Row],[BN OFICIO]]</f>
        <v>0</v>
      </c>
      <c r="Y471">
        <f>Tabla35[[#This Row],[BN DC]]-Tabla34[[#This Row],[BN DC]]</f>
        <v>0</v>
      </c>
      <c r="Z471">
        <f>Tabla35[[#This Row],[COLOR CARTA]]-Tabla34[[#This Row],[COLOR CARTA]]</f>
        <v>0</v>
      </c>
      <c r="AA471">
        <f>Tabla35[[#This Row],[COLOR OFICIO]]-Tabla34[[#This Row],[COLOR OFICIO]]</f>
        <v>0</v>
      </c>
      <c r="AB471">
        <f>Tabla35[[#This Row],[ENVIAR]]-Tabla34[[#This Row],[ENVIAR]]</f>
        <v>0</v>
      </c>
      <c r="AC471">
        <f>Tabla35[[#This Row],[COPIAR]]-Tabla34[[#This Row],[COPIAR]]</f>
        <v>0</v>
      </c>
    </row>
    <row r="472" spans="1:29" x14ac:dyDescent="0.25">
      <c r="A472" t="s">
        <v>10</v>
      </c>
      <c r="B472" t="s">
        <v>520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K472" t="s">
        <v>10</v>
      </c>
      <c r="L472" t="s">
        <v>529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U472" t="s">
        <v>10</v>
      </c>
      <c r="V472" t="s">
        <v>529</v>
      </c>
      <c r="W472">
        <f>Tabla35[[#This Row],[BN CARTA]]-Tabla34[[#This Row],[BN CARTA]]</f>
        <v>0</v>
      </c>
      <c r="X472">
        <f>Tabla35[[#This Row],[BN OFICIO]]-Tabla34[[#This Row],[BN OFICIO]]</f>
        <v>0</v>
      </c>
      <c r="Y472">
        <f>Tabla35[[#This Row],[BN DC]]-Tabla34[[#This Row],[BN DC]]</f>
        <v>0</v>
      </c>
      <c r="Z472">
        <f>Tabla35[[#This Row],[COLOR CARTA]]-Tabla34[[#This Row],[COLOR CARTA]]</f>
        <v>0</v>
      </c>
      <c r="AA472">
        <f>Tabla35[[#This Row],[COLOR OFICIO]]-Tabla34[[#This Row],[COLOR OFICIO]]</f>
        <v>0</v>
      </c>
      <c r="AB472">
        <f>Tabla35[[#This Row],[ENVIAR]]-Tabla34[[#This Row],[ENVIAR]]</f>
        <v>0</v>
      </c>
      <c r="AC472">
        <f>Tabla35[[#This Row],[COPIAR]]-Tabla34[[#This Row],[COPIAR]]</f>
        <v>0</v>
      </c>
    </row>
    <row r="473" spans="1:29" x14ac:dyDescent="0.25">
      <c r="A473" t="s">
        <v>150</v>
      </c>
      <c r="B473" t="s">
        <v>521</v>
      </c>
      <c r="C473">
        <v>350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K473" t="s">
        <v>10</v>
      </c>
      <c r="L473" t="s">
        <v>530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U473" t="s">
        <v>10</v>
      </c>
      <c r="V473" t="s">
        <v>530</v>
      </c>
      <c r="W473">
        <f>Tabla35[[#This Row],[BN CARTA]]-Tabla34[[#This Row],[BN CARTA]]</f>
        <v>-350</v>
      </c>
      <c r="X473">
        <f>Tabla35[[#This Row],[BN OFICIO]]-Tabla34[[#This Row],[BN OFICIO]]</f>
        <v>0</v>
      </c>
      <c r="Y473">
        <f>Tabla35[[#This Row],[BN DC]]-Tabla34[[#This Row],[BN DC]]</f>
        <v>0</v>
      </c>
      <c r="Z473">
        <f>Tabla35[[#This Row],[COLOR CARTA]]-Tabla34[[#This Row],[COLOR CARTA]]</f>
        <v>0</v>
      </c>
      <c r="AA473">
        <f>Tabla35[[#This Row],[COLOR OFICIO]]-Tabla34[[#This Row],[COLOR OFICIO]]</f>
        <v>0</v>
      </c>
      <c r="AB473">
        <f>Tabla35[[#This Row],[ENVIAR]]-Tabla34[[#This Row],[ENVIAR]]</f>
        <v>0</v>
      </c>
      <c r="AC473">
        <f>Tabla35[[#This Row],[COPIAR]]-Tabla34[[#This Row],[COPIAR]]</f>
        <v>0</v>
      </c>
    </row>
    <row r="474" spans="1:29" x14ac:dyDescent="0.25">
      <c r="A474" t="s">
        <v>72</v>
      </c>
      <c r="B474" t="s">
        <v>522</v>
      </c>
      <c r="C474">
        <v>12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K474" t="s">
        <v>792</v>
      </c>
      <c r="L474" t="s">
        <v>531</v>
      </c>
      <c r="M474">
        <v>87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U474" t="s">
        <v>792</v>
      </c>
      <c r="V474" t="s">
        <v>531</v>
      </c>
      <c r="W474">
        <f>Tabla35[[#This Row],[BN CARTA]]-Tabla34[[#This Row],[BN CARTA]]</f>
        <v>75</v>
      </c>
      <c r="X474">
        <f>Tabla35[[#This Row],[BN OFICIO]]-Tabla34[[#This Row],[BN OFICIO]]</f>
        <v>0</v>
      </c>
      <c r="Y474">
        <f>Tabla35[[#This Row],[BN DC]]-Tabla34[[#This Row],[BN DC]]</f>
        <v>0</v>
      </c>
      <c r="Z474">
        <f>Tabla35[[#This Row],[COLOR CARTA]]-Tabla34[[#This Row],[COLOR CARTA]]</f>
        <v>0</v>
      </c>
      <c r="AA474">
        <f>Tabla35[[#This Row],[COLOR OFICIO]]-Tabla34[[#This Row],[COLOR OFICIO]]</f>
        <v>0</v>
      </c>
      <c r="AB474">
        <f>Tabla35[[#This Row],[ENVIAR]]-Tabla34[[#This Row],[ENVIAR]]</f>
        <v>0</v>
      </c>
      <c r="AC474">
        <f>Tabla35[[#This Row],[COPIAR]]-Tabla34[[#This Row],[COPIAR]]</f>
        <v>0</v>
      </c>
    </row>
    <row r="475" spans="1:29" x14ac:dyDescent="0.25">
      <c r="A475" t="s">
        <v>10</v>
      </c>
      <c r="B475" t="s">
        <v>523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K475" t="s">
        <v>10</v>
      </c>
      <c r="L475" t="s">
        <v>532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U475" t="s">
        <v>10</v>
      </c>
      <c r="V475" t="s">
        <v>532</v>
      </c>
      <c r="W475">
        <f>Tabla35[[#This Row],[BN CARTA]]-Tabla34[[#This Row],[BN CARTA]]</f>
        <v>0</v>
      </c>
      <c r="X475">
        <f>Tabla35[[#This Row],[BN OFICIO]]-Tabla34[[#This Row],[BN OFICIO]]</f>
        <v>0</v>
      </c>
      <c r="Y475">
        <f>Tabla35[[#This Row],[BN DC]]-Tabla34[[#This Row],[BN DC]]</f>
        <v>0</v>
      </c>
      <c r="Z475">
        <f>Tabla35[[#This Row],[COLOR CARTA]]-Tabla34[[#This Row],[COLOR CARTA]]</f>
        <v>0</v>
      </c>
      <c r="AA475">
        <f>Tabla35[[#This Row],[COLOR OFICIO]]-Tabla34[[#This Row],[COLOR OFICIO]]</f>
        <v>0</v>
      </c>
      <c r="AB475">
        <f>Tabla35[[#This Row],[ENVIAR]]-Tabla34[[#This Row],[ENVIAR]]</f>
        <v>0</v>
      </c>
      <c r="AC475">
        <f>Tabla35[[#This Row],[COPIAR]]-Tabla34[[#This Row],[COPIAR]]</f>
        <v>0</v>
      </c>
    </row>
    <row r="476" spans="1:29" x14ac:dyDescent="0.25">
      <c r="A476" t="s">
        <v>10</v>
      </c>
      <c r="B476" t="s">
        <v>524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K476" t="s">
        <v>76</v>
      </c>
      <c r="L476" t="s">
        <v>533</v>
      </c>
      <c r="M476">
        <v>82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U476" t="s">
        <v>76</v>
      </c>
      <c r="V476" t="s">
        <v>533</v>
      </c>
      <c r="W476">
        <f>Tabla35[[#This Row],[BN CARTA]]-Tabla34[[#This Row],[BN CARTA]]</f>
        <v>82</v>
      </c>
      <c r="X476">
        <f>Tabla35[[#This Row],[BN OFICIO]]-Tabla34[[#This Row],[BN OFICIO]]</f>
        <v>0</v>
      </c>
      <c r="Y476">
        <f>Tabla35[[#This Row],[BN DC]]-Tabla34[[#This Row],[BN DC]]</f>
        <v>0</v>
      </c>
      <c r="Z476">
        <f>Tabla35[[#This Row],[COLOR CARTA]]-Tabla34[[#This Row],[COLOR CARTA]]</f>
        <v>0</v>
      </c>
      <c r="AA476">
        <f>Tabla35[[#This Row],[COLOR OFICIO]]-Tabla34[[#This Row],[COLOR OFICIO]]</f>
        <v>0</v>
      </c>
      <c r="AB476">
        <f>Tabla35[[#This Row],[ENVIAR]]-Tabla34[[#This Row],[ENVIAR]]</f>
        <v>0</v>
      </c>
      <c r="AC476">
        <f>Tabla35[[#This Row],[COPIAR]]-Tabla34[[#This Row],[COPIAR]]</f>
        <v>0</v>
      </c>
    </row>
    <row r="477" spans="1:29" x14ac:dyDescent="0.25">
      <c r="A477" t="s">
        <v>231</v>
      </c>
      <c r="B477" t="s">
        <v>525</v>
      </c>
      <c r="C477">
        <v>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K477" t="s">
        <v>10</v>
      </c>
      <c r="L477" t="s">
        <v>534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U477" t="s">
        <v>10</v>
      </c>
      <c r="V477" t="s">
        <v>534</v>
      </c>
      <c r="W477">
        <f>Tabla35[[#This Row],[BN CARTA]]-Tabla34[[#This Row],[BN CARTA]]</f>
        <v>-6</v>
      </c>
      <c r="X477">
        <f>Tabla35[[#This Row],[BN OFICIO]]-Tabla34[[#This Row],[BN OFICIO]]</f>
        <v>0</v>
      </c>
      <c r="Y477">
        <f>Tabla35[[#This Row],[BN DC]]-Tabla34[[#This Row],[BN DC]]</f>
        <v>0</v>
      </c>
      <c r="Z477">
        <f>Tabla35[[#This Row],[COLOR CARTA]]-Tabla34[[#This Row],[COLOR CARTA]]</f>
        <v>0</v>
      </c>
      <c r="AA477">
        <f>Tabla35[[#This Row],[COLOR OFICIO]]-Tabla34[[#This Row],[COLOR OFICIO]]</f>
        <v>0</v>
      </c>
      <c r="AB477">
        <f>Tabla35[[#This Row],[ENVIAR]]-Tabla34[[#This Row],[ENVIAR]]</f>
        <v>0</v>
      </c>
      <c r="AC477">
        <f>Tabla35[[#This Row],[COPIAR]]-Tabla34[[#This Row],[COPIAR]]</f>
        <v>0</v>
      </c>
    </row>
    <row r="478" spans="1:29" x14ac:dyDescent="0.25">
      <c r="A478" t="s">
        <v>10</v>
      </c>
      <c r="B478" t="s">
        <v>526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K478" t="s">
        <v>10</v>
      </c>
      <c r="L478" t="s">
        <v>535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U478" t="s">
        <v>10</v>
      </c>
      <c r="V478" t="s">
        <v>535</v>
      </c>
      <c r="W478">
        <f>Tabla35[[#This Row],[BN CARTA]]-Tabla34[[#This Row],[BN CARTA]]</f>
        <v>0</v>
      </c>
      <c r="X478">
        <f>Tabla35[[#This Row],[BN OFICIO]]-Tabla34[[#This Row],[BN OFICIO]]</f>
        <v>0</v>
      </c>
      <c r="Y478">
        <f>Tabla35[[#This Row],[BN DC]]-Tabla34[[#This Row],[BN DC]]</f>
        <v>0</v>
      </c>
      <c r="Z478">
        <f>Tabla35[[#This Row],[COLOR CARTA]]-Tabla34[[#This Row],[COLOR CARTA]]</f>
        <v>0</v>
      </c>
      <c r="AA478">
        <f>Tabla35[[#This Row],[COLOR OFICIO]]-Tabla34[[#This Row],[COLOR OFICIO]]</f>
        <v>0</v>
      </c>
      <c r="AB478">
        <f>Tabla35[[#This Row],[ENVIAR]]-Tabla34[[#This Row],[ENVIAR]]</f>
        <v>0</v>
      </c>
      <c r="AC478">
        <f>Tabla35[[#This Row],[COPIAR]]-Tabla34[[#This Row],[COPIAR]]</f>
        <v>0</v>
      </c>
    </row>
    <row r="479" spans="1:29" x14ac:dyDescent="0.25">
      <c r="A479" t="s">
        <v>10</v>
      </c>
      <c r="B479" t="s">
        <v>527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K479" t="s">
        <v>120</v>
      </c>
      <c r="L479" t="s">
        <v>536</v>
      </c>
      <c r="M479">
        <v>172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U479" t="s">
        <v>120</v>
      </c>
      <c r="V479" t="s">
        <v>536</v>
      </c>
      <c r="W479">
        <f>Tabla35[[#This Row],[BN CARTA]]-Tabla34[[#This Row],[BN CARTA]]</f>
        <v>172</v>
      </c>
      <c r="X479">
        <f>Tabla35[[#This Row],[BN OFICIO]]-Tabla34[[#This Row],[BN OFICIO]]</f>
        <v>0</v>
      </c>
      <c r="Y479">
        <f>Tabla35[[#This Row],[BN DC]]-Tabla34[[#This Row],[BN DC]]</f>
        <v>0</v>
      </c>
      <c r="Z479">
        <f>Tabla35[[#This Row],[COLOR CARTA]]-Tabla34[[#This Row],[COLOR CARTA]]</f>
        <v>0</v>
      </c>
      <c r="AA479">
        <f>Tabla35[[#This Row],[COLOR OFICIO]]-Tabla34[[#This Row],[COLOR OFICIO]]</f>
        <v>0</v>
      </c>
      <c r="AB479">
        <f>Tabla35[[#This Row],[ENVIAR]]-Tabla34[[#This Row],[ENVIAR]]</f>
        <v>0</v>
      </c>
      <c r="AC479">
        <f>Tabla35[[#This Row],[COPIAR]]-Tabla34[[#This Row],[COPIAR]]</f>
        <v>0</v>
      </c>
    </row>
    <row r="480" spans="1:29" x14ac:dyDescent="0.25">
      <c r="A480" t="s">
        <v>10</v>
      </c>
      <c r="B480" t="s">
        <v>528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K480" t="s">
        <v>10</v>
      </c>
      <c r="L480" t="s">
        <v>537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U480" t="s">
        <v>10</v>
      </c>
      <c r="V480" t="s">
        <v>537</v>
      </c>
      <c r="W480">
        <f>Tabla35[[#This Row],[BN CARTA]]-Tabla34[[#This Row],[BN CARTA]]</f>
        <v>0</v>
      </c>
      <c r="X480">
        <f>Tabla35[[#This Row],[BN OFICIO]]-Tabla34[[#This Row],[BN OFICIO]]</f>
        <v>0</v>
      </c>
      <c r="Y480">
        <f>Tabla35[[#This Row],[BN DC]]-Tabla34[[#This Row],[BN DC]]</f>
        <v>0</v>
      </c>
      <c r="Z480">
        <f>Tabla35[[#This Row],[COLOR CARTA]]-Tabla34[[#This Row],[COLOR CARTA]]</f>
        <v>0</v>
      </c>
      <c r="AA480">
        <f>Tabla35[[#This Row],[COLOR OFICIO]]-Tabla34[[#This Row],[COLOR OFICIO]]</f>
        <v>0</v>
      </c>
      <c r="AB480">
        <f>Tabla35[[#This Row],[ENVIAR]]-Tabla34[[#This Row],[ENVIAR]]</f>
        <v>0</v>
      </c>
      <c r="AC480">
        <f>Tabla35[[#This Row],[COPIAR]]-Tabla34[[#This Row],[COPIAR]]</f>
        <v>0</v>
      </c>
    </row>
    <row r="481" spans="1:29" x14ac:dyDescent="0.25">
      <c r="A481" t="s">
        <v>10</v>
      </c>
      <c r="B481" t="s">
        <v>529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K481" t="s">
        <v>10</v>
      </c>
      <c r="L481" t="s">
        <v>538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U481" t="s">
        <v>10</v>
      </c>
      <c r="V481" t="s">
        <v>538</v>
      </c>
      <c r="W481">
        <f>Tabla35[[#This Row],[BN CARTA]]-Tabla34[[#This Row],[BN CARTA]]</f>
        <v>0</v>
      </c>
      <c r="X481">
        <f>Tabla35[[#This Row],[BN OFICIO]]-Tabla34[[#This Row],[BN OFICIO]]</f>
        <v>0</v>
      </c>
      <c r="Y481">
        <f>Tabla35[[#This Row],[BN DC]]-Tabla34[[#This Row],[BN DC]]</f>
        <v>0</v>
      </c>
      <c r="Z481">
        <f>Tabla35[[#This Row],[COLOR CARTA]]-Tabla34[[#This Row],[COLOR CARTA]]</f>
        <v>0</v>
      </c>
      <c r="AA481">
        <f>Tabla35[[#This Row],[COLOR OFICIO]]-Tabla34[[#This Row],[COLOR OFICIO]]</f>
        <v>0</v>
      </c>
      <c r="AB481">
        <f>Tabla35[[#This Row],[ENVIAR]]-Tabla34[[#This Row],[ENVIAR]]</f>
        <v>0</v>
      </c>
      <c r="AC481">
        <f>Tabla35[[#This Row],[COPIAR]]-Tabla34[[#This Row],[COPIAR]]</f>
        <v>0</v>
      </c>
    </row>
    <row r="482" spans="1:29" x14ac:dyDescent="0.25">
      <c r="A482" t="s">
        <v>10</v>
      </c>
      <c r="B482" t="s">
        <v>530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K482" t="s">
        <v>10</v>
      </c>
      <c r="L482" t="s">
        <v>539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U482" t="s">
        <v>10</v>
      </c>
      <c r="V482" t="s">
        <v>539</v>
      </c>
      <c r="W482">
        <f>Tabla35[[#This Row],[BN CARTA]]-Tabla34[[#This Row],[BN CARTA]]</f>
        <v>0</v>
      </c>
      <c r="X482">
        <f>Tabla35[[#This Row],[BN OFICIO]]-Tabla34[[#This Row],[BN OFICIO]]</f>
        <v>0</v>
      </c>
      <c r="Y482">
        <f>Tabla35[[#This Row],[BN DC]]-Tabla34[[#This Row],[BN DC]]</f>
        <v>0</v>
      </c>
      <c r="Z482">
        <f>Tabla35[[#This Row],[COLOR CARTA]]-Tabla34[[#This Row],[COLOR CARTA]]</f>
        <v>0</v>
      </c>
      <c r="AA482">
        <f>Tabla35[[#This Row],[COLOR OFICIO]]-Tabla34[[#This Row],[COLOR OFICIO]]</f>
        <v>0</v>
      </c>
      <c r="AB482">
        <f>Tabla35[[#This Row],[ENVIAR]]-Tabla34[[#This Row],[ENVIAR]]</f>
        <v>0</v>
      </c>
      <c r="AC482">
        <f>Tabla35[[#This Row],[COPIAR]]-Tabla34[[#This Row],[COPIAR]]</f>
        <v>0</v>
      </c>
    </row>
    <row r="483" spans="1:29" x14ac:dyDescent="0.25">
      <c r="A483" t="s">
        <v>10</v>
      </c>
      <c r="B483" t="s">
        <v>531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K483" t="s">
        <v>146</v>
      </c>
      <c r="L483" t="s">
        <v>540</v>
      </c>
      <c r="M483">
        <v>10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U483" t="s">
        <v>146</v>
      </c>
      <c r="V483" t="s">
        <v>540</v>
      </c>
      <c r="W483">
        <f>Tabla35[[#This Row],[BN CARTA]]-Tabla34[[#This Row],[BN CARTA]]</f>
        <v>10</v>
      </c>
      <c r="X483">
        <f>Tabla35[[#This Row],[BN OFICIO]]-Tabla34[[#This Row],[BN OFICIO]]</f>
        <v>0</v>
      </c>
      <c r="Y483">
        <f>Tabla35[[#This Row],[BN DC]]-Tabla34[[#This Row],[BN DC]]</f>
        <v>0</v>
      </c>
      <c r="Z483">
        <f>Tabla35[[#This Row],[COLOR CARTA]]-Tabla34[[#This Row],[COLOR CARTA]]</f>
        <v>0</v>
      </c>
      <c r="AA483">
        <f>Tabla35[[#This Row],[COLOR OFICIO]]-Tabla34[[#This Row],[COLOR OFICIO]]</f>
        <v>0</v>
      </c>
      <c r="AB483">
        <f>Tabla35[[#This Row],[ENVIAR]]-Tabla34[[#This Row],[ENVIAR]]</f>
        <v>0</v>
      </c>
      <c r="AC483">
        <f>Tabla35[[#This Row],[COPIAR]]-Tabla34[[#This Row],[COPIAR]]</f>
        <v>0</v>
      </c>
    </row>
    <row r="484" spans="1:29" x14ac:dyDescent="0.25">
      <c r="A484" t="s">
        <v>10</v>
      </c>
      <c r="B484" t="s">
        <v>532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K484" t="s">
        <v>10</v>
      </c>
      <c r="L484" t="s">
        <v>541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U484" t="s">
        <v>10</v>
      </c>
      <c r="V484" t="s">
        <v>541</v>
      </c>
      <c r="W484">
        <f>Tabla35[[#This Row],[BN CARTA]]-Tabla34[[#This Row],[BN CARTA]]</f>
        <v>0</v>
      </c>
      <c r="X484">
        <f>Tabla35[[#This Row],[BN OFICIO]]-Tabla34[[#This Row],[BN OFICIO]]</f>
        <v>0</v>
      </c>
      <c r="Y484">
        <f>Tabla35[[#This Row],[BN DC]]-Tabla34[[#This Row],[BN DC]]</f>
        <v>0</v>
      </c>
      <c r="Z484">
        <f>Tabla35[[#This Row],[COLOR CARTA]]-Tabla34[[#This Row],[COLOR CARTA]]</f>
        <v>0</v>
      </c>
      <c r="AA484">
        <f>Tabla35[[#This Row],[COLOR OFICIO]]-Tabla34[[#This Row],[COLOR OFICIO]]</f>
        <v>0</v>
      </c>
      <c r="AB484">
        <f>Tabla35[[#This Row],[ENVIAR]]-Tabla34[[#This Row],[ENVIAR]]</f>
        <v>0</v>
      </c>
      <c r="AC484">
        <f>Tabla35[[#This Row],[COPIAR]]-Tabla34[[#This Row],[COPIAR]]</f>
        <v>0</v>
      </c>
    </row>
    <row r="485" spans="1:29" x14ac:dyDescent="0.25">
      <c r="A485" t="s">
        <v>76</v>
      </c>
      <c r="B485" t="s">
        <v>533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K485" t="s">
        <v>72</v>
      </c>
      <c r="L485" t="s">
        <v>542</v>
      </c>
      <c r="M485">
        <v>1747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U485" t="s">
        <v>72</v>
      </c>
      <c r="V485" t="s">
        <v>542</v>
      </c>
      <c r="W485">
        <f>Tabla35[[#This Row],[BN CARTA]]-Tabla34[[#This Row],[BN CARTA]]</f>
        <v>1743</v>
      </c>
      <c r="X485">
        <f>Tabla35[[#This Row],[BN OFICIO]]-Tabla34[[#This Row],[BN OFICIO]]</f>
        <v>0</v>
      </c>
      <c r="Y485">
        <f>Tabla35[[#This Row],[BN DC]]-Tabla34[[#This Row],[BN DC]]</f>
        <v>0</v>
      </c>
      <c r="Z485">
        <f>Tabla35[[#This Row],[COLOR CARTA]]-Tabla34[[#This Row],[COLOR CARTA]]</f>
        <v>0</v>
      </c>
      <c r="AA485">
        <f>Tabla35[[#This Row],[COLOR OFICIO]]-Tabla34[[#This Row],[COLOR OFICIO]]</f>
        <v>0</v>
      </c>
      <c r="AB485">
        <f>Tabla35[[#This Row],[ENVIAR]]-Tabla34[[#This Row],[ENVIAR]]</f>
        <v>0</v>
      </c>
      <c r="AC485">
        <f>Tabla35[[#This Row],[COPIAR]]-Tabla34[[#This Row],[COPIAR]]</f>
        <v>0</v>
      </c>
    </row>
    <row r="486" spans="1:29" x14ac:dyDescent="0.25">
      <c r="A486" t="s">
        <v>10</v>
      </c>
      <c r="B486" t="s">
        <v>534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K486" t="s">
        <v>795</v>
      </c>
      <c r="L486" t="s">
        <v>543</v>
      </c>
      <c r="M486">
        <v>31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U486" t="s">
        <v>795</v>
      </c>
      <c r="V486" t="s">
        <v>543</v>
      </c>
      <c r="W486">
        <f>Tabla35[[#This Row],[BN CARTA]]-Tabla34[[#This Row],[BN CARTA]]</f>
        <v>31</v>
      </c>
      <c r="X486">
        <f>Tabla35[[#This Row],[BN OFICIO]]-Tabla34[[#This Row],[BN OFICIO]]</f>
        <v>0</v>
      </c>
      <c r="Y486">
        <f>Tabla35[[#This Row],[BN DC]]-Tabla34[[#This Row],[BN DC]]</f>
        <v>0</v>
      </c>
      <c r="Z486">
        <f>Tabla35[[#This Row],[COLOR CARTA]]-Tabla34[[#This Row],[COLOR CARTA]]</f>
        <v>0</v>
      </c>
      <c r="AA486">
        <f>Tabla35[[#This Row],[COLOR OFICIO]]-Tabla34[[#This Row],[COLOR OFICIO]]</f>
        <v>0</v>
      </c>
      <c r="AB486">
        <f>Tabla35[[#This Row],[ENVIAR]]-Tabla34[[#This Row],[ENVIAR]]</f>
        <v>0</v>
      </c>
      <c r="AC486">
        <f>Tabla35[[#This Row],[COPIAR]]-Tabla34[[#This Row],[COPIAR]]</f>
        <v>0</v>
      </c>
    </row>
    <row r="487" spans="1:29" x14ac:dyDescent="0.25">
      <c r="A487" t="s">
        <v>10</v>
      </c>
      <c r="B487" t="s">
        <v>535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K487" t="s">
        <v>10</v>
      </c>
      <c r="L487" t="s">
        <v>544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U487" t="s">
        <v>10</v>
      </c>
      <c r="V487" t="s">
        <v>544</v>
      </c>
      <c r="W487">
        <f>Tabla35[[#This Row],[BN CARTA]]-Tabla34[[#This Row],[BN CARTA]]</f>
        <v>0</v>
      </c>
      <c r="X487">
        <f>Tabla35[[#This Row],[BN OFICIO]]-Tabla34[[#This Row],[BN OFICIO]]</f>
        <v>0</v>
      </c>
      <c r="Y487">
        <f>Tabla35[[#This Row],[BN DC]]-Tabla34[[#This Row],[BN DC]]</f>
        <v>0</v>
      </c>
      <c r="Z487">
        <f>Tabla35[[#This Row],[COLOR CARTA]]-Tabla34[[#This Row],[COLOR CARTA]]</f>
        <v>0</v>
      </c>
      <c r="AA487">
        <f>Tabla35[[#This Row],[COLOR OFICIO]]-Tabla34[[#This Row],[COLOR OFICIO]]</f>
        <v>0</v>
      </c>
      <c r="AB487">
        <f>Tabla35[[#This Row],[ENVIAR]]-Tabla34[[#This Row],[ENVIAR]]</f>
        <v>0</v>
      </c>
      <c r="AC487">
        <f>Tabla35[[#This Row],[COPIAR]]-Tabla34[[#This Row],[COPIAR]]</f>
        <v>0</v>
      </c>
    </row>
    <row r="488" spans="1:29" x14ac:dyDescent="0.25">
      <c r="A488" t="s">
        <v>10</v>
      </c>
      <c r="B488" t="s">
        <v>536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K488" t="s">
        <v>134</v>
      </c>
      <c r="L488" t="s">
        <v>545</v>
      </c>
      <c r="M488">
        <v>219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U488" t="s">
        <v>134</v>
      </c>
      <c r="V488" t="s">
        <v>545</v>
      </c>
      <c r="W488">
        <f>Tabla35[[#This Row],[BN CARTA]]-Tabla34[[#This Row],[BN CARTA]]</f>
        <v>219</v>
      </c>
      <c r="X488">
        <f>Tabla35[[#This Row],[BN OFICIO]]-Tabla34[[#This Row],[BN OFICIO]]</f>
        <v>0</v>
      </c>
      <c r="Y488">
        <f>Tabla35[[#This Row],[BN DC]]-Tabla34[[#This Row],[BN DC]]</f>
        <v>0</v>
      </c>
      <c r="Z488">
        <f>Tabla35[[#This Row],[COLOR CARTA]]-Tabla34[[#This Row],[COLOR CARTA]]</f>
        <v>0</v>
      </c>
      <c r="AA488">
        <f>Tabla35[[#This Row],[COLOR OFICIO]]-Tabla34[[#This Row],[COLOR OFICIO]]</f>
        <v>0</v>
      </c>
      <c r="AB488">
        <f>Tabla35[[#This Row],[ENVIAR]]-Tabla34[[#This Row],[ENVIAR]]</f>
        <v>0</v>
      </c>
      <c r="AC488">
        <f>Tabla35[[#This Row],[COPIAR]]-Tabla34[[#This Row],[COPIAR]]</f>
        <v>0</v>
      </c>
    </row>
    <row r="489" spans="1:29" x14ac:dyDescent="0.25">
      <c r="A489" t="s">
        <v>10</v>
      </c>
      <c r="B489" t="s">
        <v>537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K489" t="s">
        <v>76</v>
      </c>
      <c r="L489" t="s">
        <v>546</v>
      </c>
      <c r="M489">
        <v>142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U489" t="s">
        <v>76</v>
      </c>
      <c r="V489" t="s">
        <v>546</v>
      </c>
      <c r="W489">
        <f>Tabla35[[#This Row],[BN CARTA]]-Tabla34[[#This Row],[BN CARTA]]</f>
        <v>142</v>
      </c>
      <c r="X489">
        <f>Tabla35[[#This Row],[BN OFICIO]]-Tabla34[[#This Row],[BN OFICIO]]</f>
        <v>0</v>
      </c>
      <c r="Y489">
        <f>Tabla35[[#This Row],[BN DC]]-Tabla34[[#This Row],[BN DC]]</f>
        <v>0</v>
      </c>
      <c r="Z489">
        <f>Tabla35[[#This Row],[COLOR CARTA]]-Tabla34[[#This Row],[COLOR CARTA]]</f>
        <v>0</v>
      </c>
      <c r="AA489">
        <f>Tabla35[[#This Row],[COLOR OFICIO]]-Tabla34[[#This Row],[COLOR OFICIO]]</f>
        <v>0</v>
      </c>
      <c r="AB489">
        <f>Tabla35[[#This Row],[ENVIAR]]-Tabla34[[#This Row],[ENVIAR]]</f>
        <v>0</v>
      </c>
      <c r="AC489">
        <f>Tabla35[[#This Row],[COPIAR]]-Tabla34[[#This Row],[COPIAR]]</f>
        <v>0</v>
      </c>
    </row>
    <row r="490" spans="1:29" x14ac:dyDescent="0.25">
      <c r="A490" t="s">
        <v>10</v>
      </c>
      <c r="B490" t="s">
        <v>538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K490" t="s">
        <v>10</v>
      </c>
      <c r="L490" t="s">
        <v>547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U490" t="s">
        <v>10</v>
      </c>
      <c r="V490" t="s">
        <v>547</v>
      </c>
      <c r="W490">
        <f>Tabla35[[#This Row],[BN CARTA]]-Tabla34[[#This Row],[BN CARTA]]</f>
        <v>0</v>
      </c>
      <c r="X490">
        <f>Tabla35[[#This Row],[BN OFICIO]]-Tabla34[[#This Row],[BN OFICIO]]</f>
        <v>0</v>
      </c>
      <c r="Y490">
        <f>Tabla35[[#This Row],[BN DC]]-Tabla34[[#This Row],[BN DC]]</f>
        <v>0</v>
      </c>
      <c r="Z490">
        <f>Tabla35[[#This Row],[COLOR CARTA]]-Tabla34[[#This Row],[COLOR CARTA]]</f>
        <v>0</v>
      </c>
      <c r="AA490">
        <f>Tabla35[[#This Row],[COLOR OFICIO]]-Tabla34[[#This Row],[COLOR OFICIO]]</f>
        <v>0</v>
      </c>
      <c r="AB490">
        <f>Tabla35[[#This Row],[ENVIAR]]-Tabla34[[#This Row],[ENVIAR]]</f>
        <v>0</v>
      </c>
      <c r="AC490">
        <f>Tabla35[[#This Row],[COPIAR]]-Tabla34[[#This Row],[COPIAR]]</f>
        <v>0</v>
      </c>
    </row>
    <row r="491" spans="1:29" x14ac:dyDescent="0.25">
      <c r="A491" t="s">
        <v>10</v>
      </c>
      <c r="B491" t="s">
        <v>539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K491" t="s">
        <v>10</v>
      </c>
      <c r="L491" t="s">
        <v>548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U491" t="s">
        <v>10</v>
      </c>
      <c r="V491" t="s">
        <v>548</v>
      </c>
      <c r="W491">
        <f>Tabla35[[#This Row],[BN CARTA]]-Tabla34[[#This Row],[BN CARTA]]</f>
        <v>0</v>
      </c>
      <c r="X491">
        <f>Tabla35[[#This Row],[BN OFICIO]]-Tabla34[[#This Row],[BN OFICIO]]</f>
        <v>0</v>
      </c>
      <c r="Y491">
        <f>Tabla35[[#This Row],[BN DC]]-Tabla34[[#This Row],[BN DC]]</f>
        <v>0</v>
      </c>
      <c r="Z491">
        <f>Tabla35[[#This Row],[COLOR CARTA]]-Tabla34[[#This Row],[COLOR CARTA]]</f>
        <v>0</v>
      </c>
      <c r="AA491">
        <f>Tabla35[[#This Row],[COLOR OFICIO]]-Tabla34[[#This Row],[COLOR OFICIO]]</f>
        <v>0</v>
      </c>
      <c r="AB491">
        <f>Tabla35[[#This Row],[ENVIAR]]-Tabla34[[#This Row],[ENVIAR]]</f>
        <v>0</v>
      </c>
      <c r="AC491">
        <f>Tabla35[[#This Row],[COPIAR]]-Tabla34[[#This Row],[COPIAR]]</f>
        <v>0</v>
      </c>
    </row>
    <row r="492" spans="1:29" x14ac:dyDescent="0.25">
      <c r="A492" t="s">
        <v>146</v>
      </c>
      <c r="B492" t="s">
        <v>540</v>
      </c>
      <c r="C492">
        <v>6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K492" t="s">
        <v>72</v>
      </c>
      <c r="L492" t="s">
        <v>549</v>
      </c>
      <c r="M492">
        <v>2005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U492" t="s">
        <v>72</v>
      </c>
      <c r="V492" t="s">
        <v>549</v>
      </c>
      <c r="W492">
        <f>Tabla35[[#This Row],[BN CARTA]]-Tabla34[[#This Row],[BN CARTA]]</f>
        <v>1999</v>
      </c>
      <c r="X492">
        <f>Tabla35[[#This Row],[BN OFICIO]]-Tabla34[[#This Row],[BN OFICIO]]</f>
        <v>0</v>
      </c>
      <c r="Y492">
        <f>Tabla35[[#This Row],[BN DC]]-Tabla34[[#This Row],[BN DC]]</f>
        <v>0</v>
      </c>
      <c r="Z492">
        <f>Tabla35[[#This Row],[COLOR CARTA]]-Tabla34[[#This Row],[COLOR CARTA]]</f>
        <v>0</v>
      </c>
      <c r="AA492">
        <f>Tabla35[[#This Row],[COLOR OFICIO]]-Tabla34[[#This Row],[COLOR OFICIO]]</f>
        <v>0</v>
      </c>
      <c r="AB492">
        <f>Tabla35[[#This Row],[ENVIAR]]-Tabla34[[#This Row],[ENVIAR]]</f>
        <v>0</v>
      </c>
      <c r="AC492">
        <f>Tabla35[[#This Row],[COPIAR]]-Tabla34[[#This Row],[COPIAR]]</f>
        <v>0</v>
      </c>
    </row>
    <row r="493" spans="1:29" x14ac:dyDescent="0.25">
      <c r="A493" t="s">
        <v>10</v>
      </c>
      <c r="B493" t="s">
        <v>541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K493" t="s">
        <v>134</v>
      </c>
      <c r="L493" t="s">
        <v>550</v>
      </c>
      <c r="M493">
        <v>354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U493" t="s">
        <v>134</v>
      </c>
      <c r="V493" t="s">
        <v>550</v>
      </c>
      <c r="W493">
        <f>Tabla35[[#This Row],[BN CARTA]]-Tabla34[[#This Row],[BN CARTA]]</f>
        <v>354</v>
      </c>
      <c r="X493">
        <f>Tabla35[[#This Row],[BN OFICIO]]-Tabla34[[#This Row],[BN OFICIO]]</f>
        <v>0</v>
      </c>
      <c r="Y493">
        <f>Tabla35[[#This Row],[BN DC]]-Tabla34[[#This Row],[BN DC]]</f>
        <v>0</v>
      </c>
      <c r="Z493">
        <f>Tabla35[[#This Row],[COLOR CARTA]]-Tabla34[[#This Row],[COLOR CARTA]]</f>
        <v>0</v>
      </c>
      <c r="AA493">
        <f>Tabla35[[#This Row],[COLOR OFICIO]]-Tabla34[[#This Row],[COLOR OFICIO]]</f>
        <v>0</v>
      </c>
      <c r="AB493">
        <f>Tabla35[[#This Row],[ENVIAR]]-Tabla34[[#This Row],[ENVIAR]]</f>
        <v>0</v>
      </c>
      <c r="AC493">
        <f>Tabla35[[#This Row],[COPIAR]]-Tabla34[[#This Row],[COPIAR]]</f>
        <v>0</v>
      </c>
    </row>
    <row r="494" spans="1:29" x14ac:dyDescent="0.25">
      <c r="A494" t="s">
        <v>72</v>
      </c>
      <c r="B494" t="s">
        <v>542</v>
      </c>
      <c r="C494">
        <v>7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K494" t="s">
        <v>795</v>
      </c>
      <c r="L494" t="s">
        <v>551</v>
      </c>
      <c r="M494">
        <v>326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U494" t="s">
        <v>795</v>
      </c>
      <c r="V494" t="s">
        <v>551</v>
      </c>
      <c r="W494">
        <f>Tabla35[[#This Row],[BN CARTA]]-Tabla34[[#This Row],[BN CARTA]]</f>
        <v>319</v>
      </c>
      <c r="X494">
        <f>Tabla35[[#This Row],[BN OFICIO]]-Tabla34[[#This Row],[BN OFICIO]]</f>
        <v>0</v>
      </c>
      <c r="Y494">
        <f>Tabla35[[#This Row],[BN DC]]-Tabla34[[#This Row],[BN DC]]</f>
        <v>0</v>
      </c>
      <c r="Z494">
        <f>Tabla35[[#This Row],[COLOR CARTA]]-Tabla34[[#This Row],[COLOR CARTA]]</f>
        <v>0</v>
      </c>
      <c r="AA494">
        <f>Tabla35[[#This Row],[COLOR OFICIO]]-Tabla34[[#This Row],[COLOR OFICIO]]</f>
        <v>0</v>
      </c>
      <c r="AB494">
        <f>Tabla35[[#This Row],[ENVIAR]]-Tabla34[[#This Row],[ENVIAR]]</f>
        <v>0</v>
      </c>
      <c r="AC494">
        <f>Tabla35[[#This Row],[COPIAR]]-Tabla34[[#This Row],[COPIAR]]</f>
        <v>0</v>
      </c>
    </row>
    <row r="495" spans="1:29" x14ac:dyDescent="0.25">
      <c r="A495" t="s">
        <v>10</v>
      </c>
      <c r="B495" t="s">
        <v>543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K495" t="s">
        <v>76</v>
      </c>
      <c r="L495" t="s">
        <v>552</v>
      </c>
      <c r="M495">
        <v>182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U495" t="s">
        <v>76</v>
      </c>
      <c r="V495" t="s">
        <v>552</v>
      </c>
      <c r="W495">
        <f>Tabla35[[#This Row],[BN CARTA]]-Tabla34[[#This Row],[BN CARTA]]</f>
        <v>182</v>
      </c>
      <c r="X495">
        <f>Tabla35[[#This Row],[BN OFICIO]]-Tabla34[[#This Row],[BN OFICIO]]</f>
        <v>0</v>
      </c>
      <c r="Y495">
        <f>Tabla35[[#This Row],[BN DC]]-Tabla34[[#This Row],[BN DC]]</f>
        <v>0</v>
      </c>
      <c r="Z495">
        <f>Tabla35[[#This Row],[COLOR CARTA]]-Tabla34[[#This Row],[COLOR CARTA]]</f>
        <v>0</v>
      </c>
      <c r="AA495">
        <f>Tabla35[[#This Row],[COLOR OFICIO]]-Tabla34[[#This Row],[COLOR OFICIO]]</f>
        <v>0</v>
      </c>
      <c r="AB495">
        <f>Tabla35[[#This Row],[ENVIAR]]-Tabla34[[#This Row],[ENVIAR]]</f>
        <v>0</v>
      </c>
      <c r="AC495">
        <f>Tabla35[[#This Row],[COPIAR]]-Tabla34[[#This Row],[COPIAR]]</f>
        <v>0</v>
      </c>
    </row>
    <row r="496" spans="1:29" x14ac:dyDescent="0.25">
      <c r="A496" t="s">
        <v>10</v>
      </c>
      <c r="B496" t="s">
        <v>544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K496" t="s">
        <v>10</v>
      </c>
      <c r="L496" t="s">
        <v>553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U496" t="s">
        <v>10</v>
      </c>
      <c r="V496" t="s">
        <v>553</v>
      </c>
      <c r="W496">
        <f>Tabla35[[#This Row],[BN CARTA]]-Tabla34[[#This Row],[BN CARTA]]</f>
        <v>0</v>
      </c>
      <c r="X496">
        <f>Tabla35[[#This Row],[BN OFICIO]]-Tabla34[[#This Row],[BN OFICIO]]</f>
        <v>0</v>
      </c>
      <c r="Y496">
        <f>Tabla35[[#This Row],[BN DC]]-Tabla34[[#This Row],[BN DC]]</f>
        <v>0</v>
      </c>
      <c r="Z496">
        <f>Tabla35[[#This Row],[COLOR CARTA]]-Tabla34[[#This Row],[COLOR CARTA]]</f>
        <v>0</v>
      </c>
      <c r="AA496">
        <f>Tabla35[[#This Row],[COLOR OFICIO]]-Tabla34[[#This Row],[COLOR OFICIO]]</f>
        <v>0</v>
      </c>
      <c r="AB496">
        <f>Tabla35[[#This Row],[ENVIAR]]-Tabla34[[#This Row],[ENVIAR]]</f>
        <v>0</v>
      </c>
      <c r="AC496">
        <f>Tabla35[[#This Row],[COPIAR]]-Tabla34[[#This Row],[COPIAR]]</f>
        <v>0</v>
      </c>
    </row>
    <row r="497" spans="1:29" x14ac:dyDescent="0.25">
      <c r="A497" t="s">
        <v>134</v>
      </c>
      <c r="B497" t="s">
        <v>545</v>
      </c>
      <c r="C497">
        <v>8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K497" t="s">
        <v>512</v>
      </c>
      <c r="L497" t="s">
        <v>554</v>
      </c>
      <c r="M497">
        <v>439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U497" t="s">
        <v>512</v>
      </c>
      <c r="V497" t="s">
        <v>554</v>
      </c>
      <c r="W497">
        <f>Tabla35[[#This Row],[BN CARTA]]-Tabla34[[#This Row],[BN CARTA]]</f>
        <v>431</v>
      </c>
      <c r="X497">
        <f>Tabla35[[#This Row],[BN OFICIO]]-Tabla34[[#This Row],[BN OFICIO]]</f>
        <v>0</v>
      </c>
      <c r="Y497">
        <f>Tabla35[[#This Row],[BN DC]]-Tabla34[[#This Row],[BN DC]]</f>
        <v>0</v>
      </c>
      <c r="Z497">
        <f>Tabla35[[#This Row],[COLOR CARTA]]-Tabla34[[#This Row],[COLOR CARTA]]</f>
        <v>0</v>
      </c>
      <c r="AA497">
        <f>Tabla35[[#This Row],[COLOR OFICIO]]-Tabla34[[#This Row],[COLOR OFICIO]]</f>
        <v>0</v>
      </c>
      <c r="AB497">
        <f>Tabla35[[#This Row],[ENVIAR]]-Tabla34[[#This Row],[ENVIAR]]</f>
        <v>0</v>
      </c>
      <c r="AC497">
        <f>Tabla35[[#This Row],[COPIAR]]-Tabla34[[#This Row],[COPIAR]]</f>
        <v>0</v>
      </c>
    </row>
    <row r="498" spans="1:29" x14ac:dyDescent="0.25">
      <c r="A498" t="s">
        <v>76</v>
      </c>
      <c r="B498" t="s">
        <v>546</v>
      </c>
      <c r="C498">
        <v>8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K498" t="s">
        <v>10</v>
      </c>
      <c r="L498" t="s">
        <v>555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U498" t="s">
        <v>10</v>
      </c>
      <c r="V498" t="s">
        <v>555</v>
      </c>
      <c r="W498">
        <f>Tabla35[[#This Row],[BN CARTA]]-Tabla34[[#This Row],[BN CARTA]]</f>
        <v>-8</v>
      </c>
      <c r="X498">
        <f>Tabla35[[#This Row],[BN OFICIO]]-Tabla34[[#This Row],[BN OFICIO]]</f>
        <v>0</v>
      </c>
      <c r="Y498">
        <f>Tabla35[[#This Row],[BN DC]]-Tabla34[[#This Row],[BN DC]]</f>
        <v>0</v>
      </c>
      <c r="Z498">
        <f>Tabla35[[#This Row],[COLOR CARTA]]-Tabla34[[#This Row],[COLOR CARTA]]</f>
        <v>0</v>
      </c>
      <c r="AA498">
        <f>Tabla35[[#This Row],[COLOR OFICIO]]-Tabla34[[#This Row],[COLOR OFICIO]]</f>
        <v>0</v>
      </c>
      <c r="AB498">
        <f>Tabla35[[#This Row],[ENVIAR]]-Tabla34[[#This Row],[ENVIAR]]</f>
        <v>0</v>
      </c>
      <c r="AC498">
        <f>Tabla35[[#This Row],[COPIAR]]-Tabla34[[#This Row],[COPIAR]]</f>
        <v>0</v>
      </c>
    </row>
    <row r="499" spans="1:29" x14ac:dyDescent="0.25">
      <c r="A499" t="s">
        <v>10</v>
      </c>
      <c r="B499" t="s">
        <v>547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K499" t="s">
        <v>10</v>
      </c>
      <c r="L499" t="s">
        <v>556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U499" t="s">
        <v>10</v>
      </c>
      <c r="V499" t="s">
        <v>556</v>
      </c>
      <c r="W499">
        <f>Tabla35[[#This Row],[BN CARTA]]-Tabla34[[#This Row],[BN CARTA]]</f>
        <v>0</v>
      </c>
      <c r="X499">
        <f>Tabla35[[#This Row],[BN OFICIO]]-Tabla34[[#This Row],[BN OFICIO]]</f>
        <v>0</v>
      </c>
      <c r="Y499">
        <f>Tabla35[[#This Row],[BN DC]]-Tabla34[[#This Row],[BN DC]]</f>
        <v>0</v>
      </c>
      <c r="Z499">
        <f>Tabla35[[#This Row],[COLOR CARTA]]-Tabla34[[#This Row],[COLOR CARTA]]</f>
        <v>0</v>
      </c>
      <c r="AA499">
        <f>Tabla35[[#This Row],[COLOR OFICIO]]-Tabla34[[#This Row],[COLOR OFICIO]]</f>
        <v>0</v>
      </c>
      <c r="AB499">
        <f>Tabla35[[#This Row],[ENVIAR]]-Tabla34[[#This Row],[ENVIAR]]</f>
        <v>0</v>
      </c>
      <c r="AC499">
        <f>Tabla35[[#This Row],[COPIAR]]-Tabla34[[#This Row],[COPIAR]]</f>
        <v>0</v>
      </c>
    </row>
    <row r="500" spans="1:29" x14ac:dyDescent="0.25">
      <c r="A500" t="s">
        <v>10</v>
      </c>
      <c r="B500" t="s">
        <v>548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K500" t="s">
        <v>796</v>
      </c>
      <c r="L500" t="s">
        <v>557</v>
      </c>
      <c r="M500">
        <v>33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U500" t="s">
        <v>796</v>
      </c>
      <c r="V500" t="s">
        <v>557</v>
      </c>
      <c r="W500">
        <f>Tabla35[[#This Row],[BN CARTA]]-Tabla34[[#This Row],[BN CARTA]]</f>
        <v>33</v>
      </c>
      <c r="X500">
        <f>Tabla35[[#This Row],[BN OFICIO]]-Tabla34[[#This Row],[BN OFICIO]]</f>
        <v>0</v>
      </c>
      <c r="Y500">
        <f>Tabla35[[#This Row],[BN DC]]-Tabla34[[#This Row],[BN DC]]</f>
        <v>0</v>
      </c>
      <c r="Z500">
        <f>Tabla35[[#This Row],[COLOR CARTA]]-Tabla34[[#This Row],[COLOR CARTA]]</f>
        <v>0</v>
      </c>
      <c r="AA500">
        <f>Tabla35[[#This Row],[COLOR OFICIO]]-Tabla34[[#This Row],[COLOR OFICIO]]</f>
        <v>0</v>
      </c>
      <c r="AB500">
        <f>Tabla35[[#This Row],[ENVIAR]]-Tabla34[[#This Row],[ENVIAR]]</f>
        <v>0</v>
      </c>
      <c r="AC500">
        <f>Tabla35[[#This Row],[COPIAR]]-Tabla34[[#This Row],[COPIAR]]</f>
        <v>0</v>
      </c>
    </row>
    <row r="501" spans="1:29" x14ac:dyDescent="0.25">
      <c r="A501" t="s">
        <v>72</v>
      </c>
      <c r="B501" t="s">
        <v>549</v>
      </c>
      <c r="C501">
        <v>100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K501" t="s">
        <v>10</v>
      </c>
      <c r="L501" t="s">
        <v>558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U501" t="s">
        <v>10</v>
      </c>
      <c r="V501" t="s">
        <v>558</v>
      </c>
      <c r="W501">
        <f>Tabla35[[#This Row],[BN CARTA]]-Tabla34[[#This Row],[BN CARTA]]</f>
        <v>-100</v>
      </c>
      <c r="X501">
        <f>Tabla35[[#This Row],[BN OFICIO]]-Tabla34[[#This Row],[BN OFICIO]]</f>
        <v>0</v>
      </c>
      <c r="Y501">
        <f>Tabla35[[#This Row],[BN DC]]-Tabla34[[#This Row],[BN DC]]</f>
        <v>0</v>
      </c>
      <c r="Z501">
        <f>Tabla35[[#This Row],[COLOR CARTA]]-Tabla34[[#This Row],[COLOR CARTA]]</f>
        <v>0</v>
      </c>
      <c r="AA501">
        <f>Tabla35[[#This Row],[COLOR OFICIO]]-Tabla34[[#This Row],[COLOR OFICIO]]</f>
        <v>0</v>
      </c>
      <c r="AB501">
        <f>Tabla35[[#This Row],[ENVIAR]]-Tabla34[[#This Row],[ENVIAR]]</f>
        <v>0</v>
      </c>
      <c r="AC501">
        <f>Tabla35[[#This Row],[COPIAR]]-Tabla34[[#This Row],[COPIAR]]</f>
        <v>0</v>
      </c>
    </row>
    <row r="502" spans="1:29" x14ac:dyDescent="0.25">
      <c r="A502" t="s">
        <v>134</v>
      </c>
      <c r="B502" t="s">
        <v>550</v>
      </c>
      <c r="C502">
        <v>150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K502" t="s">
        <v>10</v>
      </c>
      <c r="L502" t="s">
        <v>559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U502" t="s">
        <v>10</v>
      </c>
      <c r="V502" t="s">
        <v>559</v>
      </c>
      <c r="W502">
        <f>Tabla35[[#This Row],[BN CARTA]]-Tabla34[[#This Row],[BN CARTA]]</f>
        <v>-150</v>
      </c>
      <c r="X502">
        <f>Tabla35[[#This Row],[BN OFICIO]]-Tabla34[[#This Row],[BN OFICIO]]</f>
        <v>0</v>
      </c>
      <c r="Y502">
        <f>Tabla35[[#This Row],[BN DC]]-Tabla34[[#This Row],[BN DC]]</f>
        <v>0</v>
      </c>
      <c r="Z502">
        <f>Tabla35[[#This Row],[COLOR CARTA]]-Tabla34[[#This Row],[COLOR CARTA]]</f>
        <v>0</v>
      </c>
      <c r="AA502">
        <f>Tabla35[[#This Row],[COLOR OFICIO]]-Tabla34[[#This Row],[COLOR OFICIO]]</f>
        <v>0</v>
      </c>
      <c r="AB502">
        <f>Tabla35[[#This Row],[ENVIAR]]-Tabla34[[#This Row],[ENVIAR]]</f>
        <v>0</v>
      </c>
      <c r="AC502">
        <f>Tabla35[[#This Row],[COPIAR]]-Tabla34[[#This Row],[COPIAR]]</f>
        <v>0</v>
      </c>
    </row>
    <row r="503" spans="1:29" x14ac:dyDescent="0.25">
      <c r="A503" t="s">
        <v>10</v>
      </c>
      <c r="B503" t="s">
        <v>551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K503" t="s">
        <v>10</v>
      </c>
      <c r="L503" t="s">
        <v>560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U503" t="s">
        <v>10</v>
      </c>
      <c r="V503" t="s">
        <v>560</v>
      </c>
      <c r="W503">
        <f>Tabla35[[#This Row],[BN CARTA]]-Tabla34[[#This Row],[BN CARTA]]</f>
        <v>0</v>
      </c>
      <c r="X503">
        <f>Tabla35[[#This Row],[BN OFICIO]]-Tabla34[[#This Row],[BN OFICIO]]</f>
        <v>0</v>
      </c>
      <c r="Y503">
        <f>Tabla35[[#This Row],[BN DC]]-Tabla34[[#This Row],[BN DC]]</f>
        <v>0</v>
      </c>
      <c r="Z503">
        <f>Tabla35[[#This Row],[COLOR CARTA]]-Tabla34[[#This Row],[COLOR CARTA]]</f>
        <v>0</v>
      </c>
      <c r="AA503">
        <f>Tabla35[[#This Row],[COLOR OFICIO]]-Tabla34[[#This Row],[COLOR OFICIO]]</f>
        <v>0</v>
      </c>
      <c r="AB503">
        <f>Tabla35[[#This Row],[ENVIAR]]-Tabla34[[#This Row],[ENVIAR]]</f>
        <v>0</v>
      </c>
      <c r="AC503">
        <f>Tabla35[[#This Row],[COPIAR]]-Tabla34[[#This Row],[COPIAR]]</f>
        <v>0</v>
      </c>
    </row>
    <row r="504" spans="1:29" x14ac:dyDescent="0.25">
      <c r="A504" t="s">
        <v>10</v>
      </c>
      <c r="B504" t="s">
        <v>552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K504" t="s">
        <v>796</v>
      </c>
      <c r="L504" t="s">
        <v>561</v>
      </c>
      <c r="M504">
        <v>411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U504" t="s">
        <v>796</v>
      </c>
      <c r="V504" t="s">
        <v>561</v>
      </c>
      <c r="W504">
        <f>Tabla35[[#This Row],[BN CARTA]]-Tabla34[[#This Row],[BN CARTA]]</f>
        <v>411</v>
      </c>
      <c r="X504">
        <f>Tabla35[[#This Row],[BN OFICIO]]-Tabla34[[#This Row],[BN OFICIO]]</f>
        <v>0</v>
      </c>
      <c r="Y504">
        <f>Tabla35[[#This Row],[BN DC]]-Tabla34[[#This Row],[BN DC]]</f>
        <v>0</v>
      </c>
      <c r="Z504">
        <f>Tabla35[[#This Row],[COLOR CARTA]]-Tabla34[[#This Row],[COLOR CARTA]]</f>
        <v>0</v>
      </c>
      <c r="AA504">
        <f>Tabla35[[#This Row],[COLOR OFICIO]]-Tabla34[[#This Row],[COLOR OFICIO]]</f>
        <v>0</v>
      </c>
      <c r="AB504">
        <f>Tabla35[[#This Row],[ENVIAR]]-Tabla34[[#This Row],[ENVIAR]]</f>
        <v>0</v>
      </c>
      <c r="AC504">
        <f>Tabla35[[#This Row],[COPIAR]]-Tabla34[[#This Row],[COPIAR]]</f>
        <v>0</v>
      </c>
    </row>
    <row r="505" spans="1:29" x14ac:dyDescent="0.25">
      <c r="A505" t="s">
        <v>10</v>
      </c>
      <c r="B505" t="s">
        <v>553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K505" t="s">
        <v>10</v>
      </c>
      <c r="L505" t="s">
        <v>562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U505" t="s">
        <v>10</v>
      </c>
      <c r="V505" t="s">
        <v>562</v>
      </c>
      <c r="W505">
        <f>Tabla35[[#This Row],[BN CARTA]]-Tabla34[[#This Row],[BN CARTA]]</f>
        <v>0</v>
      </c>
      <c r="X505">
        <f>Tabla35[[#This Row],[BN OFICIO]]-Tabla34[[#This Row],[BN OFICIO]]</f>
        <v>0</v>
      </c>
      <c r="Y505">
        <f>Tabla35[[#This Row],[BN DC]]-Tabla34[[#This Row],[BN DC]]</f>
        <v>0</v>
      </c>
      <c r="Z505">
        <f>Tabla35[[#This Row],[COLOR CARTA]]-Tabla34[[#This Row],[COLOR CARTA]]</f>
        <v>0</v>
      </c>
      <c r="AA505">
        <f>Tabla35[[#This Row],[COLOR OFICIO]]-Tabla34[[#This Row],[COLOR OFICIO]]</f>
        <v>0</v>
      </c>
      <c r="AB505">
        <f>Tabla35[[#This Row],[ENVIAR]]-Tabla34[[#This Row],[ENVIAR]]</f>
        <v>0</v>
      </c>
      <c r="AC505">
        <f>Tabla35[[#This Row],[COPIAR]]-Tabla34[[#This Row],[COPIAR]]</f>
        <v>0</v>
      </c>
    </row>
    <row r="506" spans="1:29" x14ac:dyDescent="0.25">
      <c r="A506" t="s">
        <v>512</v>
      </c>
      <c r="B506" t="s">
        <v>554</v>
      </c>
      <c r="C506">
        <v>23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K506" t="s">
        <v>10</v>
      </c>
      <c r="L506" t="s">
        <v>563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U506" t="s">
        <v>10</v>
      </c>
      <c r="V506" t="s">
        <v>563</v>
      </c>
      <c r="W506">
        <f>Tabla35[[#This Row],[BN CARTA]]-Tabla34[[#This Row],[BN CARTA]]</f>
        <v>-23</v>
      </c>
      <c r="X506">
        <f>Tabla35[[#This Row],[BN OFICIO]]-Tabla34[[#This Row],[BN OFICIO]]</f>
        <v>0</v>
      </c>
      <c r="Y506">
        <f>Tabla35[[#This Row],[BN DC]]-Tabla34[[#This Row],[BN DC]]</f>
        <v>0</v>
      </c>
      <c r="Z506">
        <f>Tabla35[[#This Row],[COLOR CARTA]]-Tabla34[[#This Row],[COLOR CARTA]]</f>
        <v>0</v>
      </c>
      <c r="AA506">
        <f>Tabla35[[#This Row],[COLOR OFICIO]]-Tabla34[[#This Row],[COLOR OFICIO]]</f>
        <v>0</v>
      </c>
      <c r="AB506">
        <f>Tabla35[[#This Row],[ENVIAR]]-Tabla34[[#This Row],[ENVIAR]]</f>
        <v>0</v>
      </c>
      <c r="AC506">
        <f>Tabla35[[#This Row],[COPIAR]]-Tabla34[[#This Row],[COPIAR]]</f>
        <v>0</v>
      </c>
    </row>
    <row r="507" spans="1:29" x14ac:dyDescent="0.25">
      <c r="A507" t="s">
        <v>10</v>
      </c>
      <c r="B507" t="s">
        <v>555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K507" t="s">
        <v>791</v>
      </c>
      <c r="L507" t="s">
        <v>564</v>
      </c>
      <c r="M507">
        <v>232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U507" t="s">
        <v>791</v>
      </c>
      <c r="V507" t="s">
        <v>564</v>
      </c>
      <c r="W507">
        <f>Tabla35[[#This Row],[BN CARTA]]-Tabla34[[#This Row],[BN CARTA]]</f>
        <v>232</v>
      </c>
      <c r="X507">
        <f>Tabla35[[#This Row],[BN OFICIO]]-Tabla34[[#This Row],[BN OFICIO]]</f>
        <v>0</v>
      </c>
      <c r="Y507">
        <f>Tabla35[[#This Row],[BN DC]]-Tabla34[[#This Row],[BN DC]]</f>
        <v>0</v>
      </c>
      <c r="Z507">
        <f>Tabla35[[#This Row],[COLOR CARTA]]-Tabla34[[#This Row],[COLOR CARTA]]</f>
        <v>0</v>
      </c>
      <c r="AA507">
        <f>Tabla35[[#This Row],[COLOR OFICIO]]-Tabla34[[#This Row],[COLOR OFICIO]]</f>
        <v>0</v>
      </c>
      <c r="AB507">
        <f>Tabla35[[#This Row],[ENVIAR]]-Tabla34[[#This Row],[ENVIAR]]</f>
        <v>0</v>
      </c>
      <c r="AC507">
        <f>Tabla35[[#This Row],[COPIAR]]-Tabla34[[#This Row],[COPIAR]]</f>
        <v>0</v>
      </c>
    </row>
    <row r="508" spans="1:29" x14ac:dyDescent="0.25">
      <c r="A508" t="s">
        <v>10</v>
      </c>
      <c r="B508" t="s">
        <v>556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K508" t="s">
        <v>69</v>
      </c>
      <c r="L508" t="s">
        <v>565</v>
      </c>
      <c r="M508">
        <v>320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U508" t="s">
        <v>69</v>
      </c>
      <c r="V508" t="s">
        <v>565</v>
      </c>
      <c r="W508">
        <f>Tabla35[[#This Row],[BN CARTA]]-Tabla34[[#This Row],[BN CARTA]]</f>
        <v>320</v>
      </c>
      <c r="X508">
        <f>Tabla35[[#This Row],[BN OFICIO]]-Tabla34[[#This Row],[BN OFICIO]]</f>
        <v>0</v>
      </c>
      <c r="Y508">
        <f>Tabla35[[#This Row],[BN DC]]-Tabla34[[#This Row],[BN DC]]</f>
        <v>0</v>
      </c>
      <c r="Z508">
        <f>Tabla35[[#This Row],[COLOR CARTA]]-Tabla34[[#This Row],[COLOR CARTA]]</f>
        <v>0</v>
      </c>
      <c r="AA508">
        <f>Tabla35[[#This Row],[COLOR OFICIO]]-Tabla34[[#This Row],[COLOR OFICIO]]</f>
        <v>0</v>
      </c>
      <c r="AB508">
        <f>Tabla35[[#This Row],[ENVIAR]]-Tabla34[[#This Row],[ENVIAR]]</f>
        <v>0</v>
      </c>
      <c r="AC508">
        <f>Tabla35[[#This Row],[COPIAR]]-Tabla34[[#This Row],[COPIAR]]</f>
        <v>0</v>
      </c>
    </row>
    <row r="509" spans="1:29" x14ac:dyDescent="0.25">
      <c r="A509" t="s">
        <v>10</v>
      </c>
      <c r="B509" t="s">
        <v>557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K509" t="s">
        <v>10</v>
      </c>
      <c r="L509" t="s">
        <v>566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U509" t="s">
        <v>10</v>
      </c>
      <c r="V509" t="s">
        <v>566</v>
      </c>
      <c r="W509">
        <f>Tabla35[[#This Row],[BN CARTA]]-Tabla34[[#This Row],[BN CARTA]]</f>
        <v>0</v>
      </c>
      <c r="X509">
        <f>Tabla35[[#This Row],[BN OFICIO]]-Tabla34[[#This Row],[BN OFICIO]]</f>
        <v>0</v>
      </c>
      <c r="Y509">
        <f>Tabla35[[#This Row],[BN DC]]-Tabla34[[#This Row],[BN DC]]</f>
        <v>0</v>
      </c>
      <c r="Z509">
        <f>Tabla35[[#This Row],[COLOR CARTA]]-Tabla34[[#This Row],[COLOR CARTA]]</f>
        <v>0</v>
      </c>
      <c r="AA509">
        <f>Tabla35[[#This Row],[COLOR OFICIO]]-Tabla34[[#This Row],[COLOR OFICIO]]</f>
        <v>0</v>
      </c>
      <c r="AB509">
        <f>Tabla35[[#This Row],[ENVIAR]]-Tabla34[[#This Row],[ENVIAR]]</f>
        <v>0</v>
      </c>
      <c r="AC509">
        <f>Tabla35[[#This Row],[COPIAR]]-Tabla34[[#This Row],[COPIAR]]</f>
        <v>0</v>
      </c>
    </row>
    <row r="510" spans="1:29" x14ac:dyDescent="0.25">
      <c r="A510" t="s">
        <v>10</v>
      </c>
      <c r="B510" t="s">
        <v>558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K510" t="s">
        <v>10</v>
      </c>
      <c r="L510" t="s">
        <v>567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U510" t="s">
        <v>10</v>
      </c>
      <c r="V510" t="s">
        <v>567</v>
      </c>
      <c r="W510">
        <f>Tabla35[[#This Row],[BN CARTA]]-Tabla34[[#This Row],[BN CARTA]]</f>
        <v>0</v>
      </c>
      <c r="X510">
        <f>Tabla35[[#This Row],[BN OFICIO]]-Tabla34[[#This Row],[BN OFICIO]]</f>
        <v>0</v>
      </c>
      <c r="Y510">
        <f>Tabla35[[#This Row],[BN DC]]-Tabla34[[#This Row],[BN DC]]</f>
        <v>0</v>
      </c>
      <c r="Z510">
        <f>Tabla35[[#This Row],[COLOR CARTA]]-Tabla34[[#This Row],[COLOR CARTA]]</f>
        <v>0</v>
      </c>
      <c r="AA510">
        <f>Tabla35[[#This Row],[COLOR OFICIO]]-Tabla34[[#This Row],[COLOR OFICIO]]</f>
        <v>0</v>
      </c>
      <c r="AB510">
        <f>Tabla35[[#This Row],[ENVIAR]]-Tabla34[[#This Row],[ENVIAR]]</f>
        <v>0</v>
      </c>
      <c r="AC510">
        <f>Tabla35[[#This Row],[COPIAR]]-Tabla34[[#This Row],[COPIAR]]</f>
        <v>0</v>
      </c>
    </row>
    <row r="511" spans="1:29" x14ac:dyDescent="0.25">
      <c r="A511" t="s">
        <v>10</v>
      </c>
      <c r="B511" t="s">
        <v>559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K511" t="s">
        <v>10</v>
      </c>
      <c r="L511" t="s">
        <v>568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U511" t="s">
        <v>10</v>
      </c>
      <c r="V511" t="s">
        <v>568</v>
      </c>
      <c r="W511">
        <f>Tabla35[[#This Row],[BN CARTA]]-Tabla34[[#This Row],[BN CARTA]]</f>
        <v>0</v>
      </c>
      <c r="X511">
        <f>Tabla35[[#This Row],[BN OFICIO]]-Tabla34[[#This Row],[BN OFICIO]]</f>
        <v>0</v>
      </c>
      <c r="Y511">
        <f>Tabla35[[#This Row],[BN DC]]-Tabla34[[#This Row],[BN DC]]</f>
        <v>0</v>
      </c>
      <c r="Z511">
        <f>Tabla35[[#This Row],[COLOR CARTA]]-Tabla34[[#This Row],[COLOR CARTA]]</f>
        <v>0</v>
      </c>
      <c r="AA511">
        <f>Tabla35[[#This Row],[COLOR OFICIO]]-Tabla34[[#This Row],[COLOR OFICIO]]</f>
        <v>0</v>
      </c>
      <c r="AB511">
        <f>Tabla35[[#This Row],[ENVIAR]]-Tabla34[[#This Row],[ENVIAR]]</f>
        <v>0</v>
      </c>
      <c r="AC511">
        <f>Tabla35[[#This Row],[COPIAR]]-Tabla34[[#This Row],[COPIAR]]</f>
        <v>0</v>
      </c>
    </row>
    <row r="512" spans="1:29" x14ac:dyDescent="0.25">
      <c r="A512" t="s">
        <v>10</v>
      </c>
      <c r="B512" t="s">
        <v>560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K512" t="s">
        <v>131</v>
      </c>
      <c r="L512" t="s">
        <v>569</v>
      </c>
      <c r="M512">
        <v>5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U512" t="s">
        <v>131</v>
      </c>
      <c r="V512" t="s">
        <v>569</v>
      </c>
      <c r="W512">
        <f>Tabla35[[#This Row],[BN CARTA]]-Tabla34[[#This Row],[BN CARTA]]</f>
        <v>5</v>
      </c>
      <c r="X512">
        <f>Tabla35[[#This Row],[BN OFICIO]]-Tabla34[[#This Row],[BN OFICIO]]</f>
        <v>0</v>
      </c>
      <c r="Y512">
        <f>Tabla35[[#This Row],[BN DC]]-Tabla34[[#This Row],[BN DC]]</f>
        <v>0</v>
      </c>
      <c r="Z512">
        <f>Tabla35[[#This Row],[COLOR CARTA]]-Tabla34[[#This Row],[COLOR CARTA]]</f>
        <v>0</v>
      </c>
      <c r="AA512">
        <f>Tabla35[[#This Row],[COLOR OFICIO]]-Tabla34[[#This Row],[COLOR OFICIO]]</f>
        <v>0</v>
      </c>
      <c r="AB512">
        <f>Tabla35[[#This Row],[ENVIAR]]-Tabla34[[#This Row],[ENVIAR]]</f>
        <v>0</v>
      </c>
      <c r="AC512">
        <f>Tabla35[[#This Row],[COPIAR]]-Tabla34[[#This Row],[COPIAR]]</f>
        <v>0</v>
      </c>
    </row>
    <row r="513" spans="1:29" x14ac:dyDescent="0.25">
      <c r="A513" t="s">
        <v>10</v>
      </c>
      <c r="B513" t="s">
        <v>561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K513" t="s">
        <v>10</v>
      </c>
      <c r="L513" t="s">
        <v>570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U513" t="s">
        <v>10</v>
      </c>
      <c r="V513" t="s">
        <v>570</v>
      </c>
      <c r="W513">
        <f>Tabla35[[#This Row],[BN CARTA]]-Tabla34[[#This Row],[BN CARTA]]</f>
        <v>0</v>
      </c>
      <c r="X513">
        <f>Tabla35[[#This Row],[BN OFICIO]]-Tabla34[[#This Row],[BN OFICIO]]</f>
        <v>0</v>
      </c>
      <c r="Y513">
        <f>Tabla35[[#This Row],[BN DC]]-Tabla34[[#This Row],[BN DC]]</f>
        <v>0</v>
      </c>
      <c r="Z513">
        <f>Tabla35[[#This Row],[COLOR CARTA]]-Tabla34[[#This Row],[COLOR CARTA]]</f>
        <v>0</v>
      </c>
      <c r="AA513">
        <f>Tabla35[[#This Row],[COLOR OFICIO]]-Tabla34[[#This Row],[COLOR OFICIO]]</f>
        <v>0</v>
      </c>
      <c r="AB513">
        <f>Tabla35[[#This Row],[ENVIAR]]-Tabla34[[#This Row],[ENVIAR]]</f>
        <v>0</v>
      </c>
      <c r="AC513">
        <f>Tabla35[[#This Row],[COPIAR]]-Tabla34[[#This Row],[COPIAR]]</f>
        <v>0</v>
      </c>
    </row>
    <row r="514" spans="1:29" x14ac:dyDescent="0.25">
      <c r="A514" t="s">
        <v>10</v>
      </c>
      <c r="B514" t="s">
        <v>562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K514" t="s">
        <v>72</v>
      </c>
      <c r="L514" t="s">
        <v>571</v>
      </c>
      <c r="M514">
        <v>3745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U514" t="s">
        <v>72</v>
      </c>
      <c r="V514" t="s">
        <v>571</v>
      </c>
      <c r="W514">
        <f>Tabla35[[#This Row],[BN CARTA]]-Tabla34[[#This Row],[BN CARTA]]</f>
        <v>3745</v>
      </c>
      <c r="X514">
        <f>Tabla35[[#This Row],[BN OFICIO]]-Tabla34[[#This Row],[BN OFICIO]]</f>
        <v>0</v>
      </c>
      <c r="Y514">
        <f>Tabla35[[#This Row],[BN DC]]-Tabla34[[#This Row],[BN DC]]</f>
        <v>0</v>
      </c>
      <c r="Z514">
        <f>Tabla35[[#This Row],[COLOR CARTA]]-Tabla34[[#This Row],[COLOR CARTA]]</f>
        <v>0</v>
      </c>
      <c r="AA514">
        <f>Tabla35[[#This Row],[COLOR OFICIO]]-Tabla34[[#This Row],[COLOR OFICIO]]</f>
        <v>0</v>
      </c>
      <c r="AB514">
        <f>Tabla35[[#This Row],[ENVIAR]]-Tabla34[[#This Row],[ENVIAR]]</f>
        <v>0</v>
      </c>
      <c r="AC514">
        <f>Tabla35[[#This Row],[COPIAR]]-Tabla34[[#This Row],[COPIAR]]</f>
        <v>0</v>
      </c>
    </row>
    <row r="515" spans="1:29" x14ac:dyDescent="0.25">
      <c r="A515" t="s">
        <v>10</v>
      </c>
      <c r="B515" t="s">
        <v>563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K515" t="s">
        <v>10</v>
      </c>
      <c r="L515" t="s">
        <v>572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U515" t="s">
        <v>10</v>
      </c>
      <c r="V515" t="s">
        <v>572</v>
      </c>
      <c r="W515">
        <f>Tabla35[[#This Row],[BN CARTA]]-Tabla34[[#This Row],[BN CARTA]]</f>
        <v>0</v>
      </c>
      <c r="X515">
        <f>Tabla35[[#This Row],[BN OFICIO]]-Tabla34[[#This Row],[BN OFICIO]]</f>
        <v>0</v>
      </c>
      <c r="Y515">
        <f>Tabla35[[#This Row],[BN DC]]-Tabla34[[#This Row],[BN DC]]</f>
        <v>0</v>
      </c>
      <c r="Z515">
        <f>Tabla35[[#This Row],[COLOR CARTA]]-Tabla34[[#This Row],[COLOR CARTA]]</f>
        <v>0</v>
      </c>
      <c r="AA515">
        <f>Tabla35[[#This Row],[COLOR OFICIO]]-Tabla34[[#This Row],[COLOR OFICIO]]</f>
        <v>0</v>
      </c>
      <c r="AB515">
        <f>Tabla35[[#This Row],[ENVIAR]]-Tabla34[[#This Row],[ENVIAR]]</f>
        <v>0</v>
      </c>
      <c r="AC515">
        <f>Tabla35[[#This Row],[COPIAR]]-Tabla34[[#This Row],[COPIAR]]</f>
        <v>0</v>
      </c>
    </row>
    <row r="516" spans="1:29" x14ac:dyDescent="0.25">
      <c r="A516" t="s">
        <v>10</v>
      </c>
      <c r="B516" t="s">
        <v>564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K516" t="s">
        <v>10</v>
      </c>
      <c r="L516" t="s">
        <v>573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U516" t="s">
        <v>10</v>
      </c>
      <c r="V516" t="s">
        <v>573</v>
      </c>
      <c r="W516">
        <f>Tabla35[[#This Row],[BN CARTA]]-Tabla34[[#This Row],[BN CARTA]]</f>
        <v>0</v>
      </c>
      <c r="X516">
        <f>Tabla35[[#This Row],[BN OFICIO]]-Tabla34[[#This Row],[BN OFICIO]]</f>
        <v>0</v>
      </c>
      <c r="Y516">
        <f>Tabla35[[#This Row],[BN DC]]-Tabla34[[#This Row],[BN DC]]</f>
        <v>0</v>
      </c>
      <c r="Z516">
        <f>Tabla35[[#This Row],[COLOR CARTA]]-Tabla34[[#This Row],[COLOR CARTA]]</f>
        <v>0</v>
      </c>
      <c r="AA516">
        <f>Tabla35[[#This Row],[COLOR OFICIO]]-Tabla34[[#This Row],[COLOR OFICIO]]</f>
        <v>0</v>
      </c>
      <c r="AB516">
        <f>Tabla35[[#This Row],[ENVIAR]]-Tabla34[[#This Row],[ENVIAR]]</f>
        <v>0</v>
      </c>
      <c r="AC516">
        <f>Tabla35[[#This Row],[COPIAR]]-Tabla34[[#This Row],[COPIAR]]</f>
        <v>0</v>
      </c>
    </row>
    <row r="517" spans="1:29" x14ac:dyDescent="0.25">
      <c r="A517" t="s">
        <v>10</v>
      </c>
      <c r="B517" t="s">
        <v>565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K517" t="s">
        <v>10</v>
      </c>
      <c r="L517" t="s">
        <v>574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U517" t="s">
        <v>10</v>
      </c>
      <c r="V517" t="s">
        <v>574</v>
      </c>
      <c r="W517">
        <f>Tabla35[[#This Row],[BN CARTA]]-Tabla34[[#This Row],[BN CARTA]]</f>
        <v>0</v>
      </c>
      <c r="X517">
        <f>Tabla35[[#This Row],[BN OFICIO]]-Tabla34[[#This Row],[BN OFICIO]]</f>
        <v>0</v>
      </c>
      <c r="Y517">
        <f>Tabla35[[#This Row],[BN DC]]-Tabla34[[#This Row],[BN DC]]</f>
        <v>0</v>
      </c>
      <c r="Z517">
        <f>Tabla35[[#This Row],[COLOR CARTA]]-Tabla34[[#This Row],[COLOR CARTA]]</f>
        <v>0</v>
      </c>
      <c r="AA517">
        <f>Tabla35[[#This Row],[COLOR OFICIO]]-Tabla34[[#This Row],[COLOR OFICIO]]</f>
        <v>0</v>
      </c>
      <c r="AB517">
        <f>Tabla35[[#This Row],[ENVIAR]]-Tabla34[[#This Row],[ENVIAR]]</f>
        <v>0</v>
      </c>
      <c r="AC517">
        <f>Tabla35[[#This Row],[COPIAR]]-Tabla34[[#This Row],[COPIAR]]</f>
        <v>0</v>
      </c>
    </row>
    <row r="518" spans="1:29" x14ac:dyDescent="0.25">
      <c r="A518" t="s">
        <v>10</v>
      </c>
      <c r="B518" t="s">
        <v>566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K518" t="s">
        <v>131</v>
      </c>
      <c r="L518" t="s">
        <v>575</v>
      </c>
      <c r="M518">
        <v>145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U518" t="s">
        <v>131</v>
      </c>
      <c r="V518" t="s">
        <v>575</v>
      </c>
      <c r="W518">
        <f>Tabla35[[#This Row],[BN CARTA]]-Tabla34[[#This Row],[BN CARTA]]</f>
        <v>145</v>
      </c>
      <c r="X518">
        <f>Tabla35[[#This Row],[BN OFICIO]]-Tabla34[[#This Row],[BN OFICIO]]</f>
        <v>0</v>
      </c>
      <c r="Y518">
        <f>Tabla35[[#This Row],[BN DC]]-Tabla34[[#This Row],[BN DC]]</f>
        <v>0</v>
      </c>
      <c r="Z518">
        <f>Tabla35[[#This Row],[COLOR CARTA]]-Tabla34[[#This Row],[COLOR CARTA]]</f>
        <v>0</v>
      </c>
      <c r="AA518">
        <f>Tabla35[[#This Row],[COLOR OFICIO]]-Tabla34[[#This Row],[COLOR OFICIO]]</f>
        <v>0</v>
      </c>
      <c r="AB518">
        <f>Tabla35[[#This Row],[ENVIAR]]-Tabla34[[#This Row],[ENVIAR]]</f>
        <v>0</v>
      </c>
      <c r="AC518">
        <f>Tabla35[[#This Row],[COPIAR]]-Tabla34[[#This Row],[COPIAR]]</f>
        <v>0</v>
      </c>
    </row>
    <row r="519" spans="1:29" x14ac:dyDescent="0.25">
      <c r="A519" t="s">
        <v>10</v>
      </c>
      <c r="B519" t="s">
        <v>567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K519" t="s">
        <v>146</v>
      </c>
      <c r="L519" t="s">
        <v>576</v>
      </c>
      <c r="M519">
        <v>7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U519" t="s">
        <v>146</v>
      </c>
      <c r="V519" t="s">
        <v>576</v>
      </c>
      <c r="W519">
        <f>Tabla35[[#This Row],[BN CARTA]]-Tabla34[[#This Row],[BN CARTA]]</f>
        <v>7</v>
      </c>
      <c r="X519">
        <f>Tabla35[[#This Row],[BN OFICIO]]-Tabla34[[#This Row],[BN OFICIO]]</f>
        <v>0</v>
      </c>
      <c r="Y519">
        <f>Tabla35[[#This Row],[BN DC]]-Tabla34[[#This Row],[BN DC]]</f>
        <v>0</v>
      </c>
      <c r="Z519">
        <f>Tabla35[[#This Row],[COLOR CARTA]]-Tabla34[[#This Row],[COLOR CARTA]]</f>
        <v>0</v>
      </c>
      <c r="AA519">
        <f>Tabla35[[#This Row],[COLOR OFICIO]]-Tabla34[[#This Row],[COLOR OFICIO]]</f>
        <v>0</v>
      </c>
      <c r="AB519">
        <f>Tabla35[[#This Row],[ENVIAR]]-Tabla34[[#This Row],[ENVIAR]]</f>
        <v>0</v>
      </c>
      <c r="AC519">
        <f>Tabla35[[#This Row],[COPIAR]]-Tabla34[[#This Row],[COPIAR]]</f>
        <v>0</v>
      </c>
    </row>
    <row r="520" spans="1:29" x14ac:dyDescent="0.25">
      <c r="A520" t="s">
        <v>10</v>
      </c>
      <c r="B520" t="s">
        <v>568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K520" t="s">
        <v>10</v>
      </c>
      <c r="L520" t="s">
        <v>577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U520" t="s">
        <v>10</v>
      </c>
      <c r="V520" t="s">
        <v>577</v>
      </c>
      <c r="W520">
        <f>Tabla35[[#This Row],[BN CARTA]]-Tabla34[[#This Row],[BN CARTA]]</f>
        <v>0</v>
      </c>
      <c r="X520">
        <f>Tabla35[[#This Row],[BN OFICIO]]-Tabla34[[#This Row],[BN OFICIO]]</f>
        <v>0</v>
      </c>
      <c r="Y520">
        <f>Tabla35[[#This Row],[BN DC]]-Tabla34[[#This Row],[BN DC]]</f>
        <v>0</v>
      </c>
      <c r="Z520">
        <f>Tabla35[[#This Row],[COLOR CARTA]]-Tabla34[[#This Row],[COLOR CARTA]]</f>
        <v>0</v>
      </c>
      <c r="AA520">
        <f>Tabla35[[#This Row],[COLOR OFICIO]]-Tabla34[[#This Row],[COLOR OFICIO]]</f>
        <v>0</v>
      </c>
      <c r="AB520">
        <f>Tabla35[[#This Row],[ENVIAR]]-Tabla34[[#This Row],[ENVIAR]]</f>
        <v>0</v>
      </c>
      <c r="AC520">
        <f>Tabla35[[#This Row],[COPIAR]]-Tabla34[[#This Row],[COPIAR]]</f>
        <v>0</v>
      </c>
    </row>
    <row r="521" spans="1:29" x14ac:dyDescent="0.25">
      <c r="A521" t="s">
        <v>131</v>
      </c>
      <c r="B521" t="s">
        <v>569</v>
      </c>
      <c r="C521">
        <v>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K521" t="s">
        <v>146</v>
      </c>
      <c r="L521" t="s">
        <v>578</v>
      </c>
      <c r="M521">
        <v>356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U521" t="s">
        <v>146</v>
      </c>
      <c r="V521" t="s">
        <v>578</v>
      </c>
      <c r="W521">
        <f>Tabla35[[#This Row],[BN CARTA]]-Tabla34[[#This Row],[BN CARTA]]</f>
        <v>351</v>
      </c>
      <c r="X521">
        <f>Tabla35[[#This Row],[BN OFICIO]]-Tabla34[[#This Row],[BN OFICIO]]</f>
        <v>0</v>
      </c>
      <c r="Y521">
        <f>Tabla35[[#This Row],[BN DC]]-Tabla34[[#This Row],[BN DC]]</f>
        <v>0</v>
      </c>
      <c r="Z521">
        <f>Tabla35[[#This Row],[COLOR CARTA]]-Tabla34[[#This Row],[COLOR CARTA]]</f>
        <v>0</v>
      </c>
      <c r="AA521">
        <f>Tabla35[[#This Row],[COLOR OFICIO]]-Tabla34[[#This Row],[COLOR OFICIO]]</f>
        <v>0</v>
      </c>
      <c r="AB521">
        <f>Tabla35[[#This Row],[ENVIAR]]-Tabla34[[#This Row],[ENVIAR]]</f>
        <v>0</v>
      </c>
      <c r="AC521">
        <f>Tabla35[[#This Row],[COPIAR]]-Tabla34[[#This Row],[COPIAR]]</f>
        <v>0</v>
      </c>
    </row>
    <row r="522" spans="1:29" x14ac:dyDescent="0.25">
      <c r="A522" t="s">
        <v>10</v>
      </c>
      <c r="B522" t="s">
        <v>570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K522" t="s">
        <v>36</v>
      </c>
      <c r="L522" t="s">
        <v>579</v>
      </c>
      <c r="M522">
        <v>745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U522" t="s">
        <v>36</v>
      </c>
      <c r="V522" t="s">
        <v>579</v>
      </c>
      <c r="W522">
        <f>Tabla35[[#This Row],[BN CARTA]]-Tabla34[[#This Row],[BN CARTA]]</f>
        <v>745</v>
      </c>
      <c r="X522">
        <f>Tabla35[[#This Row],[BN OFICIO]]-Tabla34[[#This Row],[BN OFICIO]]</f>
        <v>0</v>
      </c>
      <c r="Y522">
        <f>Tabla35[[#This Row],[BN DC]]-Tabla34[[#This Row],[BN DC]]</f>
        <v>0</v>
      </c>
      <c r="Z522">
        <f>Tabla35[[#This Row],[COLOR CARTA]]-Tabla34[[#This Row],[COLOR CARTA]]</f>
        <v>0</v>
      </c>
      <c r="AA522">
        <f>Tabla35[[#This Row],[COLOR OFICIO]]-Tabla34[[#This Row],[COLOR OFICIO]]</f>
        <v>0</v>
      </c>
      <c r="AB522">
        <f>Tabla35[[#This Row],[ENVIAR]]-Tabla34[[#This Row],[ENVIAR]]</f>
        <v>0</v>
      </c>
      <c r="AC522">
        <f>Tabla35[[#This Row],[COPIAR]]-Tabla34[[#This Row],[COPIAR]]</f>
        <v>0</v>
      </c>
    </row>
    <row r="523" spans="1:29" x14ac:dyDescent="0.25">
      <c r="A523" t="s">
        <v>72</v>
      </c>
      <c r="B523" t="s">
        <v>571</v>
      </c>
      <c r="C523">
        <v>635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K523" t="s">
        <v>10</v>
      </c>
      <c r="L523" t="s">
        <v>580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U523" t="s">
        <v>10</v>
      </c>
      <c r="V523" t="s">
        <v>580</v>
      </c>
      <c r="W523">
        <f>Tabla35[[#This Row],[BN CARTA]]-Tabla34[[#This Row],[BN CARTA]]</f>
        <v>-635</v>
      </c>
      <c r="X523">
        <f>Tabla35[[#This Row],[BN OFICIO]]-Tabla34[[#This Row],[BN OFICIO]]</f>
        <v>0</v>
      </c>
      <c r="Y523">
        <f>Tabla35[[#This Row],[BN DC]]-Tabla34[[#This Row],[BN DC]]</f>
        <v>0</v>
      </c>
      <c r="Z523">
        <f>Tabla35[[#This Row],[COLOR CARTA]]-Tabla34[[#This Row],[COLOR CARTA]]</f>
        <v>0</v>
      </c>
      <c r="AA523">
        <f>Tabla35[[#This Row],[COLOR OFICIO]]-Tabla34[[#This Row],[COLOR OFICIO]]</f>
        <v>0</v>
      </c>
      <c r="AB523">
        <f>Tabla35[[#This Row],[ENVIAR]]-Tabla34[[#This Row],[ENVIAR]]</f>
        <v>0</v>
      </c>
      <c r="AC523">
        <f>Tabla35[[#This Row],[COPIAR]]-Tabla34[[#This Row],[COPIAR]]</f>
        <v>0</v>
      </c>
    </row>
    <row r="524" spans="1:29" x14ac:dyDescent="0.25">
      <c r="A524" t="s">
        <v>10</v>
      </c>
      <c r="B524" t="s">
        <v>572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K524" t="s">
        <v>794</v>
      </c>
      <c r="L524" t="s">
        <v>581</v>
      </c>
      <c r="M524">
        <v>62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U524" t="s">
        <v>794</v>
      </c>
      <c r="V524" t="s">
        <v>581</v>
      </c>
      <c r="W524">
        <f>Tabla35[[#This Row],[BN CARTA]]-Tabla34[[#This Row],[BN CARTA]]</f>
        <v>62</v>
      </c>
      <c r="X524">
        <f>Tabla35[[#This Row],[BN OFICIO]]-Tabla34[[#This Row],[BN OFICIO]]</f>
        <v>0</v>
      </c>
      <c r="Y524">
        <f>Tabla35[[#This Row],[BN DC]]-Tabla34[[#This Row],[BN DC]]</f>
        <v>0</v>
      </c>
      <c r="Z524">
        <f>Tabla35[[#This Row],[COLOR CARTA]]-Tabla34[[#This Row],[COLOR CARTA]]</f>
        <v>0</v>
      </c>
      <c r="AA524">
        <f>Tabla35[[#This Row],[COLOR OFICIO]]-Tabla34[[#This Row],[COLOR OFICIO]]</f>
        <v>0</v>
      </c>
      <c r="AB524">
        <f>Tabla35[[#This Row],[ENVIAR]]-Tabla34[[#This Row],[ENVIAR]]</f>
        <v>0</v>
      </c>
      <c r="AC524">
        <f>Tabla35[[#This Row],[COPIAR]]-Tabla34[[#This Row],[COPIAR]]</f>
        <v>0</v>
      </c>
    </row>
    <row r="525" spans="1:29" x14ac:dyDescent="0.25">
      <c r="A525" t="s">
        <v>10</v>
      </c>
      <c r="B525" t="s">
        <v>573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K525" t="s">
        <v>794</v>
      </c>
      <c r="L525" t="s">
        <v>582</v>
      </c>
      <c r="M525">
        <v>349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U525" t="s">
        <v>794</v>
      </c>
      <c r="V525" t="s">
        <v>582</v>
      </c>
      <c r="W525">
        <f>Tabla35[[#This Row],[BN CARTA]]-Tabla34[[#This Row],[BN CARTA]]</f>
        <v>349</v>
      </c>
      <c r="X525">
        <f>Tabla35[[#This Row],[BN OFICIO]]-Tabla34[[#This Row],[BN OFICIO]]</f>
        <v>0</v>
      </c>
      <c r="Y525">
        <f>Tabla35[[#This Row],[BN DC]]-Tabla34[[#This Row],[BN DC]]</f>
        <v>0</v>
      </c>
      <c r="Z525">
        <f>Tabla35[[#This Row],[COLOR CARTA]]-Tabla34[[#This Row],[COLOR CARTA]]</f>
        <v>0</v>
      </c>
      <c r="AA525">
        <f>Tabla35[[#This Row],[COLOR OFICIO]]-Tabla34[[#This Row],[COLOR OFICIO]]</f>
        <v>0</v>
      </c>
      <c r="AB525">
        <f>Tabla35[[#This Row],[ENVIAR]]-Tabla34[[#This Row],[ENVIAR]]</f>
        <v>0</v>
      </c>
      <c r="AC525">
        <f>Tabla35[[#This Row],[COPIAR]]-Tabla34[[#This Row],[COPIAR]]</f>
        <v>0</v>
      </c>
    </row>
    <row r="526" spans="1:29" x14ac:dyDescent="0.25">
      <c r="A526" t="s">
        <v>10</v>
      </c>
      <c r="B526" t="s">
        <v>574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K526" t="s">
        <v>794</v>
      </c>
      <c r="L526" t="s">
        <v>583</v>
      </c>
      <c r="M526">
        <v>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U526" t="s">
        <v>794</v>
      </c>
      <c r="V526" t="s">
        <v>583</v>
      </c>
      <c r="W526">
        <f>Tabla35[[#This Row],[BN CARTA]]-Tabla34[[#This Row],[BN CARTA]]</f>
        <v>2</v>
      </c>
      <c r="X526">
        <f>Tabla35[[#This Row],[BN OFICIO]]-Tabla34[[#This Row],[BN OFICIO]]</f>
        <v>0</v>
      </c>
      <c r="Y526">
        <f>Tabla35[[#This Row],[BN DC]]-Tabla34[[#This Row],[BN DC]]</f>
        <v>0</v>
      </c>
      <c r="Z526">
        <f>Tabla35[[#This Row],[COLOR CARTA]]-Tabla34[[#This Row],[COLOR CARTA]]</f>
        <v>0</v>
      </c>
      <c r="AA526">
        <f>Tabla35[[#This Row],[COLOR OFICIO]]-Tabla34[[#This Row],[COLOR OFICIO]]</f>
        <v>0</v>
      </c>
      <c r="AB526">
        <f>Tabla35[[#This Row],[ENVIAR]]-Tabla34[[#This Row],[ENVIAR]]</f>
        <v>0</v>
      </c>
      <c r="AC526">
        <f>Tabla35[[#This Row],[COPIAR]]-Tabla34[[#This Row],[COPIAR]]</f>
        <v>0</v>
      </c>
    </row>
    <row r="527" spans="1:29" x14ac:dyDescent="0.25">
      <c r="A527" t="s">
        <v>131</v>
      </c>
      <c r="B527" t="s">
        <v>575</v>
      </c>
      <c r="C527">
        <v>145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K527" t="s">
        <v>120</v>
      </c>
      <c r="L527" t="s">
        <v>584</v>
      </c>
      <c r="M527">
        <v>190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U527" t="s">
        <v>120</v>
      </c>
      <c r="V527" t="s">
        <v>584</v>
      </c>
      <c r="W527">
        <f>Tabla35[[#This Row],[BN CARTA]]-Tabla34[[#This Row],[BN CARTA]]</f>
        <v>45</v>
      </c>
      <c r="X527">
        <f>Tabla35[[#This Row],[BN OFICIO]]-Tabla34[[#This Row],[BN OFICIO]]</f>
        <v>0</v>
      </c>
      <c r="Y527">
        <f>Tabla35[[#This Row],[BN DC]]-Tabla34[[#This Row],[BN DC]]</f>
        <v>0</v>
      </c>
      <c r="Z527">
        <f>Tabla35[[#This Row],[COLOR CARTA]]-Tabla34[[#This Row],[COLOR CARTA]]</f>
        <v>0</v>
      </c>
      <c r="AA527">
        <f>Tabla35[[#This Row],[COLOR OFICIO]]-Tabla34[[#This Row],[COLOR OFICIO]]</f>
        <v>0</v>
      </c>
      <c r="AB527">
        <f>Tabla35[[#This Row],[ENVIAR]]-Tabla34[[#This Row],[ENVIAR]]</f>
        <v>0</v>
      </c>
      <c r="AC527">
        <f>Tabla35[[#This Row],[COPIAR]]-Tabla34[[#This Row],[COPIAR]]</f>
        <v>0</v>
      </c>
    </row>
    <row r="528" spans="1:29" x14ac:dyDescent="0.25">
      <c r="A528" t="s">
        <v>10</v>
      </c>
      <c r="B528" t="s">
        <v>576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K528" t="s">
        <v>45</v>
      </c>
      <c r="L528" t="s">
        <v>585</v>
      </c>
      <c r="M528">
        <v>613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U528" t="s">
        <v>45</v>
      </c>
      <c r="V528" t="s">
        <v>585</v>
      </c>
      <c r="W528">
        <f>Tabla35[[#This Row],[BN CARTA]]-Tabla34[[#This Row],[BN CARTA]]</f>
        <v>613</v>
      </c>
      <c r="X528">
        <f>Tabla35[[#This Row],[BN OFICIO]]-Tabla34[[#This Row],[BN OFICIO]]</f>
        <v>0</v>
      </c>
      <c r="Y528">
        <f>Tabla35[[#This Row],[BN DC]]-Tabla34[[#This Row],[BN DC]]</f>
        <v>0</v>
      </c>
      <c r="Z528">
        <f>Tabla35[[#This Row],[COLOR CARTA]]-Tabla34[[#This Row],[COLOR CARTA]]</f>
        <v>0</v>
      </c>
      <c r="AA528">
        <f>Tabla35[[#This Row],[COLOR OFICIO]]-Tabla34[[#This Row],[COLOR OFICIO]]</f>
        <v>0</v>
      </c>
      <c r="AB528">
        <f>Tabla35[[#This Row],[ENVIAR]]-Tabla34[[#This Row],[ENVIAR]]</f>
        <v>0</v>
      </c>
      <c r="AC528">
        <f>Tabla35[[#This Row],[COPIAR]]-Tabla34[[#This Row],[COPIAR]]</f>
        <v>0</v>
      </c>
    </row>
    <row r="529" spans="1:29" x14ac:dyDescent="0.25">
      <c r="A529" t="s">
        <v>10</v>
      </c>
      <c r="B529" t="s">
        <v>577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K529" t="s">
        <v>794</v>
      </c>
      <c r="L529" t="s">
        <v>586</v>
      </c>
      <c r="M529">
        <v>16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U529" t="s">
        <v>794</v>
      </c>
      <c r="V529" t="s">
        <v>586</v>
      </c>
      <c r="W529">
        <f>Tabla35[[#This Row],[BN CARTA]]-Tabla34[[#This Row],[BN CARTA]]</f>
        <v>16</v>
      </c>
      <c r="X529">
        <f>Tabla35[[#This Row],[BN OFICIO]]-Tabla34[[#This Row],[BN OFICIO]]</f>
        <v>0</v>
      </c>
      <c r="Y529">
        <f>Tabla35[[#This Row],[BN DC]]-Tabla34[[#This Row],[BN DC]]</f>
        <v>0</v>
      </c>
      <c r="Z529">
        <f>Tabla35[[#This Row],[COLOR CARTA]]-Tabla34[[#This Row],[COLOR CARTA]]</f>
        <v>0</v>
      </c>
      <c r="AA529">
        <f>Tabla35[[#This Row],[COLOR OFICIO]]-Tabla34[[#This Row],[COLOR OFICIO]]</f>
        <v>0</v>
      </c>
      <c r="AB529">
        <f>Tabla35[[#This Row],[ENVIAR]]-Tabla34[[#This Row],[ENVIAR]]</f>
        <v>0</v>
      </c>
      <c r="AC529">
        <f>Tabla35[[#This Row],[COPIAR]]-Tabla34[[#This Row],[COPIAR]]</f>
        <v>0</v>
      </c>
    </row>
    <row r="530" spans="1:29" x14ac:dyDescent="0.25">
      <c r="A530" t="s">
        <v>10</v>
      </c>
      <c r="B530" t="s">
        <v>578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K530" t="s">
        <v>43</v>
      </c>
      <c r="L530" t="s">
        <v>587</v>
      </c>
      <c r="M530">
        <v>353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U530" t="s">
        <v>43</v>
      </c>
      <c r="V530" t="s">
        <v>587</v>
      </c>
      <c r="W530">
        <f>Tabla35[[#This Row],[BN CARTA]]-Tabla34[[#This Row],[BN CARTA]]</f>
        <v>353</v>
      </c>
      <c r="X530">
        <f>Tabla35[[#This Row],[BN OFICIO]]-Tabla34[[#This Row],[BN OFICIO]]</f>
        <v>0</v>
      </c>
      <c r="Y530">
        <f>Tabla35[[#This Row],[BN DC]]-Tabla34[[#This Row],[BN DC]]</f>
        <v>0</v>
      </c>
      <c r="Z530">
        <f>Tabla35[[#This Row],[COLOR CARTA]]-Tabla34[[#This Row],[COLOR CARTA]]</f>
        <v>0</v>
      </c>
      <c r="AA530">
        <f>Tabla35[[#This Row],[COLOR OFICIO]]-Tabla34[[#This Row],[COLOR OFICIO]]</f>
        <v>0</v>
      </c>
      <c r="AB530">
        <f>Tabla35[[#This Row],[ENVIAR]]-Tabla34[[#This Row],[ENVIAR]]</f>
        <v>0</v>
      </c>
      <c r="AC530">
        <f>Tabla35[[#This Row],[COPIAR]]-Tabla34[[#This Row],[COPIAR]]</f>
        <v>0</v>
      </c>
    </row>
    <row r="531" spans="1:29" x14ac:dyDescent="0.25">
      <c r="A531" t="s">
        <v>10</v>
      </c>
      <c r="B531" t="s">
        <v>579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K531" t="s">
        <v>61</v>
      </c>
      <c r="L531" t="s">
        <v>588</v>
      </c>
      <c r="M531">
        <v>886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U531" t="s">
        <v>61</v>
      </c>
      <c r="V531" t="s">
        <v>588</v>
      </c>
      <c r="W531">
        <f>Tabla35[[#This Row],[BN CARTA]]-Tabla34[[#This Row],[BN CARTA]]</f>
        <v>886</v>
      </c>
      <c r="X531">
        <f>Tabla35[[#This Row],[BN OFICIO]]-Tabla34[[#This Row],[BN OFICIO]]</f>
        <v>0</v>
      </c>
      <c r="Y531">
        <f>Tabla35[[#This Row],[BN DC]]-Tabla34[[#This Row],[BN DC]]</f>
        <v>0</v>
      </c>
      <c r="Z531">
        <f>Tabla35[[#This Row],[COLOR CARTA]]-Tabla34[[#This Row],[COLOR CARTA]]</f>
        <v>0</v>
      </c>
      <c r="AA531">
        <f>Tabla35[[#This Row],[COLOR OFICIO]]-Tabla34[[#This Row],[COLOR OFICIO]]</f>
        <v>0</v>
      </c>
      <c r="AB531">
        <f>Tabla35[[#This Row],[ENVIAR]]-Tabla34[[#This Row],[ENVIAR]]</f>
        <v>0</v>
      </c>
      <c r="AC531">
        <f>Tabla35[[#This Row],[COPIAR]]-Tabla34[[#This Row],[COPIAR]]</f>
        <v>0</v>
      </c>
    </row>
    <row r="532" spans="1:29" x14ac:dyDescent="0.25">
      <c r="A532" t="s">
        <v>10</v>
      </c>
      <c r="B532" t="s">
        <v>580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K532" t="s">
        <v>47</v>
      </c>
      <c r="L532" t="s">
        <v>589</v>
      </c>
      <c r="M532">
        <v>195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U532" t="s">
        <v>47</v>
      </c>
      <c r="V532" t="s">
        <v>589</v>
      </c>
      <c r="W532">
        <f>Tabla35[[#This Row],[BN CARTA]]-Tabla34[[#This Row],[BN CARTA]]</f>
        <v>195</v>
      </c>
      <c r="X532">
        <f>Tabla35[[#This Row],[BN OFICIO]]-Tabla34[[#This Row],[BN OFICIO]]</f>
        <v>0</v>
      </c>
      <c r="Y532">
        <f>Tabla35[[#This Row],[BN DC]]-Tabla34[[#This Row],[BN DC]]</f>
        <v>0</v>
      </c>
      <c r="Z532">
        <f>Tabla35[[#This Row],[COLOR CARTA]]-Tabla34[[#This Row],[COLOR CARTA]]</f>
        <v>0</v>
      </c>
      <c r="AA532">
        <f>Tabla35[[#This Row],[COLOR OFICIO]]-Tabla34[[#This Row],[COLOR OFICIO]]</f>
        <v>0</v>
      </c>
      <c r="AB532">
        <f>Tabla35[[#This Row],[ENVIAR]]-Tabla34[[#This Row],[ENVIAR]]</f>
        <v>0</v>
      </c>
      <c r="AC532">
        <f>Tabla35[[#This Row],[COPIAR]]-Tabla34[[#This Row],[COPIAR]]</f>
        <v>0</v>
      </c>
    </row>
    <row r="533" spans="1:29" x14ac:dyDescent="0.25">
      <c r="A533" t="s">
        <v>10</v>
      </c>
      <c r="B533" t="s">
        <v>581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K533" t="s">
        <v>38</v>
      </c>
      <c r="L533" t="s">
        <v>590</v>
      </c>
      <c r="M533">
        <v>778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U533" t="s">
        <v>38</v>
      </c>
      <c r="V533" t="s">
        <v>590</v>
      </c>
      <c r="W533">
        <f>Tabla35[[#This Row],[BN CARTA]]-Tabla34[[#This Row],[BN CARTA]]</f>
        <v>778</v>
      </c>
      <c r="X533">
        <f>Tabla35[[#This Row],[BN OFICIO]]-Tabla34[[#This Row],[BN OFICIO]]</f>
        <v>0</v>
      </c>
      <c r="Y533">
        <f>Tabla35[[#This Row],[BN DC]]-Tabla34[[#This Row],[BN DC]]</f>
        <v>0</v>
      </c>
      <c r="Z533">
        <f>Tabla35[[#This Row],[COLOR CARTA]]-Tabla34[[#This Row],[COLOR CARTA]]</f>
        <v>0</v>
      </c>
      <c r="AA533">
        <f>Tabla35[[#This Row],[COLOR OFICIO]]-Tabla34[[#This Row],[COLOR OFICIO]]</f>
        <v>0</v>
      </c>
      <c r="AB533">
        <f>Tabla35[[#This Row],[ENVIAR]]-Tabla34[[#This Row],[ENVIAR]]</f>
        <v>0</v>
      </c>
      <c r="AC533">
        <f>Tabla35[[#This Row],[COPIAR]]-Tabla34[[#This Row],[COPIAR]]</f>
        <v>0</v>
      </c>
    </row>
    <row r="534" spans="1:29" x14ac:dyDescent="0.25">
      <c r="A534" t="s">
        <v>10</v>
      </c>
      <c r="B534" t="s">
        <v>582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K534" t="s">
        <v>789</v>
      </c>
      <c r="L534" t="s">
        <v>591</v>
      </c>
      <c r="M534">
        <v>171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U534" t="s">
        <v>789</v>
      </c>
      <c r="V534" t="s">
        <v>591</v>
      </c>
      <c r="W534">
        <f>Tabla35[[#This Row],[BN CARTA]]-Tabla34[[#This Row],[BN CARTA]]</f>
        <v>171</v>
      </c>
      <c r="X534">
        <f>Tabla35[[#This Row],[BN OFICIO]]-Tabla34[[#This Row],[BN OFICIO]]</f>
        <v>0</v>
      </c>
      <c r="Y534">
        <f>Tabla35[[#This Row],[BN DC]]-Tabla34[[#This Row],[BN DC]]</f>
        <v>0</v>
      </c>
      <c r="Z534">
        <f>Tabla35[[#This Row],[COLOR CARTA]]-Tabla34[[#This Row],[COLOR CARTA]]</f>
        <v>0</v>
      </c>
      <c r="AA534">
        <f>Tabla35[[#This Row],[COLOR OFICIO]]-Tabla34[[#This Row],[COLOR OFICIO]]</f>
        <v>0</v>
      </c>
      <c r="AB534">
        <f>Tabla35[[#This Row],[ENVIAR]]-Tabla34[[#This Row],[ENVIAR]]</f>
        <v>0</v>
      </c>
      <c r="AC534">
        <f>Tabla35[[#This Row],[COPIAR]]-Tabla34[[#This Row],[COPIAR]]</f>
        <v>0</v>
      </c>
    </row>
    <row r="535" spans="1:29" x14ac:dyDescent="0.25">
      <c r="A535" t="s">
        <v>10</v>
      </c>
      <c r="B535" t="s">
        <v>583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K535" t="s">
        <v>10</v>
      </c>
      <c r="L535" t="s">
        <v>592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U535" t="s">
        <v>10</v>
      </c>
      <c r="V535" t="s">
        <v>592</v>
      </c>
      <c r="W535">
        <f>Tabla35[[#This Row],[BN CARTA]]-Tabla34[[#This Row],[BN CARTA]]</f>
        <v>0</v>
      </c>
      <c r="X535">
        <f>Tabla35[[#This Row],[BN OFICIO]]-Tabla34[[#This Row],[BN OFICIO]]</f>
        <v>0</v>
      </c>
      <c r="Y535">
        <f>Tabla35[[#This Row],[BN DC]]-Tabla34[[#This Row],[BN DC]]</f>
        <v>0</v>
      </c>
      <c r="Z535">
        <f>Tabla35[[#This Row],[COLOR CARTA]]-Tabla34[[#This Row],[COLOR CARTA]]</f>
        <v>0</v>
      </c>
      <c r="AA535">
        <f>Tabla35[[#This Row],[COLOR OFICIO]]-Tabla34[[#This Row],[COLOR OFICIO]]</f>
        <v>0</v>
      </c>
      <c r="AB535">
        <f>Tabla35[[#This Row],[ENVIAR]]-Tabla34[[#This Row],[ENVIAR]]</f>
        <v>0</v>
      </c>
      <c r="AC535">
        <f>Tabla35[[#This Row],[COPIAR]]-Tabla34[[#This Row],[COPIAR]]</f>
        <v>0</v>
      </c>
    </row>
    <row r="536" spans="1:29" x14ac:dyDescent="0.25">
      <c r="A536" t="s">
        <v>120</v>
      </c>
      <c r="B536" t="s">
        <v>584</v>
      </c>
      <c r="C536">
        <v>136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K536" t="s">
        <v>59</v>
      </c>
      <c r="L536" t="s">
        <v>593</v>
      </c>
      <c r="M536">
        <v>149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U536" t="s">
        <v>59</v>
      </c>
      <c r="V536" t="s">
        <v>593</v>
      </c>
      <c r="W536">
        <f>Tabla35[[#This Row],[BN CARTA]]-Tabla34[[#This Row],[BN CARTA]]</f>
        <v>13</v>
      </c>
      <c r="X536">
        <f>Tabla35[[#This Row],[BN OFICIO]]-Tabla34[[#This Row],[BN OFICIO]]</f>
        <v>0</v>
      </c>
      <c r="Y536">
        <f>Tabla35[[#This Row],[BN DC]]-Tabla34[[#This Row],[BN DC]]</f>
        <v>0</v>
      </c>
      <c r="Z536">
        <f>Tabla35[[#This Row],[COLOR CARTA]]-Tabla34[[#This Row],[COLOR CARTA]]</f>
        <v>0</v>
      </c>
      <c r="AA536">
        <f>Tabla35[[#This Row],[COLOR OFICIO]]-Tabla34[[#This Row],[COLOR OFICIO]]</f>
        <v>0</v>
      </c>
      <c r="AB536">
        <f>Tabla35[[#This Row],[ENVIAR]]-Tabla34[[#This Row],[ENVIAR]]</f>
        <v>0</v>
      </c>
      <c r="AC536">
        <f>Tabla35[[#This Row],[COPIAR]]-Tabla34[[#This Row],[COPIAR]]</f>
        <v>0</v>
      </c>
    </row>
    <row r="537" spans="1:29" x14ac:dyDescent="0.25">
      <c r="A537" t="s">
        <v>45</v>
      </c>
      <c r="B537" t="s">
        <v>585</v>
      </c>
      <c r="C537">
        <v>114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K537" t="s">
        <v>128</v>
      </c>
      <c r="L537" t="s">
        <v>594</v>
      </c>
      <c r="M537">
        <v>322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U537" t="s">
        <v>128</v>
      </c>
      <c r="V537" t="s">
        <v>594</v>
      </c>
      <c r="W537">
        <f>Tabla35[[#This Row],[BN CARTA]]-Tabla34[[#This Row],[BN CARTA]]</f>
        <v>208</v>
      </c>
      <c r="X537">
        <f>Tabla35[[#This Row],[BN OFICIO]]-Tabla34[[#This Row],[BN OFICIO]]</f>
        <v>0</v>
      </c>
      <c r="Y537">
        <f>Tabla35[[#This Row],[BN DC]]-Tabla34[[#This Row],[BN DC]]</f>
        <v>0</v>
      </c>
      <c r="Z537">
        <f>Tabla35[[#This Row],[COLOR CARTA]]-Tabla34[[#This Row],[COLOR CARTA]]</f>
        <v>0</v>
      </c>
      <c r="AA537">
        <f>Tabla35[[#This Row],[COLOR OFICIO]]-Tabla34[[#This Row],[COLOR OFICIO]]</f>
        <v>0</v>
      </c>
      <c r="AB537">
        <f>Tabla35[[#This Row],[ENVIAR]]-Tabla34[[#This Row],[ENVIAR]]</f>
        <v>0</v>
      </c>
      <c r="AC537">
        <f>Tabla35[[#This Row],[COPIAR]]-Tabla34[[#This Row],[COPIAR]]</f>
        <v>0</v>
      </c>
    </row>
    <row r="538" spans="1:29" x14ac:dyDescent="0.25">
      <c r="A538" t="s">
        <v>10</v>
      </c>
      <c r="B538" t="s">
        <v>586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K538" t="s">
        <v>10</v>
      </c>
      <c r="L538" t="s">
        <v>595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U538" t="s">
        <v>10</v>
      </c>
      <c r="V538" t="s">
        <v>595</v>
      </c>
      <c r="W538">
        <f>Tabla35[[#This Row],[BN CARTA]]-Tabla34[[#This Row],[BN CARTA]]</f>
        <v>0</v>
      </c>
      <c r="X538">
        <f>Tabla35[[#This Row],[BN OFICIO]]-Tabla34[[#This Row],[BN OFICIO]]</f>
        <v>0</v>
      </c>
      <c r="Y538">
        <f>Tabla35[[#This Row],[BN DC]]-Tabla34[[#This Row],[BN DC]]</f>
        <v>0</v>
      </c>
      <c r="Z538">
        <f>Tabla35[[#This Row],[COLOR CARTA]]-Tabla34[[#This Row],[COLOR CARTA]]</f>
        <v>0</v>
      </c>
      <c r="AA538">
        <f>Tabla35[[#This Row],[COLOR OFICIO]]-Tabla34[[#This Row],[COLOR OFICIO]]</f>
        <v>0</v>
      </c>
      <c r="AB538">
        <f>Tabla35[[#This Row],[ENVIAR]]-Tabla34[[#This Row],[ENVIAR]]</f>
        <v>0</v>
      </c>
      <c r="AC538">
        <f>Tabla35[[#This Row],[COPIAR]]-Tabla34[[#This Row],[COPIAR]]</f>
        <v>0</v>
      </c>
    </row>
    <row r="539" spans="1:29" x14ac:dyDescent="0.25">
      <c r="A539" t="s">
        <v>43</v>
      </c>
      <c r="B539" t="s">
        <v>587</v>
      </c>
      <c r="C539">
        <v>83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K539" t="s">
        <v>795</v>
      </c>
      <c r="L539" t="s">
        <v>596</v>
      </c>
      <c r="M539">
        <v>456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U539" t="s">
        <v>795</v>
      </c>
      <c r="V539" t="s">
        <v>596</v>
      </c>
      <c r="W539">
        <f>Tabla35[[#This Row],[BN CARTA]]-Tabla34[[#This Row],[BN CARTA]]</f>
        <v>373</v>
      </c>
      <c r="X539">
        <f>Tabla35[[#This Row],[BN OFICIO]]-Tabla34[[#This Row],[BN OFICIO]]</f>
        <v>0</v>
      </c>
      <c r="Y539">
        <f>Tabla35[[#This Row],[BN DC]]-Tabla34[[#This Row],[BN DC]]</f>
        <v>0</v>
      </c>
      <c r="Z539">
        <f>Tabla35[[#This Row],[COLOR CARTA]]-Tabla34[[#This Row],[COLOR CARTA]]</f>
        <v>0</v>
      </c>
      <c r="AA539">
        <f>Tabla35[[#This Row],[COLOR OFICIO]]-Tabla34[[#This Row],[COLOR OFICIO]]</f>
        <v>0</v>
      </c>
      <c r="AB539">
        <f>Tabla35[[#This Row],[ENVIAR]]-Tabla34[[#This Row],[ENVIAR]]</f>
        <v>0</v>
      </c>
      <c r="AC539">
        <f>Tabla35[[#This Row],[COPIAR]]-Tabla34[[#This Row],[COPIAR]]</f>
        <v>0</v>
      </c>
    </row>
    <row r="540" spans="1:29" x14ac:dyDescent="0.25">
      <c r="A540" t="s">
        <v>61</v>
      </c>
      <c r="B540" t="s">
        <v>588</v>
      </c>
      <c r="C540">
        <v>68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K540" t="s">
        <v>10</v>
      </c>
      <c r="L540" t="s">
        <v>597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U540" t="s">
        <v>10</v>
      </c>
      <c r="V540" t="s">
        <v>597</v>
      </c>
      <c r="W540">
        <f>Tabla35[[#This Row],[BN CARTA]]-Tabla34[[#This Row],[BN CARTA]]</f>
        <v>-68</v>
      </c>
      <c r="X540">
        <f>Tabla35[[#This Row],[BN OFICIO]]-Tabla34[[#This Row],[BN OFICIO]]</f>
        <v>0</v>
      </c>
      <c r="Y540">
        <f>Tabla35[[#This Row],[BN DC]]-Tabla34[[#This Row],[BN DC]]</f>
        <v>0</v>
      </c>
      <c r="Z540">
        <f>Tabla35[[#This Row],[COLOR CARTA]]-Tabla34[[#This Row],[COLOR CARTA]]</f>
        <v>0</v>
      </c>
      <c r="AA540">
        <f>Tabla35[[#This Row],[COLOR OFICIO]]-Tabla34[[#This Row],[COLOR OFICIO]]</f>
        <v>0</v>
      </c>
      <c r="AB540">
        <f>Tabla35[[#This Row],[ENVIAR]]-Tabla34[[#This Row],[ENVIAR]]</f>
        <v>0</v>
      </c>
      <c r="AC540">
        <f>Tabla35[[#This Row],[COPIAR]]-Tabla34[[#This Row],[COPIAR]]</f>
        <v>0</v>
      </c>
    </row>
    <row r="541" spans="1:29" x14ac:dyDescent="0.25">
      <c r="A541" t="s">
        <v>47</v>
      </c>
      <c r="B541" t="s">
        <v>589</v>
      </c>
      <c r="C541">
        <v>16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K541" t="s">
        <v>787</v>
      </c>
      <c r="L541" t="s">
        <v>598</v>
      </c>
      <c r="M541">
        <v>401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U541" t="s">
        <v>787</v>
      </c>
      <c r="V541" t="s">
        <v>598</v>
      </c>
      <c r="W541">
        <f>Tabla35[[#This Row],[BN CARTA]]-Tabla34[[#This Row],[BN CARTA]]</f>
        <v>385</v>
      </c>
      <c r="X541">
        <f>Tabla35[[#This Row],[BN OFICIO]]-Tabla34[[#This Row],[BN OFICIO]]</f>
        <v>0</v>
      </c>
      <c r="Y541">
        <f>Tabla35[[#This Row],[BN DC]]-Tabla34[[#This Row],[BN DC]]</f>
        <v>0</v>
      </c>
      <c r="Z541">
        <f>Tabla35[[#This Row],[COLOR CARTA]]-Tabla34[[#This Row],[COLOR CARTA]]</f>
        <v>0</v>
      </c>
      <c r="AA541">
        <f>Tabla35[[#This Row],[COLOR OFICIO]]-Tabla34[[#This Row],[COLOR OFICIO]]</f>
        <v>0</v>
      </c>
      <c r="AB541">
        <f>Tabla35[[#This Row],[ENVIAR]]-Tabla34[[#This Row],[ENVIAR]]</f>
        <v>0</v>
      </c>
      <c r="AC541">
        <f>Tabla35[[#This Row],[COPIAR]]-Tabla34[[#This Row],[COPIAR]]</f>
        <v>0</v>
      </c>
    </row>
    <row r="542" spans="1:29" x14ac:dyDescent="0.25">
      <c r="A542" t="s">
        <v>38</v>
      </c>
      <c r="B542" t="s">
        <v>590</v>
      </c>
      <c r="C542">
        <v>45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K542" t="s">
        <v>54</v>
      </c>
      <c r="L542" t="s">
        <v>599</v>
      </c>
      <c r="M542">
        <v>151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U542" t="s">
        <v>54</v>
      </c>
      <c r="V542" t="s">
        <v>599</v>
      </c>
      <c r="W542">
        <f>Tabla35[[#This Row],[BN CARTA]]-Tabla34[[#This Row],[BN CARTA]]</f>
        <v>106</v>
      </c>
      <c r="X542">
        <f>Tabla35[[#This Row],[BN OFICIO]]-Tabla34[[#This Row],[BN OFICIO]]</f>
        <v>0</v>
      </c>
      <c r="Y542">
        <f>Tabla35[[#This Row],[BN DC]]-Tabla34[[#This Row],[BN DC]]</f>
        <v>0</v>
      </c>
      <c r="Z542">
        <f>Tabla35[[#This Row],[COLOR CARTA]]-Tabla34[[#This Row],[COLOR CARTA]]</f>
        <v>0</v>
      </c>
      <c r="AA542">
        <f>Tabla35[[#This Row],[COLOR OFICIO]]-Tabla34[[#This Row],[COLOR OFICIO]]</f>
        <v>0</v>
      </c>
      <c r="AB542">
        <f>Tabla35[[#This Row],[ENVIAR]]-Tabla34[[#This Row],[ENVIAR]]</f>
        <v>0</v>
      </c>
      <c r="AC542">
        <f>Tabla35[[#This Row],[COPIAR]]-Tabla34[[#This Row],[COPIAR]]</f>
        <v>0</v>
      </c>
    </row>
    <row r="543" spans="1:29" x14ac:dyDescent="0.25">
      <c r="A543" t="s">
        <v>10</v>
      </c>
      <c r="B543" t="s">
        <v>591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K543" t="s">
        <v>10</v>
      </c>
      <c r="L543" t="s">
        <v>600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U543" t="s">
        <v>10</v>
      </c>
      <c r="V543" t="s">
        <v>600</v>
      </c>
      <c r="W543">
        <f>Tabla35[[#This Row],[BN CARTA]]-Tabla34[[#This Row],[BN CARTA]]</f>
        <v>0</v>
      </c>
      <c r="X543">
        <f>Tabla35[[#This Row],[BN OFICIO]]-Tabla34[[#This Row],[BN OFICIO]]</f>
        <v>0</v>
      </c>
      <c r="Y543">
        <f>Tabla35[[#This Row],[BN DC]]-Tabla34[[#This Row],[BN DC]]</f>
        <v>0</v>
      </c>
      <c r="Z543">
        <f>Tabla35[[#This Row],[COLOR CARTA]]-Tabla34[[#This Row],[COLOR CARTA]]</f>
        <v>0</v>
      </c>
      <c r="AA543">
        <f>Tabla35[[#This Row],[COLOR OFICIO]]-Tabla34[[#This Row],[COLOR OFICIO]]</f>
        <v>0</v>
      </c>
      <c r="AB543">
        <f>Tabla35[[#This Row],[ENVIAR]]-Tabla34[[#This Row],[ENVIAR]]</f>
        <v>0</v>
      </c>
      <c r="AC543">
        <f>Tabla35[[#This Row],[COPIAR]]-Tabla34[[#This Row],[COPIAR]]</f>
        <v>0</v>
      </c>
    </row>
    <row r="544" spans="1:29" x14ac:dyDescent="0.25">
      <c r="A544" t="s">
        <v>10</v>
      </c>
      <c r="B544" t="s">
        <v>592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K544" t="s">
        <v>10</v>
      </c>
      <c r="L544" t="s">
        <v>601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U544" t="s">
        <v>10</v>
      </c>
      <c r="V544" t="s">
        <v>601</v>
      </c>
      <c r="W544">
        <f>Tabla35[[#This Row],[BN CARTA]]-Tabla34[[#This Row],[BN CARTA]]</f>
        <v>0</v>
      </c>
      <c r="X544">
        <f>Tabla35[[#This Row],[BN OFICIO]]-Tabla34[[#This Row],[BN OFICIO]]</f>
        <v>0</v>
      </c>
      <c r="Y544">
        <f>Tabla35[[#This Row],[BN DC]]-Tabla34[[#This Row],[BN DC]]</f>
        <v>0</v>
      </c>
      <c r="Z544">
        <f>Tabla35[[#This Row],[COLOR CARTA]]-Tabla34[[#This Row],[COLOR CARTA]]</f>
        <v>0</v>
      </c>
      <c r="AA544">
        <f>Tabla35[[#This Row],[COLOR OFICIO]]-Tabla34[[#This Row],[COLOR OFICIO]]</f>
        <v>0</v>
      </c>
      <c r="AB544">
        <f>Tabla35[[#This Row],[ENVIAR]]-Tabla34[[#This Row],[ENVIAR]]</f>
        <v>0</v>
      </c>
      <c r="AC544">
        <f>Tabla35[[#This Row],[COPIAR]]-Tabla34[[#This Row],[COPIAR]]</f>
        <v>0</v>
      </c>
    </row>
    <row r="545" spans="1:29" x14ac:dyDescent="0.25">
      <c r="A545" t="s">
        <v>59</v>
      </c>
      <c r="B545" t="s">
        <v>593</v>
      </c>
      <c r="C545">
        <v>15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K545" t="s">
        <v>10</v>
      </c>
      <c r="L545" t="s">
        <v>602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U545" t="s">
        <v>10</v>
      </c>
      <c r="V545" t="s">
        <v>602</v>
      </c>
      <c r="W545">
        <f>Tabla35[[#This Row],[BN CARTA]]-Tabla34[[#This Row],[BN CARTA]]</f>
        <v>-15</v>
      </c>
      <c r="X545">
        <f>Tabla35[[#This Row],[BN OFICIO]]-Tabla34[[#This Row],[BN OFICIO]]</f>
        <v>0</v>
      </c>
      <c r="Y545">
        <f>Tabla35[[#This Row],[BN DC]]-Tabla34[[#This Row],[BN DC]]</f>
        <v>0</v>
      </c>
      <c r="Z545">
        <f>Tabla35[[#This Row],[COLOR CARTA]]-Tabla34[[#This Row],[COLOR CARTA]]</f>
        <v>0</v>
      </c>
      <c r="AA545">
        <f>Tabla35[[#This Row],[COLOR OFICIO]]-Tabla34[[#This Row],[COLOR OFICIO]]</f>
        <v>0</v>
      </c>
      <c r="AB545">
        <f>Tabla35[[#This Row],[ENVIAR]]-Tabla34[[#This Row],[ENVIAR]]</f>
        <v>0</v>
      </c>
      <c r="AC545">
        <f>Tabla35[[#This Row],[COPIAR]]-Tabla34[[#This Row],[COPIAR]]</f>
        <v>0</v>
      </c>
    </row>
    <row r="546" spans="1:29" x14ac:dyDescent="0.25">
      <c r="A546" t="s">
        <v>128</v>
      </c>
      <c r="B546" t="s">
        <v>594</v>
      </c>
      <c r="C546">
        <v>97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K546" t="s">
        <v>10</v>
      </c>
      <c r="L546" t="s">
        <v>603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U546" t="s">
        <v>10</v>
      </c>
      <c r="V546" t="s">
        <v>603</v>
      </c>
      <c r="W546">
        <f>Tabla35[[#This Row],[BN CARTA]]-Tabla34[[#This Row],[BN CARTA]]</f>
        <v>-97</v>
      </c>
      <c r="X546">
        <f>Tabla35[[#This Row],[BN OFICIO]]-Tabla34[[#This Row],[BN OFICIO]]</f>
        <v>0</v>
      </c>
      <c r="Y546">
        <f>Tabla35[[#This Row],[BN DC]]-Tabla34[[#This Row],[BN DC]]</f>
        <v>0</v>
      </c>
      <c r="Z546">
        <f>Tabla35[[#This Row],[COLOR CARTA]]-Tabla34[[#This Row],[COLOR CARTA]]</f>
        <v>0</v>
      </c>
      <c r="AA546">
        <f>Tabla35[[#This Row],[COLOR OFICIO]]-Tabla34[[#This Row],[COLOR OFICIO]]</f>
        <v>0</v>
      </c>
      <c r="AB546">
        <f>Tabla35[[#This Row],[ENVIAR]]-Tabla34[[#This Row],[ENVIAR]]</f>
        <v>0</v>
      </c>
      <c r="AC546">
        <f>Tabla35[[#This Row],[COPIAR]]-Tabla34[[#This Row],[COPIAR]]</f>
        <v>0</v>
      </c>
    </row>
    <row r="547" spans="1:29" x14ac:dyDescent="0.25">
      <c r="A547" t="s">
        <v>10</v>
      </c>
      <c r="B547" t="s">
        <v>595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K547" t="s">
        <v>150</v>
      </c>
      <c r="L547" t="s">
        <v>604</v>
      </c>
      <c r="M547">
        <v>486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U547" t="s">
        <v>150</v>
      </c>
      <c r="V547" t="s">
        <v>604</v>
      </c>
      <c r="W547">
        <f>Tabla35[[#This Row],[BN CARTA]]-Tabla34[[#This Row],[BN CARTA]]</f>
        <v>486</v>
      </c>
      <c r="X547">
        <f>Tabla35[[#This Row],[BN OFICIO]]-Tabla34[[#This Row],[BN OFICIO]]</f>
        <v>0</v>
      </c>
      <c r="Y547">
        <f>Tabla35[[#This Row],[BN DC]]-Tabla34[[#This Row],[BN DC]]</f>
        <v>0</v>
      </c>
      <c r="Z547">
        <f>Tabla35[[#This Row],[COLOR CARTA]]-Tabla34[[#This Row],[COLOR CARTA]]</f>
        <v>0</v>
      </c>
      <c r="AA547">
        <f>Tabla35[[#This Row],[COLOR OFICIO]]-Tabla34[[#This Row],[COLOR OFICIO]]</f>
        <v>0</v>
      </c>
      <c r="AB547">
        <f>Tabla35[[#This Row],[ENVIAR]]-Tabla34[[#This Row],[ENVIAR]]</f>
        <v>0</v>
      </c>
      <c r="AC547">
        <f>Tabla35[[#This Row],[COPIAR]]-Tabla34[[#This Row],[COPIAR]]</f>
        <v>0</v>
      </c>
    </row>
    <row r="548" spans="1:29" x14ac:dyDescent="0.25">
      <c r="A548" t="s">
        <v>10</v>
      </c>
      <c r="B548" t="s">
        <v>596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K548" t="s">
        <v>10</v>
      </c>
      <c r="L548" t="s">
        <v>605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U548" t="s">
        <v>10</v>
      </c>
      <c r="V548" t="s">
        <v>605</v>
      </c>
      <c r="W548">
        <f>Tabla35[[#This Row],[BN CARTA]]-Tabla34[[#This Row],[BN CARTA]]</f>
        <v>0</v>
      </c>
      <c r="X548">
        <f>Tabla35[[#This Row],[BN OFICIO]]-Tabla34[[#This Row],[BN OFICIO]]</f>
        <v>0</v>
      </c>
      <c r="Y548">
        <f>Tabla35[[#This Row],[BN DC]]-Tabla34[[#This Row],[BN DC]]</f>
        <v>0</v>
      </c>
      <c r="Z548">
        <f>Tabla35[[#This Row],[COLOR CARTA]]-Tabla34[[#This Row],[COLOR CARTA]]</f>
        <v>0</v>
      </c>
      <c r="AA548">
        <f>Tabla35[[#This Row],[COLOR OFICIO]]-Tabla34[[#This Row],[COLOR OFICIO]]</f>
        <v>0</v>
      </c>
      <c r="AB548">
        <f>Tabla35[[#This Row],[ENVIAR]]-Tabla34[[#This Row],[ENVIAR]]</f>
        <v>0</v>
      </c>
      <c r="AC548">
        <f>Tabla35[[#This Row],[COPIAR]]-Tabla34[[#This Row],[COPIAR]]</f>
        <v>0</v>
      </c>
    </row>
    <row r="549" spans="1:29" x14ac:dyDescent="0.25">
      <c r="A549" t="s">
        <v>10</v>
      </c>
      <c r="B549" t="s">
        <v>597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K549" t="s">
        <v>10</v>
      </c>
      <c r="L549" t="s">
        <v>606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U549" t="s">
        <v>10</v>
      </c>
      <c r="V549" t="s">
        <v>606</v>
      </c>
      <c r="W549">
        <f>Tabla35[[#This Row],[BN CARTA]]-Tabla34[[#This Row],[BN CARTA]]</f>
        <v>0</v>
      </c>
      <c r="X549">
        <f>Tabla35[[#This Row],[BN OFICIO]]-Tabla34[[#This Row],[BN OFICIO]]</f>
        <v>0</v>
      </c>
      <c r="Y549">
        <f>Tabla35[[#This Row],[BN DC]]-Tabla34[[#This Row],[BN DC]]</f>
        <v>0</v>
      </c>
      <c r="Z549">
        <f>Tabla35[[#This Row],[COLOR CARTA]]-Tabla34[[#This Row],[COLOR CARTA]]</f>
        <v>0</v>
      </c>
      <c r="AA549">
        <f>Tabla35[[#This Row],[COLOR OFICIO]]-Tabla34[[#This Row],[COLOR OFICIO]]</f>
        <v>0</v>
      </c>
      <c r="AB549">
        <f>Tabla35[[#This Row],[ENVIAR]]-Tabla34[[#This Row],[ENVIAR]]</f>
        <v>0</v>
      </c>
      <c r="AC549">
        <f>Tabla35[[#This Row],[COPIAR]]-Tabla34[[#This Row],[COPIAR]]</f>
        <v>0</v>
      </c>
    </row>
    <row r="550" spans="1:29" x14ac:dyDescent="0.25">
      <c r="A550" t="s">
        <v>10</v>
      </c>
      <c r="B550" t="s">
        <v>598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K550" t="s">
        <v>10</v>
      </c>
      <c r="L550" t="s">
        <v>607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U550" t="s">
        <v>10</v>
      </c>
      <c r="V550" t="s">
        <v>607</v>
      </c>
      <c r="W550">
        <f>Tabla35[[#This Row],[BN CARTA]]-Tabla34[[#This Row],[BN CARTA]]</f>
        <v>0</v>
      </c>
      <c r="X550">
        <f>Tabla35[[#This Row],[BN OFICIO]]-Tabla34[[#This Row],[BN OFICIO]]</f>
        <v>0</v>
      </c>
      <c r="Y550">
        <f>Tabla35[[#This Row],[BN DC]]-Tabla34[[#This Row],[BN DC]]</f>
        <v>0</v>
      </c>
      <c r="Z550">
        <f>Tabla35[[#This Row],[COLOR CARTA]]-Tabla34[[#This Row],[COLOR CARTA]]</f>
        <v>0</v>
      </c>
      <c r="AA550">
        <f>Tabla35[[#This Row],[COLOR OFICIO]]-Tabla34[[#This Row],[COLOR OFICIO]]</f>
        <v>0</v>
      </c>
      <c r="AB550">
        <f>Tabla35[[#This Row],[ENVIAR]]-Tabla34[[#This Row],[ENVIAR]]</f>
        <v>0</v>
      </c>
      <c r="AC550">
        <f>Tabla35[[#This Row],[COPIAR]]-Tabla34[[#This Row],[COPIAR]]</f>
        <v>0</v>
      </c>
    </row>
    <row r="551" spans="1:29" x14ac:dyDescent="0.25">
      <c r="A551" t="s">
        <v>10</v>
      </c>
      <c r="B551" t="s">
        <v>599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K551" t="s">
        <v>10</v>
      </c>
      <c r="L551" t="s">
        <v>608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U551" t="s">
        <v>10</v>
      </c>
      <c r="V551" t="s">
        <v>608</v>
      </c>
      <c r="W551">
        <f>Tabla35[[#This Row],[BN CARTA]]-Tabla34[[#This Row],[BN CARTA]]</f>
        <v>0</v>
      </c>
      <c r="X551">
        <f>Tabla35[[#This Row],[BN OFICIO]]-Tabla34[[#This Row],[BN OFICIO]]</f>
        <v>0</v>
      </c>
      <c r="Y551">
        <f>Tabla35[[#This Row],[BN DC]]-Tabla34[[#This Row],[BN DC]]</f>
        <v>0</v>
      </c>
      <c r="Z551">
        <f>Tabla35[[#This Row],[COLOR CARTA]]-Tabla34[[#This Row],[COLOR CARTA]]</f>
        <v>0</v>
      </c>
      <c r="AA551">
        <f>Tabla35[[#This Row],[COLOR OFICIO]]-Tabla34[[#This Row],[COLOR OFICIO]]</f>
        <v>0</v>
      </c>
      <c r="AB551">
        <f>Tabla35[[#This Row],[ENVIAR]]-Tabla34[[#This Row],[ENVIAR]]</f>
        <v>0</v>
      </c>
      <c r="AC551">
        <f>Tabla35[[#This Row],[COPIAR]]-Tabla34[[#This Row],[COPIAR]]</f>
        <v>0</v>
      </c>
    </row>
    <row r="552" spans="1:29" x14ac:dyDescent="0.25">
      <c r="A552" t="s">
        <v>10</v>
      </c>
      <c r="B552" t="s">
        <v>600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K552" t="s">
        <v>10</v>
      </c>
      <c r="L552" t="s">
        <v>609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U552" t="s">
        <v>10</v>
      </c>
      <c r="V552" t="s">
        <v>609</v>
      </c>
      <c r="W552">
        <f>Tabla35[[#This Row],[BN CARTA]]-Tabla34[[#This Row],[BN CARTA]]</f>
        <v>0</v>
      </c>
      <c r="X552">
        <f>Tabla35[[#This Row],[BN OFICIO]]-Tabla34[[#This Row],[BN OFICIO]]</f>
        <v>0</v>
      </c>
      <c r="Y552">
        <f>Tabla35[[#This Row],[BN DC]]-Tabla34[[#This Row],[BN DC]]</f>
        <v>0</v>
      </c>
      <c r="Z552">
        <f>Tabla35[[#This Row],[COLOR CARTA]]-Tabla34[[#This Row],[COLOR CARTA]]</f>
        <v>0</v>
      </c>
      <c r="AA552">
        <f>Tabla35[[#This Row],[COLOR OFICIO]]-Tabla34[[#This Row],[COLOR OFICIO]]</f>
        <v>0</v>
      </c>
      <c r="AB552">
        <f>Tabla35[[#This Row],[ENVIAR]]-Tabla34[[#This Row],[ENVIAR]]</f>
        <v>0</v>
      </c>
      <c r="AC552">
        <f>Tabla35[[#This Row],[COPIAR]]-Tabla34[[#This Row],[COPIAR]]</f>
        <v>0</v>
      </c>
    </row>
    <row r="553" spans="1:29" x14ac:dyDescent="0.25">
      <c r="A553" t="s">
        <v>10</v>
      </c>
      <c r="B553" t="s">
        <v>601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K553" t="s">
        <v>10</v>
      </c>
      <c r="L553" t="s">
        <v>610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U553" t="s">
        <v>10</v>
      </c>
      <c r="V553" t="s">
        <v>610</v>
      </c>
      <c r="W553">
        <f>Tabla35[[#This Row],[BN CARTA]]-Tabla34[[#This Row],[BN CARTA]]</f>
        <v>0</v>
      </c>
      <c r="X553">
        <f>Tabla35[[#This Row],[BN OFICIO]]-Tabla34[[#This Row],[BN OFICIO]]</f>
        <v>0</v>
      </c>
      <c r="Y553">
        <f>Tabla35[[#This Row],[BN DC]]-Tabla34[[#This Row],[BN DC]]</f>
        <v>0</v>
      </c>
      <c r="Z553">
        <f>Tabla35[[#This Row],[COLOR CARTA]]-Tabla34[[#This Row],[COLOR CARTA]]</f>
        <v>0</v>
      </c>
      <c r="AA553">
        <f>Tabla35[[#This Row],[COLOR OFICIO]]-Tabla34[[#This Row],[COLOR OFICIO]]</f>
        <v>0</v>
      </c>
      <c r="AB553">
        <f>Tabla35[[#This Row],[ENVIAR]]-Tabla34[[#This Row],[ENVIAR]]</f>
        <v>0</v>
      </c>
      <c r="AC553">
        <f>Tabla35[[#This Row],[COPIAR]]-Tabla34[[#This Row],[COPIAR]]</f>
        <v>0</v>
      </c>
    </row>
    <row r="554" spans="1:29" x14ac:dyDescent="0.25">
      <c r="A554" t="s">
        <v>10</v>
      </c>
      <c r="B554" t="s">
        <v>602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K554" t="s">
        <v>10</v>
      </c>
      <c r="L554" t="s">
        <v>611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U554" t="s">
        <v>10</v>
      </c>
      <c r="V554" t="s">
        <v>611</v>
      </c>
      <c r="W554">
        <f>Tabla35[[#This Row],[BN CARTA]]-Tabla34[[#This Row],[BN CARTA]]</f>
        <v>0</v>
      </c>
      <c r="X554">
        <f>Tabla35[[#This Row],[BN OFICIO]]-Tabla34[[#This Row],[BN OFICIO]]</f>
        <v>0</v>
      </c>
      <c r="Y554">
        <f>Tabla35[[#This Row],[BN DC]]-Tabla34[[#This Row],[BN DC]]</f>
        <v>0</v>
      </c>
      <c r="Z554">
        <f>Tabla35[[#This Row],[COLOR CARTA]]-Tabla34[[#This Row],[COLOR CARTA]]</f>
        <v>0</v>
      </c>
      <c r="AA554">
        <f>Tabla35[[#This Row],[COLOR OFICIO]]-Tabla34[[#This Row],[COLOR OFICIO]]</f>
        <v>0</v>
      </c>
      <c r="AB554">
        <f>Tabla35[[#This Row],[ENVIAR]]-Tabla34[[#This Row],[ENVIAR]]</f>
        <v>0</v>
      </c>
      <c r="AC554">
        <f>Tabla35[[#This Row],[COPIAR]]-Tabla34[[#This Row],[COPIAR]]</f>
        <v>0</v>
      </c>
    </row>
    <row r="555" spans="1:29" x14ac:dyDescent="0.25">
      <c r="A555" t="s">
        <v>10</v>
      </c>
      <c r="B555" t="s">
        <v>603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K555" t="s">
        <v>134</v>
      </c>
      <c r="L555" t="s">
        <v>612</v>
      </c>
      <c r="M555">
        <v>1839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U555" t="s">
        <v>134</v>
      </c>
      <c r="V555" t="s">
        <v>612</v>
      </c>
      <c r="W555">
        <f>Tabla35[[#This Row],[BN CARTA]]-Tabla34[[#This Row],[BN CARTA]]</f>
        <v>1839</v>
      </c>
      <c r="X555">
        <f>Tabla35[[#This Row],[BN OFICIO]]-Tabla34[[#This Row],[BN OFICIO]]</f>
        <v>0</v>
      </c>
      <c r="Y555">
        <f>Tabla35[[#This Row],[BN DC]]-Tabla34[[#This Row],[BN DC]]</f>
        <v>0</v>
      </c>
      <c r="Z555">
        <f>Tabla35[[#This Row],[COLOR CARTA]]-Tabla34[[#This Row],[COLOR CARTA]]</f>
        <v>0</v>
      </c>
      <c r="AA555">
        <f>Tabla35[[#This Row],[COLOR OFICIO]]-Tabla34[[#This Row],[COLOR OFICIO]]</f>
        <v>0</v>
      </c>
      <c r="AB555">
        <f>Tabla35[[#This Row],[ENVIAR]]-Tabla34[[#This Row],[ENVIAR]]</f>
        <v>0</v>
      </c>
      <c r="AC555">
        <f>Tabla35[[#This Row],[COPIAR]]-Tabla34[[#This Row],[COPIAR]]</f>
        <v>0</v>
      </c>
    </row>
    <row r="556" spans="1:29" x14ac:dyDescent="0.25">
      <c r="A556" t="s">
        <v>150</v>
      </c>
      <c r="B556" t="s">
        <v>604</v>
      </c>
      <c r="C556">
        <v>55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K556" t="s">
        <v>10</v>
      </c>
      <c r="L556" t="s">
        <v>613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U556" t="s">
        <v>10</v>
      </c>
      <c r="V556" t="s">
        <v>613</v>
      </c>
      <c r="W556">
        <f>Tabla35[[#This Row],[BN CARTA]]-Tabla34[[#This Row],[BN CARTA]]</f>
        <v>-55</v>
      </c>
      <c r="X556">
        <f>Tabla35[[#This Row],[BN OFICIO]]-Tabla34[[#This Row],[BN OFICIO]]</f>
        <v>0</v>
      </c>
      <c r="Y556">
        <f>Tabla35[[#This Row],[BN DC]]-Tabla34[[#This Row],[BN DC]]</f>
        <v>0</v>
      </c>
      <c r="Z556">
        <f>Tabla35[[#This Row],[COLOR CARTA]]-Tabla34[[#This Row],[COLOR CARTA]]</f>
        <v>0</v>
      </c>
      <c r="AA556">
        <f>Tabla35[[#This Row],[COLOR OFICIO]]-Tabla34[[#This Row],[COLOR OFICIO]]</f>
        <v>0</v>
      </c>
      <c r="AB556">
        <f>Tabla35[[#This Row],[ENVIAR]]-Tabla34[[#This Row],[ENVIAR]]</f>
        <v>0</v>
      </c>
      <c r="AC556">
        <f>Tabla35[[#This Row],[COPIAR]]-Tabla34[[#This Row],[COPIAR]]</f>
        <v>0</v>
      </c>
    </row>
    <row r="557" spans="1:29" x14ac:dyDescent="0.25">
      <c r="A557" t="s">
        <v>10</v>
      </c>
      <c r="B557" t="s">
        <v>605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K557" t="s">
        <v>10</v>
      </c>
      <c r="L557" t="s">
        <v>614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U557" t="s">
        <v>10</v>
      </c>
      <c r="V557" t="s">
        <v>614</v>
      </c>
      <c r="W557">
        <f>Tabla35[[#This Row],[BN CARTA]]-Tabla34[[#This Row],[BN CARTA]]</f>
        <v>0</v>
      </c>
      <c r="X557">
        <f>Tabla35[[#This Row],[BN OFICIO]]-Tabla34[[#This Row],[BN OFICIO]]</f>
        <v>0</v>
      </c>
      <c r="Y557">
        <f>Tabla35[[#This Row],[BN DC]]-Tabla34[[#This Row],[BN DC]]</f>
        <v>0</v>
      </c>
      <c r="Z557">
        <f>Tabla35[[#This Row],[COLOR CARTA]]-Tabla34[[#This Row],[COLOR CARTA]]</f>
        <v>0</v>
      </c>
      <c r="AA557">
        <f>Tabla35[[#This Row],[COLOR OFICIO]]-Tabla34[[#This Row],[COLOR OFICIO]]</f>
        <v>0</v>
      </c>
      <c r="AB557">
        <f>Tabla35[[#This Row],[ENVIAR]]-Tabla34[[#This Row],[ENVIAR]]</f>
        <v>0</v>
      </c>
      <c r="AC557">
        <f>Tabla35[[#This Row],[COPIAR]]-Tabla34[[#This Row],[COPIAR]]</f>
        <v>0</v>
      </c>
    </row>
    <row r="558" spans="1:29" x14ac:dyDescent="0.25">
      <c r="A558" t="s">
        <v>10</v>
      </c>
      <c r="B558" t="s">
        <v>606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K558" t="s">
        <v>10</v>
      </c>
      <c r="L558" t="s">
        <v>615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U558" t="s">
        <v>10</v>
      </c>
      <c r="V558" t="s">
        <v>615</v>
      </c>
      <c r="W558">
        <f>Tabla35[[#This Row],[BN CARTA]]-Tabla34[[#This Row],[BN CARTA]]</f>
        <v>0</v>
      </c>
      <c r="X558">
        <f>Tabla35[[#This Row],[BN OFICIO]]-Tabla34[[#This Row],[BN OFICIO]]</f>
        <v>0</v>
      </c>
      <c r="Y558">
        <f>Tabla35[[#This Row],[BN DC]]-Tabla34[[#This Row],[BN DC]]</f>
        <v>0</v>
      </c>
      <c r="Z558">
        <f>Tabla35[[#This Row],[COLOR CARTA]]-Tabla34[[#This Row],[COLOR CARTA]]</f>
        <v>0</v>
      </c>
      <c r="AA558">
        <f>Tabla35[[#This Row],[COLOR OFICIO]]-Tabla34[[#This Row],[COLOR OFICIO]]</f>
        <v>0</v>
      </c>
      <c r="AB558">
        <f>Tabla35[[#This Row],[ENVIAR]]-Tabla34[[#This Row],[ENVIAR]]</f>
        <v>0</v>
      </c>
      <c r="AC558">
        <f>Tabla35[[#This Row],[COPIAR]]-Tabla34[[#This Row],[COPIAR]]</f>
        <v>0</v>
      </c>
    </row>
    <row r="559" spans="1:29" x14ac:dyDescent="0.25">
      <c r="A559" t="s">
        <v>10</v>
      </c>
      <c r="B559" t="s">
        <v>607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K559" t="s">
        <v>10</v>
      </c>
      <c r="L559" t="s">
        <v>616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U559" t="s">
        <v>10</v>
      </c>
      <c r="V559" t="s">
        <v>616</v>
      </c>
      <c r="W559">
        <f>Tabla35[[#This Row],[BN CARTA]]-Tabla34[[#This Row],[BN CARTA]]</f>
        <v>0</v>
      </c>
      <c r="X559">
        <f>Tabla35[[#This Row],[BN OFICIO]]-Tabla34[[#This Row],[BN OFICIO]]</f>
        <v>0</v>
      </c>
      <c r="Y559">
        <f>Tabla35[[#This Row],[BN DC]]-Tabla34[[#This Row],[BN DC]]</f>
        <v>0</v>
      </c>
      <c r="Z559">
        <f>Tabla35[[#This Row],[COLOR CARTA]]-Tabla34[[#This Row],[COLOR CARTA]]</f>
        <v>0</v>
      </c>
      <c r="AA559">
        <f>Tabla35[[#This Row],[COLOR OFICIO]]-Tabla34[[#This Row],[COLOR OFICIO]]</f>
        <v>0</v>
      </c>
      <c r="AB559">
        <f>Tabla35[[#This Row],[ENVIAR]]-Tabla34[[#This Row],[ENVIAR]]</f>
        <v>0</v>
      </c>
      <c r="AC559">
        <f>Tabla35[[#This Row],[COPIAR]]-Tabla34[[#This Row],[COPIAR]]</f>
        <v>0</v>
      </c>
    </row>
    <row r="560" spans="1:29" x14ac:dyDescent="0.25">
      <c r="A560" t="s">
        <v>10</v>
      </c>
      <c r="B560" t="s">
        <v>608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K560" t="s">
        <v>10</v>
      </c>
      <c r="L560" t="s">
        <v>617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U560" t="s">
        <v>10</v>
      </c>
      <c r="V560" t="s">
        <v>617</v>
      </c>
      <c r="W560">
        <f>Tabla35[[#This Row],[BN CARTA]]-Tabla34[[#This Row],[BN CARTA]]</f>
        <v>0</v>
      </c>
      <c r="X560">
        <f>Tabla35[[#This Row],[BN OFICIO]]-Tabla34[[#This Row],[BN OFICIO]]</f>
        <v>0</v>
      </c>
      <c r="Y560">
        <f>Tabla35[[#This Row],[BN DC]]-Tabla34[[#This Row],[BN DC]]</f>
        <v>0</v>
      </c>
      <c r="Z560">
        <f>Tabla35[[#This Row],[COLOR CARTA]]-Tabla34[[#This Row],[COLOR CARTA]]</f>
        <v>0</v>
      </c>
      <c r="AA560">
        <f>Tabla35[[#This Row],[COLOR OFICIO]]-Tabla34[[#This Row],[COLOR OFICIO]]</f>
        <v>0</v>
      </c>
      <c r="AB560">
        <f>Tabla35[[#This Row],[ENVIAR]]-Tabla34[[#This Row],[ENVIAR]]</f>
        <v>0</v>
      </c>
      <c r="AC560">
        <f>Tabla35[[#This Row],[COPIAR]]-Tabla34[[#This Row],[COPIAR]]</f>
        <v>0</v>
      </c>
    </row>
    <row r="561" spans="1:29" x14ac:dyDescent="0.25">
      <c r="A561" t="s">
        <v>10</v>
      </c>
      <c r="B561" t="s">
        <v>609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K561" t="s">
        <v>10</v>
      </c>
      <c r="L561" t="s">
        <v>618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U561" t="s">
        <v>10</v>
      </c>
      <c r="V561" t="s">
        <v>618</v>
      </c>
      <c r="W561">
        <f>Tabla35[[#This Row],[BN CARTA]]-Tabla34[[#This Row],[BN CARTA]]</f>
        <v>0</v>
      </c>
      <c r="X561">
        <f>Tabla35[[#This Row],[BN OFICIO]]-Tabla34[[#This Row],[BN OFICIO]]</f>
        <v>0</v>
      </c>
      <c r="Y561">
        <f>Tabla35[[#This Row],[BN DC]]-Tabla34[[#This Row],[BN DC]]</f>
        <v>0</v>
      </c>
      <c r="Z561">
        <f>Tabla35[[#This Row],[COLOR CARTA]]-Tabla34[[#This Row],[COLOR CARTA]]</f>
        <v>0</v>
      </c>
      <c r="AA561">
        <f>Tabla35[[#This Row],[COLOR OFICIO]]-Tabla34[[#This Row],[COLOR OFICIO]]</f>
        <v>0</v>
      </c>
      <c r="AB561">
        <f>Tabla35[[#This Row],[ENVIAR]]-Tabla34[[#This Row],[ENVIAR]]</f>
        <v>0</v>
      </c>
      <c r="AC561">
        <f>Tabla35[[#This Row],[COPIAR]]-Tabla34[[#This Row],[COPIAR]]</f>
        <v>0</v>
      </c>
    </row>
    <row r="562" spans="1:29" x14ac:dyDescent="0.25">
      <c r="A562" t="s">
        <v>10</v>
      </c>
      <c r="B562" t="s">
        <v>610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K562" t="s">
        <v>10</v>
      </c>
      <c r="L562" t="s">
        <v>619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U562" t="s">
        <v>10</v>
      </c>
      <c r="V562" t="s">
        <v>619</v>
      </c>
      <c r="W562">
        <f>Tabla35[[#This Row],[BN CARTA]]-Tabla34[[#This Row],[BN CARTA]]</f>
        <v>0</v>
      </c>
      <c r="X562">
        <f>Tabla35[[#This Row],[BN OFICIO]]-Tabla34[[#This Row],[BN OFICIO]]</f>
        <v>0</v>
      </c>
      <c r="Y562">
        <f>Tabla35[[#This Row],[BN DC]]-Tabla34[[#This Row],[BN DC]]</f>
        <v>0</v>
      </c>
      <c r="Z562">
        <f>Tabla35[[#This Row],[COLOR CARTA]]-Tabla34[[#This Row],[COLOR CARTA]]</f>
        <v>0</v>
      </c>
      <c r="AA562">
        <f>Tabla35[[#This Row],[COLOR OFICIO]]-Tabla34[[#This Row],[COLOR OFICIO]]</f>
        <v>0</v>
      </c>
      <c r="AB562">
        <f>Tabla35[[#This Row],[ENVIAR]]-Tabla34[[#This Row],[ENVIAR]]</f>
        <v>0</v>
      </c>
      <c r="AC562">
        <f>Tabla35[[#This Row],[COPIAR]]-Tabla34[[#This Row],[COPIAR]]</f>
        <v>0</v>
      </c>
    </row>
    <row r="563" spans="1:29" x14ac:dyDescent="0.25">
      <c r="A563" t="s">
        <v>10</v>
      </c>
      <c r="B563" t="s">
        <v>611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K563" t="s">
        <v>10</v>
      </c>
      <c r="L563" t="s">
        <v>620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U563" t="s">
        <v>10</v>
      </c>
      <c r="V563" t="s">
        <v>620</v>
      </c>
      <c r="W563">
        <f>Tabla35[[#This Row],[BN CARTA]]-Tabla34[[#This Row],[BN CARTA]]</f>
        <v>0</v>
      </c>
      <c r="X563">
        <f>Tabla35[[#This Row],[BN OFICIO]]-Tabla34[[#This Row],[BN OFICIO]]</f>
        <v>0</v>
      </c>
      <c r="Y563">
        <f>Tabla35[[#This Row],[BN DC]]-Tabla34[[#This Row],[BN DC]]</f>
        <v>0</v>
      </c>
      <c r="Z563">
        <f>Tabla35[[#This Row],[COLOR CARTA]]-Tabla34[[#This Row],[COLOR CARTA]]</f>
        <v>0</v>
      </c>
      <c r="AA563">
        <f>Tabla35[[#This Row],[COLOR OFICIO]]-Tabla34[[#This Row],[COLOR OFICIO]]</f>
        <v>0</v>
      </c>
      <c r="AB563">
        <f>Tabla35[[#This Row],[ENVIAR]]-Tabla34[[#This Row],[ENVIAR]]</f>
        <v>0</v>
      </c>
      <c r="AC563">
        <f>Tabla35[[#This Row],[COPIAR]]-Tabla34[[#This Row],[COPIAR]]</f>
        <v>0</v>
      </c>
    </row>
    <row r="564" spans="1:29" x14ac:dyDescent="0.25">
      <c r="A564" t="s">
        <v>134</v>
      </c>
      <c r="B564" t="s">
        <v>612</v>
      </c>
      <c r="C564">
        <v>646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K564" t="s">
        <v>10</v>
      </c>
      <c r="L564" t="s">
        <v>621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U564" t="s">
        <v>10</v>
      </c>
      <c r="V564" t="s">
        <v>621</v>
      </c>
      <c r="W564">
        <f>Tabla35[[#This Row],[BN CARTA]]-Tabla34[[#This Row],[BN CARTA]]</f>
        <v>-646</v>
      </c>
      <c r="X564">
        <f>Tabla35[[#This Row],[BN OFICIO]]-Tabla34[[#This Row],[BN OFICIO]]</f>
        <v>0</v>
      </c>
      <c r="Y564">
        <f>Tabla35[[#This Row],[BN DC]]-Tabla34[[#This Row],[BN DC]]</f>
        <v>0</v>
      </c>
      <c r="Z564">
        <f>Tabla35[[#This Row],[COLOR CARTA]]-Tabla34[[#This Row],[COLOR CARTA]]</f>
        <v>0</v>
      </c>
      <c r="AA564">
        <f>Tabla35[[#This Row],[COLOR OFICIO]]-Tabla34[[#This Row],[COLOR OFICIO]]</f>
        <v>0</v>
      </c>
      <c r="AB564">
        <f>Tabla35[[#This Row],[ENVIAR]]-Tabla34[[#This Row],[ENVIAR]]</f>
        <v>0</v>
      </c>
      <c r="AC564">
        <f>Tabla35[[#This Row],[COPIAR]]-Tabla34[[#This Row],[COPIAR]]</f>
        <v>0</v>
      </c>
    </row>
    <row r="565" spans="1:29" x14ac:dyDescent="0.25">
      <c r="A565" t="s">
        <v>10</v>
      </c>
      <c r="B565" t="s">
        <v>613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K565" t="s">
        <v>150</v>
      </c>
      <c r="L565" t="s">
        <v>622</v>
      </c>
      <c r="M565">
        <v>2243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U565" t="s">
        <v>150</v>
      </c>
      <c r="V565" t="s">
        <v>622</v>
      </c>
      <c r="W565">
        <f>Tabla35[[#This Row],[BN CARTA]]-Tabla34[[#This Row],[BN CARTA]]</f>
        <v>2243</v>
      </c>
      <c r="X565">
        <f>Tabla35[[#This Row],[BN OFICIO]]-Tabla34[[#This Row],[BN OFICIO]]</f>
        <v>0</v>
      </c>
      <c r="Y565">
        <f>Tabla35[[#This Row],[BN DC]]-Tabla34[[#This Row],[BN DC]]</f>
        <v>0</v>
      </c>
      <c r="Z565">
        <f>Tabla35[[#This Row],[COLOR CARTA]]-Tabla34[[#This Row],[COLOR CARTA]]</f>
        <v>0</v>
      </c>
      <c r="AA565">
        <f>Tabla35[[#This Row],[COLOR OFICIO]]-Tabla34[[#This Row],[COLOR OFICIO]]</f>
        <v>0</v>
      </c>
      <c r="AB565">
        <f>Tabla35[[#This Row],[ENVIAR]]-Tabla34[[#This Row],[ENVIAR]]</f>
        <v>0</v>
      </c>
      <c r="AC565">
        <f>Tabla35[[#This Row],[COPIAR]]-Tabla34[[#This Row],[COPIAR]]</f>
        <v>0</v>
      </c>
    </row>
    <row r="566" spans="1:29" x14ac:dyDescent="0.25">
      <c r="A566" t="s">
        <v>10</v>
      </c>
      <c r="B566" t="s">
        <v>614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K566" t="s">
        <v>10</v>
      </c>
      <c r="L566" t="s">
        <v>623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U566" t="s">
        <v>10</v>
      </c>
      <c r="V566" t="s">
        <v>623</v>
      </c>
      <c r="W566">
        <f>Tabla35[[#This Row],[BN CARTA]]-Tabla34[[#This Row],[BN CARTA]]</f>
        <v>0</v>
      </c>
      <c r="X566">
        <f>Tabla35[[#This Row],[BN OFICIO]]-Tabla34[[#This Row],[BN OFICIO]]</f>
        <v>0</v>
      </c>
      <c r="Y566">
        <f>Tabla35[[#This Row],[BN DC]]-Tabla34[[#This Row],[BN DC]]</f>
        <v>0</v>
      </c>
      <c r="Z566">
        <f>Tabla35[[#This Row],[COLOR CARTA]]-Tabla34[[#This Row],[COLOR CARTA]]</f>
        <v>0</v>
      </c>
      <c r="AA566">
        <f>Tabla35[[#This Row],[COLOR OFICIO]]-Tabla34[[#This Row],[COLOR OFICIO]]</f>
        <v>0</v>
      </c>
      <c r="AB566">
        <f>Tabla35[[#This Row],[ENVIAR]]-Tabla34[[#This Row],[ENVIAR]]</f>
        <v>0</v>
      </c>
      <c r="AC566">
        <f>Tabla35[[#This Row],[COPIAR]]-Tabla34[[#This Row],[COPIAR]]</f>
        <v>0</v>
      </c>
    </row>
    <row r="567" spans="1:29" x14ac:dyDescent="0.25">
      <c r="A567" t="s">
        <v>10</v>
      </c>
      <c r="B567" t="s">
        <v>615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K567" t="s">
        <v>10</v>
      </c>
      <c r="L567" t="s">
        <v>624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U567" t="s">
        <v>10</v>
      </c>
      <c r="V567" t="s">
        <v>624</v>
      </c>
      <c r="W567">
        <f>Tabla35[[#This Row],[BN CARTA]]-Tabla34[[#This Row],[BN CARTA]]</f>
        <v>0</v>
      </c>
      <c r="X567">
        <f>Tabla35[[#This Row],[BN OFICIO]]-Tabla34[[#This Row],[BN OFICIO]]</f>
        <v>0</v>
      </c>
      <c r="Y567">
        <f>Tabla35[[#This Row],[BN DC]]-Tabla34[[#This Row],[BN DC]]</f>
        <v>0</v>
      </c>
      <c r="Z567">
        <f>Tabla35[[#This Row],[COLOR CARTA]]-Tabla34[[#This Row],[COLOR CARTA]]</f>
        <v>0</v>
      </c>
      <c r="AA567">
        <f>Tabla35[[#This Row],[COLOR OFICIO]]-Tabla34[[#This Row],[COLOR OFICIO]]</f>
        <v>0</v>
      </c>
      <c r="AB567">
        <f>Tabla35[[#This Row],[ENVIAR]]-Tabla34[[#This Row],[ENVIAR]]</f>
        <v>0</v>
      </c>
      <c r="AC567">
        <f>Tabla35[[#This Row],[COPIAR]]-Tabla34[[#This Row],[COPIAR]]</f>
        <v>0</v>
      </c>
    </row>
    <row r="568" spans="1:29" x14ac:dyDescent="0.25">
      <c r="A568" t="s">
        <v>10</v>
      </c>
      <c r="B568" t="s">
        <v>616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K568" t="s">
        <v>10</v>
      </c>
      <c r="L568" t="s">
        <v>625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U568" t="s">
        <v>10</v>
      </c>
      <c r="V568" t="s">
        <v>625</v>
      </c>
      <c r="W568">
        <f>Tabla35[[#This Row],[BN CARTA]]-Tabla34[[#This Row],[BN CARTA]]</f>
        <v>0</v>
      </c>
      <c r="X568">
        <f>Tabla35[[#This Row],[BN OFICIO]]-Tabla34[[#This Row],[BN OFICIO]]</f>
        <v>0</v>
      </c>
      <c r="Y568">
        <f>Tabla35[[#This Row],[BN DC]]-Tabla34[[#This Row],[BN DC]]</f>
        <v>0</v>
      </c>
      <c r="Z568">
        <f>Tabla35[[#This Row],[COLOR CARTA]]-Tabla34[[#This Row],[COLOR CARTA]]</f>
        <v>0</v>
      </c>
      <c r="AA568">
        <f>Tabla35[[#This Row],[COLOR OFICIO]]-Tabla34[[#This Row],[COLOR OFICIO]]</f>
        <v>0</v>
      </c>
      <c r="AB568">
        <f>Tabla35[[#This Row],[ENVIAR]]-Tabla34[[#This Row],[ENVIAR]]</f>
        <v>0</v>
      </c>
      <c r="AC568">
        <f>Tabla35[[#This Row],[COPIAR]]-Tabla34[[#This Row],[COPIAR]]</f>
        <v>0</v>
      </c>
    </row>
    <row r="569" spans="1:29" x14ac:dyDescent="0.25">
      <c r="A569" t="s">
        <v>10</v>
      </c>
      <c r="B569" t="s">
        <v>617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K569" t="s">
        <v>69</v>
      </c>
      <c r="L569" t="s">
        <v>626</v>
      </c>
      <c r="M569">
        <v>3321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U569" t="s">
        <v>69</v>
      </c>
      <c r="V569" t="s">
        <v>626</v>
      </c>
      <c r="W569">
        <f>Tabla35[[#This Row],[BN CARTA]]-Tabla34[[#This Row],[BN CARTA]]</f>
        <v>3321</v>
      </c>
      <c r="X569">
        <f>Tabla35[[#This Row],[BN OFICIO]]-Tabla34[[#This Row],[BN OFICIO]]</f>
        <v>0</v>
      </c>
      <c r="Y569">
        <f>Tabla35[[#This Row],[BN DC]]-Tabla34[[#This Row],[BN DC]]</f>
        <v>0</v>
      </c>
      <c r="Z569">
        <f>Tabla35[[#This Row],[COLOR CARTA]]-Tabla34[[#This Row],[COLOR CARTA]]</f>
        <v>0</v>
      </c>
      <c r="AA569">
        <f>Tabla35[[#This Row],[COLOR OFICIO]]-Tabla34[[#This Row],[COLOR OFICIO]]</f>
        <v>0</v>
      </c>
      <c r="AB569">
        <f>Tabla35[[#This Row],[ENVIAR]]-Tabla34[[#This Row],[ENVIAR]]</f>
        <v>0</v>
      </c>
      <c r="AC569">
        <f>Tabla35[[#This Row],[COPIAR]]-Tabla34[[#This Row],[COPIAR]]</f>
        <v>0</v>
      </c>
    </row>
    <row r="570" spans="1:29" x14ac:dyDescent="0.25">
      <c r="A570" t="s">
        <v>10</v>
      </c>
      <c r="B570" t="s">
        <v>618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K570" t="s">
        <v>10</v>
      </c>
      <c r="L570" t="s">
        <v>627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U570" t="s">
        <v>10</v>
      </c>
      <c r="V570" t="s">
        <v>627</v>
      </c>
      <c r="W570">
        <f>Tabla35[[#This Row],[BN CARTA]]-Tabla34[[#This Row],[BN CARTA]]</f>
        <v>0</v>
      </c>
      <c r="X570">
        <f>Tabla35[[#This Row],[BN OFICIO]]-Tabla34[[#This Row],[BN OFICIO]]</f>
        <v>0</v>
      </c>
      <c r="Y570">
        <f>Tabla35[[#This Row],[BN DC]]-Tabla34[[#This Row],[BN DC]]</f>
        <v>0</v>
      </c>
      <c r="Z570">
        <f>Tabla35[[#This Row],[COLOR CARTA]]-Tabla34[[#This Row],[COLOR CARTA]]</f>
        <v>0</v>
      </c>
      <c r="AA570">
        <f>Tabla35[[#This Row],[COLOR OFICIO]]-Tabla34[[#This Row],[COLOR OFICIO]]</f>
        <v>0</v>
      </c>
      <c r="AB570">
        <f>Tabla35[[#This Row],[ENVIAR]]-Tabla34[[#This Row],[ENVIAR]]</f>
        <v>0</v>
      </c>
      <c r="AC570">
        <f>Tabla35[[#This Row],[COPIAR]]-Tabla34[[#This Row],[COPIAR]]</f>
        <v>0</v>
      </c>
    </row>
    <row r="571" spans="1:29" x14ac:dyDescent="0.25">
      <c r="A571" t="s">
        <v>10</v>
      </c>
      <c r="B571" t="s">
        <v>619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K571" t="s">
        <v>10</v>
      </c>
      <c r="L571" t="s">
        <v>628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U571" t="s">
        <v>10</v>
      </c>
      <c r="V571" t="s">
        <v>628</v>
      </c>
      <c r="W571">
        <f>Tabla35[[#This Row],[BN CARTA]]-Tabla34[[#This Row],[BN CARTA]]</f>
        <v>0</v>
      </c>
      <c r="X571">
        <f>Tabla35[[#This Row],[BN OFICIO]]-Tabla34[[#This Row],[BN OFICIO]]</f>
        <v>0</v>
      </c>
      <c r="Y571">
        <f>Tabla35[[#This Row],[BN DC]]-Tabla34[[#This Row],[BN DC]]</f>
        <v>0</v>
      </c>
      <c r="Z571">
        <f>Tabla35[[#This Row],[COLOR CARTA]]-Tabla34[[#This Row],[COLOR CARTA]]</f>
        <v>0</v>
      </c>
      <c r="AA571">
        <f>Tabla35[[#This Row],[COLOR OFICIO]]-Tabla34[[#This Row],[COLOR OFICIO]]</f>
        <v>0</v>
      </c>
      <c r="AB571">
        <f>Tabla35[[#This Row],[ENVIAR]]-Tabla34[[#This Row],[ENVIAR]]</f>
        <v>0</v>
      </c>
      <c r="AC571">
        <f>Tabla35[[#This Row],[COPIAR]]-Tabla34[[#This Row],[COPIAR]]</f>
        <v>0</v>
      </c>
    </row>
    <row r="572" spans="1:29" x14ac:dyDescent="0.25">
      <c r="A572" t="s">
        <v>10</v>
      </c>
      <c r="B572" t="s">
        <v>620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K572" t="s">
        <v>10</v>
      </c>
      <c r="L572" t="s">
        <v>629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U572" t="s">
        <v>10</v>
      </c>
      <c r="V572" t="s">
        <v>629</v>
      </c>
      <c r="W572">
        <f>Tabla35[[#This Row],[BN CARTA]]-Tabla34[[#This Row],[BN CARTA]]</f>
        <v>0</v>
      </c>
      <c r="X572">
        <f>Tabla35[[#This Row],[BN OFICIO]]-Tabla34[[#This Row],[BN OFICIO]]</f>
        <v>0</v>
      </c>
      <c r="Y572">
        <f>Tabla35[[#This Row],[BN DC]]-Tabla34[[#This Row],[BN DC]]</f>
        <v>0</v>
      </c>
      <c r="Z572">
        <f>Tabla35[[#This Row],[COLOR CARTA]]-Tabla34[[#This Row],[COLOR CARTA]]</f>
        <v>0</v>
      </c>
      <c r="AA572">
        <f>Tabla35[[#This Row],[COLOR OFICIO]]-Tabla34[[#This Row],[COLOR OFICIO]]</f>
        <v>0</v>
      </c>
      <c r="AB572">
        <f>Tabla35[[#This Row],[ENVIAR]]-Tabla34[[#This Row],[ENVIAR]]</f>
        <v>0</v>
      </c>
      <c r="AC572">
        <f>Tabla35[[#This Row],[COPIAR]]-Tabla34[[#This Row],[COPIAR]]</f>
        <v>0</v>
      </c>
    </row>
    <row r="573" spans="1:29" x14ac:dyDescent="0.25">
      <c r="A573" t="s">
        <v>10</v>
      </c>
      <c r="B573" t="s">
        <v>621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K573" t="s">
        <v>69</v>
      </c>
      <c r="L573" t="s">
        <v>630</v>
      </c>
      <c r="M573">
        <v>115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U573" t="s">
        <v>69</v>
      </c>
      <c r="V573" t="s">
        <v>630</v>
      </c>
      <c r="W573">
        <f>Tabla35[[#This Row],[BN CARTA]]-Tabla34[[#This Row],[BN CARTA]]</f>
        <v>115</v>
      </c>
      <c r="X573">
        <f>Tabla35[[#This Row],[BN OFICIO]]-Tabla34[[#This Row],[BN OFICIO]]</f>
        <v>0</v>
      </c>
      <c r="Y573">
        <f>Tabla35[[#This Row],[BN DC]]-Tabla34[[#This Row],[BN DC]]</f>
        <v>0</v>
      </c>
      <c r="Z573">
        <f>Tabla35[[#This Row],[COLOR CARTA]]-Tabla34[[#This Row],[COLOR CARTA]]</f>
        <v>0</v>
      </c>
      <c r="AA573">
        <f>Tabla35[[#This Row],[COLOR OFICIO]]-Tabla34[[#This Row],[COLOR OFICIO]]</f>
        <v>0</v>
      </c>
      <c r="AB573">
        <f>Tabla35[[#This Row],[ENVIAR]]-Tabla34[[#This Row],[ENVIAR]]</f>
        <v>0</v>
      </c>
      <c r="AC573">
        <f>Tabla35[[#This Row],[COPIAR]]-Tabla34[[#This Row],[COPIAR]]</f>
        <v>0</v>
      </c>
    </row>
    <row r="574" spans="1:29" x14ac:dyDescent="0.25">
      <c r="A574" t="s">
        <v>150</v>
      </c>
      <c r="B574" t="s">
        <v>622</v>
      </c>
      <c r="C574">
        <v>96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K574" t="s">
        <v>69</v>
      </c>
      <c r="L574" t="s">
        <v>631</v>
      </c>
      <c r="M574">
        <v>790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U574" t="s">
        <v>69</v>
      </c>
      <c r="V574" t="s">
        <v>631</v>
      </c>
      <c r="W574">
        <f>Tabla35[[#This Row],[BN CARTA]]-Tabla34[[#This Row],[BN CARTA]]</f>
        <v>694</v>
      </c>
      <c r="X574">
        <f>Tabla35[[#This Row],[BN OFICIO]]-Tabla34[[#This Row],[BN OFICIO]]</f>
        <v>0</v>
      </c>
      <c r="Y574">
        <f>Tabla35[[#This Row],[BN DC]]-Tabla34[[#This Row],[BN DC]]</f>
        <v>0</v>
      </c>
      <c r="Z574">
        <f>Tabla35[[#This Row],[COLOR CARTA]]-Tabla34[[#This Row],[COLOR CARTA]]</f>
        <v>0</v>
      </c>
      <c r="AA574">
        <f>Tabla35[[#This Row],[COLOR OFICIO]]-Tabla34[[#This Row],[COLOR OFICIO]]</f>
        <v>0</v>
      </c>
      <c r="AB574">
        <f>Tabla35[[#This Row],[ENVIAR]]-Tabla34[[#This Row],[ENVIAR]]</f>
        <v>0</v>
      </c>
      <c r="AC574">
        <f>Tabla35[[#This Row],[COPIAR]]-Tabla34[[#This Row],[COPIAR]]</f>
        <v>0</v>
      </c>
    </row>
    <row r="575" spans="1:29" x14ac:dyDescent="0.25">
      <c r="A575" t="s">
        <v>10</v>
      </c>
      <c r="B575" t="s">
        <v>623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K575" t="s">
        <v>10</v>
      </c>
      <c r="L575" t="s">
        <v>632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U575" t="s">
        <v>10</v>
      </c>
      <c r="V575" t="s">
        <v>632</v>
      </c>
      <c r="W575">
        <f>Tabla35[[#This Row],[BN CARTA]]-Tabla34[[#This Row],[BN CARTA]]</f>
        <v>0</v>
      </c>
      <c r="X575">
        <f>Tabla35[[#This Row],[BN OFICIO]]-Tabla34[[#This Row],[BN OFICIO]]</f>
        <v>0</v>
      </c>
      <c r="Y575">
        <f>Tabla35[[#This Row],[BN DC]]-Tabla34[[#This Row],[BN DC]]</f>
        <v>0</v>
      </c>
      <c r="Z575">
        <f>Tabla35[[#This Row],[COLOR CARTA]]-Tabla34[[#This Row],[COLOR CARTA]]</f>
        <v>0</v>
      </c>
      <c r="AA575">
        <f>Tabla35[[#This Row],[COLOR OFICIO]]-Tabla34[[#This Row],[COLOR OFICIO]]</f>
        <v>0</v>
      </c>
      <c r="AB575">
        <f>Tabla35[[#This Row],[ENVIAR]]-Tabla34[[#This Row],[ENVIAR]]</f>
        <v>0</v>
      </c>
      <c r="AC575">
        <f>Tabla35[[#This Row],[COPIAR]]-Tabla34[[#This Row],[COPIAR]]</f>
        <v>0</v>
      </c>
    </row>
    <row r="576" spans="1:29" x14ac:dyDescent="0.25">
      <c r="A576" t="s">
        <v>10</v>
      </c>
      <c r="B576" t="s">
        <v>624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K576" t="s">
        <v>76</v>
      </c>
      <c r="L576" t="s">
        <v>633</v>
      </c>
      <c r="M576">
        <v>563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U576" t="s">
        <v>76</v>
      </c>
      <c r="V576" t="s">
        <v>633</v>
      </c>
      <c r="W576">
        <f>Tabla35[[#This Row],[BN CARTA]]-Tabla34[[#This Row],[BN CARTA]]</f>
        <v>563</v>
      </c>
      <c r="X576">
        <f>Tabla35[[#This Row],[BN OFICIO]]-Tabla34[[#This Row],[BN OFICIO]]</f>
        <v>0</v>
      </c>
      <c r="Y576">
        <f>Tabla35[[#This Row],[BN DC]]-Tabla34[[#This Row],[BN DC]]</f>
        <v>0</v>
      </c>
      <c r="Z576">
        <f>Tabla35[[#This Row],[COLOR CARTA]]-Tabla34[[#This Row],[COLOR CARTA]]</f>
        <v>0</v>
      </c>
      <c r="AA576">
        <f>Tabla35[[#This Row],[COLOR OFICIO]]-Tabla34[[#This Row],[COLOR OFICIO]]</f>
        <v>0</v>
      </c>
      <c r="AB576">
        <f>Tabla35[[#This Row],[ENVIAR]]-Tabla34[[#This Row],[ENVIAR]]</f>
        <v>0</v>
      </c>
      <c r="AC576">
        <f>Tabla35[[#This Row],[COPIAR]]-Tabla34[[#This Row],[COPIAR]]</f>
        <v>0</v>
      </c>
    </row>
    <row r="577" spans="1:29" x14ac:dyDescent="0.25">
      <c r="A577" t="s">
        <v>10</v>
      </c>
      <c r="B577" t="s">
        <v>625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K577" t="s">
        <v>10</v>
      </c>
      <c r="L577" t="s">
        <v>634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U577" t="s">
        <v>10</v>
      </c>
      <c r="V577" t="s">
        <v>634</v>
      </c>
      <c r="W577">
        <f>Tabla35[[#This Row],[BN CARTA]]-Tabla34[[#This Row],[BN CARTA]]</f>
        <v>0</v>
      </c>
      <c r="X577">
        <f>Tabla35[[#This Row],[BN OFICIO]]-Tabla34[[#This Row],[BN OFICIO]]</f>
        <v>0</v>
      </c>
      <c r="Y577">
        <f>Tabla35[[#This Row],[BN DC]]-Tabla34[[#This Row],[BN DC]]</f>
        <v>0</v>
      </c>
      <c r="Z577">
        <f>Tabla35[[#This Row],[COLOR CARTA]]-Tabla34[[#This Row],[COLOR CARTA]]</f>
        <v>0</v>
      </c>
      <c r="AA577">
        <f>Tabla35[[#This Row],[COLOR OFICIO]]-Tabla34[[#This Row],[COLOR OFICIO]]</f>
        <v>0</v>
      </c>
      <c r="AB577">
        <f>Tabla35[[#This Row],[ENVIAR]]-Tabla34[[#This Row],[ENVIAR]]</f>
        <v>0</v>
      </c>
      <c r="AC577">
        <f>Tabla35[[#This Row],[COPIAR]]-Tabla34[[#This Row],[COPIAR]]</f>
        <v>0</v>
      </c>
    </row>
    <row r="578" spans="1:29" x14ac:dyDescent="0.25">
      <c r="A578" t="s">
        <v>10</v>
      </c>
      <c r="B578" t="s">
        <v>626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K578" t="s">
        <v>10</v>
      </c>
      <c r="L578" t="s">
        <v>635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U578" t="s">
        <v>10</v>
      </c>
      <c r="V578" t="s">
        <v>635</v>
      </c>
      <c r="W578">
        <f>Tabla35[[#This Row],[BN CARTA]]-Tabla34[[#This Row],[BN CARTA]]</f>
        <v>0</v>
      </c>
      <c r="X578">
        <f>Tabla35[[#This Row],[BN OFICIO]]-Tabla34[[#This Row],[BN OFICIO]]</f>
        <v>0</v>
      </c>
      <c r="Y578">
        <f>Tabla35[[#This Row],[BN DC]]-Tabla34[[#This Row],[BN DC]]</f>
        <v>0</v>
      </c>
      <c r="Z578">
        <f>Tabla35[[#This Row],[COLOR CARTA]]-Tabla34[[#This Row],[COLOR CARTA]]</f>
        <v>0</v>
      </c>
      <c r="AA578">
        <f>Tabla35[[#This Row],[COLOR OFICIO]]-Tabla34[[#This Row],[COLOR OFICIO]]</f>
        <v>0</v>
      </c>
      <c r="AB578">
        <f>Tabla35[[#This Row],[ENVIAR]]-Tabla34[[#This Row],[ENVIAR]]</f>
        <v>0</v>
      </c>
      <c r="AC578">
        <f>Tabla35[[#This Row],[COPIAR]]-Tabla34[[#This Row],[COPIAR]]</f>
        <v>0</v>
      </c>
    </row>
    <row r="579" spans="1:29" x14ac:dyDescent="0.25">
      <c r="A579" t="s">
        <v>10</v>
      </c>
      <c r="B579" t="s">
        <v>627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K579" t="s">
        <v>10</v>
      </c>
      <c r="L579" t="s">
        <v>636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U579" t="s">
        <v>10</v>
      </c>
      <c r="V579" t="s">
        <v>636</v>
      </c>
      <c r="W579">
        <f>Tabla35[[#This Row],[BN CARTA]]-Tabla34[[#This Row],[BN CARTA]]</f>
        <v>0</v>
      </c>
      <c r="X579">
        <f>Tabla35[[#This Row],[BN OFICIO]]-Tabla34[[#This Row],[BN OFICIO]]</f>
        <v>0</v>
      </c>
      <c r="Y579">
        <f>Tabla35[[#This Row],[BN DC]]-Tabla34[[#This Row],[BN DC]]</f>
        <v>0</v>
      </c>
      <c r="Z579">
        <f>Tabla35[[#This Row],[COLOR CARTA]]-Tabla34[[#This Row],[COLOR CARTA]]</f>
        <v>0</v>
      </c>
      <c r="AA579">
        <f>Tabla35[[#This Row],[COLOR OFICIO]]-Tabla34[[#This Row],[COLOR OFICIO]]</f>
        <v>0</v>
      </c>
      <c r="AB579">
        <f>Tabla35[[#This Row],[ENVIAR]]-Tabla34[[#This Row],[ENVIAR]]</f>
        <v>0</v>
      </c>
      <c r="AC579">
        <f>Tabla35[[#This Row],[COPIAR]]-Tabla34[[#This Row],[COPIAR]]</f>
        <v>0</v>
      </c>
    </row>
    <row r="580" spans="1:29" x14ac:dyDescent="0.25">
      <c r="A580" t="s">
        <v>10</v>
      </c>
      <c r="B580" t="s">
        <v>628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K580" t="s">
        <v>10</v>
      </c>
      <c r="L580" t="s">
        <v>637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U580" t="s">
        <v>10</v>
      </c>
      <c r="V580" t="s">
        <v>637</v>
      </c>
      <c r="W580">
        <f>Tabla35[[#This Row],[BN CARTA]]-Tabla34[[#This Row],[BN CARTA]]</f>
        <v>0</v>
      </c>
      <c r="X580">
        <f>Tabla35[[#This Row],[BN OFICIO]]-Tabla34[[#This Row],[BN OFICIO]]</f>
        <v>0</v>
      </c>
      <c r="Y580">
        <f>Tabla35[[#This Row],[BN DC]]-Tabla34[[#This Row],[BN DC]]</f>
        <v>0</v>
      </c>
      <c r="Z580">
        <f>Tabla35[[#This Row],[COLOR CARTA]]-Tabla34[[#This Row],[COLOR CARTA]]</f>
        <v>0</v>
      </c>
      <c r="AA580">
        <f>Tabla35[[#This Row],[COLOR OFICIO]]-Tabla34[[#This Row],[COLOR OFICIO]]</f>
        <v>0</v>
      </c>
      <c r="AB580">
        <f>Tabla35[[#This Row],[ENVIAR]]-Tabla34[[#This Row],[ENVIAR]]</f>
        <v>0</v>
      </c>
      <c r="AC580">
        <f>Tabla35[[#This Row],[COPIAR]]-Tabla34[[#This Row],[COPIAR]]</f>
        <v>0</v>
      </c>
    </row>
    <row r="581" spans="1:29" x14ac:dyDescent="0.25">
      <c r="A581" t="s">
        <v>10</v>
      </c>
      <c r="B581" t="s">
        <v>629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K581" t="s">
        <v>10</v>
      </c>
      <c r="L581" t="s">
        <v>638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U581" t="s">
        <v>10</v>
      </c>
      <c r="V581" t="s">
        <v>638</v>
      </c>
      <c r="W581">
        <f>Tabla35[[#This Row],[BN CARTA]]-Tabla34[[#This Row],[BN CARTA]]</f>
        <v>0</v>
      </c>
      <c r="X581">
        <f>Tabla35[[#This Row],[BN OFICIO]]-Tabla34[[#This Row],[BN OFICIO]]</f>
        <v>0</v>
      </c>
      <c r="Y581">
        <f>Tabla35[[#This Row],[BN DC]]-Tabla34[[#This Row],[BN DC]]</f>
        <v>0</v>
      </c>
      <c r="Z581">
        <f>Tabla35[[#This Row],[COLOR CARTA]]-Tabla34[[#This Row],[COLOR CARTA]]</f>
        <v>0</v>
      </c>
      <c r="AA581">
        <f>Tabla35[[#This Row],[COLOR OFICIO]]-Tabla34[[#This Row],[COLOR OFICIO]]</f>
        <v>0</v>
      </c>
      <c r="AB581">
        <f>Tabla35[[#This Row],[ENVIAR]]-Tabla34[[#This Row],[ENVIAR]]</f>
        <v>0</v>
      </c>
      <c r="AC581">
        <f>Tabla35[[#This Row],[COPIAR]]-Tabla34[[#This Row],[COPIAR]]</f>
        <v>0</v>
      </c>
    </row>
    <row r="582" spans="1:29" x14ac:dyDescent="0.25">
      <c r="A582" t="s">
        <v>10</v>
      </c>
      <c r="B582" t="s">
        <v>630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K582" t="s">
        <v>10</v>
      </c>
      <c r="L582" t="s">
        <v>639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U582" t="s">
        <v>10</v>
      </c>
      <c r="V582" t="s">
        <v>639</v>
      </c>
      <c r="W582">
        <f>Tabla35[[#This Row],[BN CARTA]]-Tabla34[[#This Row],[BN CARTA]]</f>
        <v>0</v>
      </c>
      <c r="X582">
        <f>Tabla35[[#This Row],[BN OFICIO]]-Tabla34[[#This Row],[BN OFICIO]]</f>
        <v>0</v>
      </c>
      <c r="Y582">
        <f>Tabla35[[#This Row],[BN DC]]-Tabla34[[#This Row],[BN DC]]</f>
        <v>0</v>
      </c>
      <c r="Z582">
        <f>Tabla35[[#This Row],[COLOR CARTA]]-Tabla34[[#This Row],[COLOR CARTA]]</f>
        <v>0</v>
      </c>
      <c r="AA582">
        <f>Tabla35[[#This Row],[COLOR OFICIO]]-Tabla34[[#This Row],[COLOR OFICIO]]</f>
        <v>0</v>
      </c>
      <c r="AB582">
        <f>Tabla35[[#This Row],[ENVIAR]]-Tabla34[[#This Row],[ENVIAR]]</f>
        <v>0</v>
      </c>
      <c r="AC582">
        <f>Tabla35[[#This Row],[COPIAR]]-Tabla34[[#This Row],[COPIAR]]</f>
        <v>0</v>
      </c>
    </row>
    <row r="583" spans="1:29" x14ac:dyDescent="0.25">
      <c r="A583" t="s">
        <v>10</v>
      </c>
      <c r="B583" t="s">
        <v>631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K583" t="s">
        <v>10</v>
      </c>
      <c r="L583" t="s">
        <v>640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U583" t="s">
        <v>10</v>
      </c>
      <c r="V583" t="s">
        <v>640</v>
      </c>
      <c r="W583">
        <f>Tabla35[[#This Row],[BN CARTA]]-Tabla34[[#This Row],[BN CARTA]]</f>
        <v>0</v>
      </c>
      <c r="X583">
        <f>Tabla35[[#This Row],[BN OFICIO]]-Tabla34[[#This Row],[BN OFICIO]]</f>
        <v>0</v>
      </c>
      <c r="Y583">
        <f>Tabla35[[#This Row],[BN DC]]-Tabla34[[#This Row],[BN DC]]</f>
        <v>0</v>
      </c>
      <c r="Z583">
        <f>Tabla35[[#This Row],[COLOR CARTA]]-Tabla34[[#This Row],[COLOR CARTA]]</f>
        <v>0</v>
      </c>
      <c r="AA583">
        <f>Tabla35[[#This Row],[COLOR OFICIO]]-Tabla34[[#This Row],[COLOR OFICIO]]</f>
        <v>0</v>
      </c>
      <c r="AB583">
        <f>Tabla35[[#This Row],[ENVIAR]]-Tabla34[[#This Row],[ENVIAR]]</f>
        <v>0</v>
      </c>
      <c r="AC583">
        <f>Tabla35[[#This Row],[COPIAR]]-Tabla34[[#This Row],[COPIAR]]</f>
        <v>0</v>
      </c>
    </row>
    <row r="584" spans="1:29" x14ac:dyDescent="0.25">
      <c r="A584" t="s">
        <v>10</v>
      </c>
      <c r="B584" t="s">
        <v>632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K584" t="s">
        <v>10</v>
      </c>
      <c r="L584" t="s">
        <v>641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U584" t="s">
        <v>10</v>
      </c>
      <c r="V584" t="s">
        <v>641</v>
      </c>
      <c r="W584">
        <f>Tabla35[[#This Row],[BN CARTA]]-Tabla34[[#This Row],[BN CARTA]]</f>
        <v>0</v>
      </c>
      <c r="X584">
        <f>Tabla35[[#This Row],[BN OFICIO]]-Tabla34[[#This Row],[BN OFICIO]]</f>
        <v>0</v>
      </c>
      <c r="Y584">
        <f>Tabla35[[#This Row],[BN DC]]-Tabla34[[#This Row],[BN DC]]</f>
        <v>0</v>
      </c>
      <c r="Z584">
        <f>Tabla35[[#This Row],[COLOR CARTA]]-Tabla34[[#This Row],[COLOR CARTA]]</f>
        <v>0</v>
      </c>
      <c r="AA584">
        <f>Tabla35[[#This Row],[COLOR OFICIO]]-Tabla34[[#This Row],[COLOR OFICIO]]</f>
        <v>0</v>
      </c>
      <c r="AB584">
        <f>Tabla35[[#This Row],[ENVIAR]]-Tabla34[[#This Row],[ENVIAR]]</f>
        <v>0</v>
      </c>
      <c r="AC584">
        <f>Tabla35[[#This Row],[COPIAR]]-Tabla34[[#This Row],[COPIAR]]</f>
        <v>0</v>
      </c>
    </row>
    <row r="585" spans="1:29" x14ac:dyDescent="0.25">
      <c r="A585" t="s">
        <v>76</v>
      </c>
      <c r="B585" t="s">
        <v>633</v>
      </c>
      <c r="C585">
        <v>38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K585" t="s">
        <v>10</v>
      </c>
      <c r="L585" t="s">
        <v>642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U585" t="s">
        <v>10</v>
      </c>
      <c r="V585" t="s">
        <v>642</v>
      </c>
      <c r="W585">
        <f>Tabla35[[#This Row],[BN CARTA]]-Tabla34[[#This Row],[BN CARTA]]</f>
        <v>-38</v>
      </c>
      <c r="X585">
        <f>Tabla35[[#This Row],[BN OFICIO]]-Tabla34[[#This Row],[BN OFICIO]]</f>
        <v>0</v>
      </c>
      <c r="Y585">
        <f>Tabla35[[#This Row],[BN DC]]-Tabla34[[#This Row],[BN DC]]</f>
        <v>0</v>
      </c>
      <c r="Z585">
        <f>Tabla35[[#This Row],[COLOR CARTA]]-Tabla34[[#This Row],[COLOR CARTA]]</f>
        <v>0</v>
      </c>
      <c r="AA585">
        <f>Tabla35[[#This Row],[COLOR OFICIO]]-Tabla34[[#This Row],[COLOR OFICIO]]</f>
        <v>0</v>
      </c>
      <c r="AB585">
        <f>Tabla35[[#This Row],[ENVIAR]]-Tabla34[[#This Row],[ENVIAR]]</f>
        <v>0</v>
      </c>
      <c r="AC585">
        <f>Tabla35[[#This Row],[COPIAR]]-Tabla34[[#This Row],[COPIAR]]</f>
        <v>0</v>
      </c>
    </row>
    <row r="586" spans="1:29" x14ac:dyDescent="0.25">
      <c r="A586" t="s">
        <v>10</v>
      </c>
      <c r="B586" t="s">
        <v>634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K586" t="s">
        <v>10</v>
      </c>
      <c r="L586" t="s">
        <v>643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U586" t="s">
        <v>10</v>
      </c>
      <c r="V586" t="s">
        <v>643</v>
      </c>
      <c r="W586">
        <f>Tabla35[[#This Row],[BN CARTA]]-Tabla34[[#This Row],[BN CARTA]]</f>
        <v>0</v>
      </c>
      <c r="X586">
        <f>Tabla35[[#This Row],[BN OFICIO]]-Tabla34[[#This Row],[BN OFICIO]]</f>
        <v>0</v>
      </c>
      <c r="Y586">
        <f>Tabla35[[#This Row],[BN DC]]-Tabla34[[#This Row],[BN DC]]</f>
        <v>0</v>
      </c>
      <c r="Z586">
        <f>Tabla35[[#This Row],[COLOR CARTA]]-Tabla34[[#This Row],[COLOR CARTA]]</f>
        <v>0</v>
      </c>
      <c r="AA586">
        <f>Tabla35[[#This Row],[COLOR OFICIO]]-Tabla34[[#This Row],[COLOR OFICIO]]</f>
        <v>0</v>
      </c>
      <c r="AB586">
        <f>Tabla35[[#This Row],[ENVIAR]]-Tabla34[[#This Row],[ENVIAR]]</f>
        <v>0</v>
      </c>
      <c r="AC586">
        <f>Tabla35[[#This Row],[COPIAR]]-Tabla34[[#This Row],[COPIAR]]</f>
        <v>0</v>
      </c>
    </row>
    <row r="587" spans="1:29" x14ac:dyDescent="0.25">
      <c r="A587" t="s">
        <v>10</v>
      </c>
      <c r="B587" t="s">
        <v>635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K587" t="s">
        <v>76</v>
      </c>
      <c r="L587" t="s">
        <v>644</v>
      </c>
      <c r="M587">
        <v>512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U587" t="s">
        <v>76</v>
      </c>
      <c r="V587" t="s">
        <v>644</v>
      </c>
      <c r="W587">
        <f>Tabla35[[#This Row],[BN CARTA]]-Tabla34[[#This Row],[BN CARTA]]</f>
        <v>512</v>
      </c>
      <c r="X587">
        <f>Tabla35[[#This Row],[BN OFICIO]]-Tabla34[[#This Row],[BN OFICIO]]</f>
        <v>0</v>
      </c>
      <c r="Y587">
        <f>Tabla35[[#This Row],[BN DC]]-Tabla34[[#This Row],[BN DC]]</f>
        <v>0</v>
      </c>
      <c r="Z587">
        <f>Tabla35[[#This Row],[COLOR CARTA]]-Tabla34[[#This Row],[COLOR CARTA]]</f>
        <v>0</v>
      </c>
      <c r="AA587">
        <f>Tabla35[[#This Row],[COLOR OFICIO]]-Tabla34[[#This Row],[COLOR OFICIO]]</f>
        <v>0</v>
      </c>
      <c r="AB587">
        <f>Tabla35[[#This Row],[ENVIAR]]-Tabla34[[#This Row],[ENVIAR]]</f>
        <v>0</v>
      </c>
      <c r="AC587">
        <f>Tabla35[[#This Row],[COPIAR]]-Tabla34[[#This Row],[COPIAR]]</f>
        <v>0</v>
      </c>
    </row>
    <row r="588" spans="1:29" x14ac:dyDescent="0.25">
      <c r="A588" t="s">
        <v>10</v>
      </c>
      <c r="B588" t="s">
        <v>636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K588" t="s">
        <v>10</v>
      </c>
      <c r="L588" t="s">
        <v>645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U588" t="s">
        <v>10</v>
      </c>
      <c r="V588" t="s">
        <v>645</v>
      </c>
      <c r="W588">
        <f>Tabla35[[#This Row],[BN CARTA]]-Tabla34[[#This Row],[BN CARTA]]</f>
        <v>0</v>
      </c>
      <c r="X588">
        <f>Tabla35[[#This Row],[BN OFICIO]]-Tabla34[[#This Row],[BN OFICIO]]</f>
        <v>0</v>
      </c>
      <c r="Y588">
        <f>Tabla35[[#This Row],[BN DC]]-Tabla34[[#This Row],[BN DC]]</f>
        <v>0</v>
      </c>
      <c r="Z588">
        <f>Tabla35[[#This Row],[COLOR CARTA]]-Tabla34[[#This Row],[COLOR CARTA]]</f>
        <v>0</v>
      </c>
      <c r="AA588">
        <f>Tabla35[[#This Row],[COLOR OFICIO]]-Tabla34[[#This Row],[COLOR OFICIO]]</f>
        <v>0</v>
      </c>
      <c r="AB588">
        <f>Tabla35[[#This Row],[ENVIAR]]-Tabla34[[#This Row],[ENVIAR]]</f>
        <v>0</v>
      </c>
      <c r="AC588">
        <f>Tabla35[[#This Row],[COPIAR]]-Tabla34[[#This Row],[COPIAR]]</f>
        <v>0</v>
      </c>
    </row>
    <row r="589" spans="1:29" x14ac:dyDescent="0.25">
      <c r="A589" t="s">
        <v>10</v>
      </c>
      <c r="B589" t="s">
        <v>637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K589" t="s">
        <v>10</v>
      </c>
      <c r="L589" t="s">
        <v>646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U589" t="s">
        <v>10</v>
      </c>
      <c r="V589" t="s">
        <v>646</v>
      </c>
      <c r="W589">
        <f>Tabla35[[#This Row],[BN CARTA]]-Tabla34[[#This Row],[BN CARTA]]</f>
        <v>0</v>
      </c>
      <c r="X589">
        <f>Tabla35[[#This Row],[BN OFICIO]]-Tabla34[[#This Row],[BN OFICIO]]</f>
        <v>0</v>
      </c>
      <c r="Y589">
        <f>Tabla35[[#This Row],[BN DC]]-Tabla34[[#This Row],[BN DC]]</f>
        <v>0</v>
      </c>
      <c r="Z589">
        <f>Tabla35[[#This Row],[COLOR CARTA]]-Tabla34[[#This Row],[COLOR CARTA]]</f>
        <v>0</v>
      </c>
      <c r="AA589">
        <f>Tabla35[[#This Row],[COLOR OFICIO]]-Tabla34[[#This Row],[COLOR OFICIO]]</f>
        <v>0</v>
      </c>
      <c r="AB589">
        <f>Tabla35[[#This Row],[ENVIAR]]-Tabla34[[#This Row],[ENVIAR]]</f>
        <v>0</v>
      </c>
      <c r="AC589">
        <f>Tabla35[[#This Row],[COPIAR]]-Tabla34[[#This Row],[COPIAR]]</f>
        <v>0</v>
      </c>
    </row>
    <row r="590" spans="1:29" x14ac:dyDescent="0.25">
      <c r="A590" t="s">
        <v>10</v>
      </c>
      <c r="B590" t="s">
        <v>638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K590" t="s">
        <v>10</v>
      </c>
      <c r="L590" t="s">
        <v>647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U590" t="s">
        <v>10</v>
      </c>
      <c r="V590" t="s">
        <v>647</v>
      </c>
      <c r="W590">
        <f>Tabla35[[#This Row],[BN CARTA]]-Tabla34[[#This Row],[BN CARTA]]</f>
        <v>0</v>
      </c>
      <c r="X590">
        <f>Tabla35[[#This Row],[BN OFICIO]]-Tabla34[[#This Row],[BN OFICIO]]</f>
        <v>0</v>
      </c>
      <c r="Y590">
        <f>Tabla35[[#This Row],[BN DC]]-Tabla34[[#This Row],[BN DC]]</f>
        <v>0</v>
      </c>
      <c r="Z590">
        <f>Tabla35[[#This Row],[COLOR CARTA]]-Tabla34[[#This Row],[COLOR CARTA]]</f>
        <v>0</v>
      </c>
      <c r="AA590">
        <f>Tabla35[[#This Row],[COLOR OFICIO]]-Tabla34[[#This Row],[COLOR OFICIO]]</f>
        <v>0</v>
      </c>
      <c r="AB590">
        <f>Tabla35[[#This Row],[ENVIAR]]-Tabla34[[#This Row],[ENVIAR]]</f>
        <v>0</v>
      </c>
      <c r="AC590">
        <f>Tabla35[[#This Row],[COPIAR]]-Tabla34[[#This Row],[COPIAR]]</f>
        <v>0</v>
      </c>
    </row>
    <row r="591" spans="1:29" x14ac:dyDescent="0.25">
      <c r="A591" t="s">
        <v>10</v>
      </c>
      <c r="B591" t="s">
        <v>639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K591" t="s">
        <v>150</v>
      </c>
      <c r="L591" t="s">
        <v>648</v>
      </c>
      <c r="M591">
        <v>1780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U591" t="s">
        <v>150</v>
      </c>
      <c r="V591" t="s">
        <v>648</v>
      </c>
      <c r="W591">
        <f>Tabla35[[#This Row],[BN CARTA]]-Tabla34[[#This Row],[BN CARTA]]</f>
        <v>1780</v>
      </c>
      <c r="X591">
        <f>Tabla35[[#This Row],[BN OFICIO]]-Tabla34[[#This Row],[BN OFICIO]]</f>
        <v>0</v>
      </c>
      <c r="Y591">
        <f>Tabla35[[#This Row],[BN DC]]-Tabla34[[#This Row],[BN DC]]</f>
        <v>0</v>
      </c>
      <c r="Z591">
        <f>Tabla35[[#This Row],[COLOR CARTA]]-Tabla34[[#This Row],[COLOR CARTA]]</f>
        <v>0</v>
      </c>
      <c r="AA591">
        <f>Tabla35[[#This Row],[COLOR OFICIO]]-Tabla34[[#This Row],[COLOR OFICIO]]</f>
        <v>0</v>
      </c>
      <c r="AB591">
        <f>Tabla35[[#This Row],[ENVIAR]]-Tabla34[[#This Row],[ENVIAR]]</f>
        <v>0</v>
      </c>
      <c r="AC591">
        <f>Tabla35[[#This Row],[COPIAR]]-Tabla34[[#This Row],[COPIAR]]</f>
        <v>0</v>
      </c>
    </row>
    <row r="592" spans="1:29" x14ac:dyDescent="0.25">
      <c r="A592" t="s">
        <v>10</v>
      </c>
      <c r="B592" t="s">
        <v>640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K592" t="s">
        <v>10</v>
      </c>
      <c r="L592" t="s">
        <v>649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U592" t="s">
        <v>10</v>
      </c>
      <c r="V592" t="s">
        <v>649</v>
      </c>
      <c r="W592">
        <f>Tabla35[[#This Row],[BN CARTA]]-Tabla34[[#This Row],[BN CARTA]]</f>
        <v>0</v>
      </c>
      <c r="X592">
        <f>Tabla35[[#This Row],[BN OFICIO]]-Tabla34[[#This Row],[BN OFICIO]]</f>
        <v>0</v>
      </c>
      <c r="Y592">
        <f>Tabla35[[#This Row],[BN DC]]-Tabla34[[#This Row],[BN DC]]</f>
        <v>0</v>
      </c>
      <c r="Z592">
        <f>Tabla35[[#This Row],[COLOR CARTA]]-Tabla34[[#This Row],[COLOR CARTA]]</f>
        <v>0</v>
      </c>
      <c r="AA592">
        <f>Tabla35[[#This Row],[COLOR OFICIO]]-Tabla34[[#This Row],[COLOR OFICIO]]</f>
        <v>0</v>
      </c>
      <c r="AB592">
        <f>Tabla35[[#This Row],[ENVIAR]]-Tabla34[[#This Row],[ENVIAR]]</f>
        <v>0</v>
      </c>
      <c r="AC592">
        <f>Tabla35[[#This Row],[COPIAR]]-Tabla34[[#This Row],[COPIAR]]</f>
        <v>0</v>
      </c>
    </row>
    <row r="593" spans="1:29" x14ac:dyDescent="0.25">
      <c r="A593" t="s">
        <v>10</v>
      </c>
      <c r="B593" t="s">
        <v>641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K593" t="s">
        <v>10</v>
      </c>
      <c r="L593" t="s">
        <v>650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U593" t="s">
        <v>10</v>
      </c>
      <c r="V593" t="s">
        <v>650</v>
      </c>
      <c r="W593">
        <f>Tabla35[[#This Row],[BN CARTA]]-Tabla34[[#This Row],[BN CARTA]]</f>
        <v>0</v>
      </c>
      <c r="X593">
        <f>Tabla35[[#This Row],[BN OFICIO]]-Tabla34[[#This Row],[BN OFICIO]]</f>
        <v>0</v>
      </c>
      <c r="Y593">
        <f>Tabla35[[#This Row],[BN DC]]-Tabla34[[#This Row],[BN DC]]</f>
        <v>0</v>
      </c>
      <c r="Z593">
        <f>Tabla35[[#This Row],[COLOR CARTA]]-Tabla34[[#This Row],[COLOR CARTA]]</f>
        <v>0</v>
      </c>
      <c r="AA593">
        <f>Tabla35[[#This Row],[COLOR OFICIO]]-Tabla34[[#This Row],[COLOR OFICIO]]</f>
        <v>0</v>
      </c>
      <c r="AB593">
        <f>Tabla35[[#This Row],[ENVIAR]]-Tabla34[[#This Row],[ENVIAR]]</f>
        <v>0</v>
      </c>
      <c r="AC593">
        <f>Tabla35[[#This Row],[COPIAR]]-Tabla34[[#This Row],[COPIAR]]</f>
        <v>0</v>
      </c>
    </row>
    <row r="594" spans="1:29" x14ac:dyDescent="0.25">
      <c r="A594" t="s">
        <v>10</v>
      </c>
      <c r="B594" t="s">
        <v>642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K594" t="s">
        <v>10</v>
      </c>
      <c r="L594" t="s">
        <v>651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U594" t="s">
        <v>10</v>
      </c>
      <c r="V594" t="s">
        <v>651</v>
      </c>
      <c r="W594">
        <f>Tabla35[[#This Row],[BN CARTA]]-Tabla34[[#This Row],[BN CARTA]]</f>
        <v>0</v>
      </c>
      <c r="X594">
        <f>Tabla35[[#This Row],[BN OFICIO]]-Tabla34[[#This Row],[BN OFICIO]]</f>
        <v>0</v>
      </c>
      <c r="Y594">
        <f>Tabla35[[#This Row],[BN DC]]-Tabla34[[#This Row],[BN DC]]</f>
        <v>0</v>
      </c>
      <c r="Z594">
        <f>Tabla35[[#This Row],[COLOR CARTA]]-Tabla34[[#This Row],[COLOR CARTA]]</f>
        <v>0</v>
      </c>
      <c r="AA594">
        <f>Tabla35[[#This Row],[COLOR OFICIO]]-Tabla34[[#This Row],[COLOR OFICIO]]</f>
        <v>0</v>
      </c>
      <c r="AB594">
        <f>Tabla35[[#This Row],[ENVIAR]]-Tabla34[[#This Row],[ENVIAR]]</f>
        <v>0</v>
      </c>
      <c r="AC594">
        <f>Tabla35[[#This Row],[COPIAR]]-Tabla34[[#This Row],[COPIAR]]</f>
        <v>0</v>
      </c>
    </row>
    <row r="595" spans="1:29" x14ac:dyDescent="0.25">
      <c r="A595" t="s">
        <v>10</v>
      </c>
      <c r="B595" t="s">
        <v>643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K595" t="s">
        <v>10</v>
      </c>
      <c r="L595" t="s">
        <v>652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U595" t="s">
        <v>10</v>
      </c>
      <c r="V595" t="s">
        <v>652</v>
      </c>
      <c r="W595">
        <f>Tabla35[[#This Row],[BN CARTA]]-Tabla34[[#This Row],[BN CARTA]]</f>
        <v>0</v>
      </c>
      <c r="X595">
        <f>Tabla35[[#This Row],[BN OFICIO]]-Tabla34[[#This Row],[BN OFICIO]]</f>
        <v>0</v>
      </c>
      <c r="Y595">
        <f>Tabla35[[#This Row],[BN DC]]-Tabla34[[#This Row],[BN DC]]</f>
        <v>0</v>
      </c>
      <c r="Z595">
        <f>Tabla35[[#This Row],[COLOR CARTA]]-Tabla34[[#This Row],[COLOR CARTA]]</f>
        <v>0</v>
      </c>
      <c r="AA595">
        <f>Tabla35[[#This Row],[COLOR OFICIO]]-Tabla34[[#This Row],[COLOR OFICIO]]</f>
        <v>0</v>
      </c>
      <c r="AB595">
        <f>Tabla35[[#This Row],[ENVIAR]]-Tabla34[[#This Row],[ENVIAR]]</f>
        <v>0</v>
      </c>
      <c r="AC595">
        <f>Tabla35[[#This Row],[COPIAR]]-Tabla34[[#This Row],[COPIAR]]</f>
        <v>0</v>
      </c>
    </row>
    <row r="596" spans="1:29" x14ac:dyDescent="0.25">
      <c r="A596" t="s">
        <v>76</v>
      </c>
      <c r="B596" t="s">
        <v>644</v>
      </c>
      <c r="C596">
        <v>42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K596" t="s">
        <v>10</v>
      </c>
      <c r="L596" t="s">
        <v>653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U596" t="s">
        <v>10</v>
      </c>
      <c r="V596" t="s">
        <v>653</v>
      </c>
      <c r="W596">
        <f>Tabla35[[#This Row],[BN CARTA]]-Tabla34[[#This Row],[BN CARTA]]</f>
        <v>-42</v>
      </c>
      <c r="X596">
        <f>Tabla35[[#This Row],[BN OFICIO]]-Tabla34[[#This Row],[BN OFICIO]]</f>
        <v>0</v>
      </c>
      <c r="Y596">
        <f>Tabla35[[#This Row],[BN DC]]-Tabla34[[#This Row],[BN DC]]</f>
        <v>0</v>
      </c>
      <c r="Z596">
        <f>Tabla35[[#This Row],[COLOR CARTA]]-Tabla34[[#This Row],[COLOR CARTA]]</f>
        <v>0</v>
      </c>
      <c r="AA596">
        <f>Tabla35[[#This Row],[COLOR OFICIO]]-Tabla34[[#This Row],[COLOR OFICIO]]</f>
        <v>0</v>
      </c>
      <c r="AB596">
        <f>Tabla35[[#This Row],[ENVIAR]]-Tabla34[[#This Row],[ENVIAR]]</f>
        <v>0</v>
      </c>
      <c r="AC596">
        <f>Tabla35[[#This Row],[COPIAR]]-Tabla34[[#This Row],[COPIAR]]</f>
        <v>0</v>
      </c>
    </row>
    <row r="597" spans="1:29" x14ac:dyDescent="0.25">
      <c r="A597" t="s">
        <v>10</v>
      </c>
      <c r="B597" t="s">
        <v>645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K597" t="s">
        <v>10</v>
      </c>
      <c r="L597" t="s">
        <v>654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U597" t="s">
        <v>10</v>
      </c>
      <c r="V597" t="s">
        <v>654</v>
      </c>
      <c r="W597">
        <f>Tabla35[[#This Row],[BN CARTA]]-Tabla34[[#This Row],[BN CARTA]]</f>
        <v>0</v>
      </c>
      <c r="X597">
        <f>Tabla35[[#This Row],[BN OFICIO]]-Tabla34[[#This Row],[BN OFICIO]]</f>
        <v>0</v>
      </c>
      <c r="Y597">
        <f>Tabla35[[#This Row],[BN DC]]-Tabla34[[#This Row],[BN DC]]</f>
        <v>0</v>
      </c>
      <c r="Z597">
        <f>Tabla35[[#This Row],[COLOR CARTA]]-Tabla34[[#This Row],[COLOR CARTA]]</f>
        <v>0</v>
      </c>
      <c r="AA597">
        <f>Tabla35[[#This Row],[COLOR OFICIO]]-Tabla34[[#This Row],[COLOR OFICIO]]</f>
        <v>0</v>
      </c>
      <c r="AB597">
        <f>Tabla35[[#This Row],[ENVIAR]]-Tabla34[[#This Row],[ENVIAR]]</f>
        <v>0</v>
      </c>
      <c r="AC597">
        <f>Tabla35[[#This Row],[COPIAR]]-Tabla34[[#This Row],[COPIAR]]</f>
        <v>0</v>
      </c>
    </row>
    <row r="598" spans="1:29" x14ac:dyDescent="0.25">
      <c r="A598" t="s">
        <v>10</v>
      </c>
      <c r="B598" t="s">
        <v>646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K598" t="s">
        <v>10</v>
      </c>
      <c r="L598" t="s">
        <v>655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U598" t="s">
        <v>10</v>
      </c>
      <c r="V598" t="s">
        <v>655</v>
      </c>
      <c r="W598">
        <f>Tabla35[[#This Row],[BN CARTA]]-Tabla34[[#This Row],[BN CARTA]]</f>
        <v>0</v>
      </c>
      <c r="X598">
        <f>Tabla35[[#This Row],[BN OFICIO]]-Tabla34[[#This Row],[BN OFICIO]]</f>
        <v>0</v>
      </c>
      <c r="Y598">
        <f>Tabla35[[#This Row],[BN DC]]-Tabla34[[#This Row],[BN DC]]</f>
        <v>0</v>
      </c>
      <c r="Z598">
        <f>Tabla35[[#This Row],[COLOR CARTA]]-Tabla34[[#This Row],[COLOR CARTA]]</f>
        <v>0</v>
      </c>
      <c r="AA598">
        <f>Tabla35[[#This Row],[COLOR OFICIO]]-Tabla34[[#This Row],[COLOR OFICIO]]</f>
        <v>0</v>
      </c>
      <c r="AB598">
        <f>Tabla35[[#This Row],[ENVIAR]]-Tabla34[[#This Row],[ENVIAR]]</f>
        <v>0</v>
      </c>
      <c r="AC598">
        <f>Tabla35[[#This Row],[COPIAR]]-Tabla34[[#This Row],[COPIAR]]</f>
        <v>0</v>
      </c>
    </row>
    <row r="599" spans="1:29" x14ac:dyDescent="0.25">
      <c r="A599" t="s">
        <v>10</v>
      </c>
      <c r="B599" t="s">
        <v>647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K599" t="s">
        <v>10</v>
      </c>
      <c r="L599" t="s">
        <v>656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U599" t="s">
        <v>10</v>
      </c>
      <c r="V599" t="s">
        <v>656</v>
      </c>
      <c r="W599">
        <f>Tabla35[[#This Row],[BN CARTA]]-Tabla34[[#This Row],[BN CARTA]]</f>
        <v>0</v>
      </c>
      <c r="X599">
        <f>Tabla35[[#This Row],[BN OFICIO]]-Tabla34[[#This Row],[BN OFICIO]]</f>
        <v>0</v>
      </c>
      <c r="Y599">
        <f>Tabla35[[#This Row],[BN DC]]-Tabla34[[#This Row],[BN DC]]</f>
        <v>0</v>
      </c>
      <c r="Z599">
        <f>Tabla35[[#This Row],[COLOR CARTA]]-Tabla34[[#This Row],[COLOR CARTA]]</f>
        <v>0</v>
      </c>
      <c r="AA599">
        <f>Tabla35[[#This Row],[COLOR OFICIO]]-Tabla34[[#This Row],[COLOR OFICIO]]</f>
        <v>0</v>
      </c>
      <c r="AB599">
        <f>Tabla35[[#This Row],[ENVIAR]]-Tabla34[[#This Row],[ENVIAR]]</f>
        <v>0</v>
      </c>
      <c r="AC599">
        <f>Tabla35[[#This Row],[COPIAR]]-Tabla34[[#This Row],[COPIAR]]</f>
        <v>0</v>
      </c>
    </row>
    <row r="600" spans="1:29" x14ac:dyDescent="0.25">
      <c r="A600" t="s">
        <v>150</v>
      </c>
      <c r="B600" t="s">
        <v>648</v>
      </c>
      <c r="C600">
        <v>132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K600" t="s">
        <v>10</v>
      </c>
      <c r="L600" t="s">
        <v>657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U600" t="s">
        <v>10</v>
      </c>
      <c r="V600" t="s">
        <v>657</v>
      </c>
      <c r="W600">
        <f>Tabla35[[#This Row],[BN CARTA]]-Tabla34[[#This Row],[BN CARTA]]</f>
        <v>-132</v>
      </c>
      <c r="X600">
        <f>Tabla35[[#This Row],[BN OFICIO]]-Tabla34[[#This Row],[BN OFICIO]]</f>
        <v>0</v>
      </c>
      <c r="Y600">
        <f>Tabla35[[#This Row],[BN DC]]-Tabla34[[#This Row],[BN DC]]</f>
        <v>0</v>
      </c>
      <c r="Z600">
        <f>Tabla35[[#This Row],[COLOR CARTA]]-Tabla34[[#This Row],[COLOR CARTA]]</f>
        <v>0</v>
      </c>
      <c r="AA600">
        <f>Tabla35[[#This Row],[COLOR OFICIO]]-Tabla34[[#This Row],[COLOR OFICIO]]</f>
        <v>0</v>
      </c>
      <c r="AB600">
        <f>Tabla35[[#This Row],[ENVIAR]]-Tabla34[[#This Row],[ENVIAR]]</f>
        <v>0</v>
      </c>
      <c r="AC600">
        <f>Tabla35[[#This Row],[COPIAR]]-Tabla34[[#This Row],[COPIAR]]</f>
        <v>0</v>
      </c>
    </row>
    <row r="601" spans="1:29" x14ac:dyDescent="0.25">
      <c r="A601" t="s">
        <v>10</v>
      </c>
      <c r="B601" t="s">
        <v>649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K601" t="s">
        <v>10</v>
      </c>
      <c r="L601" t="s">
        <v>658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U601" t="s">
        <v>10</v>
      </c>
      <c r="V601" t="s">
        <v>658</v>
      </c>
      <c r="W601">
        <f>Tabla35[[#This Row],[BN CARTA]]-Tabla34[[#This Row],[BN CARTA]]</f>
        <v>0</v>
      </c>
      <c r="X601">
        <f>Tabla35[[#This Row],[BN OFICIO]]-Tabla34[[#This Row],[BN OFICIO]]</f>
        <v>0</v>
      </c>
      <c r="Y601">
        <f>Tabla35[[#This Row],[BN DC]]-Tabla34[[#This Row],[BN DC]]</f>
        <v>0</v>
      </c>
      <c r="Z601">
        <f>Tabla35[[#This Row],[COLOR CARTA]]-Tabla34[[#This Row],[COLOR CARTA]]</f>
        <v>0</v>
      </c>
      <c r="AA601">
        <f>Tabla35[[#This Row],[COLOR OFICIO]]-Tabla34[[#This Row],[COLOR OFICIO]]</f>
        <v>0</v>
      </c>
      <c r="AB601">
        <f>Tabla35[[#This Row],[ENVIAR]]-Tabla34[[#This Row],[ENVIAR]]</f>
        <v>0</v>
      </c>
      <c r="AC601">
        <f>Tabla35[[#This Row],[COPIAR]]-Tabla34[[#This Row],[COPIAR]]</f>
        <v>0</v>
      </c>
    </row>
    <row r="602" spans="1:29" x14ac:dyDescent="0.25">
      <c r="A602" t="s">
        <v>10</v>
      </c>
      <c r="B602" t="s">
        <v>650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K602" t="s">
        <v>793</v>
      </c>
      <c r="L602" t="s">
        <v>659</v>
      </c>
      <c r="M602">
        <v>1295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U602" t="s">
        <v>793</v>
      </c>
      <c r="V602" t="s">
        <v>659</v>
      </c>
      <c r="W602">
        <f>Tabla35[[#This Row],[BN CARTA]]-Tabla34[[#This Row],[BN CARTA]]</f>
        <v>1295</v>
      </c>
      <c r="X602">
        <f>Tabla35[[#This Row],[BN OFICIO]]-Tabla34[[#This Row],[BN OFICIO]]</f>
        <v>0</v>
      </c>
      <c r="Y602">
        <f>Tabla35[[#This Row],[BN DC]]-Tabla34[[#This Row],[BN DC]]</f>
        <v>0</v>
      </c>
      <c r="Z602">
        <f>Tabla35[[#This Row],[COLOR CARTA]]-Tabla34[[#This Row],[COLOR CARTA]]</f>
        <v>0</v>
      </c>
      <c r="AA602">
        <f>Tabla35[[#This Row],[COLOR OFICIO]]-Tabla34[[#This Row],[COLOR OFICIO]]</f>
        <v>0</v>
      </c>
      <c r="AB602">
        <f>Tabla35[[#This Row],[ENVIAR]]-Tabla34[[#This Row],[ENVIAR]]</f>
        <v>0</v>
      </c>
      <c r="AC602">
        <f>Tabla35[[#This Row],[COPIAR]]-Tabla34[[#This Row],[COPIAR]]</f>
        <v>0</v>
      </c>
    </row>
    <row r="603" spans="1:29" x14ac:dyDescent="0.25">
      <c r="A603" t="s">
        <v>10</v>
      </c>
      <c r="B603" t="s">
        <v>651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K603" t="s">
        <v>10</v>
      </c>
      <c r="L603" t="s">
        <v>660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U603" t="s">
        <v>10</v>
      </c>
      <c r="V603" t="s">
        <v>660</v>
      </c>
      <c r="W603">
        <f>Tabla35[[#This Row],[BN CARTA]]-Tabla34[[#This Row],[BN CARTA]]</f>
        <v>0</v>
      </c>
      <c r="X603">
        <f>Tabla35[[#This Row],[BN OFICIO]]-Tabla34[[#This Row],[BN OFICIO]]</f>
        <v>0</v>
      </c>
      <c r="Y603">
        <f>Tabla35[[#This Row],[BN DC]]-Tabla34[[#This Row],[BN DC]]</f>
        <v>0</v>
      </c>
      <c r="Z603">
        <f>Tabla35[[#This Row],[COLOR CARTA]]-Tabla34[[#This Row],[COLOR CARTA]]</f>
        <v>0</v>
      </c>
      <c r="AA603">
        <f>Tabla35[[#This Row],[COLOR OFICIO]]-Tabla34[[#This Row],[COLOR OFICIO]]</f>
        <v>0</v>
      </c>
      <c r="AB603">
        <f>Tabla35[[#This Row],[ENVIAR]]-Tabla34[[#This Row],[ENVIAR]]</f>
        <v>0</v>
      </c>
      <c r="AC603">
        <f>Tabla35[[#This Row],[COPIAR]]-Tabla34[[#This Row],[COPIAR]]</f>
        <v>0</v>
      </c>
    </row>
    <row r="604" spans="1:29" x14ac:dyDescent="0.25">
      <c r="A604" t="s">
        <v>10</v>
      </c>
      <c r="B604" t="s">
        <v>652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K604" t="s">
        <v>123</v>
      </c>
      <c r="L604" t="s">
        <v>661</v>
      </c>
      <c r="M604">
        <v>615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 t="s">
        <v>123</v>
      </c>
      <c r="V604" t="s">
        <v>661</v>
      </c>
      <c r="W604">
        <f>Tabla35[[#This Row],[BN CARTA]]-Tabla34[[#This Row],[BN CARTA]]</f>
        <v>615</v>
      </c>
      <c r="X604">
        <f>Tabla35[[#This Row],[BN OFICIO]]-Tabla34[[#This Row],[BN OFICIO]]</f>
        <v>0</v>
      </c>
      <c r="Y604">
        <f>Tabla35[[#This Row],[BN DC]]-Tabla34[[#This Row],[BN DC]]</f>
        <v>0</v>
      </c>
      <c r="Z604">
        <f>Tabla35[[#This Row],[COLOR CARTA]]-Tabla34[[#This Row],[COLOR CARTA]]</f>
        <v>0</v>
      </c>
      <c r="AA604">
        <f>Tabla35[[#This Row],[COLOR OFICIO]]-Tabla34[[#This Row],[COLOR OFICIO]]</f>
        <v>0</v>
      </c>
      <c r="AB604">
        <f>Tabla35[[#This Row],[ENVIAR]]-Tabla34[[#This Row],[ENVIAR]]</f>
        <v>0</v>
      </c>
      <c r="AC604">
        <f>Tabla35[[#This Row],[COPIAR]]-Tabla34[[#This Row],[COPIAR]]</f>
        <v>0</v>
      </c>
    </row>
    <row r="605" spans="1:29" x14ac:dyDescent="0.25">
      <c r="A605" t="s">
        <v>10</v>
      </c>
      <c r="B605" t="s">
        <v>653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K605" t="s">
        <v>305</v>
      </c>
      <c r="L605" t="s">
        <v>662</v>
      </c>
      <c r="M605">
        <v>203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U605" t="s">
        <v>305</v>
      </c>
      <c r="V605" t="s">
        <v>662</v>
      </c>
      <c r="W605">
        <f>Tabla35[[#This Row],[BN CARTA]]-Tabla34[[#This Row],[BN CARTA]]</f>
        <v>203</v>
      </c>
      <c r="X605">
        <f>Tabla35[[#This Row],[BN OFICIO]]-Tabla34[[#This Row],[BN OFICIO]]</f>
        <v>0</v>
      </c>
      <c r="Y605">
        <f>Tabla35[[#This Row],[BN DC]]-Tabla34[[#This Row],[BN DC]]</f>
        <v>0</v>
      </c>
      <c r="Z605">
        <f>Tabla35[[#This Row],[COLOR CARTA]]-Tabla34[[#This Row],[COLOR CARTA]]</f>
        <v>0</v>
      </c>
      <c r="AA605">
        <f>Tabla35[[#This Row],[COLOR OFICIO]]-Tabla34[[#This Row],[COLOR OFICIO]]</f>
        <v>0</v>
      </c>
      <c r="AB605">
        <f>Tabla35[[#This Row],[ENVIAR]]-Tabla34[[#This Row],[ENVIAR]]</f>
        <v>0</v>
      </c>
      <c r="AC605">
        <f>Tabla35[[#This Row],[COPIAR]]-Tabla34[[#This Row],[COPIAR]]</f>
        <v>0</v>
      </c>
    </row>
    <row r="606" spans="1:29" x14ac:dyDescent="0.25">
      <c r="A606" t="s">
        <v>10</v>
      </c>
      <c r="B606" t="s">
        <v>654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K606" t="s">
        <v>10</v>
      </c>
      <c r="L606" t="s">
        <v>663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U606" t="s">
        <v>10</v>
      </c>
      <c r="V606" t="s">
        <v>663</v>
      </c>
      <c r="W606">
        <f>Tabla35[[#This Row],[BN CARTA]]-Tabla34[[#This Row],[BN CARTA]]</f>
        <v>0</v>
      </c>
      <c r="X606">
        <f>Tabla35[[#This Row],[BN OFICIO]]-Tabla34[[#This Row],[BN OFICIO]]</f>
        <v>0</v>
      </c>
      <c r="Y606">
        <f>Tabla35[[#This Row],[BN DC]]-Tabla34[[#This Row],[BN DC]]</f>
        <v>0</v>
      </c>
      <c r="Z606">
        <f>Tabla35[[#This Row],[COLOR CARTA]]-Tabla34[[#This Row],[COLOR CARTA]]</f>
        <v>0</v>
      </c>
      <c r="AA606">
        <f>Tabla35[[#This Row],[COLOR OFICIO]]-Tabla34[[#This Row],[COLOR OFICIO]]</f>
        <v>0</v>
      </c>
      <c r="AB606">
        <f>Tabla35[[#This Row],[ENVIAR]]-Tabla34[[#This Row],[ENVIAR]]</f>
        <v>0</v>
      </c>
      <c r="AC606">
        <f>Tabla35[[#This Row],[COPIAR]]-Tabla34[[#This Row],[COPIAR]]</f>
        <v>0</v>
      </c>
    </row>
    <row r="607" spans="1:29" x14ac:dyDescent="0.25">
      <c r="A607" t="s">
        <v>10</v>
      </c>
      <c r="B607" t="s">
        <v>655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K607" t="s">
        <v>69</v>
      </c>
      <c r="L607" t="s">
        <v>664</v>
      </c>
      <c r="M607">
        <v>387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U607" t="s">
        <v>69</v>
      </c>
      <c r="V607" t="s">
        <v>664</v>
      </c>
      <c r="W607">
        <f>Tabla35[[#This Row],[BN CARTA]]-Tabla34[[#This Row],[BN CARTA]]</f>
        <v>387</v>
      </c>
      <c r="X607">
        <f>Tabla35[[#This Row],[BN OFICIO]]-Tabla34[[#This Row],[BN OFICIO]]</f>
        <v>0</v>
      </c>
      <c r="Y607">
        <f>Tabla35[[#This Row],[BN DC]]-Tabla34[[#This Row],[BN DC]]</f>
        <v>0</v>
      </c>
      <c r="Z607">
        <f>Tabla35[[#This Row],[COLOR CARTA]]-Tabla34[[#This Row],[COLOR CARTA]]</f>
        <v>0</v>
      </c>
      <c r="AA607">
        <f>Tabla35[[#This Row],[COLOR OFICIO]]-Tabla34[[#This Row],[COLOR OFICIO]]</f>
        <v>0</v>
      </c>
      <c r="AB607">
        <f>Tabla35[[#This Row],[ENVIAR]]-Tabla34[[#This Row],[ENVIAR]]</f>
        <v>0</v>
      </c>
      <c r="AC607">
        <f>Tabla35[[#This Row],[COPIAR]]-Tabla34[[#This Row],[COPIAR]]</f>
        <v>0</v>
      </c>
    </row>
    <row r="608" spans="1:29" x14ac:dyDescent="0.25">
      <c r="A608" t="s">
        <v>10</v>
      </c>
      <c r="B608" t="s">
        <v>656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K608" t="s">
        <v>10</v>
      </c>
      <c r="L608" t="s">
        <v>665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U608" t="s">
        <v>10</v>
      </c>
      <c r="V608" t="s">
        <v>665</v>
      </c>
      <c r="W608">
        <f>Tabla35[[#This Row],[BN CARTA]]-Tabla34[[#This Row],[BN CARTA]]</f>
        <v>0</v>
      </c>
      <c r="X608">
        <f>Tabla35[[#This Row],[BN OFICIO]]-Tabla34[[#This Row],[BN OFICIO]]</f>
        <v>0</v>
      </c>
      <c r="Y608">
        <f>Tabla35[[#This Row],[BN DC]]-Tabla34[[#This Row],[BN DC]]</f>
        <v>0</v>
      </c>
      <c r="Z608">
        <f>Tabla35[[#This Row],[COLOR CARTA]]-Tabla34[[#This Row],[COLOR CARTA]]</f>
        <v>0</v>
      </c>
      <c r="AA608">
        <f>Tabla35[[#This Row],[COLOR OFICIO]]-Tabla34[[#This Row],[COLOR OFICIO]]</f>
        <v>0</v>
      </c>
      <c r="AB608">
        <f>Tabla35[[#This Row],[ENVIAR]]-Tabla34[[#This Row],[ENVIAR]]</f>
        <v>0</v>
      </c>
      <c r="AC608">
        <f>Tabla35[[#This Row],[COPIAR]]-Tabla34[[#This Row],[COPIAR]]</f>
        <v>0</v>
      </c>
    </row>
    <row r="609" spans="1:29" x14ac:dyDescent="0.25">
      <c r="A609" t="s">
        <v>10</v>
      </c>
      <c r="B609" t="s">
        <v>657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K609" t="s">
        <v>10</v>
      </c>
      <c r="L609" t="s">
        <v>666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U609" t="s">
        <v>10</v>
      </c>
      <c r="V609" t="s">
        <v>666</v>
      </c>
      <c r="W609">
        <f>Tabla35[[#This Row],[BN CARTA]]-Tabla34[[#This Row],[BN CARTA]]</f>
        <v>0</v>
      </c>
      <c r="X609">
        <f>Tabla35[[#This Row],[BN OFICIO]]-Tabla34[[#This Row],[BN OFICIO]]</f>
        <v>0</v>
      </c>
      <c r="Y609">
        <f>Tabla35[[#This Row],[BN DC]]-Tabla34[[#This Row],[BN DC]]</f>
        <v>0</v>
      </c>
      <c r="Z609">
        <f>Tabla35[[#This Row],[COLOR CARTA]]-Tabla34[[#This Row],[COLOR CARTA]]</f>
        <v>0</v>
      </c>
      <c r="AA609">
        <f>Tabla35[[#This Row],[COLOR OFICIO]]-Tabla34[[#This Row],[COLOR OFICIO]]</f>
        <v>0</v>
      </c>
      <c r="AB609">
        <f>Tabla35[[#This Row],[ENVIAR]]-Tabla34[[#This Row],[ENVIAR]]</f>
        <v>0</v>
      </c>
      <c r="AC609">
        <f>Tabla35[[#This Row],[COPIAR]]-Tabla34[[#This Row],[COPIAR]]</f>
        <v>0</v>
      </c>
    </row>
    <row r="610" spans="1:29" x14ac:dyDescent="0.25">
      <c r="A610" t="s">
        <v>10</v>
      </c>
      <c r="B610" t="s">
        <v>658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K610" t="s">
        <v>106</v>
      </c>
      <c r="L610" t="s">
        <v>667</v>
      </c>
      <c r="M610">
        <v>204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U610" t="s">
        <v>106</v>
      </c>
      <c r="V610" t="s">
        <v>667</v>
      </c>
      <c r="W610">
        <f>Tabla35[[#This Row],[BN CARTA]]-Tabla34[[#This Row],[BN CARTA]]</f>
        <v>204</v>
      </c>
      <c r="X610">
        <f>Tabla35[[#This Row],[BN OFICIO]]-Tabla34[[#This Row],[BN OFICIO]]</f>
        <v>0</v>
      </c>
      <c r="Y610">
        <f>Tabla35[[#This Row],[BN DC]]-Tabla34[[#This Row],[BN DC]]</f>
        <v>0</v>
      </c>
      <c r="Z610">
        <f>Tabla35[[#This Row],[COLOR CARTA]]-Tabla34[[#This Row],[COLOR CARTA]]</f>
        <v>0</v>
      </c>
      <c r="AA610">
        <f>Tabla35[[#This Row],[COLOR OFICIO]]-Tabla34[[#This Row],[COLOR OFICIO]]</f>
        <v>0</v>
      </c>
      <c r="AB610">
        <f>Tabla35[[#This Row],[ENVIAR]]-Tabla34[[#This Row],[ENVIAR]]</f>
        <v>0</v>
      </c>
      <c r="AC610">
        <f>Tabla35[[#This Row],[COPIAR]]-Tabla34[[#This Row],[COPIAR]]</f>
        <v>0</v>
      </c>
    </row>
    <row r="611" spans="1:29" x14ac:dyDescent="0.25">
      <c r="A611" t="s">
        <v>10</v>
      </c>
      <c r="B611" t="s">
        <v>659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K611" t="s">
        <v>10</v>
      </c>
      <c r="L611" t="s">
        <v>668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U611" t="s">
        <v>10</v>
      </c>
      <c r="V611" t="s">
        <v>668</v>
      </c>
      <c r="W611">
        <f>Tabla35[[#This Row],[BN CARTA]]-Tabla34[[#This Row],[BN CARTA]]</f>
        <v>0</v>
      </c>
      <c r="X611">
        <f>Tabla35[[#This Row],[BN OFICIO]]-Tabla34[[#This Row],[BN OFICIO]]</f>
        <v>0</v>
      </c>
      <c r="Y611">
        <f>Tabla35[[#This Row],[BN DC]]-Tabla34[[#This Row],[BN DC]]</f>
        <v>0</v>
      </c>
      <c r="Z611">
        <f>Tabla35[[#This Row],[COLOR CARTA]]-Tabla34[[#This Row],[COLOR CARTA]]</f>
        <v>0</v>
      </c>
      <c r="AA611">
        <f>Tabla35[[#This Row],[COLOR OFICIO]]-Tabla34[[#This Row],[COLOR OFICIO]]</f>
        <v>0</v>
      </c>
      <c r="AB611">
        <f>Tabla35[[#This Row],[ENVIAR]]-Tabla34[[#This Row],[ENVIAR]]</f>
        <v>0</v>
      </c>
      <c r="AC611">
        <f>Tabla35[[#This Row],[COPIAR]]-Tabla34[[#This Row],[COPIAR]]</f>
        <v>0</v>
      </c>
    </row>
    <row r="612" spans="1:29" x14ac:dyDescent="0.25">
      <c r="A612" t="s">
        <v>10</v>
      </c>
      <c r="B612" t="s">
        <v>660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K612" t="s">
        <v>10</v>
      </c>
      <c r="L612" t="s">
        <v>669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U612" t="s">
        <v>10</v>
      </c>
      <c r="V612" t="s">
        <v>669</v>
      </c>
      <c r="W612">
        <f>Tabla35[[#This Row],[BN CARTA]]-Tabla34[[#This Row],[BN CARTA]]</f>
        <v>0</v>
      </c>
      <c r="X612">
        <f>Tabla35[[#This Row],[BN OFICIO]]-Tabla34[[#This Row],[BN OFICIO]]</f>
        <v>0</v>
      </c>
      <c r="Y612">
        <f>Tabla35[[#This Row],[BN DC]]-Tabla34[[#This Row],[BN DC]]</f>
        <v>0</v>
      </c>
      <c r="Z612">
        <f>Tabla35[[#This Row],[COLOR CARTA]]-Tabla34[[#This Row],[COLOR CARTA]]</f>
        <v>0</v>
      </c>
      <c r="AA612">
        <f>Tabla35[[#This Row],[COLOR OFICIO]]-Tabla34[[#This Row],[COLOR OFICIO]]</f>
        <v>0</v>
      </c>
      <c r="AB612">
        <f>Tabla35[[#This Row],[ENVIAR]]-Tabla34[[#This Row],[ENVIAR]]</f>
        <v>0</v>
      </c>
      <c r="AC612">
        <f>Tabla35[[#This Row],[COPIAR]]-Tabla34[[#This Row],[COPIAR]]</f>
        <v>0</v>
      </c>
    </row>
    <row r="613" spans="1:29" x14ac:dyDescent="0.25">
      <c r="A613" t="s">
        <v>123</v>
      </c>
      <c r="B613" t="s">
        <v>661</v>
      </c>
      <c r="C613">
        <v>68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K613" t="s">
        <v>10</v>
      </c>
      <c r="L613" t="s">
        <v>670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U613" t="s">
        <v>10</v>
      </c>
      <c r="V613" t="s">
        <v>670</v>
      </c>
      <c r="W613">
        <f>Tabla35[[#This Row],[BN CARTA]]-Tabla34[[#This Row],[BN CARTA]]</f>
        <v>-68</v>
      </c>
      <c r="X613">
        <f>Tabla35[[#This Row],[BN OFICIO]]-Tabla34[[#This Row],[BN OFICIO]]</f>
        <v>0</v>
      </c>
      <c r="Y613">
        <f>Tabla35[[#This Row],[BN DC]]-Tabla34[[#This Row],[BN DC]]</f>
        <v>0</v>
      </c>
      <c r="Z613">
        <f>Tabla35[[#This Row],[COLOR CARTA]]-Tabla34[[#This Row],[COLOR CARTA]]</f>
        <v>0</v>
      </c>
      <c r="AA613">
        <f>Tabla35[[#This Row],[COLOR OFICIO]]-Tabla34[[#This Row],[COLOR OFICIO]]</f>
        <v>0</v>
      </c>
      <c r="AB613">
        <f>Tabla35[[#This Row],[ENVIAR]]-Tabla34[[#This Row],[ENVIAR]]</f>
        <v>0</v>
      </c>
      <c r="AC613">
        <f>Tabla35[[#This Row],[COPIAR]]-Tabla34[[#This Row],[COPIAR]]</f>
        <v>0</v>
      </c>
    </row>
    <row r="614" spans="1:29" x14ac:dyDescent="0.25">
      <c r="A614" t="s">
        <v>229</v>
      </c>
      <c r="B614" t="s">
        <v>662</v>
      </c>
      <c r="C614">
        <v>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K614" t="s">
        <v>10</v>
      </c>
      <c r="L614" t="s">
        <v>671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U614" t="s">
        <v>10</v>
      </c>
      <c r="V614" t="s">
        <v>671</v>
      </c>
      <c r="W614">
        <f>Tabla35[[#This Row],[BN CARTA]]-Tabla34[[#This Row],[BN CARTA]]</f>
        <v>-5</v>
      </c>
      <c r="X614">
        <f>Tabla35[[#This Row],[BN OFICIO]]-Tabla34[[#This Row],[BN OFICIO]]</f>
        <v>0</v>
      </c>
      <c r="Y614">
        <f>Tabla35[[#This Row],[BN DC]]-Tabla34[[#This Row],[BN DC]]</f>
        <v>0</v>
      </c>
      <c r="Z614">
        <f>Tabla35[[#This Row],[COLOR CARTA]]-Tabla34[[#This Row],[COLOR CARTA]]</f>
        <v>0</v>
      </c>
      <c r="AA614">
        <f>Tabla35[[#This Row],[COLOR OFICIO]]-Tabla34[[#This Row],[COLOR OFICIO]]</f>
        <v>0</v>
      </c>
      <c r="AB614">
        <f>Tabla35[[#This Row],[ENVIAR]]-Tabla34[[#This Row],[ENVIAR]]</f>
        <v>0</v>
      </c>
      <c r="AC614">
        <f>Tabla35[[#This Row],[COPIAR]]-Tabla34[[#This Row],[COPIAR]]</f>
        <v>0</v>
      </c>
    </row>
    <row r="615" spans="1:29" x14ac:dyDescent="0.25">
      <c r="A615" t="s">
        <v>10</v>
      </c>
      <c r="B615" t="s">
        <v>663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K615" t="s">
        <v>795</v>
      </c>
      <c r="L615" t="s">
        <v>672</v>
      </c>
      <c r="M615">
        <v>410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U615" t="s">
        <v>795</v>
      </c>
      <c r="V615" t="s">
        <v>672</v>
      </c>
      <c r="W615">
        <f>Tabla35[[#This Row],[BN CARTA]]-Tabla34[[#This Row],[BN CARTA]]</f>
        <v>410</v>
      </c>
      <c r="X615">
        <f>Tabla35[[#This Row],[BN OFICIO]]-Tabla34[[#This Row],[BN OFICIO]]</f>
        <v>0</v>
      </c>
      <c r="Y615">
        <f>Tabla35[[#This Row],[BN DC]]-Tabla34[[#This Row],[BN DC]]</f>
        <v>0</v>
      </c>
      <c r="Z615">
        <f>Tabla35[[#This Row],[COLOR CARTA]]-Tabla34[[#This Row],[COLOR CARTA]]</f>
        <v>0</v>
      </c>
      <c r="AA615">
        <f>Tabla35[[#This Row],[COLOR OFICIO]]-Tabla34[[#This Row],[COLOR OFICIO]]</f>
        <v>0</v>
      </c>
      <c r="AB615">
        <f>Tabla35[[#This Row],[ENVIAR]]-Tabla34[[#This Row],[ENVIAR]]</f>
        <v>0</v>
      </c>
      <c r="AC615">
        <f>Tabla35[[#This Row],[COPIAR]]-Tabla34[[#This Row],[COPIAR]]</f>
        <v>0</v>
      </c>
    </row>
    <row r="616" spans="1:29" x14ac:dyDescent="0.25">
      <c r="A616" t="s">
        <v>10</v>
      </c>
      <c r="B616" t="s">
        <v>664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K616" t="s">
        <v>33</v>
      </c>
      <c r="L616" t="s">
        <v>673</v>
      </c>
      <c r="M616">
        <v>83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U616" t="s">
        <v>33</v>
      </c>
      <c r="V616" t="s">
        <v>673</v>
      </c>
      <c r="W616">
        <f>Tabla35[[#This Row],[BN CARTA]]-Tabla34[[#This Row],[BN CARTA]]</f>
        <v>83</v>
      </c>
      <c r="X616">
        <f>Tabla35[[#This Row],[BN OFICIO]]-Tabla34[[#This Row],[BN OFICIO]]</f>
        <v>0</v>
      </c>
      <c r="Y616">
        <f>Tabla35[[#This Row],[BN DC]]-Tabla34[[#This Row],[BN DC]]</f>
        <v>0</v>
      </c>
      <c r="Z616">
        <f>Tabla35[[#This Row],[COLOR CARTA]]-Tabla34[[#This Row],[COLOR CARTA]]</f>
        <v>0</v>
      </c>
      <c r="AA616">
        <f>Tabla35[[#This Row],[COLOR OFICIO]]-Tabla34[[#This Row],[COLOR OFICIO]]</f>
        <v>0</v>
      </c>
      <c r="AB616">
        <f>Tabla35[[#This Row],[ENVIAR]]-Tabla34[[#This Row],[ENVIAR]]</f>
        <v>0</v>
      </c>
      <c r="AC616">
        <f>Tabla35[[#This Row],[COPIAR]]-Tabla34[[#This Row],[COPIAR]]</f>
        <v>0</v>
      </c>
    </row>
    <row r="617" spans="1:29" x14ac:dyDescent="0.25">
      <c r="A617" t="s">
        <v>10</v>
      </c>
      <c r="B617" t="s">
        <v>665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K617" t="s">
        <v>795</v>
      </c>
      <c r="L617" t="s">
        <v>674</v>
      </c>
      <c r="M617">
        <v>1119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U617" t="s">
        <v>795</v>
      </c>
      <c r="V617" t="s">
        <v>674</v>
      </c>
      <c r="W617">
        <f>Tabla35[[#This Row],[BN CARTA]]-Tabla34[[#This Row],[BN CARTA]]</f>
        <v>1119</v>
      </c>
      <c r="X617">
        <f>Tabla35[[#This Row],[BN OFICIO]]-Tabla34[[#This Row],[BN OFICIO]]</f>
        <v>0</v>
      </c>
      <c r="Y617">
        <f>Tabla35[[#This Row],[BN DC]]-Tabla34[[#This Row],[BN DC]]</f>
        <v>0</v>
      </c>
      <c r="Z617">
        <f>Tabla35[[#This Row],[COLOR CARTA]]-Tabla34[[#This Row],[COLOR CARTA]]</f>
        <v>0</v>
      </c>
      <c r="AA617">
        <f>Tabla35[[#This Row],[COLOR OFICIO]]-Tabla34[[#This Row],[COLOR OFICIO]]</f>
        <v>0</v>
      </c>
      <c r="AB617">
        <f>Tabla35[[#This Row],[ENVIAR]]-Tabla34[[#This Row],[ENVIAR]]</f>
        <v>0</v>
      </c>
      <c r="AC617">
        <f>Tabla35[[#This Row],[COPIAR]]-Tabla34[[#This Row],[COPIAR]]</f>
        <v>0</v>
      </c>
    </row>
    <row r="618" spans="1:29" x14ac:dyDescent="0.25">
      <c r="A618" t="s">
        <v>10</v>
      </c>
      <c r="B618" t="s">
        <v>666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K618" t="s">
        <v>10</v>
      </c>
      <c r="L618" t="s">
        <v>675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U618" t="s">
        <v>10</v>
      </c>
      <c r="V618" t="s">
        <v>675</v>
      </c>
      <c r="W618">
        <f>Tabla35[[#This Row],[BN CARTA]]-Tabla34[[#This Row],[BN CARTA]]</f>
        <v>0</v>
      </c>
      <c r="X618">
        <f>Tabla35[[#This Row],[BN OFICIO]]-Tabla34[[#This Row],[BN OFICIO]]</f>
        <v>0</v>
      </c>
      <c r="Y618">
        <f>Tabla35[[#This Row],[BN DC]]-Tabla34[[#This Row],[BN DC]]</f>
        <v>0</v>
      </c>
      <c r="Z618">
        <f>Tabla35[[#This Row],[COLOR CARTA]]-Tabla34[[#This Row],[COLOR CARTA]]</f>
        <v>0</v>
      </c>
      <c r="AA618">
        <f>Tabla35[[#This Row],[COLOR OFICIO]]-Tabla34[[#This Row],[COLOR OFICIO]]</f>
        <v>0</v>
      </c>
      <c r="AB618">
        <f>Tabla35[[#This Row],[ENVIAR]]-Tabla34[[#This Row],[ENVIAR]]</f>
        <v>0</v>
      </c>
      <c r="AC618">
        <f>Tabla35[[#This Row],[COPIAR]]-Tabla34[[#This Row],[COPIAR]]</f>
        <v>0</v>
      </c>
    </row>
    <row r="619" spans="1:29" x14ac:dyDescent="0.25">
      <c r="A619" t="s">
        <v>106</v>
      </c>
      <c r="B619" t="s">
        <v>667</v>
      </c>
      <c r="C619">
        <v>37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K619" t="s">
        <v>10</v>
      </c>
      <c r="L619" t="s">
        <v>676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U619" t="s">
        <v>10</v>
      </c>
      <c r="V619" t="s">
        <v>676</v>
      </c>
      <c r="W619">
        <f>Tabla35[[#This Row],[BN CARTA]]-Tabla34[[#This Row],[BN CARTA]]</f>
        <v>-37</v>
      </c>
      <c r="X619">
        <f>Tabla35[[#This Row],[BN OFICIO]]-Tabla34[[#This Row],[BN OFICIO]]</f>
        <v>0</v>
      </c>
      <c r="Y619">
        <f>Tabla35[[#This Row],[BN DC]]-Tabla34[[#This Row],[BN DC]]</f>
        <v>0</v>
      </c>
      <c r="Z619">
        <f>Tabla35[[#This Row],[COLOR CARTA]]-Tabla34[[#This Row],[COLOR CARTA]]</f>
        <v>0</v>
      </c>
      <c r="AA619">
        <f>Tabla35[[#This Row],[COLOR OFICIO]]-Tabla34[[#This Row],[COLOR OFICIO]]</f>
        <v>0</v>
      </c>
      <c r="AB619">
        <f>Tabla35[[#This Row],[ENVIAR]]-Tabla34[[#This Row],[ENVIAR]]</f>
        <v>0</v>
      </c>
      <c r="AC619">
        <f>Tabla35[[#This Row],[COPIAR]]-Tabla34[[#This Row],[COPIAR]]</f>
        <v>0</v>
      </c>
    </row>
    <row r="620" spans="1:29" x14ac:dyDescent="0.25">
      <c r="A620" t="s">
        <v>10</v>
      </c>
      <c r="B620" t="s">
        <v>668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K620" t="s">
        <v>10</v>
      </c>
      <c r="L620" t="s">
        <v>677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U620" t="s">
        <v>10</v>
      </c>
      <c r="V620" t="s">
        <v>677</v>
      </c>
      <c r="W620">
        <f>Tabla35[[#This Row],[BN CARTA]]-Tabla34[[#This Row],[BN CARTA]]</f>
        <v>0</v>
      </c>
      <c r="X620">
        <f>Tabla35[[#This Row],[BN OFICIO]]-Tabla34[[#This Row],[BN OFICIO]]</f>
        <v>0</v>
      </c>
      <c r="Y620">
        <f>Tabla35[[#This Row],[BN DC]]-Tabla34[[#This Row],[BN DC]]</f>
        <v>0</v>
      </c>
      <c r="Z620">
        <f>Tabla35[[#This Row],[COLOR CARTA]]-Tabla34[[#This Row],[COLOR CARTA]]</f>
        <v>0</v>
      </c>
      <c r="AA620">
        <f>Tabla35[[#This Row],[COLOR OFICIO]]-Tabla34[[#This Row],[COLOR OFICIO]]</f>
        <v>0</v>
      </c>
      <c r="AB620">
        <f>Tabla35[[#This Row],[ENVIAR]]-Tabla34[[#This Row],[ENVIAR]]</f>
        <v>0</v>
      </c>
      <c r="AC620">
        <f>Tabla35[[#This Row],[COPIAR]]-Tabla34[[#This Row],[COPIAR]]</f>
        <v>0</v>
      </c>
    </row>
    <row r="621" spans="1:29" x14ac:dyDescent="0.25">
      <c r="A621" t="s">
        <v>10</v>
      </c>
      <c r="B621" t="s">
        <v>669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K621" t="s">
        <v>10</v>
      </c>
      <c r="L621" t="s">
        <v>678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U621" t="s">
        <v>10</v>
      </c>
      <c r="V621" t="s">
        <v>678</v>
      </c>
      <c r="W621">
        <f>Tabla35[[#This Row],[BN CARTA]]-Tabla34[[#This Row],[BN CARTA]]</f>
        <v>0</v>
      </c>
      <c r="X621">
        <f>Tabla35[[#This Row],[BN OFICIO]]-Tabla34[[#This Row],[BN OFICIO]]</f>
        <v>0</v>
      </c>
      <c r="Y621">
        <f>Tabla35[[#This Row],[BN DC]]-Tabla34[[#This Row],[BN DC]]</f>
        <v>0</v>
      </c>
      <c r="Z621">
        <f>Tabla35[[#This Row],[COLOR CARTA]]-Tabla34[[#This Row],[COLOR CARTA]]</f>
        <v>0</v>
      </c>
      <c r="AA621">
        <f>Tabla35[[#This Row],[COLOR OFICIO]]-Tabla34[[#This Row],[COLOR OFICIO]]</f>
        <v>0</v>
      </c>
      <c r="AB621">
        <f>Tabla35[[#This Row],[ENVIAR]]-Tabla34[[#This Row],[ENVIAR]]</f>
        <v>0</v>
      </c>
      <c r="AC621">
        <f>Tabla35[[#This Row],[COPIAR]]-Tabla34[[#This Row],[COPIAR]]</f>
        <v>0</v>
      </c>
    </row>
    <row r="622" spans="1:29" x14ac:dyDescent="0.25">
      <c r="A622" t="s">
        <v>10</v>
      </c>
      <c r="B622" t="s">
        <v>670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K622" t="s">
        <v>799</v>
      </c>
      <c r="L622" t="s">
        <v>679</v>
      </c>
      <c r="M622">
        <v>53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U622" t="s">
        <v>799</v>
      </c>
      <c r="V622" t="s">
        <v>679</v>
      </c>
      <c r="W622">
        <f>Tabla35[[#This Row],[BN CARTA]]-Tabla34[[#This Row],[BN CARTA]]</f>
        <v>53</v>
      </c>
      <c r="X622">
        <f>Tabla35[[#This Row],[BN OFICIO]]-Tabla34[[#This Row],[BN OFICIO]]</f>
        <v>0</v>
      </c>
      <c r="Y622">
        <f>Tabla35[[#This Row],[BN DC]]-Tabla34[[#This Row],[BN DC]]</f>
        <v>0</v>
      </c>
      <c r="Z622">
        <f>Tabla35[[#This Row],[COLOR CARTA]]-Tabla34[[#This Row],[COLOR CARTA]]</f>
        <v>0</v>
      </c>
      <c r="AA622">
        <f>Tabla35[[#This Row],[COLOR OFICIO]]-Tabla34[[#This Row],[COLOR OFICIO]]</f>
        <v>0</v>
      </c>
      <c r="AB622">
        <f>Tabla35[[#This Row],[ENVIAR]]-Tabla34[[#This Row],[ENVIAR]]</f>
        <v>0</v>
      </c>
      <c r="AC622">
        <f>Tabla35[[#This Row],[COPIAR]]-Tabla34[[#This Row],[COPIAR]]</f>
        <v>0</v>
      </c>
    </row>
    <row r="623" spans="1:29" x14ac:dyDescent="0.25">
      <c r="A623" t="s">
        <v>10</v>
      </c>
      <c r="B623" t="s">
        <v>671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K623" t="s">
        <v>10</v>
      </c>
      <c r="L623" t="s">
        <v>680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U623" t="s">
        <v>10</v>
      </c>
      <c r="V623" t="s">
        <v>680</v>
      </c>
      <c r="W623">
        <f>Tabla35[[#This Row],[BN CARTA]]-Tabla34[[#This Row],[BN CARTA]]</f>
        <v>0</v>
      </c>
      <c r="X623">
        <f>Tabla35[[#This Row],[BN OFICIO]]-Tabla34[[#This Row],[BN OFICIO]]</f>
        <v>0</v>
      </c>
      <c r="Y623">
        <f>Tabla35[[#This Row],[BN DC]]-Tabla34[[#This Row],[BN DC]]</f>
        <v>0</v>
      </c>
      <c r="Z623">
        <f>Tabla35[[#This Row],[COLOR CARTA]]-Tabla34[[#This Row],[COLOR CARTA]]</f>
        <v>0</v>
      </c>
      <c r="AA623">
        <f>Tabla35[[#This Row],[COLOR OFICIO]]-Tabla34[[#This Row],[COLOR OFICIO]]</f>
        <v>0</v>
      </c>
      <c r="AB623">
        <f>Tabla35[[#This Row],[ENVIAR]]-Tabla34[[#This Row],[ENVIAR]]</f>
        <v>0</v>
      </c>
      <c r="AC623">
        <f>Tabla35[[#This Row],[COPIAR]]-Tabla34[[#This Row],[COPIAR]]</f>
        <v>0</v>
      </c>
    </row>
    <row r="624" spans="1:29" x14ac:dyDescent="0.25">
      <c r="A624" t="s">
        <v>10</v>
      </c>
      <c r="B624" t="s">
        <v>672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K624" t="s">
        <v>10</v>
      </c>
      <c r="L624" t="s">
        <v>681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U624" t="s">
        <v>10</v>
      </c>
      <c r="V624" t="s">
        <v>681</v>
      </c>
      <c r="W624">
        <f>Tabla35[[#This Row],[BN CARTA]]-Tabla34[[#This Row],[BN CARTA]]</f>
        <v>0</v>
      </c>
      <c r="X624">
        <f>Tabla35[[#This Row],[BN OFICIO]]-Tabla34[[#This Row],[BN OFICIO]]</f>
        <v>0</v>
      </c>
      <c r="Y624">
        <f>Tabla35[[#This Row],[BN DC]]-Tabla34[[#This Row],[BN DC]]</f>
        <v>0</v>
      </c>
      <c r="Z624">
        <f>Tabla35[[#This Row],[COLOR CARTA]]-Tabla34[[#This Row],[COLOR CARTA]]</f>
        <v>0</v>
      </c>
      <c r="AA624">
        <f>Tabla35[[#This Row],[COLOR OFICIO]]-Tabla34[[#This Row],[COLOR OFICIO]]</f>
        <v>0</v>
      </c>
      <c r="AB624">
        <f>Tabla35[[#This Row],[ENVIAR]]-Tabla34[[#This Row],[ENVIAR]]</f>
        <v>0</v>
      </c>
      <c r="AC624">
        <f>Tabla35[[#This Row],[COPIAR]]-Tabla34[[#This Row],[COPIAR]]</f>
        <v>0</v>
      </c>
    </row>
    <row r="625" spans="1:29" x14ac:dyDescent="0.25">
      <c r="A625" t="s">
        <v>33</v>
      </c>
      <c r="B625" t="s">
        <v>673</v>
      </c>
      <c r="C625">
        <v>83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K625" t="s">
        <v>10</v>
      </c>
      <c r="L625" t="s">
        <v>682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U625" t="s">
        <v>10</v>
      </c>
      <c r="V625" t="s">
        <v>682</v>
      </c>
      <c r="W625">
        <f>Tabla35[[#This Row],[BN CARTA]]-Tabla34[[#This Row],[BN CARTA]]</f>
        <v>-83</v>
      </c>
      <c r="X625">
        <f>Tabla35[[#This Row],[BN OFICIO]]-Tabla34[[#This Row],[BN OFICIO]]</f>
        <v>0</v>
      </c>
      <c r="Y625">
        <f>Tabla35[[#This Row],[BN DC]]-Tabla34[[#This Row],[BN DC]]</f>
        <v>0</v>
      </c>
      <c r="Z625">
        <f>Tabla35[[#This Row],[COLOR CARTA]]-Tabla34[[#This Row],[COLOR CARTA]]</f>
        <v>0</v>
      </c>
      <c r="AA625">
        <f>Tabla35[[#This Row],[COLOR OFICIO]]-Tabla34[[#This Row],[COLOR OFICIO]]</f>
        <v>0</v>
      </c>
      <c r="AB625">
        <f>Tabla35[[#This Row],[ENVIAR]]-Tabla34[[#This Row],[ENVIAR]]</f>
        <v>0</v>
      </c>
      <c r="AC625">
        <f>Tabla35[[#This Row],[COPIAR]]-Tabla34[[#This Row],[COPIAR]]</f>
        <v>0</v>
      </c>
    </row>
    <row r="626" spans="1:29" x14ac:dyDescent="0.25">
      <c r="A626" t="s">
        <v>10</v>
      </c>
      <c r="B626" t="s">
        <v>674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K626" t="s">
        <v>795</v>
      </c>
      <c r="L626" t="s">
        <v>683</v>
      </c>
      <c r="M626">
        <v>359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U626" t="s">
        <v>795</v>
      </c>
      <c r="V626" t="s">
        <v>683</v>
      </c>
      <c r="W626">
        <f>Tabla35[[#This Row],[BN CARTA]]-Tabla34[[#This Row],[BN CARTA]]</f>
        <v>359</v>
      </c>
      <c r="X626">
        <f>Tabla35[[#This Row],[BN OFICIO]]-Tabla34[[#This Row],[BN OFICIO]]</f>
        <v>0</v>
      </c>
      <c r="Y626">
        <f>Tabla35[[#This Row],[BN DC]]-Tabla34[[#This Row],[BN DC]]</f>
        <v>0</v>
      </c>
      <c r="Z626">
        <f>Tabla35[[#This Row],[COLOR CARTA]]-Tabla34[[#This Row],[COLOR CARTA]]</f>
        <v>0</v>
      </c>
      <c r="AA626">
        <f>Tabla35[[#This Row],[COLOR OFICIO]]-Tabla34[[#This Row],[COLOR OFICIO]]</f>
        <v>0</v>
      </c>
      <c r="AB626">
        <f>Tabla35[[#This Row],[ENVIAR]]-Tabla34[[#This Row],[ENVIAR]]</f>
        <v>0</v>
      </c>
      <c r="AC626">
        <f>Tabla35[[#This Row],[COPIAR]]-Tabla34[[#This Row],[COPIAR]]</f>
        <v>0</v>
      </c>
    </row>
    <row r="627" spans="1:29" x14ac:dyDescent="0.25">
      <c r="A627" t="s">
        <v>10</v>
      </c>
      <c r="B627" t="s">
        <v>675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K627" t="s">
        <v>795</v>
      </c>
      <c r="L627" t="s">
        <v>684</v>
      </c>
      <c r="M627">
        <v>2159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U627" t="s">
        <v>795</v>
      </c>
      <c r="V627" t="s">
        <v>684</v>
      </c>
      <c r="W627">
        <f>Tabla35[[#This Row],[BN CARTA]]-Tabla34[[#This Row],[BN CARTA]]</f>
        <v>2159</v>
      </c>
      <c r="X627">
        <f>Tabla35[[#This Row],[BN OFICIO]]-Tabla34[[#This Row],[BN OFICIO]]</f>
        <v>0</v>
      </c>
      <c r="Y627">
        <f>Tabla35[[#This Row],[BN DC]]-Tabla34[[#This Row],[BN DC]]</f>
        <v>0</v>
      </c>
      <c r="Z627">
        <f>Tabla35[[#This Row],[COLOR CARTA]]-Tabla34[[#This Row],[COLOR CARTA]]</f>
        <v>0</v>
      </c>
      <c r="AA627">
        <f>Tabla35[[#This Row],[COLOR OFICIO]]-Tabla34[[#This Row],[COLOR OFICIO]]</f>
        <v>0</v>
      </c>
      <c r="AB627">
        <f>Tabla35[[#This Row],[ENVIAR]]-Tabla34[[#This Row],[ENVIAR]]</f>
        <v>0</v>
      </c>
      <c r="AC627">
        <f>Tabla35[[#This Row],[COPIAR]]-Tabla34[[#This Row],[COPIAR]]</f>
        <v>0</v>
      </c>
    </row>
    <row r="628" spans="1:29" x14ac:dyDescent="0.25">
      <c r="A628" t="s">
        <v>10</v>
      </c>
      <c r="B628" t="s">
        <v>676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K628" t="s">
        <v>795</v>
      </c>
      <c r="L628" t="s">
        <v>685</v>
      </c>
      <c r="M628">
        <v>15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U628" t="s">
        <v>795</v>
      </c>
      <c r="V628" t="s">
        <v>685</v>
      </c>
      <c r="W628">
        <f>Tabla35[[#This Row],[BN CARTA]]-Tabla34[[#This Row],[BN CARTA]]</f>
        <v>15</v>
      </c>
      <c r="X628">
        <f>Tabla35[[#This Row],[BN OFICIO]]-Tabla34[[#This Row],[BN OFICIO]]</f>
        <v>0</v>
      </c>
      <c r="Y628">
        <f>Tabla35[[#This Row],[BN DC]]-Tabla34[[#This Row],[BN DC]]</f>
        <v>0</v>
      </c>
      <c r="Z628">
        <f>Tabla35[[#This Row],[COLOR CARTA]]-Tabla34[[#This Row],[COLOR CARTA]]</f>
        <v>0</v>
      </c>
      <c r="AA628">
        <f>Tabla35[[#This Row],[COLOR OFICIO]]-Tabla34[[#This Row],[COLOR OFICIO]]</f>
        <v>0</v>
      </c>
      <c r="AB628">
        <f>Tabla35[[#This Row],[ENVIAR]]-Tabla34[[#This Row],[ENVIAR]]</f>
        <v>0</v>
      </c>
      <c r="AC628">
        <f>Tabla35[[#This Row],[COPIAR]]-Tabla34[[#This Row],[COPIAR]]</f>
        <v>0</v>
      </c>
    </row>
    <row r="629" spans="1:29" x14ac:dyDescent="0.25">
      <c r="A629" t="s">
        <v>10</v>
      </c>
      <c r="B629" t="s">
        <v>677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K629" t="s">
        <v>99</v>
      </c>
      <c r="L629" t="s">
        <v>686</v>
      </c>
      <c r="M629">
        <v>490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U629" t="s">
        <v>99</v>
      </c>
      <c r="V629" t="s">
        <v>686</v>
      </c>
      <c r="W629">
        <f>Tabla35[[#This Row],[BN CARTA]]-Tabla34[[#This Row],[BN CARTA]]</f>
        <v>490</v>
      </c>
      <c r="X629">
        <f>Tabla35[[#This Row],[BN OFICIO]]-Tabla34[[#This Row],[BN OFICIO]]</f>
        <v>0</v>
      </c>
      <c r="Y629">
        <f>Tabla35[[#This Row],[BN DC]]-Tabla34[[#This Row],[BN DC]]</f>
        <v>0</v>
      </c>
      <c r="Z629">
        <f>Tabla35[[#This Row],[COLOR CARTA]]-Tabla34[[#This Row],[COLOR CARTA]]</f>
        <v>0</v>
      </c>
      <c r="AA629">
        <f>Tabla35[[#This Row],[COLOR OFICIO]]-Tabla34[[#This Row],[COLOR OFICIO]]</f>
        <v>0</v>
      </c>
      <c r="AB629">
        <f>Tabla35[[#This Row],[ENVIAR]]-Tabla34[[#This Row],[ENVIAR]]</f>
        <v>0</v>
      </c>
      <c r="AC629">
        <f>Tabla35[[#This Row],[COPIAR]]-Tabla34[[#This Row],[COPIAR]]</f>
        <v>0</v>
      </c>
    </row>
    <row r="630" spans="1:29" x14ac:dyDescent="0.25">
      <c r="A630" t="s">
        <v>10</v>
      </c>
      <c r="B630" t="s">
        <v>678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K630" t="s">
        <v>52</v>
      </c>
      <c r="L630" t="s">
        <v>687</v>
      </c>
      <c r="M630">
        <v>1073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U630" t="s">
        <v>52</v>
      </c>
      <c r="V630" t="s">
        <v>687</v>
      </c>
      <c r="W630">
        <f>Tabla35[[#This Row],[BN CARTA]]-Tabla34[[#This Row],[BN CARTA]]</f>
        <v>1073</v>
      </c>
      <c r="X630">
        <f>Tabla35[[#This Row],[BN OFICIO]]-Tabla34[[#This Row],[BN OFICIO]]</f>
        <v>0</v>
      </c>
      <c r="Y630">
        <f>Tabla35[[#This Row],[BN DC]]-Tabla34[[#This Row],[BN DC]]</f>
        <v>0</v>
      </c>
      <c r="Z630">
        <f>Tabla35[[#This Row],[COLOR CARTA]]-Tabla34[[#This Row],[COLOR CARTA]]</f>
        <v>0</v>
      </c>
      <c r="AA630">
        <f>Tabla35[[#This Row],[COLOR OFICIO]]-Tabla34[[#This Row],[COLOR OFICIO]]</f>
        <v>0</v>
      </c>
      <c r="AB630">
        <f>Tabla35[[#This Row],[ENVIAR]]-Tabla34[[#This Row],[ENVIAR]]</f>
        <v>0</v>
      </c>
      <c r="AC630">
        <f>Tabla35[[#This Row],[COPIAR]]-Tabla34[[#This Row],[COPIAR]]</f>
        <v>0</v>
      </c>
    </row>
    <row r="631" spans="1:29" x14ac:dyDescent="0.25">
      <c r="A631" t="s">
        <v>10</v>
      </c>
      <c r="B631" t="s">
        <v>679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K631" t="s">
        <v>10</v>
      </c>
      <c r="L631" t="s">
        <v>688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U631" t="s">
        <v>10</v>
      </c>
      <c r="V631" t="s">
        <v>688</v>
      </c>
      <c r="W631">
        <f>Tabla35[[#This Row],[BN CARTA]]-Tabla34[[#This Row],[BN CARTA]]</f>
        <v>0</v>
      </c>
      <c r="X631">
        <f>Tabla35[[#This Row],[BN OFICIO]]-Tabla34[[#This Row],[BN OFICIO]]</f>
        <v>0</v>
      </c>
      <c r="Y631">
        <f>Tabla35[[#This Row],[BN DC]]-Tabla34[[#This Row],[BN DC]]</f>
        <v>0</v>
      </c>
      <c r="Z631">
        <f>Tabla35[[#This Row],[COLOR CARTA]]-Tabla34[[#This Row],[COLOR CARTA]]</f>
        <v>0</v>
      </c>
      <c r="AA631">
        <f>Tabla35[[#This Row],[COLOR OFICIO]]-Tabla34[[#This Row],[COLOR OFICIO]]</f>
        <v>0</v>
      </c>
      <c r="AB631">
        <f>Tabla35[[#This Row],[ENVIAR]]-Tabla34[[#This Row],[ENVIAR]]</f>
        <v>0</v>
      </c>
      <c r="AC631">
        <f>Tabla35[[#This Row],[COPIAR]]-Tabla34[[#This Row],[COPIAR]]</f>
        <v>0</v>
      </c>
    </row>
    <row r="632" spans="1:29" x14ac:dyDescent="0.25">
      <c r="A632" t="s">
        <v>10</v>
      </c>
      <c r="B632" t="s">
        <v>680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K632" t="s">
        <v>10</v>
      </c>
      <c r="L632" t="s">
        <v>689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U632" t="s">
        <v>10</v>
      </c>
      <c r="V632" t="s">
        <v>689</v>
      </c>
      <c r="W632">
        <f>Tabla35[[#This Row],[BN CARTA]]-Tabla34[[#This Row],[BN CARTA]]</f>
        <v>0</v>
      </c>
      <c r="X632">
        <f>Tabla35[[#This Row],[BN OFICIO]]-Tabla34[[#This Row],[BN OFICIO]]</f>
        <v>0</v>
      </c>
      <c r="Y632">
        <f>Tabla35[[#This Row],[BN DC]]-Tabla34[[#This Row],[BN DC]]</f>
        <v>0</v>
      </c>
      <c r="Z632">
        <f>Tabla35[[#This Row],[COLOR CARTA]]-Tabla34[[#This Row],[COLOR CARTA]]</f>
        <v>0</v>
      </c>
      <c r="AA632">
        <f>Tabla35[[#This Row],[COLOR OFICIO]]-Tabla34[[#This Row],[COLOR OFICIO]]</f>
        <v>0</v>
      </c>
      <c r="AB632">
        <f>Tabla35[[#This Row],[ENVIAR]]-Tabla34[[#This Row],[ENVIAR]]</f>
        <v>0</v>
      </c>
      <c r="AC632">
        <f>Tabla35[[#This Row],[COPIAR]]-Tabla34[[#This Row],[COPIAR]]</f>
        <v>0</v>
      </c>
    </row>
    <row r="633" spans="1:29" x14ac:dyDescent="0.25">
      <c r="A633" t="s">
        <v>10</v>
      </c>
      <c r="B633" t="s">
        <v>681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K633" t="s">
        <v>150</v>
      </c>
      <c r="L633" t="s">
        <v>690</v>
      </c>
      <c r="M633">
        <v>993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U633" t="s">
        <v>150</v>
      </c>
      <c r="V633" t="s">
        <v>690</v>
      </c>
      <c r="W633">
        <f>Tabla35[[#This Row],[BN CARTA]]-Tabla34[[#This Row],[BN CARTA]]</f>
        <v>993</v>
      </c>
      <c r="X633">
        <f>Tabla35[[#This Row],[BN OFICIO]]-Tabla34[[#This Row],[BN OFICIO]]</f>
        <v>0</v>
      </c>
      <c r="Y633">
        <f>Tabla35[[#This Row],[BN DC]]-Tabla34[[#This Row],[BN DC]]</f>
        <v>0</v>
      </c>
      <c r="Z633">
        <f>Tabla35[[#This Row],[COLOR CARTA]]-Tabla34[[#This Row],[COLOR CARTA]]</f>
        <v>0</v>
      </c>
      <c r="AA633">
        <f>Tabla35[[#This Row],[COLOR OFICIO]]-Tabla34[[#This Row],[COLOR OFICIO]]</f>
        <v>0</v>
      </c>
      <c r="AB633">
        <f>Tabla35[[#This Row],[ENVIAR]]-Tabla34[[#This Row],[ENVIAR]]</f>
        <v>0</v>
      </c>
      <c r="AC633">
        <f>Tabla35[[#This Row],[COPIAR]]-Tabla34[[#This Row],[COPIAR]]</f>
        <v>0</v>
      </c>
    </row>
    <row r="634" spans="1:29" x14ac:dyDescent="0.25">
      <c r="A634" t="s">
        <v>10</v>
      </c>
      <c r="B634" t="s">
        <v>682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K634" t="s">
        <v>50</v>
      </c>
      <c r="L634" t="s">
        <v>691</v>
      </c>
      <c r="M634">
        <v>25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U634" t="s">
        <v>50</v>
      </c>
      <c r="V634" t="s">
        <v>691</v>
      </c>
      <c r="W634">
        <f>Tabla35[[#This Row],[BN CARTA]]-Tabla34[[#This Row],[BN CARTA]]</f>
        <v>25</v>
      </c>
      <c r="X634">
        <f>Tabla35[[#This Row],[BN OFICIO]]-Tabla34[[#This Row],[BN OFICIO]]</f>
        <v>0</v>
      </c>
      <c r="Y634">
        <f>Tabla35[[#This Row],[BN DC]]-Tabla34[[#This Row],[BN DC]]</f>
        <v>0</v>
      </c>
      <c r="Z634">
        <f>Tabla35[[#This Row],[COLOR CARTA]]-Tabla34[[#This Row],[COLOR CARTA]]</f>
        <v>0</v>
      </c>
      <c r="AA634">
        <f>Tabla35[[#This Row],[COLOR OFICIO]]-Tabla34[[#This Row],[COLOR OFICIO]]</f>
        <v>0</v>
      </c>
      <c r="AB634">
        <f>Tabla35[[#This Row],[ENVIAR]]-Tabla34[[#This Row],[ENVIAR]]</f>
        <v>0</v>
      </c>
      <c r="AC634">
        <f>Tabla35[[#This Row],[COPIAR]]-Tabla34[[#This Row],[COPIAR]]</f>
        <v>0</v>
      </c>
    </row>
    <row r="635" spans="1:29" x14ac:dyDescent="0.25">
      <c r="A635" t="s">
        <v>10</v>
      </c>
      <c r="B635" t="s">
        <v>683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K635" t="s">
        <v>495</v>
      </c>
      <c r="L635" t="s">
        <v>692</v>
      </c>
      <c r="M635">
        <v>1074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U635" t="s">
        <v>495</v>
      </c>
      <c r="V635" t="s">
        <v>692</v>
      </c>
      <c r="W635">
        <f>Tabla35[[#This Row],[BN CARTA]]-Tabla34[[#This Row],[BN CARTA]]</f>
        <v>1074</v>
      </c>
      <c r="X635">
        <f>Tabla35[[#This Row],[BN OFICIO]]-Tabla34[[#This Row],[BN OFICIO]]</f>
        <v>0</v>
      </c>
      <c r="Y635">
        <f>Tabla35[[#This Row],[BN DC]]-Tabla34[[#This Row],[BN DC]]</f>
        <v>0</v>
      </c>
      <c r="Z635">
        <f>Tabla35[[#This Row],[COLOR CARTA]]-Tabla34[[#This Row],[COLOR CARTA]]</f>
        <v>0</v>
      </c>
      <c r="AA635">
        <f>Tabla35[[#This Row],[COLOR OFICIO]]-Tabla34[[#This Row],[COLOR OFICIO]]</f>
        <v>0</v>
      </c>
      <c r="AB635">
        <f>Tabla35[[#This Row],[ENVIAR]]-Tabla34[[#This Row],[ENVIAR]]</f>
        <v>0</v>
      </c>
      <c r="AC635">
        <f>Tabla35[[#This Row],[COPIAR]]-Tabla34[[#This Row],[COPIAR]]</f>
        <v>0</v>
      </c>
    </row>
    <row r="636" spans="1:29" x14ac:dyDescent="0.25">
      <c r="A636" t="s">
        <v>10</v>
      </c>
      <c r="B636" t="s">
        <v>684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K636" t="s">
        <v>10</v>
      </c>
      <c r="L636" t="s">
        <v>693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U636" t="s">
        <v>10</v>
      </c>
      <c r="V636" t="s">
        <v>693</v>
      </c>
      <c r="W636">
        <f>Tabla35[[#This Row],[BN CARTA]]-Tabla34[[#This Row],[BN CARTA]]</f>
        <v>0</v>
      </c>
      <c r="X636">
        <f>Tabla35[[#This Row],[BN OFICIO]]-Tabla34[[#This Row],[BN OFICIO]]</f>
        <v>0</v>
      </c>
      <c r="Y636">
        <f>Tabla35[[#This Row],[BN DC]]-Tabla34[[#This Row],[BN DC]]</f>
        <v>0</v>
      </c>
      <c r="Z636">
        <f>Tabla35[[#This Row],[COLOR CARTA]]-Tabla34[[#This Row],[COLOR CARTA]]</f>
        <v>0</v>
      </c>
      <c r="AA636">
        <f>Tabla35[[#This Row],[COLOR OFICIO]]-Tabla34[[#This Row],[COLOR OFICIO]]</f>
        <v>0</v>
      </c>
      <c r="AB636">
        <f>Tabla35[[#This Row],[ENVIAR]]-Tabla34[[#This Row],[ENVIAR]]</f>
        <v>0</v>
      </c>
      <c r="AC636">
        <f>Tabla35[[#This Row],[COPIAR]]-Tabla34[[#This Row],[COPIAR]]</f>
        <v>0</v>
      </c>
    </row>
    <row r="637" spans="1:29" x14ac:dyDescent="0.25">
      <c r="A637" t="s">
        <v>10</v>
      </c>
      <c r="B637" t="s">
        <v>685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K637" t="s">
        <v>795</v>
      </c>
      <c r="L637" t="s">
        <v>694</v>
      </c>
      <c r="M637">
        <v>4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U637" t="s">
        <v>795</v>
      </c>
      <c r="V637" t="s">
        <v>694</v>
      </c>
      <c r="W637">
        <f>Tabla35[[#This Row],[BN CARTA]]-Tabla34[[#This Row],[BN CARTA]]</f>
        <v>4</v>
      </c>
      <c r="X637">
        <f>Tabla35[[#This Row],[BN OFICIO]]-Tabla34[[#This Row],[BN OFICIO]]</f>
        <v>0</v>
      </c>
      <c r="Y637">
        <f>Tabla35[[#This Row],[BN DC]]-Tabla34[[#This Row],[BN DC]]</f>
        <v>0</v>
      </c>
      <c r="Z637">
        <f>Tabla35[[#This Row],[COLOR CARTA]]-Tabla34[[#This Row],[COLOR CARTA]]</f>
        <v>0</v>
      </c>
      <c r="AA637">
        <f>Tabla35[[#This Row],[COLOR OFICIO]]-Tabla34[[#This Row],[COLOR OFICIO]]</f>
        <v>0</v>
      </c>
      <c r="AB637">
        <f>Tabla35[[#This Row],[ENVIAR]]-Tabla34[[#This Row],[ENVIAR]]</f>
        <v>0</v>
      </c>
      <c r="AC637">
        <f>Tabla35[[#This Row],[COPIAR]]-Tabla34[[#This Row],[COPIAR]]</f>
        <v>0</v>
      </c>
    </row>
    <row r="638" spans="1:29" x14ac:dyDescent="0.25">
      <c r="A638" t="s">
        <v>99</v>
      </c>
      <c r="B638" t="s">
        <v>686</v>
      </c>
      <c r="C638">
        <v>265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K638" t="s">
        <v>72</v>
      </c>
      <c r="L638" t="s">
        <v>695</v>
      </c>
      <c r="M638">
        <v>162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U638" t="s">
        <v>72</v>
      </c>
      <c r="V638" t="s">
        <v>695</v>
      </c>
      <c r="W638">
        <f>Tabla35[[#This Row],[BN CARTA]]-Tabla34[[#This Row],[BN CARTA]]</f>
        <v>-103</v>
      </c>
      <c r="X638">
        <f>Tabla35[[#This Row],[BN OFICIO]]-Tabla34[[#This Row],[BN OFICIO]]</f>
        <v>0</v>
      </c>
      <c r="Y638">
        <f>Tabla35[[#This Row],[BN DC]]-Tabla34[[#This Row],[BN DC]]</f>
        <v>0</v>
      </c>
      <c r="Z638">
        <f>Tabla35[[#This Row],[COLOR CARTA]]-Tabla34[[#This Row],[COLOR CARTA]]</f>
        <v>0</v>
      </c>
      <c r="AA638">
        <f>Tabla35[[#This Row],[COLOR OFICIO]]-Tabla34[[#This Row],[COLOR OFICIO]]</f>
        <v>0</v>
      </c>
      <c r="AB638">
        <f>Tabla35[[#This Row],[ENVIAR]]-Tabla34[[#This Row],[ENVIAR]]</f>
        <v>0</v>
      </c>
      <c r="AC638">
        <f>Tabla35[[#This Row],[COPIAR]]-Tabla34[[#This Row],[COPIAR]]</f>
        <v>0</v>
      </c>
    </row>
    <row r="639" spans="1:29" x14ac:dyDescent="0.25">
      <c r="A639" t="s">
        <v>52</v>
      </c>
      <c r="B639" t="s">
        <v>687</v>
      </c>
      <c r="C639">
        <v>266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K639" t="s">
        <v>795</v>
      </c>
      <c r="L639" t="s">
        <v>696</v>
      </c>
      <c r="M639">
        <v>354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U639" t="s">
        <v>795</v>
      </c>
      <c r="V639" t="s">
        <v>696</v>
      </c>
      <c r="W639">
        <f>Tabla35[[#This Row],[BN CARTA]]-Tabla34[[#This Row],[BN CARTA]]</f>
        <v>88</v>
      </c>
      <c r="X639">
        <f>Tabla35[[#This Row],[BN OFICIO]]-Tabla34[[#This Row],[BN OFICIO]]</f>
        <v>0</v>
      </c>
      <c r="Y639">
        <f>Tabla35[[#This Row],[BN DC]]-Tabla34[[#This Row],[BN DC]]</f>
        <v>0</v>
      </c>
      <c r="Z639">
        <f>Tabla35[[#This Row],[COLOR CARTA]]-Tabla34[[#This Row],[COLOR CARTA]]</f>
        <v>0</v>
      </c>
      <c r="AA639">
        <f>Tabla35[[#This Row],[COLOR OFICIO]]-Tabla34[[#This Row],[COLOR OFICIO]]</f>
        <v>0</v>
      </c>
      <c r="AB639">
        <f>Tabla35[[#This Row],[ENVIAR]]-Tabla34[[#This Row],[ENVIAR]]</f>
        <v>0</v>
      </c>
      <c r="AC639">
        <f>Tabla35[[#This Row],[COPIAR]]-Tabla34[[#This Row],[COPIAR]]</f>
        <v>0</v>
      </c>
    </row>
    <row r="640" spans="1:29" x14ac:dyDescent="0.25">
      <c r="A640" t="s">
        <v>10</v>
      </c>
      <c r="B640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K640" t="s">
        <v>150</v>
      </c>
      <c r="L640" t="s">
        <v>697</v>
      </c>
      <c r="M640">
        <v>248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U640" t="s">
        <v>150</v>
      </c>
      <c r="V640" t="s">
        <v>697</v>
      </c>
      <c r="W640">
        <f>Tabla35[[#This Row],[BN CARTA]]-Tabla34[[#This Row],[BN CARTA]]</f>
        <v>248</v>
      </c>
      <c r="X640">
        <f>Tabla35[[#This Row],[BN OFICIO]]-Tabla34[[#This Row],[BN OFICIO]]</f>
        <v>0</v>
      </c>
      <c r="Y640">
        <f>Tabla35[[#This Row],[BN DC]]-Tabla34[[#This Row],[BN DC]]</f>
        <v>0</v>
      </c>
      <c r="Z640">
        <f>Tabla35[[#This Row],[COLOR CARTA]]-Tabla34[[#This Row],[COLOR CARTA]]</f>
        <v>0</v>
      </c>
      <c r="AA640">
        <f>Tabla35[[#This Row],[COLOR OFICIO]]-Tabla34[[#This Row],[COLOR OFICIO]]</f>
        <v>0</v>
      </c>
      <c r="AB640">
        <f>Tabla35[[#This Row],[ENVIAR]]-Tabla34[[#This Row],[ENVIAR]]</f>
        <v>0</v>
      </c>
      <c r="AC640">
        <f>Tabla35[[#This Row],[COPIAR]]-Tabla34[[#This Row],[COPIAR]]</f>
        <v>0</v>
      </c>
    </row>
    <row r="641" spans="1:29" x14ac:dyDescent="0.25">
      <c r="A641" t="s">
        <v>10</v>
      </c>
      <c r="B641" t="s">
        <v>689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K641" t="s">
        <v>31</v>
      </c>
      <c r="L641" t="s">
        <v>698</v>
      </c>
      <c r="M641">
        <v>715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U641" t="s">
        <v>31</v>
      </c>
      <c r="V641" t="s">
        <v>698</v>
      </c>
      <c r="W641">
        <f>Tabla35[[#This Row],[BN CARTA]]-Tabla34[[#This Row],[BN CARTA]]</f>
        <v>715</v>
      </c>
      <c r="X641">
        <f>Tabla35[[#This Row],[BN OFICIO]]-Tabla34[[#This Row],[BN OFICIO]]</f>
        <v>0</v>
      </c>
      <c r="Y641">
        <f>Tabla35[[#This Row],[BN DC]]-Tabla34[[#This Row],[BN DC]]</f>
        <v>0</v>
      </c>
      <c r="Z641">
        <f>Tabla35[[#This Row],[COLOR CARTA]]-Tabla34[[#This Row],[COLOR CARTA]]</f>
        <v>0</v>
      </c>
      <c r="AA641">
        <f>Tabla35[[#This Row],[COLOR OFICIO]]-Tabla34[[#This Row],[COLOR OFICIO]]</f>
        <v>0</v>
      </c>
      <c r="AB641">
        <f>Tabla35[[#This Row],[ENVIAR]]-Tabla34[[#This Row],[ENVIAR]]</f>
        <v>0</v>
      </c>
      <c r="AC641">
        <f>Tabla35[[#This Row],[COPIAR]]-Tabla34[[#This Row],[COPIAR]]</f>
        <v>0</v>
      </c>
    </row>
    <row r="642" spans="1:29" x14ac:dyDescent="0.25">
      <c r="A642" t="s">
        <v>150</v>
      </c>
      <c r="B642" t="s">
        <v>690</v>
      </c>
      <c r="C642">
        <v>69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K642" t="s">
        <v>10</v>
      </c>
      <c r="L642" t="s">
        <v>699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U642" t="s">
        <v>10</v>
      </c>
      <c r="V642" t="s">
        <v>699</v>
      </c>
      <c r="W642">
        <f>Tabla35[[#This Row],[BN CARTA]]-Tabla34[[#This Row],[BN CARTA]]</f>
        <v>-69</v>
      </c>
      <c r="X642">
        <f>Tabla35[[#This Row],[BN OFICIO]]-Tabla34[[#This Row],[BN OFICIO]]</f>
        <v>0</v>
      </c>
      <c r="Y642">
        <f>Tabla35[[#This Row],[BN DC]]-Tabla34[[#This Row],[BN DC]]</f>
        <v>0</v>
      </c>
      <c r="Z642">
        <f>Tabla35[[#This Row],[COLOR CARTA]]-Tabla34[[#This Row],[COLOR CARTA]]</f>
        <v>0</v>
      </c>
      <c r="AA642">
        <f>Tabla35[[#This Row],[COLOR OFICIO]]-Tabla34[[#This Row],[COLOR OFICIO]]</f>
        <v>0</v>
      </c>
      <c r="AB642">
        <f>Tabla35[[#This Row],[ENVIAR]]-Tabla34[[#This Row],[ENVIAR]]</f>
        <v>0</v>
      </c>
      <c r="AC642">
        <f>Tabla35[[#This Row],[COPIAR]]-Tabla34[[#This Row],[COPIAR]]</f>
        <v>0</v>
      </c>
    </row>
    <row r="643" spans="1:29" x14ac:dyDescent="0.25">
      <c r="A643" t="s">
        <v>50</v>
      </c>
      <c r="B643" t="s">
        <v>691</v>
      </c>
      <c r="C643">
        <v>25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K643" t="s">
        <v>113</v>
      </c>
      <c r="L643" t="s">
        <v>700</v>
      </c>
      <c r="M643">
        <v>1131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U643" t="s">
        <v>113</v>
      </c>
      <c r="V643" t="s">
        <v>700</v>
      </c>
      <c r="W643">
        <f>Tabla35[[#This Row],[BN CARTA]]-Tabla34[[#This Row],[BN CARTA]]</f>
        <v>1106</v>
      </c>
      <c r="X643">
        <f>Tabla35[[#This Row],[BN OFICIO]]-Tabla34[[#This Row],[BN OFICIO]]</f>
        <v>0</v>
      </c>
      <c r="Y643">
        <f>Tabla35[[#This Row],[BN DC]]-Tabla34[[#This Row],[BN DC]]</f>
        <v>0</v>
      </c>
      <c r="Z643">
        <f>Tabla35[[#This Row],[COLOR CARTA]]-Tabla34[[#This Row],[COLOR CARTA]]</f>
        <v>0</v>
      </c>
      <c r="AA643">
        <f>Tabla35[[#This Row],[COLOR OFICIO]]-Tabla34[[#This Row],[COLOR OFICIO]]</f>
        <v>0</v>
      </c>
      <c r="AB643">
        <f>Tabla35[[#This Row],[ENVIAR]]-Tabla34[[#This Row],[ENVIAR]]</f>
        <v>0</v>
      </c>
      <c r="AC643">
        <f>Tabla35[[#This Row],[COPIAR]]-Tabla34[[#This Row],[COPIAR]]</f>
        <v>0</v>
      </c>
    </row>
    <row r="644" spans="1:29" x14ac:dyDescent="0.25">
      <c r="A644" t="s">
        <v>495</v>
      </c>
      <c r="B644" t="s">
        <v>692</v>
      </c>
      <c r="C644">
        <v>34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K644" t="s">
        <v>10</v>
      </c>
      <c r="L644" t="s">
        <v>701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U644" t="s">
        <v>10</v>
      </c>
      <c r="V644" t="s">
        <v>701</v>
      </c>
      <c r="W644">
        <f>Tabla35[[#This Row],[BN CARTA]]-Tabla34[[#This Row],[BN CARTA]]</f>
        <v>-34</v>
      </c>
      <c r="X644">
        <f>Tabla35[[#This Row],[BN OFICIO]]-Tabla34[[#This Row],[BN OFICIO]]</f>
        <v>0</v>
      </c>
      <c r="Y644">
        <f>Tabla35[[#This Row],[BN DC]]-Tabla34[[#This Row],[BN DC]]</f>
        <v>0</v>
      </c>
      <c r="Z644">
        <f>Tabla35[[#This Row],[COLOR CARTA]]-Tabla34[[#This Row],[COLOR CARTA]]</f>
        <v>0</v>
      </c>
      <c r="AA644">
        <f>Tabla35[[#This Row],[COLOR OFICIO]]-Tabla34[[#This Row],[COLOR OFICIO]]</f>
        <v>0</v>
      </c>
      <c r="AB644">
        <f>Tabla35[[#This Row],[ENVIAR]]-Tabla34[[#This Row],[ENVIAR]]</f>
        <v>0</v>
      </c>
      <c r="AC644">
        <f>Tabla35[[#This Row],[COPIAR]]-Tabla34[[#This Row],[COPIAR]]</f>
        <v>0</v>
      </c>
    </row>
    <row r="645" spans="1:29" x14ac:dyDescent="0.25">
      <c r="A645" t="s">
        <v>10</v>
      </c>
      <c r="B645" t="s">
        <v>693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K645" t="s">
        <v>10</v>
      </c>
      <c r="L645" t="s">
        <v>702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U645" t="s">
        <v>10</v>
      </c>
      <c r="V645" t="s">
        <v>702</v>
      </c>
      <c r="W645">
        <f>Tabla35[[#This Row],[BN CARTA]]-Tabla34[[#This Row],[BN CARTA]]</f>
        <v>0</v>
      </c>
      <c r="X645">
        <f>Tabla35[[#This Row],[BN OFICIO]]-Tabla34[[#This Row],[BN OFICIO]]</f>
        <v>0</v>
      </c>
      <c r="Y645">
        <f>Tabla35[[#This Row],[BN DC]]-Tabla34[[#This Row],[BN DC]]</f>
        <v>0</v>
      </c>
      <c r="Z645">
        <f>Tabla35[[#This Row],[COLOR CARTA]]-Tabla34[[#This Row],[COLOR CARTA]]</f>
        <v>0</v>
      </c>
      <c r="AA645">
        <f>Tabla35[[#This Row],[COLOR OFICIO]]-Tabla34[[#This Row],[COLOR OFICIO]]</f>
        <v>0</v>
      </c>
      <c r="AB645">
        <f>Tabla35[[#This Row],[ENVIAR]]-Tabla34[[#This Row],[ENVIAR]]</f>
        <v>0</v>
      </c>
      <c r="AC645">
        <f>Tabla35[[#This Row],[COPIAR]]-Tabla34[[#This Row],[COPIAR]]</f>
        <v>0</v>
      </c>
    </row>
    <row r="646" spans="1:29" x14ac:dyDescent="0.25">
      <c r="A646" t="s">
        <v>10</v>
      </c>
      <c r="B646" t="s">
        <v>694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K646" t="s">
        <v>97</v>
      </c>
      <c r="L646" t="s">
        <v>703</v>
      </c>
      <c r="M646">
        <v>260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U646" t="s">
        <v>97</v>
      </c>
      <c r="V646" t="s">
        <v>703</v>
      </c>
      <c r="W646">
        <f>Tabla35[[#This Row],[BN CARTA]]-Tabla34[[#This Row],[BN CARTA]]</f>
        <v>260</v>
      </c>
      <c r="X646">
        <f>Tabla35[[#This Row],[BN OFICIO]]-Tabla34[[#This Row],[BN OFICIO]]</f>
        <v>0</v>
      </c>
      <c r="Y646">
        <f>Tabla35[[#This Row],[BN DC]]-Tabla34[[#This Row],[BN DC]]</f>
        <v>0</v>
      </c>
      <c r="Z646">
        <f>Tabla35[[#This Row],[COLOR CARTA]]-Tabla34[[#This Row],[COLOR CARTA]]</f>
        <v>0</v>
      </c>
      <c r="AA646">
        <f>Tabla35[[#This Row],[COLOR OFICIO]]-Tabla34[[#This Row],[COLOR OFICIO]]</f>
        <v>0</v>
      </c>
      <c r="AB646">
        <f>Tabla35[[#This Row],[ENVIAR]]-Tabla34[[#This Row],[ENVIAR]]</f>
        <v>0</v>
      </c>
      <c r="AC646">
        <f>Tabla35[[#This Row],[COPIAR]]-Tabla34[[#This Row],[COPIAR]]</f>
        <v>0</v>
      </c>
    </row>
    <row r="647" spans="1:29" x14ac:dyDescent="0.25">
      <c r="A647" t="s">
        <v>72</v>
      </c>
      <c r="B647" t="s">
        <v>695</v>
      </c>
      <c r="C647">
        <v>42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K647" t="s">
        <v>146</v>
      </c>
      <c r="L647" t="s">
        <v>704</v>
      </c>
      <c r="M647">
        <v>82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U647" t="s">
        <v>146</v>
      </c>
      <c r="V647" t="s">
        <v>704</v>
      </c>
      <c r="W647">
        <f>Tabla35[[#This Row],[BN CARTA]]-Tabla34[[#This Row],[BN CARTA]]</f>
        <v>40</v>
      </c>
      <c r="X647">
        <f>Tabla35[[#This Row],[BN OFICIO]]-Tabla34[[#This Row],[BN OFICIO]]</f>
        <v>0</v>
      </c>
      <c r="Y647">
        <f>Tabla35[[#This Row],[BN DC]]-Tabla34[[#This Row],[BN DC]]</f>
        <v>0</v>
      </c>
      <c r="Z647">
        <f>Tabla35[[#This Row],[COLOR CARTA]]-Tabla34[[#This Row],[COLOR CARTA]]</f>
        <v>0</v>
      </c>
      <c r="AA647">
        <f>Tabla35[[#This Row],[COLOR OFICIO]]-Tabla34[[#This Row],[COLOR OFICIO]]</f>
        <v>0</v>
      </c>
      <c r="AB647">
        <f>Tabla35[[#This Row],[ENVIAR]]-Tabla34[[#This Row],[ENVIAR]]</f>
        <v>0</v>
      </c>
      <c r="AC647">
        <f>Tabla35[[#This Row],[COPIAR]]-Tabla34[[#This Row],[COPIAR]]</f>
        <v>0</v>
      </c>
    </row>
    <row r="648" spans="1:29" x14ac:dyDescent="0.25">
      <c r="A648" t="s">
        <v>10</v>
      </c>
      <c r="B648" t="s">
        <v>696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K648" t="s">
        <v>790</v>
      </c>
      <c r="L648" t="s">
        <v>705</v>
      </c>
      <c r="M648">
        <v>73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U648" t="s">
        <v>790</v>
      </c>
      <c r="V648" t="s">
        <v>705</v>
      </c>
      <c r="W648">
        <f>Tabla35[[#This Row],[BN CARTA]]-Tabla34[[#This Row],[BN CARTA]]</f>
        <v>73</v>
      </c>
      <c r="X648">
        <f>Tabla35[[#This Row],[BN OFICIO]]-Tabla34[[#This Row],[BN OFICIO]]</f>
        <v>0</v>
      </c>
      <c r="Y648">
        <f>Tabla35[[#This Row],[BN DC]]-Tabla34[[#This Row],[BN DC]]</f>
        <v>0</v>
      </c>
      <c r="Z648">
        <f>Tabla35[[#This Row],[COLOR CARTA]]-Tabla34[[#This Row],[COLOR CARTA]]</f>
        <v>0</v>
      </c>
      <c r="AA648">
        <f>Tabla35[[#This Row],[COLOR OFICIO]]-Tabla34[[#This Row],[COLOR OFICIO]]</f>
        <v>0</v>
      </c>
      <c r="AB648">
        <f>Tabla35[[#This Row],[ENVIAR]]-Tabla34[[#This Row],[ENVIAR]]</f>
        <v>0</v>
      </c>
      <c r="AC648">
        <f>Tabla35[[#This Row],[COPIAR]]-Tabla34[[#This Row],[COPIAR]]</f>
        <v>0</v>
      </c>
    </row>
    <row r="649" spans="1:29" x14ac:dyDescent="0.25">
      <c r="A649" t="s">
        <v>10</v>
      </c>
      <c r="B649" t="s">
        <v>697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K649" t="s">
        <v>110</v>
      </c>
      <c r="L649" t="s">
        <v>706</v>
      </c>
      <c r="M649">
        <v>428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U649" t="s">
        <v>110</v>
      </c>
      <c r="V649" t="s">
        <v>706</v>
      </c>
      <c r="W649">
        <f>Tabla35[[#This Row],[BN CARTA]]-Tabla34[[#This Row],[BN CARTA]]</f>
        <v>428</v>
      </c>
      <c r="X649">
        <f>Tabla35[[#This Row],[BN OFICIO]]-Tabla34[[#This Row],[BN OFICIO]]</f>
        <v>0</v>
      </c>
      <c r="Y649">
        <f>Tabla35[[#This Row],[BN DC]]-Tabla34[[#This Row],[BN DC]]</f>
        <v>0</v>
      </c>
      <c r="Z649">
        <f>Tabla35[[#This Row],[COLOR CARTA]]-Tabla34[[#This Row],[COLOR CARTA]]</f>
        <v>0</v>
      </c>
      <c r="AA649">
        <f>Tabla35[[#This Row],[COLOR OFICIO]]-Tabla34[[#This Row],[COLOR OFICIO]]</f>
        <v>0</v>
      </c>
      <c r="AB649">
        <f>Tabla35[[#This Row],[ENVIAR]]-Tabla34[[#This Row],[ENVIAR]]</f>
        <v>0</v>
      </c>
      <c r="AC649">
        <f>Tabla35[[#This Row],[COPIAR]]-Tabla34[[#This Row],[COPIAR]]</f>
        <v>0</v>
      </c>
    </row>
    <row r="650" spans="1:29" x14ac:dyDescent="0.25">
      <c r="A650" t="s">
        <v>31</v>
      </c>
      <c r="B650" t="s">
        <v>698</v>
      </c>
      <c r="C650">
        <v>184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K650" t="s">
        <v>10</v>
      </c>
      <c r="L650" t="s">
        <v>707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U650" t="s">
        <v>10</v>
      </c>
      <c r="V650" t="s">
        <v>707</v>
      </c>
      <c r="W650">
        <f>Tabla35[[#This Row],[BN CARTA]]-Tabla34[[#This Row],[BN CARTA]]</f>
        <v>-184</v>
      </c>
      <c r="X650">
        <f>Tabla35[[#This Row],[BN OFICIO]]-Tabla34[[#This Row],[BN OFICIO]]</f>
        <v>0</v>
      </c>
      <c r="Y650">
        <f>Tabla35[[#This Row],[BN DC]]-Tabla34[[#This Row],[BN DC]]</f>
        <v>0</v>
      </c>
      <c r="Z650">
        <f>Tabla35[[#This Row],[COLOR CARTA]]-Tabla34[[#This Row],[COLOR CARTA]]</f>
        <v>0</v>
      </c>
      <c r="AA650">
        <f>Tabla35[[#This Row],[COLOR OFICIO]]-Tabla34[[#This Row],[COLOR OFICIO]]</f>
        <v>0</v>
      </c>
      <c r="AB650">
        <f>Tabla35[[#This Row],[ENVIAR]]-Tabla34[[#This Row],[ENVIAR]]</f>
        <v>0</v>
      </c>
      <c r="AC650">
        <f>Tabla35[[#This Row],[COPIAR]]-Tabla34[[#This Row],[COPIAR]]</f>
        <v>0</v>
      </c>
    </row>
    <row r="651" spans="1:29" x14ac:dyDescent="0.25">
      <c r="A651" t="s">
        <v>10</v>
      </c>
      <c r="B651" t="s">
        <v>699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K651" t="s">
        <v>108</v>
      </c>
      <c r="L651" t="s">
        <v>708</v>
      </c>
      <c r="M651">
        <v>1165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U651" t="s">
        <v>108</v>
      </c>
      <c r="V651" t="s">
        <v>708</v>
      </c>
      <c r="W651">
        <f>Tabla35[[#This Row],[BN CARTA]]-Tabla34[[#This Row],[BN CARTA]]</f>
        <v>1165</v>
      </c>
      <c r="X651">
        <f>Tabla35[[#This Row],[BN OFICIO]]-Tabla34[[#This Row],[BN OFICIO]]</f>
        <v>0</v>
      </c>
      <c r="Y651">
        <f>Tabla35[[#This Row],[BN DC]]-Tabla34[[#This Row],[BN DC]]</f>
        <v>0</v>
      </c>
      <c r="Z651">
        <f>Tabla35[[#This Row],[COLOR CARTA]]-Tabla34[[#This Row],[COLOR CARTA]]</f>
        <v>0</v>
      </c>
      <c r="AA651">
        <f>Tabla35[[#This Row],[COLOR OFICIO]]-Tabla34[[#This Row],[COLOR OFICIO]]</f>
        <v>0</v>
      </c>
      <c r="AB651">
        <f>Tabla35[[#This Row],[ENVIAR]]-Tabla34[[#This Row],[ENVIAR]]</f>
        <v>0</v>
      </c>
      <c r="AC651">
        <f>Tabla35[[#This Row],[COPIAR]]-Tabla34[[#This Row],[COPIAR]]</f>
        <v>0</v>
      </c>
    </row>
    <row r="652" spans="1:29" x14ac:dyDescent="0.25">
      <c r="A652" t="s">
        <v>113</v>
      </c>
      <c r="B652" t="s">
        <v>700</v>
      </c>
      <c r="C652">
        <v>418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K652" t="s">
        <v>40</v>
      </c>
      <c r="L652" t="s">
        <v>709</v>
      </c>
      <c r="M652">
        <v>158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U652" t="s">
        <v>40</v>
      </c>
      <c r="V652" t="s">
        <v>709</v>
      </c>
      <c r="W652">
        <f>Tabla35[[#This Row],[BN CARTA]]-Tabla34[[#This Row],[BN CARTA]]</f>
        <v>-260</v>
      </c>
      <c r="X652">
        <f>Tabla35[[#This Row],[BN OFICIO]]-Tabla34[[#This Row],[BN OFICIO]]</f>
        <v>0</v>
      </c>
      <c r="Y652">
        <f>Tabla35[[#This Row],[BN DC]]-Tabla34[[#This Row],[BN DC]]</f>
        <v>0</v>
      </c>
      <c r="Z652">
        <f>Tabla35[[#This Row],[COLOR CARTA]]-Tabla34[[#This Row],[COLOR CARTA]]</f>
        <v>0</v>
      </c>
      <c r="AA652">
        <f>Tabla35[[#This Row],[COLOR OFICIO]]-Tabla34[[#This Row],[COLOR OFICIO]]</f>
        <v>0</v>
      </c>
      <c r="AB652">
        <f>Tabla35[[#This Row],[ENVIAR]]-Tabla34[[#This Row],[ENVIAR]]</f>
        <v>0</v>
      </c>
      <c r="AC652">
        <f>Tabla35[[#This Row],[COPIAR]]-Tabla34[[#This Row],[COPIAR]]</f>
        <v>0</v>
      </c>
    </row>
    <row r="653" spans="1:29" x14ac:dyDescent="0.25">
      <c r="A653" t="s">
        <v>10</v>
      </c>
      <c r="B653" t="s">
        <v>701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K653" t="s">
        <v>104</v>
      </c>
      <c r="L653" t="s">
        <v>710</v>
      </c>
      <c r="M653">
        <v>329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U653" t="s">
        <v>104</v>
      </c>
      <c r="V653" t="s">
        <v>710</v>
      </c>
      <c r="W653">
        <f>Tabla35[[#This Row],[BN CARTA]]-Tabla34[[#This Row],[BN CARTA]]</f>
        <v>329</v>
      </c>
      <c r="X653">
        <f>Tabla35[[#This Row],[BN OFICIO]]-Tabla34[[#This Row],[BN OFICIO]]</f>
        <v>0</v>
      </c>
      <c r="Y653">
        <f>Tabla35[[#This Row],[BN DC]]-Tabla34[[#This Row],[BN DC]]</f>
        <v>0</v>
      </c>
      <c r="Z653">
        <f>Tabla35[[#This Row],[COLOR CARTA]]-Tabla34[[#This Row],[COLOR CARTA]]</f>
        <v>0</v>
      </c>
      <c r="AA653">
        <f>Tabla35[[#This Row],[COLOR OFICIO]]-Tabla34[[#This Row],[COLOR OFICIO]]</f>
        <v>0</v>
      </c>
      <c r="AB653">
        <f>Tabla35[[#This Row],[ENVIAR]]-Tabla34[[#This Row],[ENVIAR]]</f>
        <v>0</v>
      </c>
      <c r="AC653">
        <f>Tabla35[[#This Row],[COPIAR]]-Tabla34[[#This Row],[COPIAR]]</f>
        <v>0</v>
      </c>
    </row>
    <row r="654" spans="1:29" x14ac:dyDescent="0.25">
      <c r="A654" t="s">
        <v>10</v>
      </c>
      <c r="B654" t="s">
        <v>702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K654" t="s">
        <v>10</v>
      </c>
      <c r="L654" t="s">
        <v>711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U654" t="s">
        <v>10</v>
      </c>
      <c r="V654" t="s">
        <v>711</v>
      </c>
      <c r="W654">
        <f>Tabla35[[#This Row],[BN CARTA]]-Tabla34[[#This Row],[BN CARTA]]</f>
        <v>0</v>
      </c>
      <c r="X654">
        <f>Tabla35[[#This Row],[BN OFICIO]]-Tabla34[[#This Row],[BN OFICIO]]</f>
        <v>0</v>
      </c>
      <c r="Y654">
        <f>Tabla35[[#This Row],[BN DC]]-Tabla34[[#This Row],[BN DC]]</f>
        <v>0</v>
      </c>
      <c r="Z654">
        <f>Tabla35[[#This Row],[COLOR CARTA]]-Tabla34[[#This Row],[COLOR CARTA]]</f>
        <v>0</v>
      </c>
      <c r="AA654">
        <f>Tabla35[[#This Row],[COLOR OFICIO]]-Tabla34[[#This Row],[COLOR OFICIO]]</f>
        <v>0</v>
      </c>
      <c r="AB654">
        <f>Tabla35[[#This Row],[ENVIAR]]-Tabla34[[#This Row],[ENVIAR]]</f>
        <v>0</v>
      </c>
      <c r="AC654">
        <f>Tabla35[[#This Row],[COPIAR]]-Tabla34[[#This Row],[COPIAR]]</f>
        <v>0</v>
      </c>
    </row>
    <row r="655" spans="1:29" x14ac:dyDescent="0.25">
      <c r="A655" t="s">
        <v>97</v>
      </c>
      <c r="B655" t="s">
        <v>703</v>
      </c>
      <c r="C655">
        <v>165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K655" t="s">
        <v>10</v>
      </c>
      <c r="L655" t="s">
        <v>712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U655" t="s">
        <v>10</v>
      </c>
      <c r="V655" t="s">
        <v>712</v>
      </c>
      <c r="W655">
        <f>Tabla35[[#This Row],[BN CARTA]]-Tabla34[[#This Row],[BN CARTA]]</f>
        <v>-165</v>
      </c>
      <c r="X655">
        <f>Tabla35[[#This Row],[BN OFICIO]]-Tabla34[[#This Row],[BN OFICIO]]</f>
        <v>0</v>
      </c>
      <c r="Y655">
        <f>Tabla35[[#This Row],[BN DC]]-Tabla34[[#This Row],[BN DC]]</f>
        <v>0</v>
      </c>
      <c r="Z655">
        <f>Tabla35[[#This Row],[COLOR CARTA]]-Tabla34[[#This Row],[COLOR CARTA]]</f>
        <v>0</v>
      </c>
      <c r="AA655">
        <f>Tabla35[[#This Row],[COLOR OFICIO]]-Tabla34[[#This Row],[COLOR OFICIO]]</f>
        <v>0</v>
      </c>
      <c r="AB655">
        <f>Tabla35[[#This Row],[ENVIAR]]-Tabla34[[#This Row],[ENVIAR]]</f>
        <v>0</v>
      </c>
      <c r="AC655">
        <f>Tabla35[[#This Row],[COPIAR]]-Tabla34[[#This Row],[COPIAR]]</f>
        <v>0</v>
      </c>
    </row>
    <row r="656" spans="1:29" x14ac:dyDescent="0.25">
      <c r="A656" t="s">
        <v>146</v>
      </c>
      <c r="B656" t="s">
        <v>704</v>
      </c>
      <c r="C656">
        <v>42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K656" t="s">
        <v>115</v>
      </c>
      <c r="L656" t="s">
        <v>713</v>
      </c>
      <c r="M656">
        <v>218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U656" t="s">
        <v>115</v>
      </c>
      <c r="V656" t="s">
        <v>713</v>
      </c>
      <c r="W656">
        <f>Tabla35[[#This Row],[BN CARTA]]-Tabla34[[#This Row],[BN CARTA]]</f>
        <v>176</v>
      </c>
      <c r="X656">
        <f>Tabla35[[#This Row],[BN OFICIO]]-Tabla34[[#This Row],[BN OFICIO]]</f>
        <v>0</v>
      </c>
      <c r="Y656">
        <f>Tabla35[[#This Row],[BN DC]]-Tabla34[[#This Row],[BN DC]]</f>
        <v>0</v>
      </c>
      <c r="Z656">
        <f>Tabla35[[#This Row],[COLOR CARTA]]-Tabla34[[#This Row],[COLOR CARTA]]</f>
        <v>0</v>
      </c>
      <c r="AA656">
        <f>Tabla35[[#This Row],[COLOR OFICIO]]-Tabla34[[#This Row],[COLOR OFICIO]]</f>
        <v>0</v>
      </c>
      <c r="AB656">
        <f>Tabla35[[#This Row],[ENVIAR]]-Tabla34[[#This Row],[ENVIAR]]</f>
        <v>0</v>
      </c>
      <c r="AC656">
        <f>Tabla35[[#This Row],[COPIAR]]-Tabla34[[#This Row],[COPIAR]]</f>
        <v>0</v>
      </c>
    </row>
    <row r="657" spans="1:29" x14ac:dyDescent="0.25">
      <c r="A657" t="s">
        <v>10</v>
      </c>
      <c r="B657" t="s">
        <v>705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K657" t="s">
        <v>146</v>
      </c>
      <c r="L657" t="s">
        <v>714</v>
      </c>
      <c r="M657">
        <v>236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U657" t="s">
        <v>146</v>
      </c>
      <c r="V657" t="s">
        <v>714</v>
      </c>
      <c r="W657">
        <f>Tabla35[[#This Row],[BN CARTA]]-Tabla34[[#This Row],[BN CARTA]]</f>
        <v>236</v>
      </c>
      <c r="X657">
        <f>Tabla35[[#This Row],[BN OFICIO]]-Tabla34[[#This Row],[BN OFICIO]]</f>
        <v>0</v>
      </c>
      <c r="Y657">
        <f>Tabla35[[#This Row],[BN DC]]-Tabla34[[#This Row],[BN DC]]</f>
        <v>0</v>
      </c>
      <c r="Z657">
        <f>Tabla35[[#This Row],[COLOR CARTA]]-Tabla34[[#This Row],[COLOR CARTA]]</f>
        <v>0</v>
      </c>
      <c r="AA657">
        <f>Tabla35[[#This Row],[COLOR OFICIO]]-Tabla34[[#This Row],[COLOR OFICIO]]</f>
        <v>0</v>
      </c>
      <c r="AB657">
        <f>Tabla35[[#This Row],[ENVIAR]]-Tabla34[[#This Row],[ENVIAR]]</f>
        <v>0</v>
      </c>
      <c r="AC657">
        <f>Tabla35[[#This Row],[COPIAR]]-Tabla34[[#This Row],[COPIAR]]</f>
        <v>0</v>
      </c>
    </row>
    <row r="658" spans="1:29" x14ac:dyDescent="0.25">
      <c r="A658" t="s">
        <v>10</v>
      </c>
      <c r="B658" t="s">
        <v>706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K658" t="s">
        <v>120</v>
      </c>
      <c r="L658" t="s">
        <v>715</v>
      </c>
      <c r="M658">
        <v>1104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U658" t="s">
        <v>120</v>
      </c>
      <c r="V658" t="s">
        <v>715</v>
      </c>
      <c r="W658">
        <f>Tabla35[[#This Row],[BN CARTA]]-Tabla34[[#This Row],[BN CARTA]]</f>
        <v>1104</v>
      </c>
      <c r="X658">
        <f>Tabla35[[#This Row],[BN OFICIO]]-Tabla34[[#This Row],[BN OFICIO]]</f>
        <v>0</v>
      </c>
      <c r="Y658">
        <f>Tabla35[[#This Row],[BN DC]]-Tabla34[[#This Row],[BN DC]]</f>
        <v>0</v>
      </c>
      <c r="Z658">
        <f>Tabla35[[#This Row],[COLOR CARTA]]-Tabla34[[#This Row],[COLOR CARTA]]</f>
        <v>0</v>
      </c>
      <c r="AA658">
        <f>Tabla35[[#This Row],[COLOR OFICIO]]-Tabla34[[#This Row],[COLOR OFICIO]]</f>
        <v>0</v>
      </c>
      <c r="AB658">
        <f>Tabla35[[#This Row],[ENVIAR]]-Tabla34[[#This Row],[ENVIAR]]</f>
        <v>0</v>
      </c>
      <c r="AC658">
        <f>Tabla35[[#This Row],[COPIAR]]-Tabla34[[#This Row],[COPIAR]]</f>
        <v>0</v>
      </c>
    </row>
    <row r="659" spans="1:29" x14ac:dyDescent="0.25">
      <c r="A659" t="s">
        <v>10</v>
      </c>
      <c r="B659" t="s">
        <v>707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K659" t="s">
        <v>146</v>
      </c>
      <c r="L659" t="s">
        <v>716</v>
      </c>
      <c r="M659">
        <v>360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U659" t="s">
        <v>146</v>
      </c>
      <c r="V659" t="s">
        <v>716</v>
      </c>
      <c r="W659">
        <f>Tabla35[[#This Row],[BN CARTA]]-Tabla34[[#This Row],[BN CARTA]]</f>
        <v>360</v>
      </c>
      <c r="X659">
        <f>Tabla35[[#This Row],[BN OFICIO]]-Tabla34[[#This Row],[BN OFICIO]]</f>
        <v>0</v>
      </c>
      <c r="Y659">
        <f>Tabla35[[#This Row],[BN DC]]-Tabla34[[#This Row],[BN DC]]</f>
        <v>0</v>
      </c>
      <c r="Z659">
        <f>Tabla35[[#This Row],[COLOR CARTA]]-Tabla34[[#This Row],[COLOR CARTA]]</f>
        <v>0</v>
      </c>
      <c r="AA659">
        <f>Tabla35[[#This Row],[COLOR OFICIO]]-Tabla34[[#This Row],[COLOR OFICIO]]</f>
        <v>0</v>
      </c>
      <c r="AB659">
        <f>Tabla35[[#This Row],[ENVIAR]]-Tabla34[[#This Row],[ENVIAR]]</f>
        <v>0</v>
      </c>
      <c r="AC659">
        <f>Tabla35[[#This Row],[COPIAR]]-Tabla34[[#This Row],[COPIAR]]</f>
        <v>0</v>
      </c>
    </row>
    <row r="660" spans="1:29" x14ac:dyDescent="0.25">
      <c r="A660" t="s">
        <v>108</v>
      </c>
      <c r="B660" t="s">
        <v>708</v>
      </c>
      <c r="C660">
        <v>159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K660" t="s">
        <v>795</v>
      </c>
      <c r="L660" t="s">
        <v>717</v>
      </c>
      <c r="M660">
        <v>82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U660" t="s">
        <v>795</v>
      </c>
      <c r="V660" t="s">
        <v>717</v>
      </c>
      <c r="W660">
        <f>Tabla35[[#This Row],[BN CARTA]]-Tabla34[[#This Row],[BN CARTA]]</f>
        <v>-77</v>
      </c>
      <c r="X660">
        <f>Tabla35[[#This Row],[BN OFICIO]]-Tabla34[[#This Row],[BN OFICIO]]</f>
        <v>0</v>
      </c>
      <c r="Y660">
        <f>Tabla35[[#This Row],[BN DC]]-Tabla34[[#This Row],[BN DC]]</f>
        <v>0</v>
      </c>
      <c r="Z660">
        <f>Tabla35[[#This Row],[COLOR CARTA]]-Tabla34[[#This Row],[COLOR CARTA]]</f>
        <v>0</v>
      </c>
      <c r="AA660">
        <f>Tabla35[[#This Row],[COLOR OFICIO]]-Tabla34[[#This Row],[COLOR OFICIO]]</f>
        <v>0</v>
      </c>
      <c r="AB660">
        <f>Tabla35[[#This Row],[ENVIAR]]-Tabla34[[#This Row],[ENVIAR]]</f>
        <v>0</v>
      </c>
      <c r="AC660">
        <f>Tabla35[[#This Row],[COPIAR]]-Tabla34[[#This Row],[COPIAR]]</f>
        <v>0</v>
      </c>
    </row>
    <row r="661" spans="1:29" x14ac:dyDescent="0.25">
      <c r="A661" t="s">
        <v>10</v>
      </c>
      <c r="B661" t="s">
        <v>709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K661" t="s">
        <v>146</v>
      </c>
      <c r="L661" t="s">
        <v>718</v>
      </c>
      <c r="M661">
        <v>16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U661" t="s">
        <v>146</v>
      </c>
      <c r="V661" t="s">
        <v>718</v>
      </c>
      <c r="W661">
        <f>Tabla35[[#This Row],[BN CARTA]]-Tabla34[[#This Row],[BN CARTA]]</f>
        <v>16</v>
      </c>
      <c r="X661">
        <f>Tabla35[[#This Row],[BN OFICIO]]-Tabla34[[#This Row],[BN OFICIO]]</f>
        <v>0</v>
      </c>
      <c r="Y661">
        <f>Tabla35[[#This Row],[BN DC]]-Tabla34[[#This Row],[BN DC]]</f>
        <v>0</v>
      </c>
      <c r="Z661">
        <f>Tabla35[[#This Row],[COLOR CARTA]]-Tabla34[[#This Row],[COLOR CARTA]]</f>
        <v>0</v>
      </c>
      <c r="AA661">
        <f>Tabla35[[#This Row],[COLOR OFICIO]]-Tabla34[[#This Row],[COLOR OFICIO]]</f>
        <v>0</v>
      </c>
      <c r="AB661">
        <f>Tabla35[[#This Row],[ENVIAR]]-Tabla34[[#This Row],[ENVIAR]]</f>
        <v>0</v>
      </c>
      <c r="AC661">
        <f>Tabla35[[#This Row],[COPIAR]]-Tabla34[[#This Row],[COPIAR]]</f>
        <v>0</v>
      </c>
    </row>
    <row r="662" spans="1:29" x14ac:dyDescent="0.25">
      <c r="A662" t="s">
        <v>104</v>
      </c>
      <c r="B662" t="s">
        <v>710</v>
      </c>
      <c r="C662">
        <v>38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K662" t="s">
        <v>10</v>
      </c>
      <c r="L662" t="s">
        <v>719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U662" t="s">
        <v>10</v>
      </c>
      <c r="V662" t="s">
        <v>719</v>
      </c>
      <c r="W662">
        <f>Tabla35[[#This Row],[BN CARTA]]-Tabla34[[#This Row],[BN CARTA]]</f>
        <v>-38</v>
      </c>
      <c r="X662">
        <f>Tabla35[[#This Row],[BN OFICIO]]-Tabla34[[#This Row],[BN OFICIO]]</f>
        <v>0</v>
      </c>
      <c r="Y662">
        <f>Tabla35[[#This Row],[BN DC]]-Tabla34[[#This Row],[BN DC]]</f>
        <v>0</v>
      </c>
      <c r="Z662">
        <f>Tabla35[[#This Row],[COLOR CARTA]]-Tabla34[[#This Row],[COLOR CARTA]]</f>
        <v>0</v>
      </c>
      <c r="AA662">
        <f>Tabla35[[#This Row],[COLOR OFICIO]]-Tabla34[[#This Row],[COLOR OFICIO]]</f>
        <v>0</v>
      </c>
      <c r="AB662">
        <f>Tabla35[[#This Row],[ENVIAR]]-Tabla34[[#This Row],[ENVIAR]]</f>
        <v>0</v>
      </c>
      <c r="AC662">
        <f>Tabla35[[#This Row],[COPIAR]]-Tabla34[[#This Row],[COPIAR]]</f>
        <v>0</v>
      </c>
    </row>
    <row r="663" spans="1:29" x14ac:dyDescent="0.25">
      <c r="A663" t="s">
        <v>10</v>
      </c>
      <c r="B663" t="s">
        <v>711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K663" t="s">
        <v>10</v>
      </c>
      <c r="L663" t="s">
        <v>720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U663" t="s">
        <v>10</v>
      </c>
      <c r="V663" t="s">
        <v>720</v>
      </c>
      <c r="W663">
        <f>Tabla35[[#This Row],[BN CARTA]]-Tabla34[[#This Row],[BN CARTA]]</f>
        <v>0</v>
      </c>
      <c r="X663">
        <f>Tabla35[[#This Row],[BN OFICIO]]-Tabla34[[#This Row],[BN OFICIO]]</f>
        <v>0</v>
      </c>
      <c r="Y663">
        <f>Tabla35[[#This Row],[BN DC]]-Tabla34[[#This Row],[BN DC]]</f>
        <v>0</v>
      </c>
      <c r="Z663">
        <f>Tabla35[[#This Row],[COLOR CARTA]]-Tabla34[[#This Row],[COLOR CARTA]]</f>
        <v>0</v>
      </c>
      <c r="AA663">
        <f>Tabla35[[#This Row],[COLOR OFICIO]]-Tabla34[[#This Row],[COLOR OFICIO]]</f>
        <v>0</v>
      </c>
      <c r="AB663">
        <f>Tabla35[[#This Row],[ENVIAR]]-Tabla34[[#This Row],[ENVIAR]]</f>
        <v>0</v>
      </c>
      <c r="AC663">
        <f>Tabla35[[#This Row],[COPIAR]]-Tabla34[[#This Row],[COPIAR]]</f>
        <v>0</v>
      </c>
    </row>
    <row r="664" spans="1:29" x14ac:dyDescent="0.25">
      <c r="A664" t="s">
        <v>10</v>
      </c>
      <c r="B664" t="s">
        <v>712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K664" t="s">
        <v>131</v>
      </c>
      <c r="L664" t="s">
        <v>721</v>
      </c>
      <c r="M664">
        <v>85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U664" t="s">
        <v>131</v>
      </c>
      <c r="V664" t="s">
        <v>721</v>
      </c>
      <c r="W664">
        <f>Tabla35[[#This Row],[BN CARTA]]-Tabla34[[#This Row],[BN CARTA]]</f>
        <v>85</v>
      </c>
      <c r="X664">
        <f>Tabla35[[#This Row],[BN OFICIO]]-Tabla34[[#This Row],[BN OFICIO]]</f>
        <v>0</v>
      </c>
      <c r="Y664">
        <f>Tabla35[[#This Row],[BN DC]]-Tabla34[[#This Row],[BN DC]]</f>
        <v>0</v>
      </c>
      <c r="Z664">
        <f>Tabla35[[#This Row],[COLOR CARTA]]-Tabla34[[#This Row],[COLOR CARTA]]</f>
        <v>0</v>
      </c>
      <c r="AA664">
        <f>Tabla35[[#This Row],[COLOR OFICIO]]-Tabla34[[#This Row],[COLOR OFICIO]]</f>
        <v>0</v>
      </c>
      <c r="AB664">
        <f>Tabla35[[#This Row],[ENVIAR]]-Tabla34[[#This Row],[ENVIAR]]</f>
        <v>0</v>
      </c>
      <c r="AC664">
        <f>Tabla35[[#This Row],[COPIAR]]-Tabla34[[#This Row],[COPIAR]]</f>
        <v>0</v>
      </c>
    </row>
    <row r="665" spans="1:29" x14ac:dyDescent="0.25">
      <c r="A665" t="s">
        <v>10</v>
      </c>
      <c r="B665" t="s">
        <v>713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K665" t="s">
        <v>146</v>
      </c>
      <c r="L665" t="s">
        <v>722</v>
      </c>
      <c r="M665">
        <v>210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U665" t="s">
        <v>146</v>
      </c>
      <c r="V665" t="s">
        <v>722</v>
      </c>
      <c r="W665">
        <f>Tabla35[[#This Row],[BN CARTA]]-Tabla34[[#This Row],[BN CARTA]]</f>
        <v>210</v>
      </c>
      <c r="X665">
        <f>Tabla35[[#This Row],[BN OFICIO]]-Tabla34[[#This Row],[BN OFICIO]]</f>
        <v>0</v>
      </c>
      <c r="Y665">
        <f>Tabla35[[#This Row],[BN DC]]-Tabla34[[#This Row],[BN DC]]</f>
        <v>0</v>
      </c>
      <c r="Z665">
        <f>Tabla35[[#This Row],[COLOR CARTA]]-Tabla34[[#This Row],[COLOR CARTA]]</f>
        <v>0</v>
      </c>
      <c r="AA665">
        <f>Tabla35[[#This Row],[COLOR OFICIO]]-Tabla34[[#This Row],[COLOR OFICIO]]</f>
        <v>0</v>
      </c>
      <c r="AB665">
        <f>Tabla35[[#This Row],[ENVIAR]]-Tabla34[[#This Row],[ENVIAR]]</f>
        <v>0</v>
      </c>
      <c r="AC665">
        <f>Tabla35[[#This Row],[COPIAR]]-Tabla34[[#This Row],[COPIAR]]</f>
        <v>0</v>
      </c>
    </row>
    <row r="666" spans="1:29" x14ac:dyDescent="0.25">
      <c r="A666" t="s">
        <v>10</v>
      </c>
      <c r="B666" t="s">
        <v>714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K666" t="s">
        <v>118</v>
      </c>
      <c r="L666" t="s">
        <v>723</v>
      </c>
      <c r="M666">
        <v>557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U666" t="s">
        <v>118</v>
      </c>
      <c r="V666" t="s">
        <v>723</v>
      </c>
      <c r="W666">
        <f>Tabla35[[#This Row],[BN CARTA]]-Tabla34[[#This Row],[BN CARTA]]</f>
        <v>557</v>
      </c>
      <c r="X666">
        <f>Tabla35[[#This Row],[BN OFICIO]]-Tabla34[[#This Row],[BN OFICIO]]</f>
        <v>0</v>
      </c>
      <c r="Y666">
        <f>Tabla35[[#This Row],[BN DC]]-Tabla34[[#This Row],[BN DC]]</f>
        <v>0</v>
      </c>
      <c r="Z666">
        <f>Tabla35[[#This Row],[COLOR CARTA]]-Tabla34[[#This Row],[COLOR CARTA]]</f>
        <v>0</v>
      </c>
      <c r="AA666">
        <f>Tabla35[[#This Row],[COLOR OFICIO]]-Tabla34[[#This Row],[COLOR OFICIO]]</f>
        <v>0</v>
      </c>
      <c r="AB666">
        <f>Tabla35[[#This Row],[ENVIAR]]-Tabla34[[#This Row],[ENVIAR]]</f>
        <v>0</v>
      </c>
      <c r="AC666">
        <f>Tabla35[[#This Row],[COPIAR]]-Tabla34[[#This Row],[COPIAR]]</f>
        <v>0</v>
      </c>
    </row>
    <row r="667" spans="1:29" x14ac:dyDescent="0.25">
      <c r="A667" t="s">
        <v>120</v>
      </c>
      <c r="B667" t="s">
        <v>715</v>
      </c>
      <c r="C667">
        <v>255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K667" t="s">
        <v>131</v>
      </c>
      <c r="L667" t="s">
        <v>724</v>
      </c>
      <c r="M667">
        <v>429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U667" t="s">
        <v>131</v>
      </c>
      <c r="V667" t="s">
        <v>724</v>
      </c>
      <c r="W667">
        <f>Tabla35[[#This Row],[BN CARTA]]-Tabla34[[#This Row],[BN CARTA]]</f>
        <v>174</v>
      </c>
      <c r="X667">
        <f>Tabla35[[#This Row],[BN OFICIO]]-Tabla34[[#This Row],[BN OFICIO]]</f>
        <v>0</v>
      </c>
      <c r="Y667">
        <f>Tabla35[[#This Row],[BN DC]]-Tabla34[[#This Row],[BN DC]]</f>
        <v>0</v>
      </c>
      <c r="Z667">
        <f>Tabla35[[#This Row],[COLOR CARTA]]-Tabla34[[#This Row],[COLOR CARTA]]</f>
        <v>0</v>
      </c>
      <c r="AA667">
        <f>Tabla35[[#This Row],[COLOR OFICIO]]-Tabla34[[#This Row],[COLOR OFICIO]]</f>
        <v>0</v>
      </c>
      <c r="AB667">
        <f>Tabla35[[#This Row],[ENVIAR]]-Tabla34[[#This Row],[ENVIAR]]</f>
        <v>0</v>
      </c>
      <c r="AC667">
        <f>Tabla35[[#This Row],[COPIAR]]-Tabla34[[#This Row],[COPIAR]]</f>
        <v>0</v>
      </c>
    </row>
    <row r="668" spans="1:29" x14ac:dyDescent="0.25">
      <c r="A668" t="s">
        <v>146</v>
      </c>
      <c r="B668" t="s">
        <v>716</v>
      </c>
      <c r="C668">
        <v>39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K668" t="s">
        <v>794</v>
      </c>
      <c r="L668" t="s">
        <v>725</v>
      </c>
      <c r="M668">
        <v>269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U668" t="s">
        <v>794</v>
      </c>
      <c r="V668" t="s">
        <v>725</v>
      </c>
      <c r="W668">
        <f>Tabla35[[#This Row],[BN CARTA]]-Tabla34[[#This Row],[BN CARTA]]</f>
        <v>230</v>
      </c>
      <c r="X668">
        <f>Tabla35[[#This Row],[BN OFICIO]]-Tabla34[[#This Row],[BN OFICIO]]</f>
        <v>0</v>
      </c>
      <c r="Y668">
        <f>Tabla35[[#This Row],[BN DC]]-Tabla34[[#This Row],[BN DC]]</f>
        <v>0</v>
      </c>
      <c r="Z668">
        <f>Tabla35[[#This Row],[COLOR CARTA]]-Tabla34[[#This Row],[COLOR CARTA]]</f>
        <v>0</v>
      </c>
      <c r="AA668">
        <f>Tabla35[[#This Row],[COLOR OFICIO]]-Tabla34[[#This Row],[COLOR OFICIO]]</f>
        <v>0</v>
      </c>
      <c r="AB668">
        <f>Tabla35[[#This Row],[ENVIAR]]-Tabla34[[#This Row],[ENVIAR]]</f>
        <v>0</v>
      </c>
      <c r="AC668">
        <f>Tabla35[[#This Row],[COPIAR]]-Tabla34[[#This Row],[COPIAR]]</f>
        <v>0</v>
      </c>
    </row>
    <row r="669" spans="1:29" x14ac:dyDescent="0.25">
      <c r="A669" t="s">
        <v>10</v>
      </c>
      <c r="B669" t="s">
        <v>717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K669" t="s">
        <v>10</v>
      </c>
      <c r="L669" t="s">
        <v>726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U669" t="s">
        <v>10</v>
      </c>
      <c r="V669" t="s">
        <v>726</v>
      </c>
      <c r="W669">
        <f>Tabla35[[#This Row],[BN CARTA]]-Tabla34[[#This Row],[BN CARTA]]</f>
        <v>0</v>
      </c>
      <c r="X669">
        <f>Tabla35[[#This Row],[BN OFICIO]]-Tabla34[[#This Row],[BN OFICIO]]</f>
        <v>0</v>
      </c>
      <c r="Y669">
        <f>Tabla35[[#This Row],[BN DC]]-Tabla34[[#This Row],[BN DC]]</f>
        <v>0</v>
      </c>
      <c r="Z669">
        <f>Tabla35[[#This Row],[COLOR CARTA]]-Tabla34[[#This Row],[COLOR CARTA]]</f>
        <v>0</v>
      </c>
      <c r="AA669">
        <f>Tabla35[[#This Row],[COLOR OFICIO]]-Tabla34[[#This Row],[COLOR OFICIO]]</f>
        <v>0</v>
      </c>
      <c r="AB669">
        <f>Tabla35[[#This Row],[ENVIAR]]-Tabla34[[#This Row],[ENVIAR]]</f>
        <v>0</v>
      </c>
      <c r="AC669">
        <f>Tabla35[[#This Row],[COPIAR]]-Tabla34[[#This Row],[COPIAR]]</f>
        <v>0</v>
      </c>
    </row>
    <row r="670" spans="1:29" x14ac:dyDescent="0.25">
      <c r="A670" t="s">
        <v>146</v>
      </c>
      <c r="B670" t="s">
        <v>718</v>
      </c>
      <c r="C670">
        <v>14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K670" t="s">
        <v>796</v>
      </c>
      <c r="L670" t="s">
        <v>727</v>
      </c>
      <c r="M670">
        <v>341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U670" t="s">
        <v>796</v>
      </c>
      <c r="V670" t="s">
        <v>727</v>
      </c>
      <c r="W670">
        <f>Tabla35[[#This Row],[BN CARTA]]-Tabla34[[#This Row],[BN CARTA]]</f>
        <v>327</v>
      </c>
      <c r="X670">
        <f>Tabla35[[#This Row],[BN OFICIO]]-Tabla34[[#This Row],[BN OFICIO]]</f>
        <v>0</v>
      </c>
      <c r="Y670">
        <f>Tabla35[[#This Row],[BN DC]]-Tabla34[[#This Row],[BN DC]]</f>
        <v>0</v>
      </c>
      <c r="Z670">
        <f>Tabla35[[#This Row],[COLOR CARTA]]-Tabla34[[#This Row],[COLOR CARTA]]</f>
        <v>0</v>
      </c>
      <c r="AA670">
        <f>Tabla35[[#This Row],[COLOR OFICIO]]-Tabla34[[#This Row],[COLOR OFICIO]]</f>
        <v>0</v>
      </c>
      <c r="AB670">
        <f>Tabla35[[#This Row],[ENVIAR]]-Tabla34[[#This Row],[ENVIAR]]</f>
        <v>0</v>
      </c>
      <c r="AC670">
        <f>Tabla35[[#This Row],[COPIAR]]-Tabla34[[#This Row],[COPIAR]]</f>
        <v>0</v>
      </c>
    </row>
    <row r="671" spans="1:29" x14ac:dyDescent="0.25">
      <c r="A671" t="s">
        <v>10</v>
      </c>
      <c r="B671" t="s">
        <v>719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K671" t="s">
        <v>134</v>
      </c>
      <c r="L671" t="s">
        <v>728</v>
      </c>
      <c r="M671">
        <v>423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U671" t="s">
        <v>134</v>
      </c>
      <c r="V671" t="s">
        <v>728</v>
      </c>
      <c r="W671">
        <f>Tabla35[[#This Row],[BN CARTA]]-Tabla34[[#This Row],[BN CARTA]]</f>
        <v>423</v>
      </c>
      <c r="X671">
        <f>Tabla35[[#This Row],[BN OFICIO]]-Tabla34[[#This Row],[BN OFICIO]]</f>
        <v>0</v>
      </c>
      <c r="Y671">
        <f>Tabla35[[#This Row],[BN DC]]-Tabla34[[#This Row],[BN DC]]</f>
        <v>0</v>
      </c>
      <c r="Z671">
        <f>Tabla35[[#This Row],[COLOR CARTA]]-Tabla34[[#This Row],[COLOR CARTA]]</f>
        <v>0</v>
      </c>
      <c r="AA671">
        <f>Tabla35[[#This Row],[COLOR OFICIO]]-Tabla34[[#This Row],[COLOR OFICIO]]</f>
        <v>0</v>
      </c>
      <c r="AB671">
        <f>Tabla35[[#This Row],[ENVIAR]]-Tabla34[[#This Row],[ENVIAR]]</f>
        <v>0</v>
      </c>
      <c r="AC671">
        <f>Tabla35[[#This Row],[COPIAR]]-Tabla34[[#This Row],[COPIAR]]</f>
        <v>0</v>
      </c>
    </row>
    <row r="672" spans="1:29" x14ac:dyDescent="0.25">
      <c r="A672" t="s">
        <v>10</v>
      </c>
      <c r="B672" t="s">
        <v>720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K672" t="s">
        <v>10</v>
      </c>
      <c r="L672" t="s">
        <v>729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U672" t="s">
        <v>10</v>
      </c>
      <c r="V672" t="s">
        <v>729</v>
      </c>
      <c r="W672">
        <f>Tabla35[[#This Row],[BN CARTA]]-Tabla34[[#This Row],[BN CARTA]]</f>
        <v>0</v>
      </c>
      <c r="X672">
        <f>Tabla35[[#This Row],[BN OFICIO]]-Tabla34[[#This Row],[BN OFICIO]]</f>
        <v>0</v>
      </c>
      <c r="Y672">
        <f>Tabla35[[#This Row],[BN DC]]-Tabla34[[#This Row],[BN DC]]</f>
        <v>0</v>
      </c>
      <c r="Z672">
        <f>Tabla35[[#This Row],[COLOR CARTA]]-Tabla34[[#This Row],[COLOR CARTA]]</f>
        <v>0</v>
      </c>
      <c r="AA672">
        <f>Tabla35[[#This Row],[COLOR OFICIO]]-Tabla34[[#This Row],[COLOR OFICIO]]</f>
        <v>0</v>
      </c>
      <c r="AB672">
        <f>Tabla35[[#This Row],[ENVIAR]]-Tabla34[[#This Row],[ENVIAR]]</f>
        <v>0</v>
      </c>
      <c r="AC672">
        <f>Tabla35[[#This Row],[COPIAR]]-Tabla34[[#This Row],[COPIAR]]</f>
        <v>0</v>
      </c>
    </row>
    <row r="673" spans="1:29" x14ac:dyDescent="0.25">
      <c r="A673" t="s">
        <v>131</v>
      </c>
      <c r="B673" t="s">
        <v>721</v>
      </c>
      <c r="C673">
        <v>85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K673" t="s">
        <v>10</v>
      </c>
      <c r="L673" t="s">
        <v>730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U673" t="s">
        <v>10</v>
      </c>
      <c r="V673" t="s">
        <v>730</v>
      </c>
      <c r="W673">
        <f>Tabla35[[#This Row],[BN CARTA]]-Tabla34[[#This Row],[BN CARTA]]</f>
        <v>-85</v>
      </c>
      <c r="X673">
        <f>Tabla35[[#This Row],[BN OFICIO]]-Tabla34[[#This Row],[BN OFICIO]]</f>
        <v>0</v>
      </c>
      <c r="Y673">
        <f>Tabla35[[#This Row],[BN DC]]-Tabla34[[#This Row],[BN DC]]</f>
        <v>0</v>
      </c>
      <c r="Z673">
        <f>Tabla35[[#This Row],[COLOR CARTA]]-Tabla34[[#This Row],[COLOR CARTA]]</f>
        <v>0</v>
      </c>
      <c r="AA673">
        <f>Tabla35[[#This Row],[COLOR OFICIO]]-Tabla34[[#This Row],[COLOR OFICIO]]</f>
        <v>0</v>
      </c>
      <c r="AB673">
        <f>Tabla35[[#This Row],[ENVIAR]]-Tabla34[[#This Row],[ENVIAR]]</f>
        <v>0</v>
      </c>
      <c r="AC673">
        <f>Tabla35[[#This Row],[COPIAR]]-Tabla34[[#This Row],[COPIAR]]</f>
        <v>0</v>
      </c>
    </row>
    <row r="674" spans="1:29" x14ac:dyDescent="0.25">
      <c r="A674" t="s">
        <v>146</v>
      </c>
      <c r="B674" t="s">
        <v>722</v>
      </c>
      <c r="C674">
        <v>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K674" t="s">
        <v>150</v>
      </c>
      <c r="L674" t="s">
        <v>731</v>
      </c>
      <c r="M674">
        <v>280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U674" t="s">
        <v>150</v>
      </c>
      <c r="V674" t="s">
        <v>731</v>
      </c>
      <c r="W674">
        <f>Tabla35[[#This Row],[BN CARTA]]-Tabla34[[#This Row],[BN CARTA]]</f>
        <v>275</v>
      </c>
      <c r="X674">
        <f>Tabla35[[#This Row],[BN OFICIO]]-Tabla34[[#This Row],[BN OFICIO]]</f>
        <v>0</v>
      </c>
      <c r="Y674">
        <f>Tabla35[[#This Row],[BN DC]]-Tabla34[[#This Row],[BN DC]]</f>
        <v>0</v>
      </c>
      <c r="Z674">
        <f>Tabla35[[#This Row],[COLOR CARTA]]-Tabla34[[#This Row],[COLOR CARTA]]</f>
        <v>0</v>
      </c>
      <c r="AA674">
        <f>Tabla35[[#This Row],[COLOR OFICIO]]-Tabla34[[#This Row],[COLOR OFICIO]]</f>
        <v>0</v>
      </c>
      <c r="AB674">
        <f>Tabla35[[#This Row],[ENVIAR]]-Tabla34[[#This Row],[ENVIAR]]</f>
        <v>0</v>
      </c>
      <c r="AC674">
        <f>Tabla35[[#This Row],[COPIAR]]-Tabla34[[#This Row],[COPIAR]]</f>
        <v>0</v>
      </c>
    </row>
    <row r="675" spans="1:29" x14ac:dyDescent="0.25">
      <c r="A675" t="s">
        <v>10</v>
      </c>
      <c r="B675" t="s">
        <v>723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K675" t="s">
        <v>10</v>
      </c>
      <c r="L675" t="s">
        <v>732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U675" t="s">
        <v>10</v>
      </c>
      <c r="V675" t="s">
        <v>732</v>
      </c>
      <c r="W675">
        <f>Tabla35[[#This Row],[BN CARTA]]-Tabla34[[#This Row],[BN CARTA]]</f>
        <v>0</v>
      </c>
      <c r="X675">
        <f>Tabla35[[#This Row],[BN OFICIO]]-Tabla34[[#This Row],[BN OFICIO]]</f>
        <v>0</v>
      </c>
      <c r="Y675">
        <f>Tabla35[[#This Row],[BN DC]]-Tabla34[[#This Row],[BN DC]]</f>
        <v>0</v>
      </c>
      <c r="Z675">
        <f>Tabla35[[#This Row],[COLOR CARTA]]-Tabla34[[#This Row],[COLOR CARTA]]</f>
        <v>0</v>
      </c>
      <c r="AA675">
        <f>Tabla35[[#This Row],[COLOR OFICIO]]-Tabla34[[#This Row],[COLOR OFICIO]]</f>
        <v>0</v>
      </c>
      <c r="AB675">
        <f>Tabla35[[#This Row],[ENVIAR]]-Tabla34[[#This Row],[ENVIAR]]</f>
        <v>0</v>
      </c>
      <c r="AC675">
        <f>Tabla35[[#This Row],[COPIAR]]-Tabla34[[#This Row],[COPIAR]]</f>
        <v>0</v>
      </c>
    </row>
    <row r="676" spans="1:29" x14ac:dyDescent="0.25">
      <c r="A676" t="s">
        <v>131</v>
      </c>
      <c r="B676" t="s">
        <v>724</v>
      </c>
      <c r="C676">
        <v>429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K676" t="s">
        <v>10</v>
      </c>
      <c r="L676" t="s">
        <v>733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U676" t="s">
        <v>10</v>
      </c>
      <c r="V676" t="s">
        <v>733</v>
      </c>
      <c r="W676">
        <f>Tabla35[[#This Row],[BN CARTA]]-Tabla34[[#This Row],[BN CARTA]]</f>
        <v>-429</v>
      </c>
      <c r="X676">
        <f>Tabla35[[#This Row],[BN OFICIO]]-Tabla34[[#This Row],[BN OFICIO]]</f>
        <v>0</v>
      </c>
      <c r="Y676">
        <f>Tabla35[[#This Row],[BN DC]]-Tabla34[[#This Row],[BN DC]]</f>
        <v>0</v>
      </c>
      <c r="Z676">
        <f>Tabla35[[#This Row],[COLOR CARTA]]-Tabla34[[#This Row],[COLOR CARTA]]</f>
        <v>0</v>
      </c>
      <c r="AA676">
        <f>Tabla35[[#This Row],[COLOR OFICIO]]-Tabla34[[#This Row],[COLOR OFICIO]]</f>
        <v>0</v>
      </c>
      <c r="AB676">
        <f>Tabla35[[#This Row],[ENVIAR]]-Tabla34[[#This Row],[ENVIAR]]</f>
        <v>0</v>
      </c>
      <c r="AC676">
        <f>Tabla35[[#This Row],[COPIAR]]-Tabla34[[#This Row],[COPIAR]]</f>
        <v>0</v>
      </c>
    </row>
    <row r="677" spans="1:29" x14ac:dyDescent="0.25">
      <c r="A677" t="s">
        <v>10</v>
      </c>
      <c r="B677" t="s">
        <v>725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K677" t="s">
        <v>10</v>
      </c>
      <c r="L677" t="s">
        <v>734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U677" t="s">
        <v>10</v>
      </c>
      <c r="V677" t="s">
        <v>734</v>
      </c>
      <c r="W677">
        <f>Tabla35[[#This Row],[BN CARTA]]-Tabla34[[#This Row],[BN CARTA]]</f>
        <v>0</v>
      </c>
      <c r="X677">
        <f>Tabla35[[#This Row],[BN OFICIO]]-Tabla34[[#This Row],[BN OFICIO]]</f>
        <v>0</v>
      </c>
      <c r="Y677">
        <f>Tabla35[[#This Row],[BN DC]]-Tabla34[[#This Row],[BN DC]]</f>
        <v>0</v>
      </c>
      <c r="Z677">
        <f>Tabla35[[#This Row],[COLOR CARTA]]-Tabla34[[#This Row],[COLOR CARTA]]</f>
        <v>0</v>
      </c>
      <c r="AA677">
        <f>Tabla35[[#This Row],[COLOR OFICIO]]-Tabla34[[#This Row],[COLOR OFICIO]]</f>
        <v>0</v>
      </c>
      <c r="AB677">
        <f>Tabla35[[#This Row],[ENVIAR]]-Tabla34[[#This Row],[ENVIAR]]</f>
        <v>0</v>
      </c>
      <c r="AC677">
        <f>Tabla35[[#This Row],[COPIAR]]-Tabla34[[#This Row],[COPIAR]]</f>
        <v>0</v>
      </c>
    </row>
    <row r="678" spans="1:29" x14ac:dyDescent="0.25">
      <c r="A678" t="s">
        <v>10</v>
      </c>
      <c r="B678" t="s">
        <v>726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K678" t="s">
        <v>10</v>
      </c>
      <c r="L678" t="s">
        <v>735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U678" t="s">
        <v>10</v>
      </c>
      <c r="V678" t="s">
        <v>735</v>
      </c>
      <c r="W678">
        <f>Tabla35[[#This Row],[BN CARTA]]-Tabla34[[#This Row],[BN CARTA]]</f>
        <v>0</v>
      </c>
      <c r="X678">
        <f>Tabla35[[#This Row],[BN OFICIO]]-Tabla34[[#This Row],[BN OFICIO]]</f>
        <v>0</v>
      </c>
      <c r="Y678">
        <f>Tabla35[[#This Row],[BN DC]]-Tabla34[[#This Row],[BN DC]]</f>
        <v>0</v>
      </c>
      <c r="Z678">
        <f>Tabla35[[#This Row],[COLOR CARTA]]-Tabla34[[#This Row],[COLOR CARTA]]</f>
        <v>0</v>
      </c>
      <c r="AA678">
        <f>Tabla35[[#This Row],[COLOR OFICIO]]-Tabla34[[#This Row],[COLOR OFICIO]]</f>
        <v>0</v>
      </c>
      <c r="AB678">
        <f>Tabla35[[#This Row],[ENVIAR]]-Tabla34[[#This Row],[ENVIAR]]</f>
        <v>0</v>
      </c>
      <c r="AC678">
        <f>Tabla35[[#This Row],[COPIAR]]-Tabla34[[#This Row],[COPIAR]]</f>
        <v>0</v>
      </c>
    </row>
    <row r="679" spans="1:29" x14ac:dyDescent="0.25">
      <c r="A679" t="s">
        <v>10</v>
      </c>
      <c r="B679" t="s">
        <v>727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K679" t="s">
        <v>10</v>
      </c>
      <c r="L679" t="s">
        <v>736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U679" t="s">
        <v>10</v>
      </c>
      <c r="V679" t="s">
        <v>736</v>
      </c>
      <c r="W679">
        <f>Tabla35[[#This Row],[BN CARTA]]-Tabla34[[#This Row],[BN CARTA]]</f>
        <v>0</v>
      </c>
      <c r="X679">
        <f>Tabla35[[#This Row],[BN OFICIO]]-Tabla34[[#This Row],[BN OFICIO]]</f>
        <v>0</v>
      </c>
      <c r="Y679">
        <f>Tabla35[[#This Row],[BN DC]]-Tabla34[[#This Row],[BN DC]]</f>
        <v>0</v>
      </c>
      <c r="Z679">
        <f>Tabla35[[#This Row],[COLOR CARTA]]-Tabla34[[#This Row],[COLOR CARTA]]</f>
        <v>0</v>
      </c>
      <c r="AA679">
        <f>Tabla35[[#This Row],[COLOR OFICIO]]-Tabla34[[#This Row],[COLOR OFICIO]]</f>
        <v>0</v>
      </c>
      <c r="AB679">
        <f>Tabla35[[#This Row],[ENVIAR]]-Tabla34[[#This Row],[ENVIAR]]</f>
        <v>0</v>
      </c>
      <c r="AC679">
        <f>Tabla35[[#This Row],[COPIAR]]-Tabla34[[#This Row],[COPIAR]]</f>
        <v>0</v>
      </c>
    </row>
    <row r="680" spans="1:29" x14ac:dyDescent="0.25">
      <c r="A680" t="s">
        <v>134</v>
      </c>
      <c r="B680" t="s">
        <v>728</v>
      </c>
      <c r="C680">
        <v>48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K680" t="s">
        <v>10</v>
      </c>
      <c r="L680" t="s">
        <v>737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U680" t="s">
        <v>10</v>
      </c>
      <c r="V680" t="s">
        <v>737</v>
      </c>
      <c r="W680">
        <f>Tabla35[[#This Row],[BN CARTA]]-Tabla34[[#This Row],[BN CARTA]]</f>
        <v>-48</v>
      </c>
      <c r="X680">
        <f>Tabla35[[#This Row],[BN OFICIO]]-Tabla34[[#This Row],[BN OFICIO]]</f>
        <v>0</v>
      </c>
      <c r="Y680">
        <f>Tabla35[[#This Row],[BN DC]]-Tabla34[[#This Row],[BN DC]]</f>
        <v>0</v>
      </c>
      <c r="Z680">
        <f>Tabla35[[#This Row],[COLOR CARTA]]-Tabla34[[#This Row],[COLOR CARTA]]</f>
        <v>0</v>
      </c>
      <c r="AA680">
        <f>Tabla35[[#This Row],[COLOR OFICIO]]-Tabla34[[#This Row],[COLOR OFICIO]]</f>
        <v>0</v>
      </c>
      <c r="AB680">
        <f>Tabla35[[#This Row],[ENVIAR]]-Tabla34[[#This Row],[ENVIAR]]</f>
        <v>0</v>
      </c>
      <c r="AC680">
        <f>Tabla35[[#This Row],[COPIAR]]-Tabla34[[#This Row],[COPIAR]]</f>
        <v>0</v>
      </c>
    </row>
    <row r="681" spans="1:29" x14ac:dyDescent="0.25">
      <c r="A681" t="s">
        <v>10</v>
      </c>
      <c r="B681" t="s">
        <v>729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K681" t="s">
        <v>10</v>
      </c>
      <c r="L681" t="s">
        <v>738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U681" t="s">
        <v>10</v>
      </c>
      <c r="V681" t="s">
        <v>738</v>
      </c>
      <c r="W681">
        <f>Tabla35[[#This Row],[BN CARTA]]-Tabla34[[#This Row],[BN CARTA]]</f>
        <v>0</v>
      </c>
      <c r="X681">
        <f>Tabla35[[#This Row],[BN OFICIO]]-Tabla34[[#This Row],[BN OFICIO]]</f>
        <v>0</v>
      </c>
      <c r="Y681">
        <f>Tabla35[[#This Row],[BN DC]]-Tabla34[[#This Row],[BN DC]]</f>
        <v>0</v>
      </c>
      <c r="Z681">
        <f>Tabla35[[#This Row],[COLOR CARTA]]-Tabla34[[#This Row],[COLOR CARTA]]</f>
        <v>0</v>
      </c>
      <c r="AA681">
        <f>Tabla35[[#This Row],[COLOR OFICIO]]-Tabla34[[#This Row],[COLOR OFICIO]]</f>
        <v>0</v>
      </c>
      <c r="AB681">
        <f>Tabla35[[#This Row],[ENVIAR]]-Tabla34[[#This Row],[ENVIAR]]</f>
        <v>0</v>
      </c>
      <c r="AC681">
        <f>Tabla35[[#This Row],[COPIAR]]-Tabla34[[#This Row],[COPIAR]]</f>
        <v>0</v>
      </c>
    </row>
    <row r="682" spans="1:29" x14ac:dyDescent="0.25">
      <c r="A682" t="s">
        <v>10</v>
      </c>
      <c r="B682" t="s">
        <v>730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K682" t="s">
        <v>10</v>
      </c>
      <c r="L682" t="s">
        <v>739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U682" t="s">
        <v>10</v>
      </c>
      <c r="V682" t="s">
        <v>739</v>
      </c>
      <c r="W682">
        <f>Tabla35[[#This Row],[BN CARTA]]-Tabla34[[#This Row],[BN CARTA]]</f>
        <v>0</v>
      </c>
      <c r="X682">
        <f>Tabla35[[#This Row],[BN OFICIO]]-Tabla34[[#This Row],[BN OFICIO]]</f>
        <v>0</v>
      </c>
      <c r="Y682">
        <f>Tabla35[[#This Row],[BN DC]]-Tabla34[[#This Row],[BN DC]]</f>
        <v>0</v>
      </c>
      <c r="Z682">
        <f>Tabla35[[#This Row],[COLOR CARTA]]-Tabla34[[#This Row],[COLOR CARTA]]</f>
        <v>0</v>
      </c>
      <c r="AA682">
        <f>Tabla35[[#This Row],[COLOR OFICIO]]-Tabla34[[#This Row],[COLOR OFICIO]]</f>
        <v>0</v>
      </c>
      <c r="AB682">
        <f>Tabla35[[#This Row],[ENVIAR]]-Tabla34[[#This Row],[ENVIAR]]</f>
        <v>0</v>
      </c>
      <c r="AC682">
        <f>Tabla35[[#This Row],[COPIAR]]-Tabla34[[#This Row],[COPIAR]]</f>
        <v>0</v>
      </c>
    </row>
    <row r="683" spans="1:29" x14ac:dyDescent="0.25">
      <c r="A683" t="s">
        <v>10</v>
      </c>
      <c r="B683" t="s">
        <v>731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K683" t="s">
        <v>10</v>
      </c>
      <c r="L683" t="s">
        <v>740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U683" t="s">
        <v>10</v>
      </c>
      <c r="V683" t="s">
        <v>740</v>
      </c>
      <c r="W683">
        <f>Tabla35[[#This Row],[BN CARTA]]-Tabla34[[#This Row],[BN CARTA]]</f>
        <v>0</v>
      </c>
      <c r="X683">
        <f>Tabla35[[#This Row],[BN OFICIO]]-Tabla34[[#This Row],[BN OFICIO]]</f>
        <v>0</v>
      </c>
      <c r="Y683">
        <f>Tabla35[[#This Row],[BN DC]]-Tabla34[[#This Row],[BN DC]]</f>
        <v>0</v>
      </c>
      <c r="Z683">
        <f>Tabla35[[#This Row],[COLOR CARTA]]-Tabla34[[#This Row],[COLOR CARTA]]</f>
        <v>0</v>
      </c>
      <c r="AA683">
        <f>Tabla35[[#This Row],[COLOR OFICIO]]-Tabla34[[#This Row],[COLOR OFICIO]]</f>
        <v>0</v>
      </c>
      <c r="AB683">
        <f>Tabla35[[#This Row],[ENVIAR]]-Tabla34[[#This Row],[ENVIAR]]</f>
        <v>0</v>
      </c>
      <c r="AC683">
        <f>Tabla35[[#This Row],[COPIAR]]-Tabla34[[#This Row],[COPIAR]]</f>
        <v>0</v>
      </c>
    </row>
    <row r="684" spans="1:29" x14ac:dyDescent="0.25">
      <c r="A684" t="s">
        <v>10</v>
      </c>
      <c r="B684" t="s">
        <v>732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K684" t="s">
        <v>134</v>
      </c>
      <c r="L684" t="s">
        <v>741</v>
      </c>
      <c r="M684">
        <v>274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U684" t="s">
        <v>134</v>
      </c>
      <c r="V684" t="s">
        <v>741</v>
      </c>
      <c r="W684">
        <f>Tabla35[[#This Row],[BN CARTA]]-Tabla34[[#This Row],[BN CARTA]]</f>
        <v>274</v>
      </c>
      <c r="X684">
        <f>Tabla35[[#This Row],[BN OFICIO]]-Tabla34[[#This Row],[BN OFICIO]]</f>
        <v>0</v>
      </c>
      <c r="Y684">
        <f>Tabla35[[#This Row],[BN DC]]-Tabla34[[#This Row],[BN DC]]</f>
        <v>0</v>
      </c>
      <c r="Z684">
        <f>Tabla35[[#This Row],[COLOR CARTA]]-Tabla34[[#This Row],[COLOR CARTA]]</f>
        <v>0</v>
      </c>
      <c r="AA684">
        <f>Tabla35[[#This Row],[COLOR OFICIO]]-Tabla34[[#This Row],[COLOR OFICIO]]</f>
        <v>0</v>
      </c>
      <c r="AB684">
        <f>Tabla35[[#This Row],[ENVIAR]]-Tabla34[[#This Row],[ENVIAR]]</f>
        <v>0</v>
      </c>
      <c r="AC684">
        <f>Tabla35[[#This Row],[COPIAR]]-Tabla34[[#This Row],[COPIAR]]</f>
        <v>0</v>
      </c>
    </row>
    <row r="685" spans="1:29" x14ac:dyDescent="0.25">
      <c r="A685" t="s">
        <v>10</v>
      </c>
      <c r="B685" t="s">
        <v>733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K685" t="s">
        <v>188</v>
      </c>
      <c r="L685" t="s">
        <v>742</v>
      </c>
      <c r="M685">
        <v>16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U685" t="s">
        <v>188</v>
      </c>
      <c r="V685" t="s">
        <v>742</v>
      </c>
      <c r="W685">
        <f>Tabla35[[#This Row],[BN CARTA]]-Tabla34[[#This Row],[BN CARTA]]</f>
        <v>16</v>
      </c>
      <c r="X685">
        <f>Tabla35[[#This Row],[BN OFICIO]]-Tabla34[[#This Row],[BN OFICIO]]</f>
        <v>0</v>
      </c>
      <c r="Y685">
        <f>Tabla35[[#This Row],[BN DC]]-Tabla34[[#This Row],[BN DC]]</f>
        <v>0</v>
      </c>
      <c r="Z685">
        <f>Tabla35[[#This Row],[COLOR CARTA]]-Tabla34[[#This Row],[COLOR CARTA]]</f>
        <v>0</v>
      </c>
      <c r="AA685">
        <f>Tabla35[[#This Row],[COLOR OFICIO]]-Tabla34[[#This Row],[COLOR OFICIO]]</f>
        <v>0</v>
      </c>
      <c r="AB685">
        <f>Tabla35[[#This Row],[ENVIAR]]-Tabla34[[#This Row],[ENVIAR]]</f>
        <v>0</v>
      </c>
      <c r="AC685">
        <f>Tabla35[[#This Row],[COPIAR]]-Tabla34[[#This Row],[COPIAR]]</f>
        <v>0</v>
      </c>
    </row>
    <row r="686" spans="1:29" x14ac:dyDescent="0.25">
      <c r="A686" t="s">
        <v>10</v>
      </c>
      <c r="B686" t="s">
        <v>734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K686" t="s">
        <v>10</v>
      </c>
      <c r="L686" t="s">
        <v>743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U686" t="s">
        <v>10</v>
      </c>
      <c r="V686" t="s">
        <v>743</v>
      </c>
      <c r="W686">
        <f>Tabla35[[#This Row],[BN CARTA]]-Tabla34[[#This Row],[BN CARTA]]</f>
        <v>0</v>
      </c>
      <c r="X686">
        <f>Tabla35[[#This Row],[BN OFICIO]]-Tabla34[[#This Row],[BN OFICIO]]</f>
        <v>0</v>
      </c>
      <c r="Y686">
        <f>Tabla35[[#This Row],[BN DC]]-Tabla34[[#This Row],[BN DC]]</f>
        <v>0</v>
      </c>
      <c r="Z686">
        <f>Tabla35[[#This Row],[COLOR CARTA]]-Tabla34[[#This Row],[COLOR CARTA]]</f>
        <v>0</v>
      </c>
      <c r="AA686">
        <f>Tabla35[[#This Row],[COLOR OFICIO]]-Tabla34[[#This Row],[COLOR OFICIO]]</f>
        <v>0</v>
      </c>
      <c r="AB686">
        <f>Tabla35[[#This Row],[ENVIAR]]-Tabla34[[#This Row],[ENVIAR]]</f>
        <v>0</v>
      </c>
      <c r="AC686">
        <f>Tabla35[[#This Row],[COPIAR]]-Tabla34[[#This Row],[COPIAR]]</f>
        <v>0</v>
      </c>
    </row>
    <row r="687" spans="1:29" x14ac:dyDescent="0.25">
      <c r="A687" t="s">
        <v>10</v>
      </c>
      <c r="B687" t="s">
        <v>735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K687" t="s">
        <v>10</v>
      </c>
      <c r="L687" t="s">
        <v>744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U687" t="s">
        <v>10</v>
      </c>
      <c r="V687" t="s">
        <v>744</v>
      </c>
      <c r="W687">
        <f>Tabla35[[#This Row],[BN CARTA]]-Tabla34[[#This Row],[BN CARTA]]</f>
        <v>0</v>
      </c>
      <c r="X687">
        <f>Tabla35[[#This Row],[BN OFICIO]]-Tabla34[[#This Row],[BN OFICIO]]</f>
        <v>0</v>
      </c>
      <c r="Y687">
        <f>Tabla35[[#This Row],[BN DC]]-Tabla34[[#This Row],[BN DC]]</f>
        <v>0</v>
      </c>
      <c r="Z687">
        <f>Tabla35[[#This Row],[COLOR CARTA]]-Tabla34[[#This Row],[COLOR CARTA]]</f>
        <v>0</v>
      </c>
      <c r="AA687">
        <f>Tabla35[[#This Row],[COLOR OFICIO]]-Tabla34[[#This Row],[COLOR OFICIO]]</f>
        <v>0</v>
      </c>
      <c r="AB687">
        <f>Tabla35[[#This Row],[ENVIAR]]-Tabla34[[#This Row],[ENVIAR]]</f>
        <v>0</v>
      </c>
      <c r="AC687">
        <f>Tabla35[[#This Row],[COPIAR]]-Tabla34[[#This Row],[COPIAR]]</f>
        <v>0</v>
      </c>
    </row>
    <row r="688" spans="1:29" x14ac:dyDescent="0.25">
      <c r="A688" t="s">
        <v>10</v>
      </c>
      <c r="B688" t="s">
        <v>736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K688" t="s">
        <v>10</v>
      </c>
      <c r="L688" t="s">
        <v>745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U688" t="s">
        <v>10</v>
      </c>
      <c r="V688" t="s">
        <v>745</v>
      </c>
      <c r="W688">
        <f>Tabla35[[#This Row],[BN CARTA]]-Tabla34[[#This Row],[BN CARTA]]</f>
        <v>0</v>
      </c>
      <c r="X688">
        <f>Tabla35[[#This Row],[BN OFICIO]]-Tabla34[[#This Row],[BN OFICIO]]</f>
        <v>0</v>
      </c>
      <c r="Y688">
        <f>Tabla35[[#This Row],[BN DC]]-Tabla34[[#This Row],[BN DC]]</f>
        <v>0</v>
      </c>
      <c r="Z688">
        <f>Tabla35[[#This Row],[COLOR CARTA]]-Tabla34[[#This Row],[COLOR CARTA]]</f>
        <v>0</v>
      </c>
      <c r="AA688">
        <f>Tabla35[[#This Row],[COLOR OFICIO]]-Tabla34[[#This Row],[COLOR OFICIO]]</f>
        <v>0</v>
      </c>
      <c r="AB688">
        <f>Tabla35[[#This Row],[ENVIAR]]-Tabla34[[#This Row],[ENVIAR]]</f>
        <v>0</v>
      </c>
      <c r="AC688">
        <f>Tabla35[[#This Row],[COPIAR]]-Tabla34[[#This Row],[COPIAR]]</f>
        <v>0</v>
      </c>
    </row>
    <row r="689" spans="1:29" x14ac:dyDescent="0.25">
      <c r="A689" t="s">
        <v>10</v>
      </c>
      <c r="B689" t="s">
        <v>737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K689" t="s">
        <v>10</v>
      </c>
      <c r="L689" t="s">
        <v>746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U689" t="s">
        <v>10</v>
      </c>
      <c r="V689" t="s">
        <v>746</v>
      </c>
      <c r="W689">
        <f>Tabla35[[#This Row],[BN CARTA]]-Tabla34[[#This Row],[BN CARTA]]</f>
        <v>0</v>
      </c>
      <c r="X689">
        <f>Tabla35[[#This Row],[BN OFICIO]]-Tabla34[[#This Row],[BN OFICIO]]</f>
        <v>0</v>
      </c>
      <c r="Y689">
        <f>Tabla35[[#This Row],[BN DC]]-Tabla34[[#This Row],[BN DC]]</f>
        <v>0</v>
      </c>
      <c r="Z689">
        <f>Tabla35[[#This Row],[COLOR CARTA]]-Tabla34[[#This Row],[COLOR CARTA]]</f>
        <v>0</v>
      </c>
      <c r="AA689">
        <f>Tabla35[[#This Row],[COLOR OFICIO]]-Tabla34[[#This Row],[COLOR OFICIO]]</f>
        <v>0</v>
      </c>
      <c r="AB689">
        <f>Tabla35[[#This Row],[ENVIAR]]-Tabla34[[#This Row],[ENVIAR]]</f>
        <v>0</v>
      </c>
      <c r="AC689">
        <f>Tabla35[[#This Row],[COPIAR]]-Tabla34[[#This Row],[COPIAR]]</f>
        <v>0</v>
      </c>
    </row>
    <row r="690" spans="1:29" x14ac:dyDescent="0.25">
      <c r="A690" t="s">
        <v>10</v>
      </c>
      <c r="B690" t="s">
        <v>738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K690" t="s">
        <v>10</v>
      </c>
      <c r="L690" t="s">
        <v>747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U690" t="s">
        <v>10</v>
      </c>
      <c r="V690" t="s">
        <v>747</v>
      </c>
      <c r="W690">
        <f>Tabla35[[#This Row],[BN CARTA]]-Tabla34[[#This Row],[BN CARTA]]</f>
        <v>0</v>
      </c>
      <c r="X690">
        <f>Tabla35[[#This Row],[BN OFICIO]]-Tabla34[[#This Row],[BN OFICIO]]</f>
        <v>0</v>
      </c>
      <c r="Y690">
        <f>Tabla35[[#This Row],[BN DC]]-Tabla34[[#This Row],[BN DC]]</f>
        <v>0</v>
      </c>
      <c r="Z690">
        <f>Tabla35[[#This Row],[COLOR CARTA]]-Tabla34[[#This Row],[COLOR CARTA]]</f>
        <v>0</v>
      </c>
      <c r="AA690">
        <f>Tabla35[[#This Row],[COLOR OFICIO]]-Tabla34[[#This Row],[COLOR OFICIO]]</f>
        <v>0</v>
      </c>
      <c r="AB690">
        <f>Tabla35[[#This Row],[ENVIAR]]-Tabla34[[#This Row],[ENVIAR]]</f>
        <v>0</v>
      </c>
      <c r="AC690">
        <f>Tabla35[[#This Row],[COPIAR]]-Tabla34[[#This Row],[COPIAR]]</f>
        <v>0</v>
      </c>
    </row>
    <row r="691" spans="1:29" x14ac:dyDescent="0.25">
      <c r="A691" t="s">
        <v>10</v>
      </c>
      <c r="B691" t="s">
        <v>739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K691" t="s">
        <v>10</v>
      </c>
      <c r="L691" t="s">
        <v>748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U691" t="s">
        <v>10</v>
      </c>
      <c r="V691" t="s">
        <v>748</v>
      </c>
      <c r="W691">
        <f>Tabla35[[#This Row],[BN CARTA]]-Tabla34[[#This Row],[BN CARTA]]</f>
        <v>0</v>
      </c>
      <c r="X691">
        <f>Tabla35[[#This Row],[BN OFICIO]]-Tabla34[[#This Row],[BN OFICIO]]</f>
        <v>0</v>
      </c>
      <c r="Y691">
        <f>Tabla35[[#This Row],[BN DC]]-Tabla34[[#This Row],[BN DC]]</f>
        <v>0</v>
      </c>
      <c r="Z691">
        <f>Tabla35[[#This Row],[COLOR CARTA]]-Tabla34[[#This Row],[COLOR CARTA]]</f>
        <v>0</v>
      </c>
      <c r="AA691">
        <f>Tabla35[[#This Row],[COLOR OFICIO]]-Tabla34[[#This Row],[COLOR OFICIO]]</f>
        <v>0</v>
      </c>
      <c r="AB691">
        <f>Tabla35[[#This Row],[ENVIAR]]-Tabla34[[#This Row],[ENVIAR]]</f>
        <v>0</v>
      </c>
      <c r="AC691">
        <f>Tabla35[[#This Row],[COPIAR]]-Tabla34[[#This Row],[COPIAR]]</f>
        <v>0</v>
      </c>
    </row>
    <row r="692" spans="1:29" x14ac:dyDescent="0.25">
      <c r="A692" t="s">
        <v>10</v>
      </c>
      <c r="B692" t="s">
        <v>740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K692" t="s">
        <v>796</v>
      </c>
      <c r="L692" t="s">
        <v>749</v>
      </c>
      <c r="M692">
        <v>2167</v>
      </c>
      <c r="N692">
        <v>2</v>
      </c>
      <c r="O692">
        <v>0</v>
      </c>
      <c r="P692">
        <v>0</v>
      </c>
      <c r="Q692">
        <v>0</v>
      </c>
      <c r="R692">
        <v>0</v>
      </c>
      <c r="S692">
        <v>0</v>
      </c>
      <c r="U692" t="s">
        <v>796</v>
      </c>
      <c r="V692" t="s">
        <v>749</v>
      </c>
      <c r="W692">
        <f>Tabla35[[#This Row],[BN CARTA]]-Tabla34[[#This Row],[BN CARTA]]</f>
        <v>2167</v>
      </c>
      <c r="X692">
        <f>Tabla35[[#This Row],[BN OFICIO]]-Tabla34[[#This Row],[BN OFICIO]]</f>
        <v>2</v>
      </c>
      <c r="Y692">
        <f>Tabla35[[#This Row],[BN DC]]-Tabla34[[#This Row],[BN DC]]</f>
        <v>0</v>
      </c>
      <c r="Z692">
        <f>Tabla35[[#This Row],[COLOR CARTA]]-Tabla34[[#This Row],[COLOR CARTA]]</f>
        <v>0</v>
      </c>
      <c r="AA692">
        <f>Tabla35[[#This Row],[COLOR OFICIO]]-Tabla34[[#This Row],[COLOR OFICIO]]</f>
        <v>0</v>
      </c>
      <c r="AB692">
        <f>Tabla35[[#This Row],[ENVIAR]]-Tabla34[[#This Row],[ENVIAR]]</f>
        <v>0</v>
      </c>
      <c r="AC692">
        <f>Tabla35[[#This Row],[COPIAR]]-Tabla34[[#This Row],[COPIAR]]</f>
        <v>0</v>
      </c>
    </row>
    <row r="693" spans="1:29" x14ac:dyDescent="0.25">
      <c r="A693" t="s">
        <v>134</v>
      </c>
      <c r="B693" t="s">
        <v>741</v>
      </c>
      <c r="C693">
        <v>27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K693" t="s">
        <v>226</v>
      </c>
      <c r="L693" t="s">
        <v>750</v>
      </c>
      <c r="M693">
        <v>59</v>
      </c>
      <c r="N693">
        <v>5</v>
      </c>
      <c r="O693">
        <v>0</v>
      </c>
      <c r="P693">
        <v>0</v>
      </c>
      <c r="Q693">
        <v>0</v>
      </c>
      <c r="R693">
        <v>0</v>
      </c>
      <c r="S693">
        <v>0</v>
      </c>
      <c r="U693" t="s">
        <v>226</v>
      </c>
      <c r="V693" t="s">
        <v>750</v>
      </c>
      <c r="W693">
        <f>Tabla35[[#This Row],[BN CARTA]]-Tabla34[[#This Row],[BN CARTA]]</f>
        <v>32</v>
      </c>
      <c r="X693">
        <f>Tabla35[[#This Row],[BN OFICIO]]-Tabla34[[#This Row],[BN OFICIO]]</f>
        <v>5</v>
      </c>
      <c r="Y693">
        <f>Tabla35[[#This Row],[BN DC]]-Tabla34[[#This Row],[BN DC]]</f>
        <v>0</v>
      </c>
      <c r="Z693">
        <f>Tabla35[[#This Row],[COLOR CARTA]]-Tabla34[[#This Row],[COLOR CARTA]]</f>
        <v>0</v>
      </c>
      <c r="AA693">
        <f>Tabla35[[#This Row],[COLOR OFICIO]]-Tabla34[[#This Row],[COLOR OFICIO]]</f>
        <v>0</v>
      </c>
      <c r="AB693">
        <f>Tabla35[[#This Row],[ENVIAR]]-Tabla34[[#This Row],[ENVIAR]]</f>
        <v>0</v>
      </c>
      <c r="AC693">
        <f>Tabla35[[#This Row],[COPIAR]]-Tabla34[[#This Row],[COPIAR]]</f>
        <v>0</v>
      </c>
    </row>
    <row r="694" spans="1:29" x14ac:dyDescent="0.25">
      <c r="A694" t="s">
        <v>188</v>
      </c>
      <c r="B694" t="s">
        <v>742</v>
      </c>
      <c r="C694">
        <v>16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K694" t="s">
        <v>10</v>
      </c>
      <c r="L694" t="s">
        <v>751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U694" t="s">
        <v>10</v>
      </c>
      <c r="V694" t="s">
        <v>751</v>
      </c>
      <c r="W694">
        <f>Tabla35[[#This Row],[BN CARTA]]-Tabla34[[#This Row],[BN CARTA]]</f>
        <v>-16</v>
      </c>
      <c r="X694">
        <f>Tabla35[[#This Row],[BN OFICIO]]-Tabla34[[#This Row],[BN OFICIO]]</f>
        <v>0</v>
      </c>
      <c r="Y694">
        <f>Tabla35[[#This Row],[BN DC]]-Tabla34[[#This Row],[BN DC]]</f>
        <v>0</v>
      </c>
      <c r="Z694">
        <f>Tabla35[[#This Row],[COLOR CARTA]]-Tabla34[[#This Row],[COLOR CARTA]]</f>
        <v>0</v>
      </c>
      <c r="AA694">
        <f>Tabla35[[#This Row],[COLOR OFICIO]]-Tabla34[[#This Row],[COLOR OFICIO]]</f>
        <v>0</v>
      </c>
      <c r="AB694">
        <f>Tabla35[[#This Row],[ENVIAR]]-Tabla34[[#This Row],[ENVIAR]]</f>
        <v>0</v>
      </c>
      <c r="AC694">
        <f>Tabla35[[#This Row],[COPIAR]]-Tabla34[[#This Row],[COPIAR]]</f>
        <v>0</v>
      </c>
    </row>
    <row r="695" spans="1:29" x14ac:dyDescent="0.25">
      <c r="A695" t="s">
        <v>10</v>
      </c>
      <c r="B695" t="s">
        <v>743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K695" t="s">
        <v>10</v>
      </c>
      <c r="L695" t="s">
        <v>752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U695" t="s">
        <v>10</v>
      </c>
      <c r="V695" t="s">
        <v>752</v>
      </c>
      <c r="W695">
        <f>Tabla35[[#This Row],[BN CARTA]]-Tabla34[[#This Row],[BN CARTA]]</f>
        <v>0</v>
      </c>
      <c r="X695">
        <f>Tabla35[[#This Row],[BN OFICIO]]-Tabla34[[#This Row],[BN OFICIO]]</f>
        <v>0</v>
      </c>
      <c r="Y695">
        <f>Tabla35[[#This Row],[BN DC]]-Tabla34[[#This Row],[BN DC]]</f>
        <v>0</v>
      </c>
      <c r="Z695">
        <f>Tabla35[[#This Row],[COLOR CARTA]]-Tabla34[[#This Row],[COLOR CARTA]]</f>
        <v>0</v>
      </c>
      <c r="AA695">
        <f>Tabla35[[#This Row],[COLOR OFICIO]]-Tabla34[[#This Row],[COLOR OFICIO]]</f>
        <v>0</v>
      </c>
      <c r="AB695">
        <f>Tabla35[[#This Row],[ENVIAR]]-Tabla34[[#This Row],[ENVIAR]]</f>
        <v>0</v>
      </c>
      <c r="AC695">
        <f>Tabla35[[#This Row],[COPIAR]]-Tabla34[[#This Row],[COPIAR]]</f>
        <v>0</v>
      </c>
    </row>
    <row r="696" spans="1:29" x14ac:dyDescent="0.25">
      <c r="A696" t="s">
        <v>10</v>
      </c>
      <c r="B696" t="s">
        <v>744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K696" t="s">
        <v>69</v>
      </c>
      <c r="L696" t="s">
        <v>753</v>
      </c>
      <c r="M696">
        <v>3479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U696" t="s">
        <v>69</v>
      </c>
      <c r="V696" t="s">
        <v>753</v>
      </c>
      <c r="W696">
        <f>Tabla35[[#This Row],[BN CARTA]]-Tabla34[[#This Row],[BN CARTA]]</f>
        <v>3479</v>
      </c>
      <c r="X696">
        <f>Tabla35[[#This Row],[BN OFICIO]]-Tabla34[[#This Row],[BN OFICIO]]</f>
        <v>0</v>
      </c>
      <c r="Y696">
        <f>Tabla35[[#This Row],[BN DC]]-Tabla34[[#This Row],[BN DC]]</f>
        <v>0</v>
      </c>
      <c r="Z696">
        <f>Tabla35[[#This Row],[COLOR CARTA]]-Tabla34[[#This Row],[COLOR CARTA]]</f>
        <v>0</v>
      </c>
      <c r="AA696">
        <f>Tabla35[[#This Row],[COLOR OFICIO]]-Tabla34[[#This Row],[COLOR OFICIO]]</f>
        <v>0</v>
      </c>
      <c r="AB696">
        <f>Tabla35[[#This Row],[ENVIAR]]-Tabla34[[#This Row],[ENVIAR]]</f>
        <v>0</v>
      </c>
      <c r="AC696">
        <f>Tabla35[[#This Row],[COPIAR]]-Tabla34[[#This Row],[COPIAR]]</f>
        <v>0</v>
      </c>
    </row>
    <row r="697" spans="1:29" x14ac:dyDescent="0.25">
      <c r="A697" t="s">
        <v>10</v>
      </c>
      <c r="B697" t="s">
        <v>745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K697" t="s">
        <v>10</v>
      </c>
      <c r="L697" t="s">
        <v>754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U697" t="s">
        <v>10</v>
      </c>
      <c r="V697" t="s">
        <v>754</v>
      </c>
      <c r="W697">
        <f>Tabla35[[#This Row],[BN CARTA]]-Tabla34[[#This Row],[BN CARTA]]</f>
        <v>0</v>
      </c>
      <c r="X697">
        <f>Tabla35[[#This Row],[BN OFICIO]]-Tabla34[[#This Row],[BN OFICIO]]</f>
        <v>0</v>
      </c>
      <c r="Y697">
        <f>Tabla35[[#This Row],[BN DC]]-Tabla34[[#This Row],[BN DC]]</f>
        <v>0</v>
      </c>
      <c r="Z697">
        <f>Tabla35[[#This Row],[COLOR CARTA]]-Tabla34[[#This Row],[COLOR CARTA]]</f>
        <v>0</v>
      </c>
      <c r="AA697">
        <f>Tabla35[[#This Row],[COLOR OFICIO]]-Tabla34[[#This Row],[COLOR OFICIO]]</f>
        <v>0</v>
      </c>
      <c r="AB697">
        <f>Tabla35[[#This Row],[ENVIAR]]-Tabla34[[#This Row],[ENVIAR]]</f>
        <v>0</v>
      </c>
      <c r="AC697">
        <f>Tabla35[[#This Row],[COPIAR]]-Tabla34[[#This Row],[COPIAR]]</f>
        <v>0</v>
      </c>
    </row>
    <row r="698" spans="1:29" x14ac:dyDescent="0.25">
      <c r="A698" t="s">
        <v>10</v>
      </c>
      <c r="B698" t="s">
        <v>746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K698" t="s">
        <v>10</v>
      </c>
      <c r="L698" t="s">
        <v>755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U698" t="s">
        <v>10</v>
      </c>
      <c r="V698" t="s">
        <v>755</v>
      </c>
      <c r="W698">
        <f>Tabla35[[#This Row],[BN CARTA]]-Tabla34[[#This Row],[BN CARTA]]</f>
        <v>0</v>
      </c>
      <c r="X698">
        <f>Tabla35[[#This Row],[BN OFICIO]]-Tabla34[[#This Row],[BN OFICIO]]</f>
        <v>0</v>
      </c>
      <c r="Y698">
        <f>Tabla35[[#This Row],[BN DC]]-Tabla34[[#This Row],[BN DC]]</f>
        <v>0</v>
      </c>
      <c r="Z698">
        <f>Tabla35[[#This Row],[COLOR CARTA]]-Tabla34[[#This Row],[COLOR CARTA]]</f>
        <v>0</v>
      </c>
      <c r="AA698">
        <f>Tabla35[[#This Row],[COLOR OFICIO]]-Tabla34[[#This Row],[COLOR OFICIO]]</f>
        <v>0</v>
      </c>
      <c r="AB698">
        <f>Tabla35[[#This Row],[ENVIAR]]-Tabla34[[#This Row],[ENVIAR]]</f>
        <v>0</v>
      </c>
      <c r="AC698">
        <f>Tabla35[[#This Row],[COPIAR]]-Tabla34[[#This Row],[COPIAR]]</f>
        <v>0</v>
      </c>
    </row>
    <row r="699" spans="1:29" x14ac:dyDescent="0.25">
      <c r="A699" t="s">
        <v>10</v>
      </c>
      <c r="B699" t="s">
        <v>747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K699" t="s">
        <v>794</v>
      </c>
      <c r="L699" t="s">
        <v>756</v>
      </c>
      <c r="M699">
        <v>1323</v>
      </c>
      <c r="N699">
        <v>19</v>
      </c>
      <c r="O699">
        <v>0</v>
      </c>
      <c r="P699">
        <v>0</v>
      </c>
      <c r="Q699">
        <v>0</v>
      </c>
      <c r="R699">
        <v>0</v>
      </c>
      <c r="S699">
        <v>0</v>
      </c>
      <c r="U699" t="s">
        <v>794</v>
      </c>
      <c r="V699" t="s">
        <v>756</v>
      </c>
      <c r="W699">
        <f>Tabla35[[#This Row],[BN CARTA]]-Tabla34[[#This Row],[BN CARTA]]</f>
        <v>1323</v>
      </c>
      <c r="X699">
        <f>Tabla35[[#This Row],[BN OFICIO]]-Tabla34[[#This Row],[BN OFICIO]]</f>
        <v>19</v>
      </c>
      <c r="Y699">
        <f>Tabla35[[#This Row],[BN DC]]-Tabla34[[#This Row],[BN DC]]</f>
        <v>0</v>
      </c>
      <c r="Z699">
        <f>Tabla35[[#This Row],[COLOR CARTA]]-Tabla34[[#This Row],[COLOR CARTA]]</f>
        <v>0</v>
      </c>
      <c r="AA699">
        <f>Tabla35[[#This Row],[COLOR OFICIO]]-Tabla34[[#This Row],[COLOR OFICIO]]</f>
        <v>0</v>
      </c>
      <c r="AB699">
        <f>Tabla35[[#This Row],[ENVIAR]]-Tabla34[[#This Row],[ENVIAR]]</f>
        <v>0</v>
      </c>
      <c r="AC699">
        <f>Tabla35[[#This Row],[COPIAR]]-Tabla34[[#This Row],[COPIAR]]</f>
        <v>0</v>
      </c>
    </row>
    <row r="700" spans="1:29" x14ac:dyDescent="0.25">
      <c r="A700" t="s">
        <v>10</v>
      </c>
      <c r="B700" t="s">
        <v>748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K700" t="s">
        <v>120</v>
      </c>
      <c r="L700" t="s">
        <v>757</v>
      </c>
      <c r="M700">
        <v>2952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U700" t="s">
        <v>120</v>
      </c>
      <c r="V700" t="s">
        <v>757</v>
      </c>
      <c r="W700">
        <f>Tabla35[[#This Row],[BN CARTA]]-Tabla34[[#This Row],[BN CARTA]]</f>
        <v>2952</v>
      </c>
      <c r="X700">
        <f>Tabla35[[#This Row],[BN OFICIO]]-Tabla34[[#This Row],[BN OFICIO]]</f>
        <v>0</v>
      </c>
      <c r="Y700">
        <f>Tabla35[[#This Row],[BN DC]]-Tabla34[[#This Row],[BN DC]]</f>
        <v>0</v>
      </c>
      <c r="Z700">
        <f>Tabla35[[#This Row],[COLOR CARTA]]-Tabla34[[#This Row],[COLOR CARTA]]</f>
        <v>0</v>
      </c>
      <c r="AA700">
        <f>Tabla35[[#This Row],[COLOR OFICIO]]-Tabla34[[#This Row],[COLOR OFICIO]]</f>
        <v>0</v>
      </c>
      <c r="AB700">
        <f>Tabla35[[#This Row],[ENVIAR]]-Tabla34[[#This Row],[ENVIAR]]</f>
        <v>0</v>
      </c>
      <c r="AC700">
        <f>Tabla35[[#This Row],[COPIAR]]-Tabla34[[#This Row],[COPIAR]]</f>
        <v>0</v>
      </c>
    </row>
    <row r="701" spans="1:29" x14ac:dyDescent="0.25">
      <c r="A701" t="s">
        <v>10</v>
      </c>
      <c r="B701" t="s">
        <v>749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K701" t="s">
        <v>788</v>
      </c>
      <c r="L701" t="s">
        <v>758</v>
      </c>
      <c r="M701">
        <v>1468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U701" t="s">
        <v>788</v>
      </c>
      <c r="V701" t="s">
        <v>758</v>
      </c>
      <c r="W701">
        <f>Tabla35[[#This Row],[BN CARTA]]-Tabla34[[#This Row],[BN CARTA]]</f>
        <v>1468</v>
      </c>
      <c r="X701">
        <f>Tabla35[[#This Row],[BN OFICIO]]-Tabla34[[#This Row],[BN OFICIO]]</f>
        <v>0</v>
      </c>
      <c r="Y701">
        <f>Tabla35[[#This Row],[BN DC]]-Tabla34[[#This Row],[BN DC]]</f>
        <v>0</v>
      </c>
      <c r="Z701">
        <f>Tabla35[[#This Row],[COLOR CARTA]]-Tabla34[[#This Row],[COLOR CARTA]]</f>
        <v>0</v>
      </c>
      <c r="AA701">
        <f>Tabla35[[#This Row],[COLOR OFICIO]]-Tabla34[[#This Row],[COLOR OFICIO]]</f>
        <v>0</v>
      </c>
      <c r="AB701">
        <f>Tabla35[[#This Row],[ENVIAR]]-Tabla34[[#This Row],[ENVIAR]]</f>
        <v>0</v>
      </c>
      <c r="AC701">
        <f>Tabla35[[#This Row],[COPIAR]]-Tabla34[[#This Row],[COPIAR]]</f>
        <v>0</v>
      </c>
    </row>
    <row r="702" spans="1:29" x14ac:dyDescent="0.25">
      <c r="A702" t="s">
        <v>226</v>
      </c>
      <c r="B702" t="s">
        <v>750</v>
      </c>
      <c r="C702">
        <v>59</v>
      </c>
      <c r="D702">
        <v>5</v>
      </c>
      <c r="E702">
        <v>0</v>
      </c>
      <c r="F702">
        <v>0</v>
      </c>
      <c r="G702">
        <v>0</v>
      </c>
      <c r="H702">
        <v>0</v>
      </c>
      <c r="I702">
        <v>0</v>
      </c>
      <c r="K702" t="s">
        <v>146</v>
      </c>
      <c r="L702" t="s">
        <v>759</v>
      </c>
      <c r="M702">
        <v>7480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U702" t="s">
        <v>146</v>
      </c>
      <c r="V702" t="s">
        <v>759</v>
      </c>
      <c r="W702">
        <f>Tabla35[[#This Row],[BN CARTA]]-Tabla34[[#This Row],[BN CARTA]]</f>
        <v>7421</v>
      </c>
      <c r="X702">
        <f>Tabla35[[#This Row],[BN OFICIO]]-Tabla34[[#This Row],[BN OFICIO]]</f>
        <v>-5</v>
      </c>
      <c r="Y702">
        <f>Tabla35[[#This Row],[BN DC]]-Tabla34[[#This Row],[BN DC]]</f>
        <v>0</v>
      </c>
      <c r="Z702">
        <f>Tabla35[[#This Row],[COLOR CARTA]]-Tabla34[[#This Row],[COLOR CARTA]]</f>
        <v>0</v>
      </c>
      <c r="AA702">
        <f>Tabla35[[#This Row],[COLOR OFICIO]]-Tabla34[[#This Row],[COLOR OFICIO]]</f>
        <v>0</v>
      </c>
      <c r="AB702">
        <f>Tabla35[[#This Row],[ENVIAR]]-Tabla34[[#This Row],[ENVIAR]]</f>
        <v>0</v>
      </c>
      <c r="AC702">
        <f>Tabla35[[#This Row],[COPIAR]]-Tabla34[[#This Row],[COPIAR]]</f>
        <v>0</v>
      </c>
    </row>
    <row r="703" spans="1:29" x14ac:dyDescent="0.25">
      <c r="A703" t="s">
        <v>10</v>
      </c>
      <c r="B703" t="s">
        <v>751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K703" t="s">
        <v>795</v>
      </c>
      <c r="L703" t="s">
        <v>760</v>
      </c>
      <c r="M703">
        <v>6652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U703" t="s">
        <v>795</v>
      </c>
      <c r="V703" t="s">
        <v>760</v>
      </c>
      <c r="W703">
        <f>Tabla35[[#This Row],[BN CARTA]]-Tabla34[[#This Row],[BN CARTA]]</f>
        <v>6652</v>
      </c>
      <c r="X703">
        <f>Tabla35[[#This Row],[BN OFICIO]]-Tabla34[[#This Row],[BN OFICIO]]</f>
        <v>0</v>
      </c>
      <c r="Y703">
        <f>Tabla35[[#This Row],[BN DC]]-Tabla34[[#This Row],[BN DC]]</f>
        <v>0</v>
      </c>
      <c r="Z703">
        <f>Tabla35[[#This Row],[COLOR CARTA]]-Tabla34[[#This Row],[COLOR CARTA]]</f>
        <v>0</v>
      </c>
      <c r="AA703">
        <f>Tabla35[[#This Row],[COLOR OFICIO]]-Tabla34[[#This Row],[COLOR OFICIO]]</f>
        <v>0</v>
      </c>
      <c r="AB703">
        <f>Tabla35[[#This Row],[ENVIAR]]-Tabla34[[#This Row],[ENVIAR]]</f>
        <v>0</v>
      </c>
      <c r="AC703">
        <f>Tabla35[[#This Row],[COPIAR]]-Tabla34[[#This Row],[COPIAR]]</f>
        <v>0</v>
      </c>
    </row>
    <row r="704" spans="1:29" x14ac:dyDescent="0.25">
      <c r="A704" t="s">
        <v>10</v>
      </c>
      <c r="B704" t="s">
        <v>752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K704" t="s">
        <v>10</v>
      </c>
      <c r="L704" t="s">
        <v>761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U704" t="s">
        <v>10</v>
      </c>
      <c r="V704" t="s">
        <v>761</v>
      </c>
      <c r="W704">
        <f>Tabla35[[#This Row],[BN CARTA]]-Tabla34[[#This Row],[BN CARTA]]</f>
        <v>0</v>
      </c>
      <c r="X704">
        <f>Tabla35[[#This Row],[BN OFICIO]]-Tabla34[[#This Row],[BN OFICIO]]</f>
        <v>0</v>
      </c>
      <c r="Y704">
        <f>Tabla35[[#This Row],[BN DC]]-Tabla34[[#This Row],[BN DC]]</f>
        <v>0</v>
      </c>
      <c r="Z704">
        <f>Tabla35[[#This Row],[COLOR CARTA]]-Tabla34[[#This Row],[COLOR CARTA]]</f>
        <v>0</v>
      </c>
      <c r="AA704">
        <f>Tabla35[[#This Row],[COLOR OFICIO]]-Tabla34[[#This Row],[COLOR OFICIO]]</f>
        <v>0</v>
      </c>
      <c r="AB704">
        <f>Tabla35[[#This Row],[ENVIAR]]-Tabla34[[#This Row],[ENVIAR]]</f>
        <v>0</v>
      </c>
      <c r="AC704">
        <f>Tabla35[[#This Row],[COPIAR]]-Tabla34[[#This Row],[COPIAR]]</f>
        <v>0</v>
      </c>
    </row>
    <row r="705" spans="1:29" x14ac:dyDescent="0.25">
      <c r="A705" t="s">
        <v>69</v>
      </c>
      <c r="B705" t="s">
        <v>753</v>
      </c>
      <c r="C705">
        <v>1171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K705" t="s">
        <v>10</v>
      </c>
      <c r="L705" t="s">
        <v>762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U705" t="s">
        <v>10</v>
      </c>
      <c r="V705" t="s">
        <v>762</v>
      </c>
      <c r="W705">
        <f>Tabla35[[#This Row],[BN CARTA]]-Tabla34[[#This Row],[BN CARTA]]</f>
        <v>-1171</v>
      </c>
      <c r="X705">
        <f>Tabla35[[#This Row],[BN OFICIO]]-Tabla34[[#This Row],[BN OFICIO]]</f>
        <v>0</v>
      </c>
      <c r="Y705">
        <f>Tabla35[[#This Row],[BN DC]]-Tabla34[[#This Row],[BN DC]]</f>
        <v>0</v>
      </c>
      <c r="Z705">
        <f>Tabla35[[#This Row],[COLOR CARTA]]-Tabla34[[#This Row],[COLOR CARTA]]</f>
        <v>0</v>
      </c>
      <c r="AA705">
        <f>Tabla35[[#This Row],[COLOR OFICIO]]-Tabla34[[#This Row],[COLOR OFICIO]]</f>
        <v>0</v>
      </c>
      <c r="AB705">
        <f>Tabla35[[#This Row],[ENVIAR]]-Tabla34[[#This Row],[ENVIAR]]</f>
        <v>0</v>
      </c>
      <c r="AC705">
        <f>Tabla35[[#This Row],[COPIAR]]-Tabla34[[#This Row],[COPIAR]]</f>
        <v>0</v>
      </c>
    </row>
    <row r="706" spans="1:29" x14ac:dyDescent="0.25">
      <c r="A706" t="s">
        <v>10</v>
      </c>
      <c r="B706" t="s">
        <v>754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K706" t="s">
        <v>138</v>
      </c>
      <c r="L706" t="s">
        <v>763</v>
      </c>
      <c r="M706">
        <v>1331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U706" t="s">
        <v>138</v>
      </c>
      <c r="V706" t="s">
        <v>763</v>
      </c>
      <c r="W706">
        <f>Tabla35[[#This Row],[BN CARTA]]-Tabla34[[#This Row],[BN CARTA]]</f>
        <v>1331</v>
      </c>
      <c r="X706">
        <f>Tabla35[[#This Row],[BN OFICIO]]-Tabla34[[#This Row],[BN OFICIO]]</f>
        <v>0</v>
      </c>
      <c r="Y706">
        <f>Tabla35[[#This Row],[BN DC]]-Tabla34[[#This Row],[BN DC]]</f>
        <v>0</v>
      </c>
      <c r="Z706">
        <f>Tabla35[[#This Row],[COLOR CARTA]]-Tabla34[[#This Row],[COLOR CARTA]]</f>
        <v>0</v>
      </c>
      <c r="AA706">
        <f>Tabla35[[#This Row],[COLOR OFICIO]]-Tabla34[[#This Row],[COLOR OFICIO]]</f>
        <v>0</v>
      </c>
      <c r="AB706">
        <f>Tabla35[[#This Row],[ENVIAR]]-Tabla34[[#This Row],[ENVIAR]]</f>
        <v>0</v>
      </c>
      <c r="AC706">
        <f>Tabla35[[#This Row],[COPIAR]]-Tabla34[[#This Row],[COPIAR]]</f>
        <v>0</v>
      </c>
    </row>
    <row r="707" spans="1:29" x14ac:dyDescent="0.25">
      <c r="A707" t="s">
        <v>10</v>
      </c>
      <c r="B707" t="s">
        <v>755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K707" t="s">
        <v>10</v>
      </c>
      <c r="L707" t="s">
        <v>764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U707" t="s">
        <v>10</v>
      </c>
      <c r="V707" t="s">
        <v>764</v>
      </c>
      <c r="W707">
        <f>Tabla35[[#This Row],[BN CARTA]]-Tabla34[[#This Row],[BN CARTA]]</f>
        <v>0</v>
      </c>
      <c r="X707">
        <f>Tabla35[[#This Row],[BN OFICIO]]-Tabla34[[#This Row],[BN OFICIO]]</f>
        <v>0</v>
      </c>
      <c r="Y707">
        <f>Tabla35[[#This Row],[BN DC]]-Tabla34[[#This Row],[BN DC]]</f>
        <v>0</v>
      </c>
      <c r="Z707">
        <f>Tabla35[[#This Row],[COLOR CARTA]]-Tabla34[[#This Row],[COLOR CARTA]]</f>
        <v>0</v>
      </c>
      <c r="AA707">
        <f>Tabla35[[#This Row],[COLOR OFICIO]]-Tabla34[[#This Row],[COLOR OFICIO]]</f>
        <v>0</v>
      </c>
      <c r="AB707">
        <f>Tabla35[[#This Row],[ENVIAR]]-Tabla34[[#This Row],[ENVIAR]]</f>
        <v>0</v>
      </c>
      <c r="AC707">
        <f>Tabla35[[#This Row],[COPIAR]]-Tabla34[[#This Row],[COPIAR]]</f>
        <v>0</v>
      </c>
    </row>
    <row r="708" spans="1:29" x14ac:dyDescent="0.25">
      <c r="A708" t="s">
        <v>10</v>
      </c>
      <c r="B708" t="s">
        <v>756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K708" t="s">
        <v>10</v>
      </c>
      <c r="L708" t="s">
        <v>765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U708" t="s">
        <v>10</v>
      </c>
      <c r="V708" t="s">
        <v>765</v>
      </c>
      <c r="W708">
        <f>Tabla35[[#This Row],[BN CARTA]]-Tabla34[[#This Row],[BN CARTA]]</f>
        <v>0</v>
      </c>
      <c r="X708">
        <f>Tabla35[[#This Row],[BN OFICIO]]-Tabla34[[#This Row],[BN OFICIO]]</f>
        <v>0</v>
      </c>
      <c r="Y708">
        <f>Tabla35[[#This Row],[BN DC]]-Tabla34[[#This Row],[BN DC]]</f>
        <v>0</v>
      </c>
      <c r="Z708">
        <f>Tabla35[[#This Row],[COLOR CARTA]]-Tabla34[[#This Row],[COLOR CARTA]]</f>
        <v>0</v>
      </c>
      <c r="AA708">
        <f>Tabla35[[#This Row],[COLOR OFICIO]]-Tabla34[[#This Row],[COLOR OFICIO]]</f>
        <v>0</v>
      </c>
      <c r="AB708">
        <f>Tabla35[[#This Row],[ENVIAR]]-Tabla34[[#This Row],[ENVIAR]]</f>
        <v>0</v>
      </c>
      <c r="AC708">
        <f>Tabla35[[#This Row],[COPIAR]]-Tabla34[[#This Row],[COPIAR]]</f>
        <v>0</v>
      </c>
    </row>
    <row r="709" spans="1:29" x14ac:dyDescent="0.25">
      <c r="A709" t="s">
        <v>120</v>
      </c>
      <c r="B709" t="s">
        <v>757</v>
      </c>
      <c r="C709">
        <v>581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K709" t="s">
        <v>10</v>
      </c>
      <c r="L709" t="s">
        <v>766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U709" t="s">
        <v>10</v>
      </c>
      <c r="V709" t="s">
        <v>766</v>
      </c>
      <c r="W709">
        <f>Tabla35[[#This Row],[BN CARTA]]-Tabla34[[#This Row],[BN CARTA]]</f>
        <v>-581</v>
      </c>
      <c r="X709">
        <f>Tabla35[[#This Row],[BN OFICIO]]-Tabla34[[#This Row],[BN OFICIO]]</f>
        <v>0</v>
      </c>
      <c r="Y709">
        <f>Tabla35[[#This Row],[BN DC]]-Tabla34[[#This Row],[BN DC]]</f>
        <v>0</v>
      </c>
      <c r="Z709">
        <f>Tabla35[[#This Row],[COLOR CARTA]]-Tabla34[[#This Row],[COLOR CARTA]]</f>
        <v>0</v>
      </c>
      <c r="AA709">
        <f>Tabla35[[#This Row],[COLOR OFICIO]]-Tabla34[[#This Row],[COLOR OFICIO]]</f>
        <v>0</v>
      </c>
      <c r="AB709">
        <f>Tabla35[[#This Row],[ENVIAR]]-Tabla34[[#This Row],[ENVIAR]]</f>
        <v>0</v>
      </c>
      <c r="AC709">
        <f>Tabla35[[#This Row],[COPIAR]]-Tabla34[[#This Row],[COPIAR]]</f>
        <v>0</v>
      </c>
    </row>
    <row r="710" spans="1:29" x14ac:dyDescent="0.25">
      <c r="A710" t="s">
        <v>10</v>
      </c>
      <c r="B710" t="s">
        <v>758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K710" t="s">
        <v>131</v>
      </c>
      <c r="L710" t="s">
        <v>767</v>
      </c>
      <c r="M710">
        <v>282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U710" t="s">
        <v>131</v>
      </c>
      <c r="V710" t="s">
        <v>767</v>
      </c>
      <c r="W710">
        <f>Tabla35[[#This Row],[BN CARTA]]-Tabla34[[#This Row],[BN CARTA]]</f>
        <v>282</v>
      </c>
      <c r="X710">
        <f>Tabla35[[#This Row],[BN OFICIO]]-Tabla34[[#This Row],[BN OFICIO]]</f>
        <v>0</v>
      </c>
      <c r="Y710">
        <f>Tabla35[[#This Row],[BN DC]]-Tabla34[[#This Row],[BN DC]]</f>
        <v>0</v>
      </c>
      <c r="Z710">
        <f>Tabla35[[#This Row],[COLOR CARTA]]-Tabla34[[#This Row],[COLOR CARTA]]</f>
        <v>0</v>
      </c>
      <c r="AA710">
        <f>Tabla35[[#This Row],[COLOR OFICIO]]-Tabla34[[#This Row],[COLOR OFICIO]]</f>
        <v>0</v>
      </c>
      <c r="AB710">
        <f>Tabla35[[#This Row],[ENVIAR]]-Tabla34[[#This Row],[ENVIAR]]</f>
        <v>0</v>
      </c>
      <c r="AC710">
        <f>Tabla35[[#This Row],[COPIAR]]-Tabla34[[#This Row],[COPIAR]]</f>
        <v>0</v>
      </c>
    </row>
    <row r="711" spans="1:29" x14ac:dyDescent="0.25">
      <c r="A711" t="s">
        <v>146</v>
      </c>
      <c r="B711" t="s">
        <v>759</v>
      </c>
      <c r="C711">
        <v>433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K711" t="s">
        <v>76</v>
      </c>
      <c r="L711" t="s">
        <v>768</v>
      </c>
      <c r="M711">
        <v>3789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U711" t="s">
        <v>76</v>
      </c>
      <c r="V711" t="s">
        <v>768</v>
      </c>
      <c r="W711">
        <f>Tabla35[[#This Row],[BN CARTA]]-Tabla34[[#This Row],[BN CARTA]]</f>
        <v>3356</v>
      </c>
      <c r="X711">
        <f>Tabla35[[#This Row],[BN OFICIO]]-Tabla34[[#This Row],[BN OFICIO]]</f>
        <v>0</v>
      </c>
      <c r="Y711">
        <f>Tabla35[[#This Row],[BN DC]]-Tabla34[[#This Row],[BN DC]]</f>
        <v>0</v>
      </c>
      <c r="Z711">
        <f>Tabla35[[#This Row],[COLOR CARTA]]-Tabla34[[#This Row],[COLOR CARTA]]</f>
        <v>0</v>
      </c>
      <c r="AA711">
        <f>Tabla35[[#This Row],[COLOR OFICIO]]-Tabla34[[#This Row],[COLOR OFICIO]]</f>
        <v>0</v>
      </c>
      <c r="AB711">
        <f>Tabla35[[#This Row],[ENVIAR]]-Tabla34[[#This Row],[ENVIAR]]</f>
        <v>0</v>
      </c>
      <c r="AC711">
        <f>Tabla35[[#This Row],[COPIAR]]-Tabla34[[#This Row],[COPIAR]]</f>
        <v>0</v>
      </c>
    </row>
    <row r="712" spans="1:29" x14ac:dyDescent="0.25">
      <c r="A712" t="s">
        <v>10</v>
      </c>
      <c r="B712" t="s">
        <v>760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K712" t="s">
        <v>101</v>
      </c>
      <c r="L712" t="s">
        <v>769</v>
      </c>
      <c r="M712">
        <v>805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U712" t="s">
        <v>101</v>
      </c>
      <c r="V712" t="s">
        <v>769</v>
      </c>
      <c r="W712">
        <f>Tabla35[[#This Row],[BN CARTA]]-Tabla34[[#This Row],[BN CARTA]]</f>
        <v>805</v>
      </c>
      <c r="X712">
        <f>Tabla35[[#This Row],[BN OFICIO]]-Tabla34[[#This Row],[BN OFICIO]]</f>
        <v>0</v>
      </c>
      <c r="Y712">
        <f>Tabla35[[#This Row],[BN DC]]-Tabla34[[#This Row],[BN DC]]</f>
        <v>0</v>
      </c>
      <c r="Z712">
        <f>Tabla35[[#This Row],[COLOR CARTA]]-Tabla34[[#This Row],[COLOR CARTA]]</f>
        <v>0</v>
      </c>
      <c r="AA712">
        <f>Tabla35[[#This Row],[COLOR OFICIO]]-Tabla34[[#This Row],[COLOR OFICIO]]</f>
        <v>0</v>
      </c>
      <c r="AB712">
        <f>Tabla35[[#This Row],[ENVIAR]]-Tabla34[[#This Row],[ENVIAR]]</f>
        <v>0</v>
      </c>
      <c r="AC712">
        <f>Tabla35[[#This Row],[COPIAR]]-Tabla34[[#This Row],[COPIAR]]</f>
        <v>0</v>
      </c>
    </row>
    <row r="713" spans="1:29" x14ac:dyDescent="0.25">
      <c r="A713" t="s">
        <v>10</v>
      </c>
      <c r="B713" t="s">
        <v>761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K713" t="s">
        <v>150</v>
      </c>
      <c r="L713" t="s">
        <v>770</v>
      </c>
      <c r="M713">
        <v>12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U713" t="s">
        <v>150</v>
      </c>
      <c r="V713" t="s">
        <v>770</v>
      </c>
      <c r="W713">
        <f>Tabla35[[#This Row],[BN CARTA]]-Tabla34[[#This Row],[BN CARTA]]</f>
        <v>12</v>
      </c>
      <c r="X713">
        <f>Tabla35[[#This Row],[BN OFICIO]]-Tabla34[[#This Row],[BN OFICIO]]</f>
        <v>0</v>
      </c>
      <c r="Y713">
        <f>Tabla35[[#This Row],[BN DC]]-Tabla34[[#This Row],[BN DC]]</f>
        <v>0</v>
      </c>
      <c r="Z713">
        <f>Tabla35[[#This Row],[COLOR CARTA]]-Tabla34[[#This Row],[COLOR CARTA]]</f>
        <v>0</v>
      </c>
      <c r="AA713">
        <f>Tabla35[[#This Row],[COLOR OFICIO]]-Tabla34[[#This Row],[COLOR OFICIO]]</f>
        <v>0</v>
      </c>
      <c r="AB713">
        <f>Tabla35[[#This Row],[ENVIAR]]-Tabla34[[#This Row],[ENVIAR]]</f>
        <v>0</v>
      </c>
      <c r="AC713">
        <f>Tabla35[[#This Row],[COPIAR]]-Tabla34[[#This Row],[COPIAR]]</f>
        <v>0</v>
      </c>
    </row>
    <row r="714" spans="1:29" x14ac:dyDescent="0.25">
      <c r="A714" t="s">
        <v>10</v>
      </c>
      <c r="B714" t="s">
        <v>762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K714" t="s">
        <v>10</v>
      </c>
      <c r="L714" t="s">
        <v>771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U714" t="s">
        <v>10</v>
      </c>
      <c r="V714" t="s">
        <v>771</v>
      </c>
      <c r="W714">
        <f>Tabla35[[#This Row],[BN CARTA]]-Tabla34[[#This Row],[BN CARTA]]</f>
        <v>0</v>
      </c>
      <c r="X714">
        <f>Tabla35[[#This Row],[BN OFICIO]]-Tabla34[[#This Row],[BN OFICIO]]</f>
        <v>0</v>
      </c>
      <c r="Y714">
        <f>Tabla35[[#This Row],[BN DC]]-Tabla34[[#This Row],[BN DC]]</f>
        <v>0</v>
      </c>
      <c r="Z714">
        <f>Tabla35[[#This Row],[COLOR CARTA]]-Tabla34[[#This Row],[COLOR CARTA]]</f>
        <v>0</v>
      </c>
      <c r="AA714">
        <f>Tabla35[[#This Row],[COLOR OFICIO]]-Tabla34[[#This Row],[COLOR OFICIO]]</f>
        <v>0</v>
      </c>
      <c r="AB714">
        <f>Tabla35[[#This Row],[ENVIAR]]-Tabla34[[#This Row],[ENVIAR]]</f>
        <v>0</v>
      </c>
      <c r="AC714">
        <f>Tabla35[[#This Row],[COPIAR]]-Tabla34[[#This Row],[COPIAR]]</f>
        <v>0</v>
      </c>
    </row>
    <row r="715" spans="1:29" x14ac:dyDescent="0.25">
      <c r="A715" t="s">
        <v>138</v>
      </c>
      <c r="B715" t="s">
        <v>763</v>
      </c>
      <c r="C715">
        <v>1331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K715" t="s">
        <v>792</v>
      </c>
      <c r="L715" t="s">
        <v>772</v>
      </c>
      <c r="M715">
        <v>157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U715" t="s">
        <v>792</v>
      </c>
      <c r="V715" t="s">
        <v>772</v>
      </c>
      <c r="W715">
        <f>Tabla35[[#This Row],[BN CARTA]]-Tabla34[[#This Row],[BN CARTA]]</f>
        <v>-1174</v>
      </c>
      <c r="X715">
        <f>Tabla35[[#This Row],[BN OFICIO]]-Tabla34[[#This Row],[BN OFICIO]]</f>
        <v>0</v>
      </c>
      <c r="Y715">
        <f>Tabla35[[#This Row],[BN DC]]-Tabla34[[#This Row],[BN DC]]</f>
        <v>0</v>
      </c>
      <c r="Z715">
        <f>Tabla35[[#This Row],[COLOR CARTA]]-Tabla34[[#This Row],[COLOR CARTA]]</f>
        <v>0</v>
      </c>
      <c r="AA715">
        <f>Tabla35[[#This Row],[COLOR OFICIO]]-Tabla34[[#This Row],[COLOR OFICIO]]</f>
        <v>0</v>
      </c>
      <c r="AB715">
        <f>Tabla35[[#This Row],[ENVIAR]]-Tabla34[[#This Row],[ENVIAR]]</f>
        <v>0</v>
      </c>
      <c r="AC715">
        <f>Tabla35[[#This Row],[COPIAR]]-Tabla34[[#This Row],[COPIAR]]</f>
        <v>0</v>
      </c>
    </row>
    <row r="716" spans="1:29" x14ac:dyDescent="0.25">
      <c r="A716" t="s">
        <v>10</v>
      </c>
      <c r="B716" t="s">
        <v>764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K716" t="s">
        <v>10</v>
      </c>
      <c r="L716" t="s">
        <v>773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U716" t="s">
        <v>10</v>
      </c>
      <c r="V716" t="s">
        <v>773</v>
      </c>
      <c r="W716">
        <f>Tabla35[[#This Row],[BN CARTA]]-Tabla34[[#This Row],[BN CARTA]]</f>
        <v>0</v>
      </c>
      <c r="X716">
        <f>Tabla35[[#This Row],[BN OFICIO]]-Tabla34[[#This Row],[BN OFICIO]]</f>
        <v>0</v>
      </c>
      <c r="Y716">
        <f>Tabla35[[#This Row],[BN DC]]-Tabla34[[#This Row],[BN DC]]</f>
        <v>0</v>
      </c>
      <c r="Z716">
        <f>Tabla35[[#This Row],[COLOR CARTA]]-Tabla34[[#This Row],[COLOR CARTA]]</f>
        <v>0</v>
      </c>
      <c r="AA716">
        <f>Tabla35[[#This Row],[COLOR OFICIO]]-Tabla34[[#This Row],[COLOR OFICIO]]</f>
        <v>0</v>
      </c>
      <c r="AB716">
        <f>Tabla35[[#This Row],[ENVIAR]]-Tabla34[[#This Row],[ENVIAR]]</f>
        <v>0</v>
      </c>
      <c r="AC716">
        <f>Tabla35[[#This Row],[COPIAR]]-Tabla34[[#This Row],[COPIAR]]</f>
        <v>0</v>
      </c>
    </row>
    <row r="717" spans="1:29" x14ac:dyDescent="0.25">
      <c r="A717" t="s">
        <v>10</v>
      </c>
      <c r="B717" t="s">
        <v>765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K717" t="s">
        <v>10</v>
      </c>
      <c r="L717" t="s">
        <v>774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U717" t="s">
        <v>10</v>
      </c>
      <c r="V717" t="s">
        <v>774</v>
      </c>
      <c r="W717">
        <f>Tabla35[[#This Row],[BN CARTA]]-Tabla34[[#This Row],[BN CARTA]]</f>
        <v>0</v>
      </c>
      <c r="X717">
        <f>Tabla35[[#This Row],[BN OFICIO]]-Tabla34[[#This Row],[BN OFICIO]]</f>
        <v>0</v>
      </c>
      <c r="Y717">
        <f>Tabla35[[#This Row],[BN DC]]-Tabla34[[#This Row],[BN DC]]</f>
        <v>0</v>
      </c>
      <c r="Z717">
        <f>Tabla35[[#This Row],[COLOR CARTA]]-Tabla34[[#This Row],[COLOR CARTA]]</f>
        <v>0</v>
      </c>
      <c r="AA717">
        <f>Tabla35[[#This Row],[COLOR OFICIO]]-Tabla34[[#This Row],[COLOR OFICIO]]</f>
        <v>0</v>
      </c>
      <c r="AB717">
        <f>Tabla35[[#This Row],[ENVIAR]]-Tabla34[[#This Row],[ENVIAR]]</f>
        <v>0</v>
      </c>
      <c r="AC717">
        <f>Tabla35[[#This Row],[COPIAR]]-Tabla34[[#This Row],[COPIAR]]</f>
        <v>0</v>
      </c>
    </row>
    <row r="718" spans="1:29" x14ac:dyDescent="0.25">
      <c r="A718" t="s">
        <v>10</v>
      </c>
      <c r="B718" t="s">
        <v>766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K718" t="s">
        <v>10</v>
      </c>
      <c r="L718" t="s">
        <v>775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U718" t="s">
        <v>10</v>
      </c>
      <c r="V718" t="s">
        <v>775</v>
      </c>
      <c r="W718">
        <f>Tabla35[[#This Row],[BN CARTA]]-Tabla34[[#This Row],[BN CARTA]]</f>
        <v>0</v>
      </c>
      <c r="X718">
        <f>Tabla35[[#This Row],[BN OFICIO]]-Tabla34[[#This Row],[BN OFICIO]]</f>
        <v>0</v>
      </c>
      <c r="Y718">
        <f>Tabla35[[#This Row],[BN DC]]-Tabla34[[#This Row],[BN DC]]</f>
        <v>0</v>
      </c>
      <c r="Z718">
        <f>Tabla35[[#This Row],[COLOR CARTA]]-Tabla34[[#This Row],[COLOR CARTA]]</f>
        <v>0</v>
      </c>
      <c r="AA718">
        <f>Tabla35[[#This Row],[COLOR OFICIO]]-Tabla34[[#This Row],[COLOR OFICIO]]</f>
        <v>0</v>
      </c>
      <c r="AB718">
        <f>Tabla35[[#This Row],[ENVIAR]]-Tabla34[[#This Row],[ENVIAR]]</f>
        <v>0</v>
      </c>
      <c r="AC718">
        <f>Tabla35[[#This Row],[COPIAR]]-Tabla34[[#This Row],[COPIAR]]</f>
        <v>0</v>
      </c>
    </row>
    <row r="719" spans="1:29" x14ac:dyDescent="0.25">
      <c r="A719" t="s">
        <v>131</v>
      </c>
      <c r="B719" t="s">
        <v>767</v>
      </c>
      <c r="C719">
        <v>282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K719" t="s">
        <v>10</v>
      </c>
      <c r="L719" t="s">
        <v>776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U719" t="s">
        <v>10</v>
      </c>
      <c r="V719" t="s">
        <v>776</v>
      </c>
      <c r="W719">
        <f>Tabla35[[#This Row],[BN CARTA]]-Tabla34[[#This Row],[BN CARTA]]</f>
        <v>-282</v>
      </c>
      <c r="X719">
        <f>Tabla35[[#This Row],[BN OFICIO]]-Tabla34[[#This Row],[BN OFICIO]]</f>
        <v>0</v>
      </c>
      <c r="Y719">
        <f>Tabla35[[#This Row],[BN DC]]-Tabla34[[#This Row],[BN DC]]</f>
        <v>0</v>
      </c>
      <c r="Z719">
        <f>Tabla35[[#This Row],[COLOR CARTA]]-Tabla34[[#This Row],[COLOR CARTA]]</f>
        <v>0</v>
      </c>
      <c r="AA719">
        <f>Tabla35[[#This Row],[COLOR OFICIO]]-Tabla34[[#This Row],[COLOR OFICIO]]</f>
        <v>0</v>
      </c>
      <c r="AB719">
        <f>Tabla35[[#This Row],[ENVIAR]]-Tabla34[[#This Row],[ENVIAR]]</f>
        <v>0</v>
      </c>
      <c r="AC719">
        <f>Tabla35[[#This Row],[COPIAR]]-Tabla34[[#This Row],[COPIAR]]</f>
        <v>0</v>
      </c>
    </row>
    <row r="720" spans="1:29" x14ac:dyDescent="0.25">
      <c r="A720" t="s">
        <v>76</v>
      </c>
      <c r="B720" t="s">
        <v>768</v>
      </c>
      <c r="C720">
        <v>401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K720" t="s">
        <v>10</v>
      </c>
      <c r="L720" t="s">
        <v>777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U720" t="s">
        <v>10</v>
      </c>
      <c r="V720" t="s">
        <v>777</v>
      </c>
      <c r="W720">
        <f>Tabla35[[#This Row],[BN CARTA]]-Tabla34[[#This Row],[BN CARTA]]</f>
        <v>-401</v>
      </c>
      <c r="X720">
        <f>Tabla35[[#This Row],[BN OFICIO]]-Tabla34[[#This Row],[BN OFICIO]]</f>
        <v>0</v>
      </c>
      <c r="Y720">
        <f>Tabla35[[#This Row],[BN DC]]-Tabla34[[#This Row],[BN DC]]</f>
        <v>0</v>
      </c>
      <c r="Z720">
        <f>Tabla35[[#This Row],[COLOR CARTA]]-Tabla34[[#This Row],[COLOR CARTA]]</f>
        <v>0</v>
      </c>
      <c r="AA720">
        <f>Tabla35[[#This Row],[COLOR OFICIO]]-Tabla34[[#This Row],[COLOR OFICIO]]</f>
        <v>0</v>
      </c>
      <c r="AB720">
        <f>Tabla35[[#This Row],[ENVIAR]]-Tabla34[[#This Row],[ENVIAR]]</f>
        <v>0</v>
      </c>
      <c r="AC720">
        <f>Tabla35[[#This Row],[COPIAR]]-Tabla34[[#This Row],[COPIAR]]</f>
        <v>0</v>
      </c>
    </row>
    <row r="721" spans="1:29" x14ac:dyDescent="0.25">
      <c r="A721" s="53" t="s">
        <v>101</v>
      </c>
      <c r="B721" s="55" t="s">
        <v>769</v>
      </c>
      <c r="C721">
        <v>805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W721">
        <f>SUBTOTAL(109,Tabla36[BN CARTA])</f>
        <v>508298</v>
      </c>
      <c r="X721">
        <f>SUBTOTAL(109,Tabla36[BN OFICIO])</f>
        <v>3155</v>
      </c>
      <c r="Y721">
        <f>SUBTOTAL(109,Tabla36[BN DC])</f>
        <v>0</v>
      </c>
      <c r="Z721">
        <f>SUBTOTAL(109,Tabla36[COLOR CARTA])</f>
        <v>28200</v>
      </c>
      <c r="AA721">
        <f>SUBTOTAL(109,Tabla36[COLOR OFICIO])</f>
        <v>143</v>
      </c>
      <c r="AB721">
        <f>SUBTOTAL(109,Tabla36[ENVIAR])</f>
        <v>276360</v>
      </c>
      <c r="AC721">
        <f>SUBTOTAL(109,Tabla36[COPIAR])</f>
        <v>104685</v>
      </c>
    </row>
    <row r="722" spans="1:29" x14ac:dyDescent="0.25">
      <c r="A722" s="53" t="s">
        <v>150</v>
      </c>
      <c r="B722" s="55" t="s">
        <v>770</v>
      </c>
      <c r="C722">
        <v>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W722" s="30">
        <v>0.27</v>
      </c>
      <c r="X722" s="30">
        <v>0.27</v>
      </c>
      <c r="Y722" s="30">
        <v>0.27</v>
      </c>
      <c r="Z722" s="30">
        <v>1.5</v>
      </c>
      <c r="AA722" s="30">
        <v>1.5</v>
      </c>
      <c r="AB722" s="30">
        <v>0.15</v>
      </c>
    </row>
    <row r="723" spans="1:29" x14ac:dyDescent="0.25">
      <c r="A723" s="53" t="s">
        <v>10</v>
      </c>
      <c r="B723" s="55" t="s">
        <v>771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W723" s="29">
        <f>W722*Tabla36[[#Totals],[BN CARTA]]</f>
        <v>137240.46000000002</v>
      </c>
      <c r="X723" s="29">
        <f>X722*Tabla36[[#Totals],[BN OFICIO]]</f>
        <v>851.85</v>
      </c>
      <c r="Y723" s="29">
        <f>Y722*Tabla36[[#Totals],[BN DC]]</f>
        <v>0</v>
      </c>
      <c r="Z723" s="29">
        <f>Z722*Tabla36[[#Totals],[COLOR CARTA]]</f>
        <v>42300</v>
      </c>
      <c r="AA723" s="29">
        <f>AA722*Tabla36[[#Totals],[COLOR OFICIO]]</f>
        <v>214.5</v>
      </c>
      <c r="AB723" s="29">
        <f>AB722*Tabla36[[#Totals],[ENVIAR]]</f>
        <v>41454</v>
      </c>
      <c r="AC723" s="28">
        <f>SUM(W723:AB723)</f>
        <v>222060.81000000003</v>
      </c>
    </row>
    <row r="724" spans="1:29" x14ac:dyDescent="0.25">
      <c r="A724" s="53" t="s">
        <v>10</v>
      </c>
      <c r="B724" s="55" t="s">
        <v>772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AC724" s="31">
        <f>AC723*1.16</f>
        <v>257590.53960000002</v>
      </c>
    </row>
    <row r="725" spans="1:29" x14ac:dyDescent="0.25">
      <c r="A725" s="53" t="s">
        <v>10</v>
      </c>
      <c r="B725" s="55" t="s">
        <v>773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29" x14ac:dyDescent="0.25">
      <c r="A726" s="53" t="s">
        <v>10</v>
      </c>
      <c r="B726" s="55" t="s">
        <v>774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29" x14ac:dyDescent="0.25">
      <c r="A727" s="53" t="s">
        <v>10</v>
      </c>
      <c r="B727" s="55" t="s">
        <v>775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29" x14ac:dyDescent="0.25">
      <c r="A728" s="53" t="s">
        <v>10</v>
      </c>
      <c r="B728" s="55" t="s">
        <v>776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29" x14ac:dyDescent="0.25">
      <c r="A729" s="54" t="s">
        <v>10</v>
      </c>
      <c r="B729" s="56" t="s">
        <v>777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</sheetData>
  <conditionalFormatting sqref="B721:B729">
    <cfRule type="expression" dxfId="133" priority="1">
      <formula>B721&lt;&gt;M721</formula>
    </cfRule>
  </conditionalFormatting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B2CB5A52-A65D-4658-9ED8-8F9505511124}">
            <xm:f>A721&lt;&gt;'202212 DICIEMBRE'!#REF!</xm:f>
            <x14:dxf>
              <fill>
                <patternFill>
                  <bgColor theme="7" tint="0.39994506668294322"/>
                </patternFill>
              </fill>
            </x14:dxf>
          </x14:cfRule>
          <xm:sqref>A721:B729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94C2F-2A7C-4D6F-BDEF-925BA3AF2159}">
  <sheetPr>
    <tabColor rgb="FFFFC000"/>
  </sheetPr>
  <dimension ref="A1:T729"/>
  <sheetViews>
    <sheetView topLeftCell="A450" zoomScale="90" zoomScaleNormal="90" workbookViewId="0">
      <selection activeCell="B451" sqref="B451"/>
    </sheetView>
  </sheetViews>
  <sheetFormatPr baseColWidth="10" defaultColWidth="11.42578125" defaultRowHeight="15" x14ac:dyDescent="0.25"/>
  <cols>
    <col min="1" max="1" width="12" bestFit="1" customWidth="1"/>
    <col min="2" max="2" width="14" bestFit="1" customWidth="1"/>
    <col min="3" max="3" width="12.42578125" bestFit="1" customWidth="1"/>
    <col min="4" max="4" width="12.5703125" bestFit="1" customWidth="1"/>
    <col min="5" max="5" width="9" bestFit="1" customWidth="1"/>
    <col min="6" max="6" width="15.85546875" bestFit="1" customWidth="1"/>
    <col min="7" max="7" width="16" bestFit="1" customWidth="1"/>
    <col min="8" max="8" width="10.140625" bestFit="1" customWidth="1"/>
    <col min="9" max="9" width="10.28515625" customWidth="1"/>
    <col min="10" max="10" width="18.140625" bestFit="1" customWidth="1"/>
    <col min="11" max="12" width="11.42578125" bestFit="1" customWidth="1"/>
    <col min="13" max="13" width="14.7109375" bestFit="1" customWidth="1"/>
    <col min="14" max="19" width="11.42578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800</v>
      </c>
      <c r="L1" t="s">
        <v>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</row>
    <row r="2" spans="1:19" x14ac:dyDescent="0.25">
      <c r="A2" t="s">
        <v>76</v>
      </c>
      <c r="B2" t="s">
        <v>11</v>
      </c>
      <c r="C2" s="1"/>
      <c r="D2" s="1"/>
      <c r="E2" s="1"/>
      <c r="F2" s="1"/>
      <c r="G2" s="1"/>
      <c r="H2" s="1"/>
      <c r="I2" s="1"/>
      <c r="J2" s="1"/>
      <c r="L2">
        <v>712</v>
      </c>
      <c r="M2" t="s">
        <v>11</v>
      </c>
    </row>
    <row r="3" spans="1:19" x14ac:dyDescent="0.25">
      <c r="A3" t="s">
        <v>796</v>
      </c>
      <c r="B3" t="s">
        <v>12</v>
      </c>
      <c r="C3" s="1"/>
      <c r="D3" s="1"/>
      <c r="E3" s="1"/>
      <c r="F3" s="1"/>
      <c r="G3" s="1"/>
      <c r="H3" s="1"/>
      <c r="I3" s="1"/>
      <c r="J3" s="1"/>
      <c r="L3">
        <v>713</v>
      </c>
      <c r="M3" t="s">
        <v>12</v>
      </c>
    </row>
    <row r="4" spans="1:19" x14ac:dyDescent="0.25">
      <c r="A4" t="s">
        <v>76</v>
      </c>
      <c r="B4" t="s">
        <v>13</v>
      </c>
      <c r="C4" s="1"/>
      <c r="D4" s="1"/>
      <c r="E4" s="1"/>
      <c r="F4" s="1"/>
      <c r="G4" s="1"/>
      <c r="H4" s="1"/>
      <c r="I4" s="1"/>
      <c r="J4" s="1"/>
      <c r="M4" t="s">
        <v>13</v>
      </c>
    </row>
    <row r="5" spans="1:19" x14ac:dyDescent="0.25">
      <c r="A5" t="s">
        <v>801</v>
      </c>
      <c r="B5" t="s">
        <v>14</v>
      </c>
      <c r="C5" s="1"/>
      <c r="D5" s="1"/>
      <c r="E5" s="1"/>
      <c r="F5" s="1"/>
      <c r="G5" s="1"/>
      <c r="H5" s="1"/>
      <c r="I5" s="1"/>
      <c r="J5" s="1"/>
      <c r="L5">
        <v>711</v>
      </c>
      <c r="M5" t="s">
        <v>14</v>
      </c>
    </row>
    <row r="6" spans="1:19" x14ac:dyDescent="0.25">
      <c r="A6" t="s">
        <v>802</v>
      </c>
      <c r="B6" t="s">
        <v>15</v>
      </c>
      <c r="C6" s="1"/>
      <c r="D6" s="1"/>
      <c r="E6" s="1"/>
      <c r="F6" s="1"/>
      <c r="G6" s="1"/>
      <c r="H6" s="1"/>
      <c r="I6" s="1"/>
      <c r="J6" s="1"/>
      <c r="L6">
        <v>120</v>
      </c>
      <c r="M6" t="s">
        <v>15</v>
      </c>
    </row>
    <row r="7" spans="1:19" x14ac:dyDescent="0.25">
      <c r="A7" t="s">
        <v>796</v>
      </c>
      <c r="B7" t="s">
        <v>16</v>
      </c>
      <c r="C7" s="1"/>
      <c r="D7" s="1"/>
      <c r="E7" s="1"/>
      <c r="F7" s="1"/>
      <c r="G7" s="1"/>
      <c r="H7" s="1"/>
      <c r="I7" s="1"/>
      <c r="J7" s="1"/>
      <c r="M7" t="s">
        <v>16</v>
      </c>
    </row>
    <row r="8" spans="1:19" x14ac:dyDescent="0.25">
      <c r="A8" t="s">
        <v>83</v>
      </c>
      <c r="B8" t="s">
        <v>17</v>
      </c>
      <c r="C8" s="1"/>
      <c r="D8" s="1"/>
      <c r="E8" s="1"/>
      <c r="F8" s="1"/>
      <c r="G8" s="1"/>
      <c r="H8" s="1"/>
      <c r="I8" s="1"/>
      <c r="J8" s="1"/>
      <c r="M8" t="s">
        <v>17</v>
      </c>
    </row>
    <row r="9" spans="1:19" x14ac:dyDescent="0.25">
      <c r="A9" t="s">
        <v>803</v>
      </c>
      <c r="B9" s="1" t="s">
        <v>18</v>
      </c>
      <c r="C9" s="1"/>
      <c r="D9" s="1"/>
      <c r="E9" s="1"/>
      <c r="F9" s="1"/>
      <c r="G9" s="1"/>
      <c r="H9" s="1"/>
      <c r="I9" s="1"/>
      <c r="J9" s="1"/>
      <c r="M9" t="s">
        <v>19</v>
      </c>
    </row>
    <row r="10" spans="1:19" x14ac:dyDescent="0.25">
      <c r="A10" t="s">
        <v>76</v>
      </c>
      <c r="B10" t="s">
        <v>19</v>
      </c>
      <c r="C10" s="1"/>
      <c r="D10" s="1"/>
      <c r="E10" s="1"/>
      <c r="F10" s="1"/>
      <c r="G10" s="1"/>
      <c r="H10" s="1"/>
      <c r="I10" s="1"/>
      <c r="J10" s="1"/>
      <c r="M10" t="s">
        <v>20</v>
      </c>
    </row>
    <row r="11" spans="1:19" x14ac:dyDescent="0.25">
      <c r="A11" t="s">
        <v>83</v>
      </c>
      <c r="B11" t="s">
        <v>20</v>
      </c>
      <c r="C11" s="1"/>
      <c r="D11" s="1"/>
      <c r="E11" s="1"/>
      <c r="F11" s="1"/>
      <c r="G11" s="1"/>
      <c r="H11" s="1"/>
      <c r="I11" s="1"/>
      <c r="J11" s="1"/>
      <c r="M11" t="s">
        <v>21</v>
      </c>
    </row>
    <row r="12" spans="1:19" x14ac:dyDescent="0.25">
      <c r="A12" t="s">
        <v>248</v>
      </c>
      <c r="B12" t="s">
        <v>21</v>
      </c>
      <c r="C12" s="1"/>
      <c r="D12" s="1"/>
      <c r="E12" s="1"/>
      <c r="F12" s="1"/>
      <c r="G12" s="1"/>
      <c r="H12" s="1"/>
      <c r="I12" s="1"/>
      <c r="J12" s="1"/>
      <c r="M12" t="s">
        <v>22</v>
      </c>
    </row>
    <row r="13" spans="1:19" x14ac:dyDescent="0.25">
      <c r="A13" t="s">
        <v>83</v>
      </c>
      <c r="B13" t="s">
        <v>22</v>
      </c>
      <c r="C13" s="1"/>
      <c r="D13" s="1"/>
      <c r="E13" s="1"/>
      <c r="F13" s="1"/>
      <c r="G13" s="1"/>
      <c r="H13" s="1"/>
      <c r="I13" s="1"/>
      <c r="J13" s="1"/>
      <c r="M13" t="s">
        <v>23</v>
      </c>
    </row>
    <row r="14" spans="1:19" x14ac:dyDescent="0.25">
      <c r="A14" t="s">
        <v>801</v>
      </c>
      <c r="B14" t="s">
        <v>23</v>
      </c>
      <c r="C14" s="1"/>
      <c r="D14" s="1"/>
      <c r="E14" s="1"/>
      <c r="F14" s="1"/>
      <c r="G14" s="1"/>
      <c r="H14" s="1"/>
      <c r="I14" s="1"/>
      <c r="J14" s="1"/>
      <c r="L14">
        <v>713</v>
      </c>
      <c r="M14" t="s">
        <v>24</v>
      </c>
    </row>
    <row r="15" spans="1:19" x14ac:dyDescent="0.25">
      <c r="A15" t="s">
        <v>796</v>
      </c>
      <c r="B15" t="s">
        <v>24</v>
      </c>
      <c r="C15" s="1"/>
      <c r="D15" s="1"/>
      <c r="E15" s="1"/>
      <c r="F15" s="1"/>
      <c r="G15" s="1"/>
      <c r="H15" s="1"/>
      <c r="I15" s="1"/>
      <c r="J15" s="1"/>
      <c r="M15" t="s">
        <v>25</v>
      </c>
    </row>
    <row r="16" spans="1:19" x14ac:dyDescent="0.25">
      <c r="A16" t="s">
        <v>804</v>
      </c>
      <c r="B16" t="s">
        <v>25</v>
      </c>
      <c r="C16" s="1"/>
      <c r="D16" s="1"/>
      <c r="E16" s="1"/>
      <c r="F16" s="1"/>
      <c r="G16" s="1"/>
      <c r="H16" s="1"/>
      <c r="I16" s="1"/>
      <c r="J16" s="1"/>
      <c r="M16" t="s">
        <v>26</v>
      </c>
    </row>
    <row r="17" spans="1:19" x14ac:dyDescent="0.25">
      <c r="A17" t="s">
        <v>248</v>
      </c>
      <c r="B17" t="s">
        <v>26</v>
      </c>
      <c r="C17" s="1"/>
      <c r="D17" s="1"/>
      <c r="E17" s="1"/>
      <c r="F17" s="1"/>
      <c r="G17" s="1"/>
      <c r="H17" s="1"/>
      <c r="I17" s="1"/>
      <c r="J17" s="1"/>
      <c r="M17" t="s">
        <v>27</v>
      </c>
    </row>
    <row r="18" spans="1:19" x14ac:dyDescent="0.25">
      <c r="A18" t="s">
        <v>805</v>
      </c>
      <c r="B18" t="s">
        <v>27</v>
      </c>
      <c r="C18" s="1"/>
      <c r="D18" s="1"/>
      <c r="E18" s="1"/>
      <c r="F18" s="1"/>
      <c r="G18" s="1"/>
      <c r="H18" s="1"/>
      <c r="I18" s="1"/>
      <c r="J18" s="1"/>
      <c r="M18" t="s">
        <v>28</v>
      </c>
    </row>
    <row r="19" spans="1:19" x14ac:dyDescent="0.25">
      <c r="A19" t="s">
        <v>805</v>
      </c>
      <c r="B19" t="s">
        <v>28</v>
      </c>
      <c r="C19" s="1"/>
      <c r="D19" s="1"/>
      <c r="E19" s="1"/>
      <c r="F19" s="1"/>
      <c r="G19" s="1"/>
      <c r="H19" s="1"/>
      <c r="I19" s="1"/>
      <c r="J19" s="1"/>
      <c r="M19" t="s">
        <v>30</v>
      </c>
    </row>
    <row r="20" spans="1:19" x14ac:dyDescent="0.25">
      <c r="A20" t="s">
        <v>806</v>
      </c>
      <c r="B20" t="s">
        <v>29</v>
      </c>
      <c r="C20" s="1"/>
      <c r="D20" s="1"/>
      <c r="E20" s="1"/>
      <c r="F20" s="1"/>
      <c r="G20" s="1"/>
      <c r="H20" s="1"/>
      <c r="I20" s="1"/>
      <c r="J20" s="1"/>
      <c r="L20">
        <v>141</v>
      </c>
      <c r="M20" t="s">
        <v>32</v>
      </c>
      <c r="N20">
        <v>3804</v>
      </c>
      <c r="O20">
        <v>0</v>
      </c>
      <c r="P20">
        <v>0</v>
      </c>
      <c r="Q20">
        <v>0</v>
      </c>
      <c r="R20">
        <v>0</v>
      </c>
      <c r="S20">
        <v>2792</v>
      </c>
    </row>
    <row r="21" spans="1:19" x14ac:dyDescent="0.25">
      <c r="A21" t="s">
        <v>805</v>
      </c>
      <c r="B21" t="s">
        <v>30</v>
      </c>
      <c r="C21" s="1"/>
      <c r="D21" s="1"/>
      <c r="E21" s="1"/>
      <c r="F21" s="1"/>
      <c r="G21" s="1"/>
      <c r="H21" s="1"/>
      <c r="I21" s="1"/>
      <c r="J21" s="1"/>
      <c r="L21">
        <v>148</v>
      </c>
      <c r="M21" t="s">
        <v>34</v>
      </c>
    </row>
    <row r="22" spans="1:19" x14ac:dyDescent="0.25">
      <c r="A22" t="s">
        <v>31</v>
      </c>
      <c r="B22" t="s">
        <v>32</v>
      </c>
      <c r="C22" s="1">
        <f>3341+463</f>
        <v>3804</v>
      </c>
      <c r="D22" s="1">
        <v>0</v>
      </c>
      <c r="E22" s="1">
        <v>0</v>
      </c>
      <c r="F22" s="1">
        <v>0</v>
      </c>
      <c r="G22" s="1">
        <v>0</v>
      </c>
      <c r="H22" s="1">
        <v>2792</v>
      </c>
      <c r="I22" s="1">
        <v>386</v>
      </c>
      <c r="J22" s="1"/>
      <c r="L22">
        <v>114</v>
      </c>
      <c r="M22" t="s">
        <v>35</v>
      </c>
      <c r="N22">
        <v>2842</v>
      </c>
      <c r="O22">
        <v>0</v>
      </c>
      <c r="P22">
        <v>0</v>
      </c>
      <c r="Q22">
        <v>0</v>
      </c>
      <c r="R22">
        <v>0</v>
      </c>
      <c r="S22">
        <v>1103</v>
      </c>
    </row>
    <row r="23" spans="1:19" x14ac:dyDescent="0.25">
      <c r="A23" t="s">
        <v>33</v>
      </c>
      <c r="B23" t="s">
        <v>34</v>
      </c>
      <c r="C23" s="1"/>
      <c r="D23" s="1"/>
      <c r="E23" s="1"/>
      <c r="F23" s="1"/>
      <c r="G23" s="1"/>
      <c r="H23" s="1"/>
      <c r="I23" s="1"/>
      <c r="J23" s="1"/>
      <c r="L23">
        <v>146</v>
      </c>
      <c r="M23" t="s">
        <v>37</v>
      </c>
      <c r="N23">
        <v>2114</v>
      </c>
      <c r="O23">
        <v>2</v>
      </c>
      <c r="P23">
        <v>0</v>
      </c>
      <c r="Q23">
        <v>0</v>
      </c>
      <c r="R23">
        <v>0</v>
      </c>
      <c r="S23">
        <v>1603</v>
      </c>
    </row>
    <row r="24" spans="1:19" x14ac:dyDescent="0.25">
      <c r="A24" t="s">
        <v>150</v>
      </c>
      <c r="B24" t="s">
        <v>35</v>
      </c>
      <c r="C24" s="1">
        <f>2405+437</f>
        <v>2842</v>
      </c>
      <c r="D24" s="1">
        <v>0</v>
      </c>
      <c r="E24" s="1">
        <v>0</v>
      </c>
      <c r="F24" s="1">
        <v>0</v>
      </c>
      <c r="G24" s="1">
        <v>0</v>
      </c>
      <c r="H24" s="1">
        <v>1103</v>
      </c>
      <c r="I24" s="1">
        <v>289</v>
      </c>
      <c r="J24" s="1"/>
      <c r="L24">
        <v>145</v>
      </c>
      <c r="M24" t="s">
        <v>39</v>
      </c>
      <c r="N24">
        <v>1136</v>
      </c>
      <c r="O24">
        <v>0</v>
      </c>
      <c r="P24">
        <v>0</v>
      </c>
      <c r="Q24">
        <v>0</v>
      </c>
      <c r="R24">
        <v>0</v>
      </c>
      <c r="S24">
        <v>2990</v>
      </c>
    </row>
    <row r="25" spans="1:19" x14ac:dyDescent="0.25">
      <c r="A25" t="s">
        <v>36</v>
      </c>
      <c r="B25" t="s">
        <v>37</v>
      </c>
      <c r="C25" s="1">
        <f>1608+506</f>
        <v>2114</v>
      </c>
      <c r="D25" s="1">
        <v>2</v>
      </c>
      <c r="E25" s="1">
        <v>0</v>
      </c>
      <c r="F25" s="1">
        <v>0</v>
      </c>
      <c r="G25" s="1">
        <v>0</v>
      </c>
      <c r="H25" s="1">
        <v>1603</v>
      </c>
      <c r="I25" s="1">
        <v>406</v>
      </c>
      <c r="J25" s="1"/>
      <c r="L25">
        <v>125</v>
      </c>
      <c r="M25" t="s">
        <v>41</v>
      </c>
      <c r="N25">
        <v>4419</v>
      </c>
      <c r="O25">
        <v>32</v>
      </c>
      <c r="P25">
        <v>0</v>
      </c>
      <c r="Q25">
        <v>0</v>
      </c>
      <c r="R25">
        <v>0</v>
      </c>
      <c r="S25">
        <v>1172</v>
      </c>
    </row>
    <row r="26" spans="1:19" x14ac:dyDescent="0.25">
      <c r="A26" t="s">
        <v>38</v>
      </c>
      <c r="B26" t="s">
        <v>39</v>
      </c>
      <c r="C26" s="1">
        <f>448+688</f>
        <v>1136</v>
      </c>
      <c r="D26" s="1">
        <v>0</v>
      </c>
      <c r="E26" s="1">
        <v>0</v>
      </c>
      <c r="F26" s="1">
        <v>0</v>
      </c>
      <c r="G26" s="1">
        <v>0</v>
      </c>
      <c r="H26" s="1">
        <v>2990</v>
      </c>
      <c r="I26" s="1">
        <v>627</v>
      </c>
      <c r="J26" s="1"/>
      <c r="L26">
        <v>144</v>
      </c>
      <c r="M26" t="s">
        <v>42</v>
      </c>
      <c r="N26">
        <v>1454</v>
      </c>
      <c r="O26">
        <v>5</v>
      </c>
      <c r="P26">
        <v>0</v>
      </c>
      <c r="Q26">
        <v>0</v>
      </c>
      <c r="R26">
        <v>0</v>
      </c>
      <c r="S26">
        <v>479</v>
      </c>
    </row>
    <row r="27" spans="1:19" x14ac:dyDescent="0.25">
      <c r="A27" t="s">
        <v>40</v>
      </c>
      <c r="B27" t="s">
        <v>41</v>
      </c>
      <c r="C27" s="1">
        <f>3157+1262</f>
        <v>4419</v>
      </c>
      <c r="D27" s="1">
        <f>2+30</f>
        <v>32</v>
      </c>
      <c r="E27" s="1">
        <v>0</v>
      </c>
      <c r="F27" s="1">
        <v>0</v>
      </c>
      <c r="G27" s="1">
        <v>0</v>
      </c>
      <c r="H27" s="1">
        <v>1172</v>
      </c>
      <c r="I27" s="1">
        <v>944</v>
      </c>
      <c r="J27" s="1"/>
      <c r="L27">
        <v>150</v>
      </c>
      <c r="M27" t="s">
        <v>44</v>
      </c>
      <c r="N27">
        <v>3956</v>
      </c>
      <c r="O27">
        <v>9</v>
      </c>
      <c r="P27">
        <v>0</v>
      </c>
      <c r="Q27">
        <v>0</v>
      </c>
      <c r="R27">
        <v>0</v>
      </c>
      <c r="S27">
        <v>1603</v>
      </c>
    </row>
    <row r="28" spans="1:19" x14ac:dyDescent="0.25">
      <c r="A28" t="s">
        <v>787</v>
      </c>
      <c r="B28" t="s">
        <v>42</v>
      </c>
      <c r="C28" s="1">
        <f>1180+274</f>
        <v>1454</v>
      </c>
      <c r="D28" s="1">
        <v>5</v>
      </c>
      <c r="E28" s="1">
        <v>0</v>
      </c>
      <c r="F28" s="1">
        <v>0</v>
      </c>
      <c r="G28" s="1">
        <v>0</v>
      </c>
      <c r="H28" s="1">
        <v>479</v>
      </c>
      <c r="I28" s="1">
        <v>233</v>
      </c>
      <c r="J28" s="1"/>
      <c r="L28">
        <v>140</v>
      </c>
      <c r="M28" t="s">
        <v>46</v>
      </c>
      <c r="N28">
        <v>746</v>
      </c>
      <c r="O28">
        <v>0</v>
      </c>
      <c r="P28">
        <v>0</v>
      </c>
      <c r="Q28">
        <v>0</v>
      </c>
      <c r="R28">
        <v>0</v>
      </c>
      <c r="S28">
        <v>767</v>
      </c>
    </row>
    <row r="29" spans="1:19" x14ac:dyDescent="0.25">
      <c r="A29" t="s">
        <v>43</v>
      </c>
      <c r="B29" t="s">
        <v>44</v>
      </c>
      <c r="C29" s="1">
        <f>2958+118+6+855+19</f>
        <v>3956</v>
      </c>
      <c r="D29" s="1">
        <f>1+4+4</f>
        <v>9</v>
      </c>
      <c r="E29" s="1">
        <v>0</v>
      </c>
      <c r="F29" s="1">
        <v>0</v>
      </c>
      <c r="G29" s="1">
        <v>0</v>
      </c>
      <c r="H29" s="1">
        <v>1603</v>
      </c>
      <c r="I29" s="1">
        <v>711</v>
      </c>
      <c r="J29" s="1"/>
      <c r="L29">
        <v>151</v>
      </c>
      <c r="M29" t="s">
        <v>48</v>
      </c>
      <c r="N29">
        <v>3143</v>
      </c>
      <c r="O29">
        <v>17</v>
      </c>
      <c r="P29">
        <v>0</v>
      </c>
      <c r="Q29">
        <v>0</v>
      </c>
      <c r="R29">
        <v>0</v>
      </c>
      <c r="S29">
        <v>1910</v>
      </c>
    </row>
    <row r="30" spans="1:19" x14ac:dyDescent="0.25">
      <c r="A30" t="s">
        <v>45</v>
      </c>
      <c r="B30" t="s">
        <v>46</v>
      </c>
      <c r="C30" s="1">
        <f>529+217</f>
        <v>746</v>
      </c>
      <c r="D30" s="1">
        <v>0</v>
      </c>
      <c r="E30" s="1">
        <v>0</v>
      </c>
      <c r="F30" s="1">
        <v>0</v>
      </c>
      <c r="G30" s="1">
        <v>0</v>
      </c>
      <c r="H30" s="1">
        <v>767</v>
      </c>
      <c r="I30" s="1">
        <v>186</v>
      </c>
      <c r="J30" s="1"/>
      <c r="L30">
        <v>315</v>
      </c>
      <c r="M30" t="s">
        <v>49</v>
      </c>
    </row>
    <row r="31" spans="1:19" x14ac:dyDescent="0.25">
      <c r="A31" t="s">
        <v>47</v>
      </c>
      <c r="B31" t="s">
        <v>48</v>
      </c>
      <c r="C31" s="1">
        <f>2504+16+623</f>
        <v>3143</v>
      </c>
      <c r="D31" s="1">
        <f>9+3+5</f>
        <v>17</v>
      </c>
      <c r="E31" s="1">
        <v>0</v>
      </c>
      <c r="F31" s="1">
        <v>0</v>
      </c>
      <c r="G31" s="1">
        <v>0</v>
      </c>
      <c r="H31" s="1">
        <v>1910</v>
      </c>
      <c r="I31" s="1">
        <v>499</v>
      </c>
      <c r="J31" s="1"/>
      <c r="L31">
        <v>138</v>
      </c>
      <c r="M31" t="s">
        <v>51</v>
      </c>
    </row>
    <row r="32" spans="1:19" x14ac:dyDescent="0.25">
      <c r="A32" t="s">
        <v>807</v>
      </c>
      <c r="B32" t="s">
        <v>49</v>
      </c>
      <c r="C32" s="1"/>
      <c r="D32" s="1"/>
      <c r="E32" s="1"/>
      <c r="F32" s="1"/>
      <c r="G32" s="1"/>
      <c r="H32" s="1"/>
      <c r="I32" s="1"/>
      <c r="J32" s="1"/>
      <c r="L32">
        <v>149</v>
      </c>
      <c r="M32" t="s">
        <v>53</v>
      </c>
      <c r="N32">
        <v>4192</v>
      </c>
      <c r="O32">
        <v>0</v>
      </c>
      <c r="P32">
        <v>0</v>
      </c>
      <c r="Q32">
        <v>0</v>
      </c>
      <c r="R32">
        <v>0</v>
      </c>
      <c r="S32">
        <v>2682</v>
      </c>
    </row>
    <row r="33" spans="1:19" x14ac:dyDescent="0.25">
      <c r="A33" t="s">
        <v>50</v>
      </c>
      <c r="B33" t="s">
        <v>51</v>
      </c>
      <c r="C33" s="1"/>
      <c r="D33" s="1"/>
      <c r="E33" s="1"/>
      <c r="F33" s="1"/>
      <c r="G33" s="1"/>
      <c r="H33" s="1"/>
      <c r="I33" s="1"/>
      <c r="J33" s="1"/>
      <c r="L33">
        <v>142</v>
      </c>
      <c r="M33" t="s">
        <v>55</v>
      </c>
      <c r="N33">
        <v>3038</v>
      </c>
      <c r="O33">
        <v>12</v>
      </c>
      <c r="P33">
        <v>0</v>
      </c>
      <c r="Q33">
        <v>0</v>
      </c>
      <c r="R33">
        <v>0</v>
      </c>
      <c r="S33">
        <v>3340</v>
      </c>
    </row>
    <row r="34" spans="1:19" x14ac:dyDescent="0.25">
      <c r="A34" t="s">
        <v>52</v>
      </c>
      <c r="B34" t="s">
        <v>53</v>
      </c>
      <c r="C34" s="1">
        <f>1845+2347</f>
        <v>4192</v>
      </c>
      <c r="D34" s="1">
        <v>0</v>
      </c>
      <c r="E34" s="1">
        <v>0</v>
      </c>
      <c r="F34" s="1">
        <v>0</v>
      </c>
      <c r="G34" s="1">
        <v>0</v>
      </c>
      <c r="H34" s="1">
        <v>2682</v>
      </c>
      <c r="I34" s="1">
        <v>1884</v>
      </c>
      <c r="J34" s="1"/>
      <c r="L34">
        <v>610</v>
      </c>
      <c r="M34" t="s">
        <v>56</v>
      </c>
      <c r="N34">
        <v>17028</v>
      </c>
      <c r="O34">
        <v>104</v>
      </c>
      <c r="P34">
        <v>0</v>
      </c>
      <c r="Q34">
        <v>0</v>
      </c>
      <c r="R34">
        <v>0</v>
      </c>
      <c r="S34">
        <v>1849</v>
      </c>
    </row>
    <row r="35" spans="1:19" x14ac:dyDescent="0.25">
      <c r="A35" t="s">
        <v>54</v>
      </c>
      <c r="B35" t="s">
        <v>55</v>
      </c>
      <c r="C35" s="1">
        <f>1849+1189</f>
        <v>3038</v>
      </c>
      <c r="D35" s="1">
        <v>12</v>
      </c>
      <c r="E35" s="1">
        <v>0</v>
      </c>
      <c r="F35" s="1">
        <v>0</v>
      </c>
      <c r="G35" s="1">
        <v>0</v>
      </c>
      <c r="H35" s="1">
        <v>3340</v>
      </c>
      <c r="I35" s="1">
        <v>1012</v>
      </c>
      <c r="J35" s="1"/>
      <c r="L35">
        <v>613</v>
      </c>
      <c r="M35" t="s">
        <v>57</v>
      </c>
    </row>
    <row r="36" spans="1:19" x14ac:dyDescent="0.25">
      <c r="A36" t="s">
        <v>788</v>
      </c>
      <c r="B36" t="s">
        <v>56</v>
      </c>
      <c r="C36" s="1">
        <f>8360+8668</f>
        <v>17028</v>
      </c>
      <c r="D36" s="1">
        <f>19+84+1</f>
        <v>104</v>
      </c>
      <c r="E36" s="1">
        <v>0</v>
      </c>
      <c r="F36" s="1">
        <v>0</v>
      </c>
      <c r="G36" s="1">
        <v>0</v>
      </c>
      <c r="H36" s="1">
        <v>1849</v>
      </c>
      <c r="I36" s="1">
        <v>2744</v>
      </c>
      <c r="J36" s="1"/>
      <c r="L36">
        <v>600.1</v>
      </c>
      <c r="M36" t="s">
        <v>58</v>
      </c>
    </row>
    <row r="37" spans="1:19" x14ac:dyDescent="0.25">
      <c r="A37" t="s">
        <v>495</v>
      </c>
      <c r="B37" t="s">
        <v>57</v>
      </c>
      <c r="C37" s="1"/>
      <c r="D37" s="1"/>
      <c r="E37" s="1"/>
      <c r="F37" s="1"/>
      <c r="G37" s="1"/>
      <c r="H37" s="1"/>
      <c r="I37" s="1"/>
      <c r="J37" s="1"/>
      <c r="L37">
        <v>139</v>
      </c>
      <c r="M37" t="s">
        <v>60</v>
      </c>
      <c r="N37">
        <v>1058</v>
      </c>
      <c r="O37">
        <v>0</v>
      </c>
      <c r="P37">
        <v>0</v>
      </c>
      <c r="Q37">
        <v>0</v>
      </c>
      <c r="R37">
        <v>0</v>
      </c>
      <c r="S37">
        <v>1140</v>
      </c>
    </row>
    <row r="38" spans="1:19" x14ac:dyDescent="0.25">
      <c r="A38" t="s">
        <v>248</v>
      </c>
      <c r="B38" t="s">
        <v>58</v>
      </c>
      <c r="C38" s="1"/>
      <c r="D38" s="1"/>
      <c r="E38" s="1"/>
      <c r="F38" s="1"/>
      <c r="G38" s="1"/>
      <c r="H38" s="1"/>
      <c r="I38" s="1"/>
      <c r="J38" s="1"/>
      <c r="L38">
        <v>143</v>
      </c>
      <c r="M38" t="s">
        <v>62</v>
      </c>
      <c r="N38">
        <v>2341</v>
      </c>
      <c r="O38">
        <v>0</v>
      </c>
      <c r="P38">
        <v>0</v>
      </c>
      <c r="Q38">
        <v>0</v>
      </c>
      <c r="R38">
        <v>0</v>
      </c>
      <c r="S38">
        <v>2639</v>
      </c>
    </row>
    <row r="39" spans="1:19" x14ac:dyDescent="0.25">
      <c r="A39" t="s">
        <v>59</v>
      </c>
      <c r="B39" t="s">
        <v>60</v>
      </c>
      <c r="C39" s="1">
        <f>613+445</f>
        <v>1058</v>
      </c>
      <c r="D39" s="1">
        <v>0</v>
      </c>
      <c r="E39" s="1">
        <v>0</v>
      </c>
      <c r="F39" s="1">
        <v>0</v>
      </c>
      <c r="G39" s="1">
        <v>0</v>
      </c>
      <c r="H39" s="1">
        <v>1140</v>
      </c>
      <c r="I39" s="1">
        <v>350</v>
      </c>
      <c r="J39" s="1"/>
      <c r="L39">
        <v>147</v>
      </c>
      <c r="M39" t="s">
        <v>63</v>
      </c>
      <c r="N39">
        <v>6462</v>
      </c>
      <c r="O39">
        <v>99</v>
      </c>
      <c r="P39">
        <v>0</v>
      </c>
      <c r="Q39">
        <v>0</v>
      </c>
      <c r="R39">
        <v>0</v>
      </c>
      <c r="S39">
        <v>2935</v>
      </c>
    </row>
    <row r="40" spans="1:19" x14ac:dyDescent="0.25">
      <c r="A40" t="s">
        <v>61</v>
      </c>
      <c r="B40" t="s">
        <v>62</v>
      </c>
      <c r="C40" s="1">
        <f>1414+927</f>
        <v>2341</v>
      </c>
      <c r="D40" s="1">
        <v>0</v>
      </c>
      <c r="E40" s="1">
        <v>0</v>
      </c>
      <c r="F40" s="1">
        <v>0</v>
      </c>
      <c r="G40" s="1">
        <v>0</v>
      </c>
      <c r="H40" s="1">
        <v>2639</v>
      </c>
      <c r="I40" s="1">
        <v>715</v>
      </c>
      <c r="J40" s="1"/>
      <c r="L40">
        <v>152</v>
      </c>
      <c r="M40" t="s">
        <v>64</v>
      </c>
      <c r="N40">
        <v>1007</v>
      </c>
      <c r="O40">
        <v>0</v>
      </c>
      <c r="P40">
        <v>0</v>
      </c>
      <c r="Q40">
        <v>0</v>
      </c>
      <c r="R40">
        <v>0</v>
      </c>
      <c r="S40">
        <v>2477</v>
      </c>
    </row>
    <row r="41" spans="1:19" x14ac:dyDescent="0.25">
      <c r="A41" t="s">
        <v>789</v>
      </c>
      <c r="B41" t="s">
        <v>63</v>
      </c>
      <c r="C41" s="1">
        <f>4038+440+2+1982</f>
        <v>6462</v>
      </c>
      <c r="D41" s="1">
        <f>19+58+6+9+5+2</f>
        <v>99</v>
      </c>
      <c r="E41" s="1">
        <v>0</v>
      </c>
      <c r="F41" s="1">
        <v>0</v>
      </c>
      <c r="G41" s="1">
        <v>0</v>
      </c>
      <c r="H41" s="1">
        <v>2935</v>
      </c>
      <c r="I41" s="1">
        <v>1325</v>
      </c>
      <c r="J41" s="1"/>
      <c r="L41">
        <v>610</v>
      </c>
      <c r="M41" t="s">
        <v>65</v>
      </c>
      <c r="N41">
        <v>2042</v>
      </c>
      <c r="O41">
        <v>6</v>
      </c>
      <c r="P41">
        <v>0</v>
      </c>
      <c r="Q41">
        <v>0</v>
      </c>
      <c r="R41">
        <v>0</v>
      </c>
      <c r="S41">
        <v>2715</v>
      </c>
    </row>
    <row r="42" spans="1:19" x14ac:dyDescent="0.25">
      <c r="A42" t="s">
        <v>790</v>
      </c>
      <c r="B42" t="s">
        <v>64</v>
      </c>
      <c r="C42" s="1">
        <f>729+278</f>
        <v>1007</v>
      </c>
      <c r="D42" s="1">
        <v>0</v>
      </c>
      <c r="E42" s="1">
        <v>0</v>
      </c>
      <c r="F42" s="1">
        <v>0</v>
      </c>
      <c r="G42" s="1">
        <v>0</v>
      </c>
      <c r="H42" s="1">
        <v>2477</v>
      </c>
      <c r="I42" s="1">
        <v>281</v>
      </c>
      <c r="J42" s="1"/>
      <c r="L42">
        <v>712</v>
      </c>
      <c r="M42" t="s">
        <v>66</v>
      </c>
      <c r="N42">
        <v>288</v>
      </c>
      <c r="O42">
        <v>0</v>
      </c>
      <c r="P42">
        <v>0</v>
      </c>
      <c r="Q42">
        <v>0</v>
      </c>
      <c r="R42">
        <v>0</v>
      </c>
      <c r="S42">
        <v>55</v>
      </c>
    </row>
    <row r="43" spans="1:19" x14ac:dyDescent="0.25">
      <c r="A43" t="s">
        <v>788</v>
      </c>
      <c r="B43" t="s">
        <v>65</v>
      </c>
      <c r="C43" s="1">
        <f>1663+379</f>
        <v>2042</v>
      </c>
      <c r="D43" s="1">
        <v>6</v>
      </c>
      <c r="E43" s="1">
        <v>0</v>
      </c>
      <c r="F43" s="1">
        <v>0</v>
      </c>
      <c r="G43" s="1">
        <v>0</v>
      </c>
      <c r="H43" s="1">
        <v>2715</v>
      </c>
      <c r="I43" s="1">
        <v>359</v>
      </c>
      <c r="J43" s="1"/>
      <c r="L43">
        <v>310</v>
      </c>
      <c r="M43" t="s">
        <v>68</v>
      </c>
    </row>
    <row r="44" spans="1:19" x14ac:dyDescent="0.25">
      <c r="A44" t="s">
        <v>76</v>
      </c>
      <c r="B44" t="s">
        <v>66</v>
      </c>
      <c r="C44" s="1">
        <f>170+2+116</f>
        <v>288</v>
      </c>
      <c r="D44" s="1">
        <v>0</v>
      </c>
      <c r="E44" s="1">
        <v>0</v>
      </c>
      <c r="F44" s="1">
        <v>0</v>
      </c>
      <c r="G44" s="1">
        <v>0</v>
      </c>
      <c r="H44" s="1">
        <v>55</v>
      </c>
      <c r="I44" s="1">
        <v>62</v>
      </c>
      <c r="J44" s="1"/>
      <c r="L44">
        <v>710</v>
      </c>
      <c r="M44" t="s">
        <v>70</v>
      </c>
      <c r="N44">
        <v>36859</v>
      </c>
      <c r="O44">
        <v>53</v>
      </c>
      <c r="P44">
        <v>0</v>
      </c>
      <c r="Q44">
        <v>0</v>
      </c>
      <c r="R44">
        <v>0</v>
      </c>
      <c r="S44">
        <v>32756</v>
      </c>
    </row>
    <row r="45" spans="1:19" x14ac:dyDescent="0.25">
      <c r="A45" t="s">
        <v>67</v>
      </c>
      <c r="B45" t="s">
        <v>68</v>
      </c>
      <c r="C45" s="1"/>
      <c r="D45" s="1"/>
      <c r="E45" s="1"/>
      <c r="F45" s="1"/>
      <c r="G45" s="1"/>
      <c r="H45" s="1"/>
      <c r="I45" s="1"/>
      <c r="J45" s="1"/>
      <c r="L45">
        <v>712</v>
      </c>
      <c r="M45" t="s">
        <v>71</v>
      </c>
      <c r="N45">
        <v>2209</v>
      </c>
      <c r="O45">
        <v>0</v>
      </c>
      <c r="P45">
        <v>0</v>
      </c>
      <c r="Q45">
        <v>0</v>
      </c>
      <c r="R45">
        <v>0</v>
      </c>
      <c r="S45">
        <v>126</v>
      </c>
    </row>
    <row r="46" spans="1:19" x14ac:dyDescent="0.25">
      <c r="A46" t="s">
        <v>69</v>
      </c>
      <c r="B46" t="s">
        <v>70</v>
      </c>
      <c r="C46" s="1">
        <f>27373+8+1+9477</f>
        <v>36859</v>
      </c>
      <c r="D46" s="1">
        <f>41+12</f>
        <v>53</v>
      </c>
      <c r="E46" s="1">
        <v>0</v>
      </c>
      <c r="F46" s="1">
        <v>0</v>
      </c>
      <c r="G46" s="1">
        <v>0</v>
      </c>
      <c r="H46" s="1">
        <v>32756</v>
      </c>
      <c r="I46" s="1">
        <v>7800</v>
      </c>
      <c r="J46" s="1"/>
      <c r="L46">
        <v>312</v>
      </c>
      <c r="M46" t="s">
        <v>73</v>
      </c>
      <c r="N46">
        <v>3555</v>
      </c>
      <c r="O46">
        <v>54</v>
      </c>
      <c r="P46">
        <v>0</v>
      </c>
      <c r="Q46">
        <v>0</v>
      </c>
      <c r="R46">
        <v>0</v>
      </c>
      <c r="S46">
        <v>1892</v>
      </c>
    </row>
    <row r="47" spans="1:19" x14ac:dyDescent="0.25">
      <c r="A47" t="s">
        <v>76</v>
      </c>
      <c r="B47" t="s">
        <v>71</v>
      </c>
      <c r="C47" s="1">
        <v>2209</v>
      </c>
      <c r="D47" s="1">
        <v>0</v>
      </c>
      <c r="E47" s="1">
        <v>0</v>
      </c>
      <c r="F47" s="1">
        <v>0</v>
      </c>
      <c r="G47" s="1">
        <v>0</v>
      </c>
      <c r="H47" s="1">
        <v>126</v>
      </c>
      <c r="I47" s="1">
        <v>722</v>
      </c>
      <c r="J47" s="1"/>
      <c r="L47" t="s">
        <v>808</v>
      </c>
      <c r="M47" t="s">
        <v>74</v>
      </c>
      <c r="N47">
        <v>2060</v>
      </c>
      <c r="O47">
        <v>6</v>
      </c>
      <c r="P47">
        <v>0</v>
      </c>
      <c r="Q47">
        <v>0</v>
      </c>
      <c r="R47">
        <v>0</v>
      </c>
      <c r="S47">
        <v>2416</v>
      </c>
    </row>
    <row r="48" spans="1:19" x14ac:dyDescent="0.25">
      <c r="A48" t="s">
        <v>72</v>
      </c>
      <c r="B48" t="s">
        <v>73</v>
      </c>
      <c r="C48" s="1">
        <f>3225+13+317</f>
        <v>3555</v>
      </c>
      <c r="D48" s="1">
        <v>54</v>
      </c>
      <c r="E48" s="1">
        <v>0</v>
      </c>
      <c r="F48" s="1">
        <v>0</v>
      </c>
      <c r="G48" s="1">
        <v>0</v>
      </c>
      <c r="H48" s="1">
        <v>1892</v>
      </c>
      <c r="I48" s="1">
        <v>280</v>
      </c>
      <c r="J48" s="1"/>
      <c r="L48">
        <v>611</v>
      </c>
      <c r="M48" t="s">
        <v>75</v>
      </c>
      <c r="N48">
        <v>1812</v>
      </c>
      <c r="O48">
        <v>0</v>
      </c>
      <c r="P48">
        <v>0</v>
      </c>
      <c r="Q48">
        <v>0</v>
      </c>
      <c r="R48">
        <v>0</v>
      </c>
      <c r="S48">
        <v>2716</v>
      </c>
    </row>
    <row r="49" spans="1:19" x14ac:dyDescent="0.25">
      <c r="A49" t="s">
        <v>809</v>
      </c>
      <c r="B49" t="s">
        <v>74</v>
      </c>
      <c r="C49" s="1">
        <f>1582+478</f>
        <v>2060</v>
      </c>
      <c r="D49" s="1">
        <v>6</v>
      </c>
      <c r="E49" s="1">
        <v>0</v>
      </c>
      <c r="F49" s="1">
        <v>0</v>
      </c>
      <c r="G49" s="1">
        <v>0</v>
      </c>
      <c r="H49" s="1">
        <v>2416</v>
      </c>
      <c r="I49" s="1">
        <v>264</v>
      </c>
      <c r="J49" s="1"/>
      <c r="L49">
        <v>712</v>
      </c>
      <c r="M49" t="s">
        <v>77</v>
      </c>
      <c r="N49">
        <v>3049</v>
      </c>
      <c r="O49">
        <v>24</v>
      </c>
      <c r="P49">
        <v>0</v>
      </c>
      <c r="Q49">
        <v>0</v>
      </c>
      <c r="R49">
        <v>0</v>
      </c>
      <c r="S49">
        <v>425</v>
      </c>
    </row>
    <row r="50" spans="1:19" x14ac:dyDescent="0.25">
      <c r="A50" t="s">
        <v>146</v>
      </c>
      <c r="B50" t="s">
        <v>75</v>
      </c>
      <c r="C50" s="1">
        <f>649+1163</f>
        <v>1812</v>
      </c>
      <c r="D50" s="1">
        <v>0</v>
      </c>
      <c r="E50" s="1">
        <v>0</v>
      </c>
      <c r="F50" s="1">
        <v>0</v>
      </c>
      <c r="G50" s="1">
        <v>0</v>
      </c>
      <c r="H50" s="1">
        <v>2716</v>
      </c>
      <c r="I50" s="1">
        <v>1144</v>
      </c>
      <c r="J50" s="1"/>
      <c r="L50">
        <v>711</v>
      </c>
      <c r="M50" t="s">
        <v>78</v>
      </c>
      <c r="N50">
        <v>7641</v>
      </c>
      <c r="O50">
        <v>0</v>
      </c>
      <c r="P50">
        <v>0</v>
      </c>
      <c r="Q50">
        <v>0</v>
      </c>
      <c r="R50">
        <v>0</v>
      </c>
      <c r="S50">
        <v>14268</v>
      </c>
    </row>
    <row r="51" spans="1:19" x14ac:dyDescent="0.25">
      <c r="A51" t="s">
        <v>76</v>
      </c>
      <c r="B51" t="s">
        <v>77</v>
      </c>
      <c r="C51" s="1">
        <f>2201+848</f>
        <v>3049</v>
      </c>
      <c r="D51" s="1">
        <v>24</v>
      </c>
      <c r="E51" s="1">
        <v>0</v>
      </c>
      <c r="F51" s="1">
        <v>0</v>
      </c>
      <c r="G51" s="1">
        <v>0</v>
      </c>
      <c r="H51" s="1">
        <v>425</v>
      </c>
      <c r="I51" s="1">
        <v>540</v>
      </c>
      <c r="J51" s="1"/>
      <c r="L51">
        <v>131</v>
      </c>
      <c r="M51" t="s">
        <v>79</v>
      </c>
    </row>
    <row r="52" spans="1:19" x14ac:dyDescent="0.25">
      <c r="A52" t="s">
        <v>801</v>
      </c>
      <c r="B52" t="s">
        <v>78</v>
      </c>
      <c r="C52" s="1">
        <f>5841+1800</f>
        <v>7641</v>
      </c>
      <c r="D52" s="1">
        <v>0</v>
      </c>
      <c r="E52" s="1">
        <v>0</v>
      </c>
      <c r="F52" s="1">
        <v>0</v>
      </c>
      <c r="G52" s="1">
        <v>0</v>
      </c>
      <c r="H52" s="1">
        <v>14268</v>
      </c>
      <c r="I52" s="1">
        <v>1654</v>
      </c>
      <c r="J52" s="1"/>
      <c r="L52">
        <v>300</v>
      </c>
      <c r="M52" t="s">
        <v>80</v>
      </c>
    </row>
    <row r="53" spans="1:19" x14ac:dyDescent="0.25">
      <c r="A53" t="s">
        <v>810</v>
      </c>
      <c r="B53" t="s">
        <v>79</v>
      </c>
      <c r="C53" s="1"/>
      <c r="D53" s="1"/>
      <c r="E53" s="1"/>
      <c r="F53" s="1"/>
      <c r="G53" s="1"/>
      <c r="H53" s="1"/>
      <c r="I53" s="1"/>
      <c r="J53" s="1"/>
      <c r="L53">
        <v>120</v>
      </c>
      <c r="M53" t="s">
        <v>81</v>
      </c>
    </row>
    <row r="54" spans="1:19" x14ac:dyDescent="0.25">
      <c r="A54" t="s">
        <v>226</v>
      </c>
      <c r="B54" t="s">
        <v>80</v>
      </c>
      <c r="C54" s="1"/>
      <c r="D54" s="1"/>
      <c r="E54" s="1"/>
      <c r="F54" s="1"/>
      <c r="G54" s="1"/>
      <c r="H54" s="1"/>
      <c r="I54" s="1"/>
      <c r="J54" s="1"/>
      <c r="L54">
        <v>712</v>
      </c>
      <c r="M54" t="s">
        <v>82</v>
      </c>
      <c r="N54">
        <v>7454</v>
      </c>
      <c r="O54">
        <v>56</v>
      </c>
      <c r="P54">
        <v>0</v>
      </c>
      <c r="Q54">
        <v>0</v>
      </c>
      <c r="R54">
        <v>0</v>
      </c>
      <c r="S54">
        <v>1586</v>
      </c>
    </row>
    <row r="55" spans="1:19" x14ac:dyDescent="0.25">
      <c r="A55" t="s">
        <v>802</v>
      </c>
      <c r="B55" t="s">
        <v>81</v>
      </c>
      <c r="C55" s="1"/>
      <c r="D55" s="1"/>
      <c r="E55" s="1"/>
      <c r="F55" s="1"/>
      <c r="G55" s="1"/>
      <c r="H55" s="1"/>
      <c r="I55" s="1"/>
      <c r="J55" s="1"/>
      <c r="L55">
        <v>700</v>
      </c>
      <c r="M55" t="s">
        <v>84</v>
      </c>
      <c r="N55">
        <v>8337</v>
      </c>
      <c r="O55">
        <v>1</v>
      </c>
      <c r="P55">
        <v>0</v>
      </c>
      <c r="Q55">
        <v>0</v>
      </c>
      <c r="R55">
        <v>0</v>
      </c>
      <c r="S55">
        <v>6388</v>
      </c>
    </row>
    <row r="56" spans="1:19" x14ac:dyDescent="0.25">
      <c r="A56" t="s">
        <v>76</v>
      </c>
      <c r="B56" t="s">
        <v>82</v>
      </c>
      <c r="C56" s="1">
        <f>6415+1+1038</f>
        <v>7454</v>
      </c>
      <c r="D56" s="1">
        <f>2+38+16</f>
        <v>56</v>
      </c>
      <c r="E56" s="1">
        <v>0</v>
      </c>
      <c r="F56" s="1">
        <v>0</v>
      </c>
      <c r="G56" s="1">
        <v>0</v>
      </c>
      <c r="H56" s="1">
        <v>1586</v>
      </c>
      <c r="I56" s="1">
        <v>1081</v>
      </c>
      <c r="J56" s="1"/>
      <c r="L56" t="s">
        <v>808</v>
      </c>
      <c r="M56" t="s">
        <v>85</v>
      </c>
      <c r="N56">
        <v>982</v>
      </c>
      <c r="O56">
        <v>0</v>
      </c>
      <c r="P56">
        <v>0</v>
      </c>
      <c r="Q56">
        <v>0</v>
      </c>
      <c r="R56">
        <v>0</v>
      </c>
      <c r="S56">
        <v>835</v>
      </c>
    </row>
    <row r="57" spans="1:19" x14ac:dyDescent="0.25">
      <c r="A57" t="s">
        <v>83</v>
      </c>
      <c r="B57" t="s">
        <v>84</v>
      </c>
      <c r="C57" s="1">
        <f>2731+5606</f>
        <v>8337</v>
      </c>
      <c r="D57" s="1">
        <v>1</v>
      </c>
      <c r="E57" s="1">
        <v>0</v>
      </c>
      <c r="F57" s="1">
        <v>0</v>
      </c>
      <c r="G57" s="1">
        <v>0</v>
      </c>
      <c r="H57" s="1">
        <v>6388</v>
      </c>
      <c r="I57" s="1">
        <v>5178</v>
      </c>
      <c r="J57" s="1"/>
      <c r="L57">
        <v>111</v>
      </c>
      <c r="M57" t="s">
        <v>86</v>
      </c>
      <c r="N57">
        <v>9266</v>
      </c>
      <c r="O57">
        <v>468</v>
      </c>
      <c r="P57">
        <v>0</v>
      </c>
      <c r="Q57">
        <v>0</v>
      </c>
      <c r="R57">
        <v>0</v>
      </c>
      <c r="S57">
        <v>319</v>
      </c>
    </row>
    <row r="58" spans="1:19" x14ac:dyDescent="0.25">
      <c r="A58" t="s">
        <v>809</v>
      </c>
      <c r="B58" t="s">
        <v>85</v>
      </c>
      <c r="C58" s="1">
        <f>625+5+352</f>
        <v>982</v>
      </c>
      <c r="D58" s="1">
        <v>0</v>
      </c>
      <c r="E58" s="1">
        <v>0</v>
      </c>
      <c r="F58" s="1">
        <v>0</v>
      </c>
      <c r="G58" s="1">
        <v>0</v>
      </c>
      <c r="H58" s="1">
        <v>835</v>
      </c>
      <c r="I58" s="1">
        <v>347</v>
      </c>
      <c r="J58" s="1"/>
      <c r="L58">
        <v>111</v>
      </c>
      <c r="M58" t="s">
        <v>87</v>
      </c>
      <c r="N58">
        <v>4527</v>
      </c>
      <c r="O58">
        <v>536</v>
      </c>
      <c r="P58">
        <v>0</v>
      </c>
      <c r="Q58">
        <v>0</v>
      </c>
      <c r="R58">
        <v>0</v>
      </c>
      <c r="S58">
        <v>1174</v>
      </c>
    </row>
    <row r="59" spans="1:19" x14ac:dyDescent="0.25">
      <c r="A59" t="s">
        <v>811</v>
      </c>
      <c r="B59" t="s">
        <v>86</v>
      </c>
      <c r="C59" s="1">
        <f>4877+4389</f>
        <v>9266</v>
      </c>
      <c r="D59" s="1">
        <f>180+128+160</f>
        <v>468</v>
      </c>
      <c r="E59" s="1">
        <v>0</v>
      </c>
      <c r="F59" s="1">
        <v>0</v>
      </c>
      <c r="G59" s="1">
        <v>0</v>
      </c>
      <c r="H59" s="1">
        <v>319</v>
      </c>
      <c r="I59" s="1">
        <v>3097</v>
      </c>
      <c r="J59" s="1"/>
      <c r="L59">
        <v>100</v>
      </c>
      <c r="M59" t="s">
        <v>88</v>
      </c>
      <c r="N59">
        <v>3407</v>
      </c>
      <c r="O59">
        <v>12</v>
      </c>
      <c r="P59">
        <v>0</v>
      </c>
      <c r="Q59">
        <v>0</v>
      </c>
      <c r="R59">
        <v>0</v>
      </c>
      <c r="S59">
        <v>581</v>
      </c>
    </row>
    <row r="60" spans="1:19" x14ac:dyDescent="0.25">
      <c r="A60" t="s">
        <v>811</v>
      </c>
      <c r="B60" t="s">
        <v>87</v>
      </c>
      <c r="C60" s="1">
        <f>3281+1+1+35+131+17+5+125+931</f>
        <v>4527</v>
      </c>
      <c r="D60" s="1">
        <f>134+402</f>
        <v>536</v>
      </c>
      <c r="E60" s="1">
        <v>0</v>
      </c>
      <c r="F60" s="1">
        <v>0</v>
      </c>
      <c r="G60" s="1">
        <v>0</v>
      </c>
      <c r="H60" s="1">
        <v>1174</v>
      </c>
      <c r="I60" s="1">
        <v>1155</v>
      </c>
      <c r="J60" s="1"/>
      <c r="L60" t="s">
        <v>808</v>
      </c>
      <c r="M60" t="s">
        <v>89</v>
      </c>
      <c r="N60">
        <v>7</v>
      </c>
      <c r="O60">
        <v>0</v>
      </c>
      <c r="P60">
        <v>0</v>
      </c>
      <c r="Q60">
        <v>0</v>
      </c>
      <c r="R60">
        <v>0</v>
      </c>
      <c r="S60">
        <v>2</v>
      </c>
    </row>
    <row r="61" spans="1:19" x14ac:dyDescent="0.25">
      <c r="A61" t="s">
        <v>791</v>
      </c>
      <c r="B61" t="s">
        <v>88</v>
      </c>
      <c r="C61" s="1">
        <f>2140+10+1+1256</f>
        <v>3407</v>
      </c>
      <c r="D61" s="1">
        <v>12</v>
      </c>
      <c r="E61" s="1">
        <v>0</v>
      </c>
      <c r="F61" s="1">
        <v>0</v>
      </c>
      <c r="G61" s="1">
        <v>0</v>
      </c>
      <c r="H61" s="1">
        <v>581</v>
      </c>
      <c r="I61" s="1">
        <v>1165</v>
      </c>
      <c r="J61" s="1"/>
      <c r="L61">
        <v>161</v>
      </c>
      <c r="M61" t="s">
        <v>90</v>
      </c>
      <c r="N61">
        <v>4263</v>
      </c>
      <c r="O61">
        <v>7</v>
      </c>
      <c r="P61">
        <v>0</v>
      </c>
      <c r="Q61">
        <v>0</v>
      </c>
      <c r="R61">
        <v>0</v>
      </c>
      <c r="S61">
        <v>351</v>
      </c>
    </row>
    <row r="62" spans="1:19" x14ac:dyDescent="0.25">
      <c r="A62" t="s">
        <v>809</v>
      </c>
      <c r="B62" t="s">
        <v>89</v>
      </c>
      <c r="C62" s="1">
        <v>7</v>
      </c>
      <c r="D62" s="1">
        <v>0</v>
      </c>
      <c r="E62" s="1">
        <v>0</v>
      </c>
      <c r="F62" s="1">
        <v>0</v>
      </c>
      <c r="G62" s="1">
        <v>0</v>
      </c>
      <c r="H62" s="1">
        <v>2</v>
      </c>
      <c r="I62" s="1">
        <v>1</v>
      </c>
      <c r="J62" s="1"/>
      <c r="L62">
        <v>111</v>
      </c>
      <c r="M62" t="s">
        <v>91</v>
      </c>
      <c r="N62">
        <v>28498</v>
      </c>
      <c r="O62">
        <v>502</v>
      </c>
      <c r="P62">
        <v>0</v>
      </c>
      <c r="Q62">
        <v>0</v>
      </c>
      <c r="R62">
        <v>0</v>
      </c>
      <c r="S62">
        <v>10429</v>
      </c>
    </row>
    <row r="63" spans="1:19" x14ac:dyDescent="0.25">
      <c r="A63" t="s">
        <v>792</v>
      </c>
      <c r="B63" t="s">
        <v>90</v>
      </c>
      <c r="C63" s="1">
        <f>2840+54+7+1+59+1302</f>
        <v>4263</v>
      </c>
      <c r="D63" s="1">
        <v>7</v>
      </c>
      <c r="E63" s="1">
        <v>0</v>
      </c>
      <c r="F63" s="1">
        <v>0</v>
      </c>
      <c r="G63" s="1">
        <v>0</v>
      </c>
      <c r="H63" s="1">
        <v>351</v>
      </c>
      <c r="I63" s="1">
        <v>1112</v>
      </c>
      <c r="J63" s="1"/>
      <c r="L63">
        <v>120</v>
      </c>
      <c r="M63" t="s">
        <v>92</v>
      </c>
    </row>
    <row r="64" spans="1:19" x14ac:dyDescent="0.25">
      <c r="A64" t="s">
        <v>811</v>
      </c>
      <c r="B64" t="s">
        <v>91</v>
      </c>
      <c r="C64" s="1">
        <f>10281+137+2+18078</f>
        <v>28498</v>
      </c>
      <c r="D64" s="1">
        <f>312+103+87</f>
        <v>502</v>
      </c>
      <c r="E64" s="1">
        <v>0</v>
      </c>
      <c r="F64" s="1">
        <v>0</v>
      </c>
      <c r="G64" s="1">
        <v>0</v>
      </c>
      <c r="H64" s="1">
        <v>10429</v>
      </c>
      <c r="I64" s="1">
        <v>14207</v>
      </c>
      <c r="J64" s="1"/>
      <c r="L64">
        <v>132</v>
      </c>
      <c r="M64" t="s">
        <v>93</v>
      </c>
    </row>
    <row r="65" spans="1:19" x14ac:dyDescent="0.25">
      <c r="A65" t="s">
        <v>802</v>
      </c>
      <c r="B65" t="s">
        <v>92</v>
      </c>
      <c r="C65" s="1"/>
      <c r="D65" s="1"/>
      <c r="E65" s="1"/>
      <c r="F65" s="1"/>
      <c r="G65" s="1"/>
      <c r="H65" s="1"/>
      <c r="I65" s="1"/>
      <c r="J65" s="1"/>
      <c r="L65">
        <v>100</v>
      </c>
      <c r="M65" t="s">
        <v>94</v>
      </c>
      <c r="N65">
        <v>1426</v>
      </c>
      <c r="O65">
        <v>0</v>
      </c>
      <c r="P65">
        <v>0</v>
      </c>
      <c r="Q65">
        <v>0</v>
      </c>
      <c r="R65">
        <v>0</v>
      </c>
      <c r="S65">
        <v>894</v>
      </c>
    </row>
    <row r="66" spans="1:19" x14ac:dyDescent="0.25">
      <c r="A66" t="s">
        <v>812</v>
      </c>
      <c r="B66" t="s">
        <v>93</v>
      </c>
      <c r="C66" s="1"/>
      <c r="D66" s="1"/>
      <c r="E66" s="1"/>
      <c r="F66" s="1"/>
      <c r="G66" s="1"/>
      <c r="H66" s="1"/>
      <c r="I66" s="1"/>
      <c r="J66" s="1"/>
      <c r="L66">
        <v>161</v>
      </c>
      <c r="M66" t="s">
        <v>95</v>
      </c>
      <c r="N66">
        <v>734</v>
      </c>
      <c r="O66">
        <v>14</v>
      </c>
      <c r="P66">
        <v>0</v>
      </c>
      <c r="Q66">
        <v>0</v>
      </c>
      <c r="R66">
        <v>0</v>
      </c>
      <c r="S66">
        <v>203</v>
      </c>
    </row>
    <row r="67" spans="1:19" x14ac:dyDescent="0.25">
      <c r="A67" t="s">
        <v>791</v>
      </c>
      <c r="B67" t="s">
        <v>94</v>
      </c>
      <c r="C67" s="1">
        <f>1121+2+7+3+293</f>
        <v>1426</v>
      </c>
      <c r="D67" s="1">
        <v>0</v>
      </c>
      <c r="E67" s="1">
        <v>0</v>
      </c>
      <c r="F67" s="1">
        <v>0</v>
      </c>
      <c r="G67" s="1">
        <v>0</v>
      </c>
      <c r="H67" s="1">
        <v>894</v>
      </c>
      <c r="I67" s="1">
        <v>283</v>
      </c>
      <c r="J67" s="1"/>
      <c r="L67">
        <v>120</v>
      </c>
      <c r="M67" t="s">
        <v>96</v>
      </c>
    </row>
    <row r="68" spans="1:19" x14ac:dyDescent="0.25">
      <c r="A68" t="s">
        <v>792</v>
      </c>
      <c r="B68" t="s">
        <v>95</v>
      </c>
      <c r="C68" s="1">
        <f>604+130</f>
        <v>734</v>
      </c>
      <c r="D68" s="1">
        <f>10+4</f>
        <v>14</v>
      </c>
      <c r="E68" s="1">
        <v>0</v>
      </c>
      <c r="F68" s="1">
        <v>0</v>
      </c>
      <c r="G68" s="1">
        <v>0</v>
      </c>
      <c r="H68" s="1">
        <v>203</v>
      </c>
      <c r="I68" s="1">
        <v>61</v>
      </c>
      <c r="J68" s="1"/>
      <c r="L68">
        <v>126</v>
      </c>
      <c r="M68" t="s">
        <v>98</v>
      </c>
      <c r="N68">
        <v>1361</v>
      </c>
      <c r="O68">
        <v>1</v>
      </c>
      <c r="P68">
        <v>0</v>
      </c>
      <c r="Q68">
        <v>0</v>
      </c>
      <c r="R68">
        <v>0</v>
      </c>
      <c r="S68">
        <v>778</v>
      </c>
    </row>
    <row r="69" spans="1:19" x14ac:dyDescent="0.25">
      <c r="A69" t="s">
        <v>802</v>
      </c>
      <c r="B69" t="s">
        <v>96</v>
      </c>
      <c r="C69" s="1"/>
      <c r="D69" s="1"/>
      <c r="E69" s="1"/>
      <c r="F69" s="1"/>
      <c r="G69" s="1"/>
      <c r="H69" s="1"/>
      <c r="I69" s="1"/>
      <c r="J69" s="1"/>
      <c r="L69">
        <v>134</v>
      </c>
      <c r="M69" t="s">
        <v>100</v>
      </c>
      <c r="N69">
        <v>1149</v>
      </c>
      <c r="O69">
        <v>100</v>
      </c>
      <c r="P69">
        <v>0</v>
      </c>
      <c r="Q69">
        <v>0</v>
      </c>
      <c r="R69">
        <v>0</v>
      </c>
      <c r="S69">
        <v>1322</v>
      </c>
    </row>
    <row r="70" spans="1:19" x14ac:dyDescent="0.25">
      <c r="A70" t="s">
        <v>97</v>
      </c>
      <c r="B70" t="s">
        <v>98</v>
      </c>
      <c r="C70" s="1">
        <f>771+590</f>
        <v>1361</v>
      </c>
      <c r="D70" s="1">
        <v>1</v>
      </c>
      <c r="E70" s="1">
        <v>0</v>
      </c>
      <c r="F70" s="1">
        <v>0</v>
      </c>
      <c r="G70" s="1">
        <v>0</v>
      </c>
      <c r="H70" s="1">
        <v>778</v>
      </c>
      <c r="I70" s="1">
        <v>490</v>
      </c>
      <c r="J70" s="1"/>
      <c r="L70">
        <v>511</v>
      </c>
      <c r="M70" t="s">
        <v>102</v>
      </c>
      <c r="N70">
        <v>4178</v>
      </c>
      <c r="O70">
        <v>2</v>
      </c>
      <c r="P70">
        <v>0</v>
      </c>
      <c r="Q70">
        <v>0</v>
      </c>
      <c r="R70">
        <v>0</v>
      </c>
      <c r="S70">
        <v>6715</v>
      </c>
    </row>
    <row r="71" spans="1:19" x14ac:dyDescent="0.25">
      <c r="A71" t="s">
        <v>99</v>
      </c>
      <c r="B71" t="s">
        <v>100</v>
      </c>
      <c r="C71" s="1">
        <f>882+267</f>
        <v>1149</v>
      </c>
      <c r="D71" s="1">
        <f>42+58</f>
        <v>100</v>
      </c>
      <c r="E71" s="1">
        <v>0</v>
      </c>
      <c r="F71" s="1">
        <v>0</v>
      </c>
      <c r="G71" s="1">
        <v>0</v>
      </c>
      <c r="H71" s="1">
        <v>1322</v>
      </c>
      <c r="I71" s="1">
        <v>263</v>
      </c>
      <c r="J71" s="1"/>
      <c r="L71">
        <v>313</v>
      </c>
      <c r="M71" t="s">
        <v>103</v>
      </c>
    </row>
    <row r="72" spans="1:19" x14ac:dyDescent="0.25">
      <c r="A72" t="s">
        <v>101</v>
      </c>
      <c r="B72" t="s">
        <v>102</v>
      </c>
      <c r="C72" s="1">
        <f>3131+1047</f>
        <v>4178</v>
      </c>
      <c r="D72" s="1">
        <v>2</v>
      </c>
      <c r="E72" s="1">
        <v>0</v>
      </c>
      <c r="F72" s="1">
        <v>0</v>
      </c>
      <c r="G72" s="1">
        <v>0</v>
      </c>
      <c r="H72" s="1">
        <v>6715</v>
      </c>
      <c r="I72" s="1">
        <v>854</v>
      </c>
      <c r="J72" s="1"/>
      <c r="L72">
        <v>121</v>
      </c>
      <c r="M72" t="s">
        <v>105</v>
      </c>
      <c r="N72">
        <v>1537</v>
      </c>
      <c r="O72">
        <v>4</v>
      </c>
      <c r="P72">
        <v>0</v>
      </c>
      <c r="Q72">
        <v>0</v>
      </c>
      <c r="R72">
        <v>0</v>
      </c>
      <c r="S72">
        <v>1391</v>
      </c>
    </row>
    <row r="73" spans="1:19" x14ac:dyDescent="0.25">
      <c r="A73" t="s">
        <v>512</v>
      </c>
      <c r="B73" t="s">
        <v>103</v>
      </c>
      <c r="C73" s="1"/>
      <c r="D73" s="1"/>
      <c r="E73" s="1"/>
      <c r="F73" s="1"/>
      <c r="G73" s="1"/>
      <c r="H73" s="1"/>
      <c r="I73" s="1"/>
      <c r="J73" s="1"/>
      <c r="L73">
        <v>133</v>
      </c>
      <c r="M73" t="s">
        <v>107</v>
      </c>
      <c r="N73">
        <v>6988</v>
      </c>
      <c r="O73">
        <v>14</v>
      </c>
      <c r="P73">
        <v>0</v>
      </c>
      <c r="Q73">
        <v>0</v>
      </c>
      <c r="R73">
        <v>0</v>
      </c>
      <c r="S73">
        <v>2074</v>
      </c>
    </row>
    <row r="74" spans="1:19" x14ac:dyDescent="0.25">
      <c r="A74" t="s">
        <v>104</v>
      </c>
      <c r="B74" t="s">
        <v>105</v>
      </c>
      <c r="C74" s="1">
        <f>981+556</f>
        <v>1537</v>
      </c>
      <c r="D74" s="1">
        <f>2+2</f>
        <v>4</v>
      </c>
      <c r="E74" s="1">
        <v>0</v>
      </c>
      <c r="F74" s="1">
        <v>0</v>
      </c>
      <c r="G74" s="1">
        <v>0</v>
      </c>
      <c r="H74" s="1">
        <v>1391</v>
      </c>
      <c r="I74" s="1">
        <v>465</v>
      </c>
      <c r="J74" s="1"/>
      <c r="L74">
        <v>127</v>
      </c>
      <c r="M74" t="s">
        <v>109</v>
      </c>
      <c r="N74">
        <v>2665</v>
      </c>
      <c r="O74">
        <v>99</v>
      </c>
      <c r="P74">
        <v>0</v>
      </c>
      <c r="Q74">
        <v>0</v>
      </c>
      <c r="R74">
        <v>0</v>
      </c>
      <c r="S74">
        <v>1901</v>
      </c>
    </row>
    <row r="75" spans="1:19" x14ac:dyDescent="0.25">
      <c r="A75" t="s">
        <v>106</v>
      </c>
      <c r="B75" t="s">
        <v>107</v>
      </c>
      <c r="C75" s="1">
        <f>6150+2+836</f>
        <v>6988</v>
      </c>
      <c r="D75" s="1">
        <f>11+1+2</f>
        <v>14</v>
      </c>
      <c r="E75" s="1">
        <v>0</v>
      </c>
      <c r="F75" s="1">
        <v>0</v>
      </c>
      <c r="G75" s="1">
        <v>0</v>
      </c>
      <c r="H75" s="1">
        <v>2074</v>
      </c>
      <c r="I75" s="1">
        <v>800</v>
      </c>
      <c r="J75" s="1"/>
      <c r="L75">
        <v>123</v>
      </c>
      <c r="M75" t="s">
        <v>111</v>
      </c>
      <c r="N75">
        <v>1601</v>
      </c>
      <c r="O75">
        <v>6</v>
      </c>
      <c r="P75">
        <v>0</v>
      </c>
      <c r="Q75">
        <v>0</v>
      </c>
      <c r="R75">
        <v>0</v>
      </c>
      <c r="S75">
        <v>1331</v>
      </c>
    </row>
    <row r="76" spans="1:19" x14ac:dyDescent="0.25">
      <c r="A76" t="s">
        <v>108</v>
      </c>
      <c r="B76" t="s">
        <v>109</v>
      </c>
      <c r="C76" s="1">
        <f>1833+18+27+785+2</f>
        <v>2665</v>
      </c>
      <c r="D76" s="1">
        <f>28+6+41+24</f>
        <v>99</v>
      </c>
      <c r="E76" s="1">
        <v>0</v>
      </c>
      <c r="F76" s="1">
        <v>0</v>
      </c>
      <c r="G76" s="1">
        <v>0</v>
      </c>
      <c r="H76" s="1">
        <v>1901</v>
      </c>
      <c r="I76" s="1">
        <v>644</v>
      </c>
      <c r="J76" s="1"/>
      <c r="L76">
        <v>511</v>
      </c>
      <c r="M76" t="s">
        <v>112</v>
      </c>
      <c r="N76">
        <v>3823</v>
      </c>
      <c r="O76">
        <v>3</v>
      </c>
      <c r="P76">
        <v>0</v>
      </c>
      <c r="Q76">
        <v>0</v>
      </c>
      <c r="R76">
        <v>0</v>
      </c>
      <c r="S76">
        <v>14197</v>
      </c>
    </row>
    <row r="77" spans="1:19" x14ac:dyDescent="0.25">
      <c r="A77" t="s">
        <v>110</v>
      </c>
      <c r="B77" t="s">
        <v>111</v>
      </c>
      <c r="C77" s="1">
        <f>1166+435</f>
        <v>1601</v>
      </c>
      <c r="D77" s="1">
        <f>2+4</f>
        <v>6</v>
      </c>
      <c r="E77" s="1">
        <v>0</v>
      </c>
      <c r="F77" s="1">
        <v>0</v>
      </c>
      <c r="G77" s="1">
        <v>0</v>
      </c>
      <c r="H77" s="1">
        <v>1331</v>
      </c>
      <c r="I77" s="1">
        <v>426</v>
      </c>
      <c r="J77" s="1"/>
      <c r="L77">
        <v>135</v>
      </c>
      <c r="M77" t="s">
        <v>114</v>
      </c>
      <c r="N77">
        <v>744</v>
      </c>
      <c r="O77">
        <v>6</v>
      </c>
      <c r="P77">
        <v>0</v>
      </c>
      <c r="Q77">
        <v>0</v>
      </c>
      <c r="R77">
        <v>0</v>
      </c>
      <c r="S77">
        <v>6142</v>
      </c>
    </row>
    <row r="78" spans="1:19" x14ac:dyDescent="0.25">
      <c r="A78" t="s">
        <v>101</v>
      </c>
      <c r="B78" t="s">
        <v>112</v>
      </c>
      <c r="C78" s="1">
        <f>3606+217</f>
        <v>3823</v>
      </c>
      <c r="D78" s="1">
        <v>3</v>
      </c>
      <c r="E78" s="1">
        <v>0</v>
      </c>
      <c r="F78" s="1">
        <v>0</v>
      </c>
      <c r="G78" s="1">
        <v>0</v>
      </c>
      <c r="H78" s="1">
        <v>14197</v>
      </c>
      <c r="I78" s="1">
        <v>168</v>
      </c>
      <c r="J78" s="1"/>
      <c r="L78">
        <v>122</v>
      </c>
      <c r="M78" t="s">
        <v>116</v>
      </c>
      <c r="N78">
        <v>2689</v>
      </c>
      <c r="O78">
        <v>37</v>
      </c>
      <c r="P78">
        <v>0</v>
      </c>
      <c r="Q78">
        <v>0</v>
      </c>
      <c r="R78">
        <v>0</v>
      </c>
      <c r="S78">
        <v>828</v>
      </c>
    </row>
    <row r="79" spans="1:19" x14ac:dyDescent="0.25">
      <c r="A79" t="s">
        <v>113</v>
      </c>
      <c r="B79" t="s">
        <v>114</v>
      </c>
      <c r="C79" s="1">
        <f>135+609</f>
        <v>744</v>
      </c>
      <c r="D79" s="1">
        <v>6</v>
      </c>
      <c r="E79" s="1">
        <v>0</v>
      </c>
      <c r="F79" s="1">
        <v>0</v>
      </c>
      <c r="G79" s="1">
        <v>0</v>
      </c>
      <c r="H79" s="1">
        <v>6142</v>
      </c>
      <c r="I79" s="1">
        <v>595</v>
      </c>
      <c r="J79" s="1"/>
      <c r="L79">
        <v>613</v>
      </c>
      <c r="M79" t="s">
        <v>117</v>
      </c>
    </row>
    <row r="80" spans="1:19" x14ac:dyDescent="0.25">
      <c r="A80" t="s">
        <v>115</v>
      </c>
      <c r="B80" t="s">
        <v>116</v>
      </c>
      <c r="C80" s="1">
        <f>2107+582</f>
        <v>2689</v>
      </c>
      <c r="D80" s="1">
        <f>17+20</f>
        <v>37</v>
      </c>
      <c r="E80" s="1">
        <v>0</v>
      </c>
      <c r="F80" s="1">
        <v>0</v>
      </c>
      <c r="G80" s="1">
        <v>0</v>
      </c>
      <c r="H80" s="1">
        <v>828</v>
      </c>
      <c r="I80" s="1">
        <v>513</v>
      </c>
      <c r="J80" s="1"/>
      <c r="L80">
        <v>137</v>
      </c>
      <c r="M80" t="s">
        <v>119</v>
      </c>
      <c r="N80">
        <v>3325</v>
      </c>
      <c r="O80">
        <v>4</v>
      </c>
      <c r="P80">
        <v>0</v>
      </c>
      <c r="Q80">
        <v>0</v>
      </c>
      <c r="R80">
        <v>0</v>
      </c>
      <c r="S80">
        <v>1464</v>
      </c>
    </row>
    <row r="81" spans="1:19" x14ac:dyDescent="0.25">
      <c r="A81" t="s">
        <v>495</v>
      </c>
      <c r="B81" t="s">
        <v>117</v>
      </c>
      <c r="C81" s="1"/>
      <c r="D81" s="1"/>
      <c r="E81" s="1"/>
      <c r="F81" s="1"/>
      <c r="G81" s="1"/>
      <c r="H81" s="1"/>
      <c r="I81" s="1"/>
      <c r="J81" s="1"/>
      <c r="L81">
        <v>311</v>
      </c>
      <c r="M81" t="s">
        <v>121</v>
      </c>
      <c r="N81">
        <v>1732</v>
      </c>
      <c r="O81">
        <v>0</v>
      </c>
      <c r="P81">
        <v>0</v>
      </c>
      <c r="Q81">
        <v>0</v>
      </c>
      <c r="R81">
        <v>0</v>
      </c>
      <c r="S81">
        <v>934</v>
      </c>
    </row>
    <row r="82" spans="1:19" x14ac:dyDescent="0.25">
      <c r="A82" t="s">
        <v>118</v>
      </c>
      <c r="B82" t="s">
        <v>119</v>
      </c>
      <c r="C82" s="1">
        <f>1864+3+1458</f>
        <v>3325</v>
      </c>
      <c r="D82" s="1">
        <v>4</v>
      </c>
      <c r="E82" s="1">
        <v>0</v>
      </c>
      <c r="F82" s="1">
        <v>0</v>
      </c>
      <c r="G82" s="1">
        <v>0</v>
      </c>
      <c r="H82" s="1">
        <v>1464</v>
      </c>
      <c r="I82" s="1">
        <v>812</v>
      </c>
      <c r="J82" s="1"/>
      <c r="L82">
        <v>130</v>
      </c>
      <c r="M82" t="s">
        <v>122</v>
      </c>
      <c r="N82">
        <v>2379</v>
      </c>
      <c r="O82">
        <v>0</v>
      </c>
      <c r="P82">
        <v>0</v>
      </c>
      <c r="Q82">
        <v>0</v>
      </c>
      <c r="R82">
        <v>0</v>
      </c>
      <c r="S82">
        <v>1054</v>
      </c>
    </row>
    <row r="83" spans="1:19" x14ac:dyDescent="0.25">
      <c r="A83" t="s">
        <v>120</v>
      </c>
      <c r="B83" t="s">
        <v>121</v>
      </c>
      <c r="C83" s="1">
        <f>610+1+1121</f>
        <v>1732</v>
      </c>
      <c r="D83" s="1">
        <v>0</v>
      </c>
      <c r="E83" s="1">
        <v>0</v>
      </c>
      <c r="F83" s="1">
        <v>0</v>
      </c>
      <c r="G83" s="1">
        <v>0</v>
      </c>
      <c r="H83" s="1">
        <v>934</v>
      </c>
      <c r="I83" s="1">
        <v>426</v>
      </c>
      <c r="J83" s="1"/>
      <c r="L83">
        <v>124</v>
      </c>
      <c r="M83" t="s">
        <v>124</v>
      </c>
      <c r="N83">
        <v>2355</v>
      </c>
      <c r="O83">
        <v>0</v>
      </c>
      <c r="P83">
        <v>0</v>
      </c>
      <c r="Q83">
        <v>0</v>
      </c>
      <c r="R83">
        <v>0</v>
      </c>
      <c r="S83">
        <v>1781</v>
      </c>
    </row>
    <row r="84" spans="1:19" x14ac:dyDescent="0.25">
      <c r="A84" t="s">
        <v>793</v>
      </c>
      <c r="B84" t="s">
        <v>122</v>
      </c>
      <c r="C84" s="1">
        <f>1595+784</f>
        <v>2379</v>
      </c>
      <c r="D84" s="1">
        <v>0</v>
      </c>
      <c r="E84" s="1">
        <v>0</v>
      </c>
      <c r="F84" s="1">
        <v>0</v>
      </c>
      <c r="G84" s="1">
        <v>0</v>
      </c>
      <c r="H84" s="1">
        <v>1054</v>
      </c>
      <c r="I84" s="1">
        <v>601</v>
      </c>
      <c r="J84" s="1"/>
      <c r="L84">
        <v>613</v>
      </c>
      <c r="M84" t="s">
        <v>125</v>
      </c>
    </row>
    <row r="85" spans="1:19" x14ac:dyDescent="0.25">
      <c r="A85" t="s">
        <v>123</v>
      </c>
      <c r="B85" t="s">
        <v>124</v>
      </c>
      <c r="C85" s="1">
        <f>1689+666</f>
        <v>2355</v>
      </c>
      <c r="D85" s="1">
        <v>0</v>
      </c>
      <c r="E85" s="1">
        <v>0</v>
      </c>
      <c r="F85" s="1">
        <v>0</v>
      </c>
      <c r="G85" s="1">
        <v>0</v>
      </c>
      <c r="H85" s="1">
        <v>1781</v>
      </c>
      <c r="I85" s="1">
        <v>585</v>
      </c>
      <c r="J85" s="1"/>
      <c r="L85">
        <v>600</v>
      </c>
      <c r="M85" t="s">
        <v>126</v>
      </c>
      <c r="N85">
        <v>3402</v>
      </c>
      <c r="O85">
        <v>6</v>
      </c>
      <c r="P85">
        <v>0</v>
      </c>
      <c r="Q85">
        <v>0</v>
      </c>
      <c r="R85">
        <v>0</v>
      </c>
      <c r="S85">
        <v>2606</v>
      </c>
    </row>
    <row r="86" spans="1:19" x14ac:dyDescent="0.25">
      <c r="A86" s="16" t="s">
        <v>495</v>
      </c>
      <c r="B86" t="s">
        <v>125</v>
      </c>
      <c r="C86" s="1"/>
      <c r="D86" s="1"/>
      <c r="E86" s="1"/>
      <c r="F86" s="1"/>
      <c r="G86" s="1"/>
      <c r="H86" s="1"/>
      <c r="I86" s="1"/>
      <c r="J86" s="1"/>
      <c r="L86">
        <v>128</v>
      </c>
      <c r="M86" t="s">
        <v>127</v>
      </c>
      <c r="N86">
        <v>1597</v>
      </c>
      <c r="O86">
        <v>15</v>
      </c>
      <c r="P86">
        <v>0</v>
      </c>
      <c r="Q86">
        <v>0</v>
      </c>
      <c r="R86">
        <v>0</v>
      </c>
      <c r="S86">
        <v>1734</v>
      </c>
    </row>
    <row r="87" spans="1:19" x14ac:dyDescent="0.25">
      <c r="A87" t="s">
        <v>248</v>
      </c>
      <c r="B87" t="s">
        <v>126</v>
      </c>
      <c r="C87" s="1">
        <f>2744+2+656</f>
        <v>3402</v>
      </c>
      <c r="D87" s="1">
        <v>6</v>
      </c>
      <c r="E87" s="1">
        <v>0</v>
      </c>
      <c r="F87" s="1">
        <v>0</v>
      </c>
      <c r="G87" s="1">
        <v>0</v>
      </c>
      <c r="H87" s="1">
        <v>2606</v>
      </c>
      <c r="I87" s="1">
        <v>576</v>
      </c>
      <c r="J87" s="1"/>
      <c r="L87">
        <v>136</v>
      </c>
      <c r="M87" t="s">
        <v>129</v>
      </c>
      <c r="N87">
        <v>4388</v>
      </c>
      <c r="O87">
        <v>30</v>
      </c>
      <c r="P87">
        <v>0</v>
      </c>
      <c r="Q87">
        <v>0</v>
      </c>
      <c r="R87">
        <v>0</v>
      </c>
      <c r="S87">
        <v>1438</v>
      </c>
    </row>
    <row r="88" spans="1:19" x14ac:dyDescent="0.25">
      <c r="A88" t="s">
        <v>813</v>
      </c>
      <c r="B88" t="s">
        <v>127</v>
      </c>
      <c r="C88" s="1">
        <f>1147+450</f>
        <v>1597</v>
      </c>
      <c r="D88" s="1">
        <v>15</v>
      </c>
      <c r="E88" s="1">
        <v>0</v>
      </c>
      <c r="F88" s="1">
        <v>0</v>
      </c>
      <c r="G88" s="1">
        <v>0</v>
      </c>
      <c r="H88" s="1">
        <v>1734</v>
      </c>
      <c r="I88" s="1">
        <v>497</v>
      </c>
      <c r="J88" s="1"/>
      <c r="L88" t="s">
        <v>814</v>
      </c>
      <c r="M88" t="s">
        <v>130</v>
      </c>
      <c r="N88">
        <v>5558</v>
      </c>
      <c r="O88">
        <v>0</v>
      </c>
      <c r="P88">
        <v>0</v>
      </c>
      <c r="Q88">
        <v>0</v>
      </c>
      <c r="R88">
        <v>0</v>
      </c>
      <c r="S88">
        <v>515</v>
      </c>
    </row>
    <row r="89" spans="1:19" x14ac:dyDescent="0.25">
      <c r="A89" t="s">
        <v>128</v>
      </c>
      <c r="B89" t="s">
        <v>129</v>
      </c>
      <c r="C89" s="1">
        <f>3021+1367</f>
        <v>4388</v>
      </c>
      <c r="D89" s="1">
        <v>30</v>
      </c>
      <c r="E89" s="1">
        <v>0</v>
      </c>
      <c r="F89" s="1">
        <v>0</v>
      </c>
      <c r="G89" s="1">
        <v>0</v>
      </c>
      <c r="H89" s="1">
        <v>1438</v>
      </c>
      <c r="I89" s="1">
        <v>1057</v>
      </c>
      <c r="J89" s="1"/>
      <c r="L89">
        <v>211</v>
      </c>
      <c r="M89" t="s">
        <v>132</v>
      </c>
      <c r="N89">
        <v>4210</v>
      </c>
      <c r="O89">
        <v>24</v>
      </c>
      <c r="P89">
        <v>0</v>
      </c>
      <c r="Q89">
        <v>0</v>
      </c>
      <c r="R89">
        <v>0</v>
      </c>
      <c r="S89">
        <v>11990</v>
      </c>
    </row>
    <row r="90" spans="1:19" x14ac:dyDescent="0.25">
      <c r="A90" t="s">
        <v>794</v>
      </c>
      <c r="B90" t="s">
        <v>130</v>
      </c>
      <c r="C90" s="1">
        <f>4938+295+325</f>
        <v>5558</v>
      </c>
      <c r="D90" s="1">
        <v>0</v>
      </c>
      <c r="E90" s="1">
        <v>0</v>
      </c>
      <c r="F90" s="1">
        <v>0</v>
      </c>
      <c r="G90" s="1">
        <v>0</v>
      </c>
      <c r="H90" s="1">
        <v>515</v>
      </c>
      <c r="I90" s="1">
        <v>303</v>
      </c>
      <c r="J90" s="1"/>
      <c r="L90">
        <v>313</v>
      </c>
      <c r="M90" t="s">
        <v>133</v>
      </c>
    </row>
    <row r="91" spans="1:19" x14ac:dyDescent="0.25">
      <c r="A91" t="s">
        <v>131</v>
      </c>
      <c r="B91" t="s">
        <v>132</v>
      </c>
      <c r="C91" s="1">
        <f>3475+735</f>
        <v>4210</v>
      </c>
      <c r="D91" s="1">
        <v>24</v>
      </c>
      <c r="E91" s="1">
        <v>0</v>
      </c>
      <c r="F91" s="1">
        <v>0</v>
      </c>
      <c r="G91" s="1">
        <v>0</v>
      </c>
      <c r="H91" s="1">
        <v>11990</v>
      </c>
      <c r="I91" s="1">
        <v>642</v>
      </c>
      <c r="J91" s="1"/>
      <c r="L91">
        <v>514</v>
      </c>
      <c r="M91" t="s">
        <v>135</v>
      </c>
      <c r="N91">
        <v>4778</v>
      </c>
      <c r="O91">
        <v>4</v>
      </c>
      <c r="P91">
        <v>0</v>
      </c>
      <c r="Q91">
        <v>0</v>
      </c>
      <c r="R91">
        <v>0</v>
      </c>
      <c r="S91">
        <v>3616</v>
      </c>
    </row>
    <row r="92" spans="1:19" x14ac:dyDescent="0.25">
      <c r="A92" t="s">
        <v>512</v>
      </c>
      <c r="B92" t="s">
        <v>133</v>
      </c>
      <c r="C92" s="1"/>
      <c r="D92" s="1"/>
      <c r="E92" s="1"/>
      <c r="F92" s="1"/>
      <c r="G92" s="1"/>
      <c r="H92" s="1"/>
      <c r="I92" s="1"/>
      <c r="J92" s="1"/>
      <c r="L92">
        <v>116</v>
      </c>
      <c r="M92" t="s">
        <v>136</v>
      </c>
      <c r="N92">
        <v>2175</v>
      </c>
      <c r="O92">
        <v>10</v>
      </c>
      <c r="P92">
        <v>0</v>
      </c>
      <c r="Q92">
        <v>0</v>
      </c>
      <c r="R92">
        <v>0</v>
      </c>
      <c r="S92">
        <v>729</v>
      </c>
    </row>
    <row r="93" spans="1:19" x14ac:dyDescent="0.25">
      <c r="A93" t="s">
        <v>134</v>
      </c>
      <c r="B93" t="s">
        <v>135</v>
      </c>
      <c r="C93" s="1">
        <f>2965+8+1805</f>
        <v>4778</v>
      </c>
      <c r="D93" s="1">
        <f>1+3</f>
        <v>4</v>
      </c>
      <c r="E93" s="1">
        <v>0</v>
      </c>
      <c r="F93" s="1">
        <v>0</v>
      </c>
      <c r="G93" s="1">
        <v>0</v>
      </c>
      <c r="H93" s="1">
        <v>3616</v>
      </c>
      <c r="I93" s="1">
        <v>1812</v>
      </c>
      <c r="J93" s="1"/>
      <c r="L93">
        <v>311</v>
      </c>
      <c r="M93" t="s">
        <v>137</v>
      </c>
      <c r="N93">
        <v>2961</v>
      </c>
      <c r="O93">
        <v>0</v>
      </c>
      <c r="P93">
        <v>0</v>
      </c>
      <c r="Q93">
        <v>0</v>
      </c>
      <c r="R93">
        <v>0</v>
      </c>
      <c r="S93">
        <v>2867</v>
      </c>
    </row>
    <row r="94" spans="1:19" x14ac:dyDescent="0.25">
      <c r="A94" t="s">
        <v>795</v>
      </c>
      <c r="B94" t="s">
        <v>136</v>
      </c>
      <c r="C94" s="1">
        <f>1559+616</f>
        <v>2175</v>
      </c>
      <c r="D94" s="1">
        <f>4+3+3</f>
        <v>10</v>
      </c>
      <c r="E94" s="1">
        <v>0</v>
      </c>
      <c r="F94" s="1">
        <v>0</v>
      </c>
      <c r="G94" s="1">
        <v>0</v>
      </c>
      <c r="H94" s="1">
        <v>729</v>
      </c>
      <c r="I94" s="1">
        <v>632</v>
      </c>
      <c r="J94" s="1"/>
      <c r="L94" t="s">
        <v>815</v>
      </c>
      <c r="M94" t="s">
        <v>139</v>
      </c>
      <c r="N94">
        <v>3046</v>
      </c>
      <c r="O94">
        <v>2</v>
      </c>
      <c r="P94">
        <v>0</v>
      </c>
      <c r="Q94">
        <v>0</v>
      </c>
      <c r="R94">
        <v>0</v>
      </c>
      <c r="S94">
        <v>1363</v>
      </c>
    </row>
    <row r="95" spans="1:19" x14ac:dyDescent="0.25">
      <c r="A95" t="s">
        <v>120</v>
      </c>
      <c r="B95" t="s">
        <v>137</v>
      </c>
      <c r="C95" s="1">
        <f>2776+2+183</f>
        <v>2961</v>
      </c>
      <c r="D95" s="1">
        <v>0</v>
      </c>
      <c r="E95" s="1">
        <v>0</v>
      </c>
      <c r="F95" s="1">
        <v>0</v>
      </c>
      <c r="G95" s="1">
        <v>0</v>
      </c>
      <c r="H95" s="1">
        <v>2867</v>
      </c>
      <c r="I95" s="1">
        <v>148</v>
      </c>
      <c r="J95" s="1"/>
      <c r="L95">
        <v>200</v>
      </c>
      <c r="M95" t="s">
        <v>141</v>
      </c>
      <c r="N95">
        <v>171</v>
      </c>
      <c r="O95">
        <v>0</v>
      </c>
      <c r="P95">
        <v>0</v>
      </c>
      <c r="Q95">
        <v>0</v>
      </c>
      <c r="R95">
        <v>0</v>
      </c>
      <c r="S95">
        <v>180</v>
      </c>
    </row>
    <row r="96" spans="1:19" x14ac:dyDescent="0.25">
      <c r="A96" t="s">
        <v>138</v>
      </c>
      <c r="B96" t="s">
        <v>139</v>
      </c>
      <c r="C96" s="1">
        <f>2816+1+4+7+218</f>
        <v>3046</v>
      </c>
      <c r="D96" s="1">
        <v>2</v>
      </c>
      <c r="E96" s="1">
        <v>0</v>
      </c>
      <c r="F96" s="1">
        <v>0</v>
      </c>
      <c r="G96" s="1">
        <v>0</v>
      </c>
      <c r="H96" s="1">
        <v>1363</v>
      </c>
      <c r="I96" s="1">
        <v>235</v>
      </c>
      <c r="J96" s="1"/>
      <c r="L96">
        <v>310</v>
      </c>
      <c r="M96" t="s">
        <v>142</v>
      </c>
    </row>
    <row r="97" spans="1:19" x14ac:dyDescent="0.25">
      <c r="A97" t="s">
        <v>140</v>
      </c>
      <c r="B97" t="s">
        <v>141</v>
      </c>
      <c r="C97" s="1">
        <f>138+33</f>
        <v>171</v>
      </c>
      <c r="D97" s="1">
        <v>0</v>
      </c>
      <c r="E97" s="1">
        <v>0</v>
      </c>
      <c r="F97" s="1">
        <v>0</v>
      </c>
      <c r="G97" s="1">
        <v>0</v>
      </c>
      <c r="H97" s="1">
        <v>180</v>
      </c>
      <c r="I97" s="1">
        <v>33</v>
      </c>
      <c r="J97" s="1"/>
      <c r="L97">
        <v>613</v>
      </c>
      <c r="M97" t="s">
        <v>143</v>
      </c>
    </row>
    <row r="98" spans="1:19" x14ac:dyDescent="0.25">
      <c r="A98" t="s">
        <v>67</v>
      </c>
      <c r="B98" t="s">
        <v>142</v>
      </c>
      <c r="C98" s="1"/>
      <c r="D98" s="1"/>
      <c r="E98" s="1"/>
      <c r="F98" s="1"/>
      <c r="G98" s="1"/>
      <c r="H98" s="1"/>
      <c r="I98" s="1"/>
      <c r="J98" s="1"/>
      <c r="L98">
        <v>161</v>
      </c>
      <c r="M98" t="s">
        <v>144</v>
      </c>
      <c r="N98">
        <v>1912</v>
      </c>
      <c r="O98">
        <v>180</v>
      </c>
      <c r="P98">
        <v>0</v>
      </c>
      <c r="Q98">
        <v>0</v>
      </c>
      <c r="R98">
        <v>0</v>
      </c>
      <c r="S98">
        <v>813</v>
      </c>
    </row>
    <row r="99" spans="1:19" x14ac:dyDescent="0.25">
      <c r="A99" s="16" t="s">
        <v>495</v>
      </c>
      <c r="B99" t="s">
        <v>143</v>
      </c>
      <c r="C99" s="1"/>
      <c r="D99" s="1"/>
      <c r="E99" s="1"/>
      <c r="F99" s="1"/>
      <c r="G99" s="1"/>
      <c r="H99" s="1"/>
      <c r="I99" s="1"/>
      <c r="J99" s="1"/>
      <c r="L99">
        <v>515</v>
      </c>
      <c r="M99" t="s">
        <v>145</v>
      </c>
    </row>
    <row r="100" spans="1:19" x14ac:dyDescent="0.25">
      <c r="A100" t="s">
        <v>792</v>
      </c>
      <c r="B100" t="s">
        <v>144</v>
      </c>
      <c r="C100" s="1">
        <f>1290+622</f>
        <v>1912</v>
      </c>
      <c r="D100" s="1">
        <f>175+5</f>
        <v>180</v>
      </c>
      <c r="E100" s="1">
        <v>0</v>
      </c>
      <c r="F100" s="1">
        <v>0</v>
      </c>
      <c r="G100" s="1">
        <v>0</v>
      </c>
      <c r="H100" s="1">
        <v>813</v>
      </c>
      <c r="I100" s="1">
        <v>627</v>
      </c>
      <c r="J100" s="1"/>
      <c r="L100">
        <v>611</v>
      </c>
      <c r="M100" t="s">
        <v>147</v>
      </c>
      <c r="N100">
        <v>7009</v>
      </c>
      <c r="O100">
        <v>9</v>
      </c>
      <c r="P100">
        <v>0</v>
      </c>
      <c r="Q100">
        <v>0</v>
      </c>
      <c r="R100">
        <v>0</v>
      </c>
      <c r="S100">
        <v>7026</v>
      </c>
    </row>
    <row r="101" spans="1:19" x14ac:dyDescent="0.25">
      <c r="A101" t="s">
        <v>816</v>
      </c>
      <c r="B101" t="s">
        <v>145</v>
      </c>
      <c r="C101" s="1"/>
      <c r="D101" s="1"/>
      <c r="E101" s="1"/>
      <c r="F101" s="1"/>
      <c r="G101" s="1"/>
      <c r="H101" s="1"/>
      <c r="I101" s="1"/>
      <c r="J101" s="1"/>
      <c r="L101">
        <v>710</v>
      </c>
      <c r="M101" t="s">
        <v>148</v>
      </c>
      <c r="N101">
        <v>21891</v>
      </c>
      <c r="O101">
        <v>31</v>
      </c>
      <c r="P101">
        <v>0</v>
      </c>
      <c r="Q101">
        <v>0</v>
      </c>
      <c r="R101">
        <v>0</v>
      </c>
      <c r="S101">
        <v>36160</v>
      </c>
    </row>
    <row r="102" spans="1:19" x14ac:dyDescent="0.25">
      <c r="A102" t="s">
        <v>146</v>
      </c>
      <c r="B102" t="s">
        <v>147</v>
      </c>
      <c r="C102" s="1">
        <f>5087+1922</f>
        <v>7009</v>
      </c>
      <c r="D102" s="1">
        <v>9</v>
      </c>
      <c r="E102" s="1">
        <v>0</v>
      </c>
      <c r="F102" s="1">
        <v>0</v>
      </c>
      <c r="G102" s="1">
        <v>0</v>
      </c>
      <c r="H102" s="1">
        <v>7026</v>
      </c>
      <c r="I102" s="1">
        <v>1692</v>
      </c>
      <c r="J102" s="1"/>
      <c r="L102">
        <v>616</v>
      </c>
      <c r="M102" t="s">
        <v>149</v>
      </c>
    </row>
    <row r="103" spans="1:19" x14ac:dyDescent="0.25">
      <c r="A103" t="s">
        <v>69</v>
      </c>
      <c r="B103" t="s">
        <v>148</v>
      </c>
      <c r="C103" s="1">
        <f>16203+5688</f>
        <v>21891</v>
      </c>
      <c r="D103" s="1">
        <f>30+1</f>
        <v>31</v>
      </c>
      <c r="E103" s="1">
        <v>0</v>
      </c>
      <c r="F103" s="1">
        <v>0</v>
      </c>
      <c r="G103" s="1">
        <v>0</v>
      </c>
      <c r="H103" s="1">
        <v>36160</v>
      </c>
      <c r="I103" s="1">
        <v>4833</v>
      </c>
      <c r="J103" s="1"/>
      <c r="L103">
        <v>114</v>
      </c>
      <c r="M103" t="s">
        <v>151</v>
      </c>
      <c r="N103">
        <v>1753</v>
      </c>
      <c r="O103">
        <v>0</v>
      </c>
      <c r="P103">
        <v>0</v>
      </c>
      <c r="Q103">
        <v>0</v>
      </c>
      <c r="R103">
        <v>0</v>
      </c>
      <c r="S103">
        <v>50</v>
      </c>
    </row>
    <row r="104" spans="1:19" x14ac:dyDescent="0.25">
      <c r="A104" t="s">
        <v>817</v>
      </c>
      <c r="B104" t="s">
        <v>149</v>
      </c>
      <c r="C104" s="1"/>
      <c r="D104" s="1"/>
      <c r="E104" s="1"/>
      <c r="F104" s="1"/>
      <c r="G104" s="1"/>
      <c r="H104" s="1"/>
      <c r="I104" s="1"/>
      <c r="J104" s="1"/>
      <c r="L104">
        <v>611</v>
      </c>
      <c r="M104" t="s">
        <v>152</v>
      </c>
      <c r="N104">
        <v>1722</v>
      </c>
      <c r="O104">
        <v>0</v>
      </c>
      <c r="P104">
        <v>0</v>
      </c>
      <c r="Q104">
        <v>0</v>
      </c>
      <c r="R104">
        <v>0</v>
      </c>
      <c r="S104">
        <v>433</v>
      </c>
    </row>
    <row r="105" spans="1:19" x14ac:dyDescent="0.25">
      <c r="A105" t="s">
        <v>150</v>
      </c>
      <c r="B105" t="s">
        <v>151</v>
      </c>
      <c r="C105" s="1">
        <f>1480+273</f>
        <v>1753</v>
      </c>
      <c r="D105" s="1">
        <v>0</v>
      </c>
      <c r="E105" s="1">
        <v>0</v>
      </c>
      <c r="F105" s="1">
        <v>0</v>
      </c>
      <c r="G105" s="1">
        <v>0</v>
      </c>
      <c r="H105" s="1">
        <v>50</v>
      </c>
      <c r="I105" s="1">
        <v>77</v>
      </c>
      <c r="J105" s="1"/>
      <c r="L105">
        <v>613</v>
      </c>
      <c r="M105" t="s">
        <v>153</v>
      </c>
    </row>
    <row r="106" spans="1:19" x14ac:dyDescent="0.25">
      <c r="A106" t="s">
        <v>146</v>
      </c>
      <c r="B106" t="s">
        <v>152</v>
      </c>
      <c r="C106" s="1">
        <f>835+2+885</f>
        <v>1722</v>
      </c>
      <c r="D106" s="1">
        <v>0</v>
      </c>
      <c r="E106" s="1">
        <v>0</v>
      </c>
      <c r="F106" s="1">
        <v>0</v>
      </c>
      <c r="G106" s="1">
        <v>0</v>
      </c>
      <c r="H106" s="1">
        <v>433</v>
      </c>
      <c r="I106" s="1">
        <v>738</v>
      </c>
      <c r="J106" s="1"/>
      <c r="L106">
        <v>712</v>
      </c>
      <c r="M106" t="s">
        <v>154</v>
      </c>
      <c r="N106">
        <v>3305</v>
      </c>
      <c r="O106">
        <v>0</v>
      </c>
      <c r="P106">
        <v>0</v>
      </c>
      <c r="Q106">
        <v>0</v>
      </c>
      <c r="R106">
        <v>0</v>
      </c>
      <c r="S106">
        <v>545</v>
      </c>
    </row>
    <row r="107" spans="1:19" x14ac:dyDescent="0.25">
      <c r="A107" s="16" t="s">
        <v>495</v>
      </c>
      <c r="B107" t="s">
        <v>153</v>
      </c>
      <c r="C107" s="1"/>
      <c r="D107" s="1"/>
      <c r="E107" s="1"/>
      <c r="F107" s="1"/>
      <c r="G107" s="1"/>
      <c r="H107" s="1"/>
      <c r="I107" s="1"/>
      <c r="J107" s="1"/>
      <c r="L107">
        <v>700</v>
      </c>
      <c r="M107" t="s">
        <v>155</v>
      </c>
      <c r="N107">
        <v>2748</v>
      </c>
      <c r="O107">
        <v>0</v>
      </c>
      <c r="P107">
        <v>0</v>
      </c>
      <c r="Q107">
        <v>0</v>
      </c>
      <c r="R107">
        <v>0</v>
      </c>
      <c r="S107">
        <v>10305</v>
      </c>
    </row>
    <row r="108" spans="1:19" x14ac:dyDescent="0.25">
      <c r="A108" t="s">
        <v>76</v>
      </c>
      <c r="B108" t="s">
        <v>154</v>
      </c>
      <c r="C108" s="1">
        <f>2256+1049</f>
        <v>3305</v>
      </c>
      <c r="D108" s="1">
        <v>0</v>
      </c>
      <c r="E108" s="1">
        <v>0</v>
      </c>
      <c r="F108" s="1">
        <v>0</v>
      </c>
      <c r="G108" s="1">
        <v>0</v>
      </c>
      <c r="H108" s="1">
        <v>545</v>
      </c>
      <c r="I108" s="1">
        <v>922</v>
      </c>
      <c r="J108" s="1"/>
      <c r="L108" t="s">
        <v>815</v>
      </c>
      <c r="M108" t="s">
        <v>156</v>
      </c>
      <c r="N108">
        <v>4460</v>
      </c>
      <c r="O108">
        <v>2</v>
      </c>
      <c r="P108">
        <v>0</v>
      </c>
      <c r="Q108">
        <v>0</v>
      </c>
      <c r="R108">
        <v>0</v>
      </c>
      <c r="S108">
        <v>1847</v>
      </c>
    </row>
    <row r="109" spans="1:19" x14ac:dyDescent="0.25">
      <c r="A109" t="s">
        <v>83</v>
      </c>
      <c r="B109" t="s">
        <v>155</v>
      </c>
      <c r="C109" s="1">
        <f>2230+518</f>
        <v>2748</v>
      </c>
      <c r="D109" s="1">
        <v>0</v>
      </c>
      <c r="E109" s="1">
        <v>0</v>
      </c>
      <c r="F109" s="1">
        <v>0</v>
      </c>
      <c r="G109" s="1">
        <v>0</v>
      </c>
      <c r="H109" s="1">
        <v>10305</v>
      </c>
      <c r="I109" s="1">
        <v>418</v>
      </c>
      <c r="J109" s="1"/>
      <c r="L109">
        <v>114</v>
      </c>
      <c r="M109" t="s">
        <v>157</v>
      </c>
      <c r="N109">
        <v>3784</v>
      </c>
      <c r="O109">
        <v>0</v>
      </c>
      <c r="P109">
        <v>0</v>
      </c>
      <c r="Q109">
        <v>0</v>
      </c>
      <c r="R109">
        <v>0</v>
      </c>
      <c r="S109">
        <v>2663</v>
      </c>
    </row>
    <row r="110" spans="1:19" x14ac:dyDescent="0.25">
      <c r="A110" t="s">
        <v>138</v>
      </c>
      <c r="B110" t="s">
        <v>156</v>
      </c>
      <c r="C110" s="1">
        <f>3288+1172</f>
        <v>4460</v>
      </c>
      <c r="D110" s="1">
        <f>1+1</f>
        <v>2</v>
      </c>
      <c r="E110" s="1">
        <v>0</v>
      </c>
      <c r="F110" s="1">
        <v>0</v>
      </c>
      <c r="G110" s="1">
        <v>0</v>
      </c>
      <c r="H110" s="1">
        <v>1847</v>
      </c>
      <c r="I110" s="1">
        <v>811</v>
      </c>
      <c r="J110" s="1"/>
      <c r="L110">
        <v>715</v>
      </c>
      <c r="M110" t="s">
        <v>158</v>
      </c>
      <c r="N110">
        <v>2777</v>
      </c>
      <c r="O110">
        <v>0</v>
      </c>
      <c r="P110">
        <v>0</v>
      </c>
      <c r="Q110">
        <v>0</v>
      </c>
      <c r="R110">
        <v>0</v>
      </c>
      <c r="S110">
        <v>1862</v>
      </c>
    </row>
    <row r="111" spans="1:19" x14ac:dyDescent="0.25">
      <c r="A111" t="s">
        <v>150</v>
      </c>
      <c r="B111" t="s">
        <v>157</v>
      </c>
      <c r="C111" s="1">
        <f>2625+7+1152</f>
        <v>3784</v>
      </c>
      <c r="D111" s="1">
        <v>0</v>
      </c>
      <c r="E111" s="1">
        <v>0</v>
      </c>
      <c r="F111" s="1">
        <v>0</v>
      </c>
      <c r="G111" s="1">
        <v>0</v>
      </c>
      <c r="H111" s="1">
        <v>2663</v>
      </c>
      <c r="I111" s="1">
        <v>1111</v>
      </c>
      <c r="J111" s="1"/>
      <c r="L111">
        <v>514</v>
      </c>
      <c r="M111" t="s">
        <v>159</v>
      </c>
      <c r="N111">
        <v>494</v>
      </c>
      <c r="O111">
        <v>0</v>
      </c>
      <c r="P111">
        <v>0</v>
      </c>
      <c r="Q111">
        <v>0</v>
      </c>
      <c r="R111">
        <v>0</v>
      </c>
      <c r="S111">
        <v>21</v>
      </c>
    </row>
    <row r="112" spans="1:19" x14ac:dyDescent="0.25">
      <c r="A112" t="s">
        <v>818</v>
      </c>
      <c r="B112" t="s">
        <v>158</v>
      </c>
      <c r="C112" s="1">
        <f>2429+3+345</f>
        <v>2777</v>
      </c>
      <c r="D112" s="1">
        <v>0</v>
      </c>
      <c r="E112" s="1">
        <v>0</v>
      </c>
      <c r="F112" s="1">
        <v>0</v>
      </c>
      <c r="G112" s="1">
        <v>0</v>
      </c>
      <c r="H112" s="1">
        <v>1862</v>
      </c>
      <c r="I112" s="1">
        <v>323</v>
      </c>
      <c r="J112" s="1"/>
      <c r="L112">
        <v>116</v>
      </c>
      <c r="M112" t="s">
        <v>160</v>
      </c>
      <c r="N112">
        <v>7978</v>
      </c>
      <c r="O112">
        <v>218</v>
      </c>
      <c r="P112">
        <v>0</v>
      </c>
      <c r="Q112">
        <v>0</v>
      </c>
      <c r="R112">
        <v>0</v>
      </c>
      <c r="S112">
        <v>45</v>
      </c>
    </row>
    <row r="113" spans="1:19" x14ac:dyDescent="0.25">
      <c r="A113" t="s">
        <v>134</v>
      </c>
      <c r="B113" t="s">
        <v>159</v>
      </c>
      <c r="C113" s="1">
        <f>486+8</f>
        <v>494</v>
      </c>
      <c r="D113" s="1">
        <v>0</v>
      </c>
      <c r="E113" s="1">
        <v>0</v>
      </c>
      <c r="F113" s="1">
        <v>0</v>
      </c>
      <c r="G113" s="1">
        <v>0</v>
      </c>
      <c r="H113" s="1">
        <v>21</v>
      </c>
      <c r="I113" s="1">
        <v>8</v>
      </c>
      <c r="J113" s="1"/>
      <c r="M113" t="s">
        <v>161</v>
      </c>
    </row>
    <row r="114" spans="1:19" x14ac:dyDescent="0.25">
      <c r="A114" t="s">
        <v>795</v>
      </c>
      <c r="B114" t="s">
        <v>160</v>
      </c>
      <c r="C114" s="1">
        <f>5124+2854</f>
        <v>7978</v>
      </c>
      <c r="D114" s="1">
        <f>63+15+112+20+8</f>
        <v>218</v>
      </c>
      <c r="E114" s="1">
        <v>0</v>
      </c>
      <c r="F114" s="1">
        <v>0</v>
      </c>
      <c r="G114" s="1">
        <v>0</v>
      </c>
      <c r="H114" s="1">
        <v>45</v>
      </c>
      <c r="I114" s="1">
        <v>949</v>
      </c>
      <c r="J114" s="1"/>
      <c r="L114">
        <v>100</v>
      </c>
      <c r="M114" t="s">
        <v>162</v>
      </c>
      <c r="N114">
        <v>1264</v>
      </c>
      <c r="O114">
        <v>0</v>
      </c>
      <c r="P114">
        <v>0</v>
      </c>
      <c r="Q114">
        <v>0</v>
      </c>
      <c r="R114">
        <v>0</v>
      </c>
      <c r="S114">
        <v>476</v>
      </c>
    </row>
    <row r="115" spans="1:19" x14ac:dyDescent="0.25">
      <c r="A115" t="s">
        <v>226</v>
      </c>
      <c r="B115" t="s">
        <v>161</v>
      </c>
      <c r="C115" s="1"/>
      <c r="D115" s="1"/>
      <c r="E115" s="1"/>
      <c r="F115" s="1"/>
      <c r="G115" s="1"/>
      <c r="H115" s="1"/>
      <c r="I115" s="1"/>
      <c r="J115" s="1"/>
      <c r="L115">
        <v>111</v>
      </c>
      <c r="M115" t="s">
        <v>163</v>
      </c>
      <c r="N115">
        <v>6256</v>
      </c>
      <c r="O115">
        <v>179</v>
      </c>
      <c r="P115">
        <v>0</v>
      </c>
      <c r="Q115">
        <v>0</v>
      </c>
      <c r="R115">
        <v>0</v>
      </c>
      <c r="S115">
        <v>2920</v>
      </c>
    </row>
    <row r="116" spans="1:19" x14ac:dyDescent="0.25">
      <c r="A116" t="s">
        <v>791</v>
      </c>
      <c r="B116" t="s">
        <v>162</v>
      </c>
      <c r="C116" s="1">
        <f>806+458</f>
        <v>1264</v>
      </c>
      <c r="D116" s="1">
        <v>0</v>
      </c>
      <c r="E116" s="1">
        <v>0</v>
      </c>
      <c r="F116" s="1">
        <v>0</v>
      </c>
      <c r="G116" s="1">
        <v>0</v>
      </c>
      <c r="H116" s="1">
        <v>476</v>
      </c>
      <c r="I116" s="1">
        <v>454</v>
      </c>
      <c r="J116" s="1"/>
      <c r="L116" t="s">
        <v>815</v>
      </c>
      <c r="M116" t="s">
        <v>164</v>
      </c>
      <c r="N116">
        <v>6738</v>
      </c>
      <c r="O116">
        <v>2</v>
      </c>
      <c r="P116">
        <v>0</v>
      </c>
      <c r="Q116">
        <v>0</v>
      </c>
      <c r="R116">
        <v>0</v>
      </c>
      <c r="S116">
        <v>1912</v>
      </c>
    </row>
    <row r="117" spans="1:19" x14ac:dyDescent="0.25">
      <c r="A117" t="s">
        <v>811</v>
      </c>
      <c r="B117" t="s">
        <v>163</v>
      </c>
      <c r="C117" s="1">
        <f>3710+4+1+28+2513</f>
        <v>6256</v>
      </c>
      <c r="D117" s="1">
        <f>161+5+13</f>
        <v>179</v>
      </c>
      <c r="E117" s="1">
        <v>0</v>
      </c>
      <c r="F117" s="1">
        <v>0</v>
      </c>
      <c r="G117" s="1">
        <v>0</v>
      </c>
      <c r="H117" s="1">
        <v>2920</v>
      </c>
      <c r="I117" s="1">
        <v>1813</v>
      </c>
      <c r="J117" s="1"/>
      <c r="L117">
        <v>700</v>
      </c>
      <c r="M117" t="s">
        <v>165</v>
      </c>
      <c r="N117">
        <v>1202</v>
      </c>
      <c r="O117">
        <v>109</v>
      </c>
      <c r="P117">
        <v>0</v>
      </c>
      <c r="Q117">
        <v>0</v>
      </c>
      <c r="R117">
        <v>0</v>
      </c>
      <c r="S117">
        <v>264</v>
      </c>
    </row>
    <row r="118" spans="1:19" x14ac:dyDescent="0.25">
      <c r="A118" t="s">
        <v>138</v>
      </c>
      <c r="B118" t="s">
        <v>164</v>
      </c>
      <c r="C118" s="1">
        <f>5776+5+957</f>
        <v>6738</v>
      </c>
      <c r="D118" s="1">
        <v>2</v>
      </c>
      <c r="E118" s="1">
        <v>0</v>
      </c>
      <c r="F118" s="1">
        <v>0</v>
      </c>
      <c r="G118" s="1">
        <v>0</v>
      </c>
      <c r="H118" s="1">
        <v>1912</v>
      </c>
      <c r="I118" s="1">
        <v>853</v>
      </c>
      <c r="J118" s="1"/>
      <c r="L118">
        <v>715</v>
      </c>
      <c r="M118" t="s">
        <v>166</v>
      </c>
      <c r="N118">
        <v>34</v>
      </c>
      <c r="O118">
        <v>0</v>
      </c>
      <c r="P118">
        <v>0</v>
      </c>
      <c r="Q118">
        <v>0</v>
      </c>
      <c r="R118">
        <v>0</v>
      </c>
      <c r="S118">
        <v>2</v>
      </c>
    </row>
    <row r="119" spans="1:19" x14ac:dyDescent="0.25">
      <c r="A119" t="s">
        <v>83</v>
      </c>
      <c r="B119" t="s">
        <v>165</v>
      </c>
      <c r="C119" s="1">
        <f>1147+55</f>
        <v>1202</v>
      </c>
      <c r="D119" s="1">
        <f>85+24</f>
        <v>109</v>
      </c>
      <c r="E119" s="1">
        <v>0</v>
      </c>
      <c r="F119" s="1">
        <v>0</v>
      </c>
      <c r="G119" s="1">
        <v>0</v>
      </c>
      <c r="H119" s="1">
        <v>264</v>
      </c>
      <c r="I119" s="1">
        <v>71</v>
      </c>
      <c r="J119" s="1"/>
      <c r="L119">
        <v>711</v>
      </c>
      <c r="M119" t="s">
        <v>167</v>
      </c>
      <c r="N119">
        <v>7593</v>
      </c>
      <c r="O119">
        <v>3</v>
      </c>
      <c r="P119">
        <v>0</v>
      </c>
      <c r="Q119">
        <v>0</v>
      </c>
      <c r="R119">
        <v>0</v>
      </c>
      <c r="S119">
        <v>3358</v>
      </c>
    </row>
    <row r="120" spans="1:19" x14ac:dyDescent="0.25">
      <c r="A120" t="s">
        <v>818</v>
      </c>
      <c r="B120" t="s">
        <v>166</v>
      </c>
      <c r="C120" s="1">
        <f>33+1</f>
        <v>34</v>
      </c>
      <c r="D120" s="1">
        <v>0</v>
      </c>
      <c r="E120" s="1">
        <v>0</v>
      </c>
      <c r="F120" s="1">
        <v>0</v>
      </c>
      <c r="G120" s="1">
        <v>0</v>
      </c>
      <c r="H120" s="1">
        <v>2</v>
      </c>
      <c r="I120" s="1">
        <v>1</v>
      </c>
      <c r="J120" s="1"/>
      <c r="L120">
        <v>120</v>
      </c>
      <c r="M120" t="s">
        <v>168</v>
      </c>
    </row>
    <row r="121" spans="1:19" x14ac:dyDescent="0.25">
      <c r="A121" t="s">
        <v>801</v>
      </c>
      <c r="B121" t="s">
        <v>167</v>
      </c>
      <c r="C121" s="1">
        <f>7143+14+2+434</f>
        <v>7593</v>
      </c>
      <c r="D121" s="1">
        <v>3</v>
      </c>
      <c r="E121" s="1">
        <v>0</v>
      </c>
      <c r="F121" s="1">
        <v>0</v>
      </c>
      <c r="G121" s="1">
        <v>0</v>
      </c>
      <c r="H121" s="1">
        <v>3358</v>
      </c>
      <c r="I121" s="1">
        <v>414</v>
      </c>
      <c r="J121" s="1"/>
      <c r="L121">
        <v>161</v>
      </c>
      <c r="M121" t="s">
        <v>169</v>
      </c>
      <c r="N121">
        <v>1750</v>
      </c>
      <c r="O121">
        <v>75</v>
      </c>
      <c r="P121">
        <v>0</v>
      </c>
      <c r="Q121">
        <v>0</v>
      </c>
      <c r="R121">
        <v>0</v>
      </c>
      <c r="S121">
        <v>288</v>
      </c>
    </row>
    <row r="122" spans="1:19" x14ac:dyDescent="0.25">
      <c r="A122" t="s">
        <v>802</v>
      </c>
      <c r="B122" t="s">
        <v>168</v>
      </c>
      <c r="C122" s="1"/>
      <c r="D122" s="1"/>
      <c r="E122" s="1"/>
      <c r="F122" s="1"/>
      <c r="G122" s="1"/>
      <c r="H122" s="1"/>
      <c r="I122" s="1"/>
      <c r="J122" s="1"/>
      <c r="L122">
        <v>111</v>
      </c>
      <c r="M122" t="s">
        <v>170</v>
      </c>
      <c r="N122">
        <v>3565</v>
      </c>
      <c r="O122">
        <v>7</v>
      </c>
      <c r="P122">
        <v>0</v>
      </c>
      <c r="Q122">
        <v>0</v>
      </c>
      <c r="R122">
        <v>0</v>
      </c>
      <c r="S122">
        <v>2215</v>
      </c>
    </row>
    <row r="123" spans="1:19" x14ac:dyDescent="0.25">
      <c r="A123" t="s">
        <v>792</v>
      </c>
      <c r="B123" t="s">
        <v>169</v>
      </c>
      <c r="C123" s="1">
        <f>1285+26+27+412</f>
        <v>1750</v>
      </c>
      <c r="D123" s="1">
        <f>73+2</f>
        <v>75</v>
      </c>
      <c r="E123" s="1">
        <v>0</v>
      </c>
      <c r="F123" s="1">
        <v>0</v>
      </c>
      <c r="G123" s="1">
        <v>0</v>
      </c>
      <c r="H123" s="1">
        <v>288</v>
      </c>
      <c r="I123" s="1">
        <v>409</v>
      </c>
      <c r="J123" s="1"/>
      <c r="L123">
        <v>313</v>
      </c>
      <c r="M123" t="s">
        <v>171</v>
      </c>
    </row>
    <row r="124" spans="1:19" x14ac:dyDescent="0.25">
      <c r="A124" t="s">
        <v>811</v>
      </c>
      <c r="B124" t="s">
        <v>170</v>
      </c>
      <c r="C124" s="1">
        <f>2139+34+1392</f>
        <v>3565</v>
      </c>
      <c r="D124" s="1">
        <f>1+3+3</f>
        <v>7</v>
      </c>
      <c r="E124" s="1">
        <v>0</v>
      </c>
      <c r="F124" s="1">
        <v>0</v>
      </c>
      <c r="G124" s="1">
        <v>0</v>
      </c>
      <c r="H124" s="1">
        <v>2215</v>
      </c>
      <c r="I124" s="1">
        <v>1200</v>
      </c>
      <c r="J124" s="1"/>
      <c r="L124">
        <v>161</v>
      </c>
      <c r="M124" t="s">
        <v>172</v>
      </c>
      <c r="N124">
        <v>238</v>
      </c>
      <c r="O124">
        <v>1</v>
      </c>
      <c r="P124">
        <v>0</v>
      </c>
      <c r="Q124">
        <v>0</v>
      </c>
      <c r="R124">
        <v>0</v>
      </c>
      <c r="S124">
        <v>174</v>
      </c>
    </row>
    <row r="125" spans="1:19" x14ac:dyDescent="0.25">
      <c r="A125" t="s">
        <v>512</v>
      </c>
      <c r="B125" t="s">
        <v>171</v>
      </c>
      <c r="C125" s="1"/>
      <c r="D125" s="1"/>
      <c r="E125" s="1"/>
      <c r="F125" s="1"/>
      <c r="G125" s="1"/>
      <c r="H125" s="1"/>
      <c r="I125" s="1"/>
      <c r="J125" s="1"/>
      <c r="L125">
        <v>711</v>
      </c>
      <c r="M125" t="s">
        <v>173</v>
      </c>
      <c r="N125">
        <v>6995</v>
      </c>
      <c r="O125">
        <v>53</v>
      </c>
      <c r="P125">
        <v>0</v>
      </c>
      <c r="Q125">
        <v>0</v>
      </c>
      <c r="R125">
        <v>0</v>
      </c>
      <c r="S125">
        <v>6751</v>
      </c>
    </row>
    <row r="126" spans="1:19" x14ac:dyDescent="0.25">
      <c r="A126" t="s">
        <v>792</v>
      </c>
      <c r="B126" t="s">
        <v>172</v>
      </c>
      <c r="C126" s="1">
        <f>65+173</f>
        <v>238</v>
      </c>
      <c r="D126" s="1">
        <v>1</v>
      </c>
      <c r="E126" s="1">
        <v>0</v>
      </c>
      <c r="F126" s="1">
        <v>0</v>
      </c>
      <c r="G126" s="1">
        <v>0</v>
      </c>
      <c r="H126" s="1">
        <v>0</v>
      </c>
      <c r="I126" s="1">
        <v>174</v>
      </c>
      <c r="J126" s="1" t="s">
        <v>819</v>
      </c>
      <c r="L126">
        <v>211</v>
      </c>
      <c r="M126" t="s">
        <v>174</v>
      </c>
      <c r="N126">
        <v>418</v>
      </c>
      <c r="O126">
        <v>0</v>
      </c>
      <c r="P126">
        <v>0</v>
      </c>
      <c r="Q126">
        <v>0</v>
      </c>
      <c r="R126">
        <v>0</v>
      </c>
      <c r="S126">
        <v>463</v>
      </c>
    </row>
    <row r="127" spans="1:19" x14ac:dyDescent="0.25">
      <c r="A127" t="s">
        <v>801</v>
      </c>
      <c r="B127" t="s">
        <v>173</v>
      </c>
      <c r="C127" s="1">
        <f>4751+1+329+6+1908</f>
        <v>6995</v>
      </c>
      <c r="D127" s="1">
        <f>48+5</f>
        <v>53</v>
      </c>
      <c r="E127" s="1">
        <v>0</v>
      </c>
      <c r="F127" s="1">
        <v>0</v>
      </c>
      <c r="G127" s="1">
        <v>0</v>
      </c>
      <c r="H127" s="1">
        <v>6751</v>
      </c>
      <c r="I127" s="1">
        <v>1794</v>
      </c>
      <c r="J127" s="1"/>
      <c r="L127">
        <v>300</v>
      </c>
      <c r="M127" t="s">
        <v>175</v>
      </c>
    </row>
    <row r="128" spans="1:19" x14ac:dyDescent="0.25">
      <c r="A128" t="s">
        <v>131</v>
      </c>
      <c r="B128" t="s">
        <v>174</v>
      </c>
      <c r="C128" s="1">
        <f>315+103</f>
        <v>418</v>
      </c>
      <c r="D128" s="1">
        <v>0</v>
      </c>
      <c r="E128" s="1">
        <v>0</v>
      </c>
      <c r="F128" s="1">
        <v>0</v>
      </c>
      <c r="G128" s="1">
        <v>0</v>
      </c>
      <c r="H128" s="1">
        <v>463</v>
      </c>
      <c r="I128" s="1">
        <v>107</v>
      </c>
      <c r="J128" s="1"/>
      <c r="L128" t="s">
        <v>814</v>
      </c>
      <c r="M128" t="s">
        <v>176</v>
      </c>
    </row>
    <row r="129" spans="1:19" x14ac:dyDescent="0.25">
      <c r="A129" t="s">
        <v>226</v>
      </c>
      <c r="B129" t="s">
        <v>175</v>
      </c>
      <c r="C129" s="1"/>
      <c r="D129" s="1"/>
      <c r="E129" s="1"/>
      <c r="F129" s="1"/>
      <c r="G129" s="1"/>
      <c r="H129" s="1"/>
      <c r="I129" s="1"/>
      <c r="J129" s="1"/>
      <c r="L129">
        <v>600</v>
      </c>
      <c r="M129" t="s">
        <v>177</v>
      </c>
      <c r="N129">
        <v>2110</v>
      </c>
      <c r="O129">
        <v>0</v>
      </c>
      <c r="P129">
        <v>0</v>
      </c>
      <c r="Q129">
        <v>0</v>
      </c>
      <c r="R129">
        <v>0</v>
      </c>
      <c r="S129">
        <v>1105</v>
      </c>
    </row>
    <row r="130" spans="1:19" x14ac:dyDescent="0.25">
      <c r="A130" t="s">
        <v>794</v>
      </c>
      <c r="B130" t="s">
        <v>176</v>
      </c>
      <c r="C130" s="1"/>
      <c r="D130" s="1"/>
      <c r="E130" s="1"/>
      <c r="F130" s="1"/>
      <c r="G130" s="1"/>
      <c r="H130" s="1"/>
      <c r="I130" s="1"/>
      <c r="J130" s="1"/>
      <c r="L130">
        <v>700</v>
      </c>
      <c r="M130" t="s">
        <v>178</v>
      </c>
      <c r="N130">
        <v>6738</v>
      </c>
      <c r="O130">
        <v>10</v>
      </c>
      <c r="P130">
        <v>0</v>
      </c>
      <c r="Q130">
        <v>0</v>
      </c>
      <c r="R130">
        <v>0</v>
      </c>
      <c r="S130">
        <v>10502</v>
      </c>
    </row>
    <row r="131" spans="1:19" x14ac:dyDescent="0.25">
      <c r="A131" t="s">
        <v>248</v>
      </c>
      <c r="B131" t="s">
        <v>177</v>
      </c>
      <c r="C131" s="1">
        <f>1718+12+2+1+377</f>
        <v>2110</v>
      </c>
      <c r="D131" s="1">
        <v>0</v>
      </c>
      <c r="E131" s="1">
        <v>0</v>
      </c>
      <c r="F131" s="1">
        <v>0</v>
      </c>
      <c r="G131" s="1">
        <v>0</v>
      </c>
      <c r="H131" s="1">
        <v>1105</v>
      </c>
      <c r="I131" s="1">
        <v>233</v>
      </c>
      <c r="J131" s="1"/>
      <c r="L131">
        <v>713</v>
      </c>
      <c r="M131" t="s">
        <v>179</v>
      </c>
      <c r="N131">
        <v>2711</v>
      </c>
      <c r="O131">
        <v>4</v>
      </c>
      <c r="P131">
        <v>0</v>
      </c>
      <c r="Q131">
        <v>0</v>
      </c>
      <c r="R131">
        <v>0</v>
      </c>
      <c r="S131">
        <v>7340</v>
      </c>
    </row>
    <row r="132" spans="1:19" x14ac:dyDescent="0.25">
      <c r="A132" t="s">
        <v>83</v>
      </c>
      <c r="B132" t="s">
        <v>178</v>
      </c>
      <c r="C132" s="1">
        <f>5354+1384</f>
        <v>6738</v>
      </c>
      <c r="D132" s="1">
        <v>10</v>
      </c>
      <c r="E132" s="1">
        <v>0</v>
      </c>
      <c r="F132" s="1">
        <v>0</v>
      </c>
      <c r="G132" s="1">
        <v>0</v>
      </c>
      <c r="H132" s="1">
        <v>10502</v>
      </c>
      <c r="I132" s="1">
        <v>1375</v>
      </c>
      <c r="J132" s="1"/>
      <c r="L132">
        <v>116</v>
      </c>
      <c r="M132" t="s">
        <v>180</v>
      </c>
      <c r="N132">
        <v>15440</v>
      </c>
      <c r="O132">
        <v>23</v>
      </c>
      <c r="P132">
        <v>0</v>
      </c>
      <c r="Q132">
        <v>0</v>
      </c>
      <c r="R132">
        <v>0</v>
      </c>
      <c r="S132">
        <v>4079</v>
      </c>
    </row>
    <row r="133" spans="1:19" x14ac:dyDescent="0.25">
      <c r="A133" t="s">
        <v>796</v>
      </c>
      <c r="B133" t="s">
        <v>179</v>
      </c>
      <c r="C133" s="1">
        <f>2154+557</f>
        <v>2711</v>
      </c>
      <c r="D133" s="1">
        <v>4</v>
      </c>
      <c r="E133" s="1">
        <v>0</v>
      </c>
      <c r="F133" s="1">
        <v>0</v>
      </c>
      <c r="G133" s="1">
        <v>0</v>
      </c>
      <c r="H133" s="1">
        <v>7340</v>
      </c>
      <c r="I133" s="1">
        <v>528</v>
      </c>
      <c r="J133" s="1"/>
      <c r="L133">
        <v>100</v>
      </c>
      <c r="M133" t="s">
        <v>181</v>
      </c>
      <c r="N133">
        <v>1037</v>
      </c>
      <c r="O133">
        <v>0</v>
      </c>
      <c r="P133">
        <v>0</v>
      </c>
      <c r="Q133">
        <v>0</v>
      </c>
      <c r="R133">
        <v>0</v>
      </c>
      <c r="S133">
        <v>70</v>
      </c>
    </row>
    <row r="134" spans="1:19" x14ac:dyDescent="0.25">
      <c r="A134" t="s">
        <v>795</v>
      </c>
      <c r="B134" t="s">
        <v>180</v>
      </c>
      <c r="C134" s="1">
        <f>12315+16+3109</f>
        <v>15440</v>
      </c>
      <c r="D134" s="1">
        <v>23</v>
      </c>
      <c r="E134" s="1">
        <v>0</v>
      </c>
      <c r="F134" s="1">
        <v>0</v>
      </c>
      <c r="G134" s="1">
        <v>0</v>
      </c>
      <c r="H134" s="1">
        <v>4079</v>
      </c>
      <c r="I134" s="1">
        <v>2911</v>
      </c>
      <c r="J134" s="1"/>
      <c r="L134">
        <v>700</v>
      </c>
      <c r="M134" t="s">
        <v>182</v>
      </c>
      <c r="N134">
        <v>6216</v>
      </c>
      <c r="O134">
        <v>75</v>
      </c>
      <c r="P134">
        <v>0</v>
      </c>
      <c r="Q134">
        <v>0</v>
      </c>
      <c r="R134">
        <v>0</v>
      </c>
      <c r="S134">
        <v>949</v>
      </c>
    </row>
    <row r="135" spans="1:19" x14ac:dyDescent="0.25">
      <c r="A135" t="s">
        <v>791</v>
      </c>
      <c r="B135" t="s">
        <v>181</v>
      </c>
      <c r="C135" s="1">
        <f>923+114</f>
        <v>1037</v>
      </c>
      <c r="D135" s="1">
        <v>0</v>
      </c>
      <c r="E135" s="1">
        <v>0</v>
      </c>
      <c r="F135" s="1">
        <v>0</v>
      </c>
      <c r="G135" s="1">
        <v>0</v>
      </c>
      <c r="H135" s="1">
        <v>70</v>
      </c>
      <c r="I135" s="1">
        <v>41</v>
      </c>
      <c r="J135" s="1"/>
      <c r="L135">
        <v>161</v>
      </c>
      <c r="M135" t="s">
        <v>183</v>
      </c>
    </row>
    <row r="136" spans="1:19" x14ac:dyDescent="0.25">
      <c r="A136" t="s">
        <v>83</v>
      </c>
      <c r="B136" t="s">
        <v>182</v>
      </c>
      <c r="C136" s="1">
        <f>5540+676</f>
        <v>6216</v>
      </c>
      <c r="D136" s="1">
        <v>75</v>
      </c>
      <c r="E136" s="1">
        <v>0</v>
      </c>
      <c r="F136" s="1">
        <v>0</v>
      </c>
      <c r="G136" s="1">
        <v>0</v>
      </c>
      <c r="H136" s="1">
        <v>949</v>
      </c>
      <c r="I136" s="1">
        <v>712</v>
      </c>
      <c r="J136" s="1"/>
      <c r="L136">
        <v>310</v>
      </c>
      <c r="M136" t="s">
        <v>184</v>
      </c>
    </row>
    <row r="137" spans="1:19" x14ac:dyDescent="0.25">
      <c r="A137" t="s">
        <v>792</v>
      </c>
      <c r="B137" t="s">
        <v>183</v>
      </c>
      <c r="C137" s="1"/>
      <c r="D137" s="1"/>
      <c r="E137" s="1"/>
      <c r="F137" s="1"/>
      <c r="G137" s="1"/>
      <c r="H137" s="1"/>
      <c r="I137" s="1"/>
      <c r="J137" s="1"/>
      <c r="L137">
        <v>210</v>
      </c>
      <c r="M137" t="s">
        <v>186</v>
      </c>
      <c r="N137">
        <v>2896</v>
      </c>
      <c r="O137">
        <v>0</v>
      </c>
      <c r="P137">
        <v>0</v>
      </c>
      <c r="Q137">
        <v>0</v>
      </c>
      <c r="R137">
        <v>0</v>
      </c>
      <c r="S137">
        <v>1221</v>
      </c>
    </row>
    <row r="138" spans="1:19" x14ac:dyDescent="0.25">
      <c r="A138" t="s">
        <v>67</v>
      </c>
      <c r="B138" t="s">
        <v>184</v>
      </c>
      <c r="C138" s="1"/>
      <c r="D138" s="1"/>
      <c r="E138" s="1"/>
      <c r="F138" s="1"/>
      <c r="G138" s="1"/>
      <c r="H138" s="1"/>
      <c r="I138" s="1"/>
      <c r="J138" s="1"/>
      <c r="L138">
        <v>313</v>
      </c>
      <c r="M138" t="s">
        <v>187</v>
      </c>
    </row>
    <row r="139" spans="1:19" x14ac:dyDescent="0.25">
      <c r="A139" t="s">
        <v>185</v>
      </c>
      <c r="B139" t="s">
        <v>186</v>
      </c>
      <c r="C139" s="1">
        <f>2244+652</f>
        <v>2896</v>
      </c>
      <c r="D139" s="1">
        <v>0</v>
      </c>
      <c r="E139" s="1">
        <v>0</v>
      </c>
      <c r="F139" s="1">
        <v>0</v>
      </c>
      <c r="G139" s="1">
        <v>0</v>
      </c>
      <c r="H139" s="1">
        <v>1221</v>
      </c>
      <c r="I139" s="1">
        <v>273</v>
      </c>
      <c r="J139" s="1"/>
      <c r="L139">
        <v>118</v>
      </c>
      <c r="M139" t="s">
        <v>189</v>
      </c>
      <c r="N139">
        <v>10009</v>
      </c>
      <c r="O139">
        <v>1</v>
      </c>
      <c r="P139">
        <v>0</v>
      </c>
      <c r="Q139">
        <v>0</v>
      </c>
      <c r="R139">
        <v>0</v>
      </c>
      <c r="S139">
        <v>1009</v>
      </c>
    </row>
    <row r="140" spans="1:19" x14ac:dyDescent="0.25">
      <c r="A140" t="s">
        <v>512</v>
      </c>
      <c r="B140" t="s">
        <v>187</v>
      </c>
      <c r="C140" s="1"/>
      <c r="D140" s="1"/>
      <c r="E140" s="1"/>
      <c r="F140" s="1"/>
      <c r="G140" s="1"/>
      <c r="H140" s="1"/>
      <c r="I140" s="1"/>
      <c r="J140" s="1"/>
      <c r="L140">
        <v>700</v>
      </c>
      <c r="M140" t="s">
        <v>190</v>
      </c>
      <c r="N140">
        <v>9862</v>
      </c>
      <c r="O140">
        <v>1</v>
      </c>
      <c r="P140">
        <v>0</v>
      </c>
      <c r="Q140">
        <v>0</v>
      </c>
      <c r="R140">
        <v>0</v>
      </c>
      <c r="S140">
        <v>916</v>
      </c>
    </row>
    <row r="141" spans="1:19" x14ac:dyDescent="0.25">
      <c r="A141" t="s">
        <v>188</v>
      </c>
      <c r="B141" t="s">
        <v>189</v>
      </c>
      <c r="C141" s="1">
        <f>8661+8+1+45+1294</f>
        <v>10009</v>
      </c>
      <c r="D141" s="1">
        <v>1</v>
      </c>
      <c r="E141" s="1">
        <v>0</v>
      </c>
      <c r="F141" s="1">
        <v>0</v>
      </c>
      <c r="G141" s="1">
        <v>0</v>
      </c>
      <c r="H141" s="1">
        <v>1009</v>
      </c>
      <c r="I141" s="1">
        <v>1244</v>
      </c>
      <c r="J141" s="1"/>
      <c r="L141">
        <v>712</v>
      </c>
      <c r="M141" t="s">
        <v>191</v>
      </c>
      <c r="N141">
        <v>10560</v>
      </c>
      <c r="O141">
        <v>0</v>
      </c>
      <c r="P141">
        <v>0</v>
      </c>
      <c r="Q141">
        <v>0</v>
      </c>
      <c r="R141">
        <v>0</v>
      </c>
      <c r="S141">
        <v>61</v>
      </c>
    </row>
    <row r="142" spans="1:19" x14ac:dyDescent="0.25">
      <c r="A142" t="s">
        <v>83</v>
      </c>
      <c r="B142" t="s">
        <v>190</v>
      </c>
      <c r="C142" s="1">
        <f>9588+3+1+270</f>
        <v>9862</v>
      </c>
      <c r="D142" s="1">
        <v>1</v>
      </c>
      <c r="E142" s="1">
        <v>0</v>
      </c>
      <c r="F142" s="1">
        <v>0</v>
      </c>
      <c r="G142" s="1">
        <v>0</v>
      </c>
      <c r="H142" s="1">
        <v>916</v>
      </c>
      <c r="I142" s="1">
        <v>358</v>
      </c>
      <c r="J142" s="1"/>
      <c r="L142">
        <v>511</v>
      </c>
      <c r="M142" t="s">
        <v>192</v>
      </c>
      <c r="N142">
        <v>10744</v>
      </c>
      <c r="O142">
        <v>38</v>
      </c>
      <c r="P142">
        <v>0</v>
      </c>
      <c r="Q142">
        <v>0</v>
      </c>
      <c r="R142">
        <v>0</v>
      </c>
      <c r="S142">
        <v>3908</v>
      </c>
    </row>
    <row r="143" spans="1:19" x14ac:dyDescent="0.25">
      <c r="A143" t="s">
        <v>76</v>
      </c>
      <c r="B143" t="s">
        <v>191</v>
      </c>
      <c r="C143" s="1">
        <f>5718+4842</f>
        <v>10560</v>
      </c>
      <c r="D143" s="1">
        <v>0</v>
      </c>
      <c r="E143" s="1">
        <v>0</v>
      </c>
      <c r="F143" s="1">
        <v>0</v>
      </c>
      <c r="G143" s="1">
        <v>0</v>
      </c>
      <c r="H143" s="1">
        <v>61</v>
      </c>
      <c r="I143" s="1">
        <v>3070</v>
      </c>
      <c r="J143" s="1"/>
      <c r="L143">
        <v>114</v>
      </c>
      <c r="M143" t="s">
        <v>193</v>
      </c>
      <c r="N143">
        <v>944</v>
      </c>
      <c r="O143">
        <v>0</v>
      </c>
      <c r="P143">
        <v>0</v>
      </c>
      <c r="Q143">
        <v>0</v>
      </c>
      <c r="R143">
        <v>0</v>
      </c>
      <c r="S143">
        <v>135</v>
      </c>
    </row>
    <row r="144" spans="1:19" x14ac:dyDescent="0.25">
      <c r="A144" t="s">
        <v>101</v>
      </c>
      <c r="B144" t="s">
        <v>192</v>
      </c>
      <c r="C144" s="1">
        <f>9625+7+1112</f>
        <v>10744</v>
      </c>
      <c r="D144" s="1">
        <v>38</v>
      </c>
      <c r="E144" s="1">
        <v>0</v>
      </c>
      <c r="F144" s="1">
        <v>0</v>
      </c>
      <c r="G144" s="1">
        <v>0</v>
      </c>
      <c r="H144" s="1">
        <v>3908</v>
      </c>
      <c r="I144" s="1">
        <v>1068</v>
      </c>
      <c r="J144" s="1"/>
      <c r="L144">
        <v>111</v>
      </c>
      <c r="M144" t="s">
        <v>194</v>
      </c>
      <c r="N144">
        <v>9219</v>
      </c>
      <c r="O144">
        <v>134</v>
      </c>
      <c r="P144">
        <v>0</v>
      </c>
      <c r="Q144">
        <v>0</v>
      </c>
      <c r="R144">
        <v>0</v>
      </c>
      <c r="S144">
        <v>302</v>
      </c>
    </row>
    <row r="145" spans="1:19" x14ac:dyDescent="0.25">
      <c r="A145" t="s">
        <v>150</v>
      </c>
      <c r="B145" t="s">
        <v>193</v>
      </c>
      <c r="C145" s="1">
        <f>875+69</f>
        <v>944</v>
      </c>
      <c r="D145" s="1">
        <v>0</v>
      </c>
      <c r="E145" s="1">
        <v>0</v>
      </c>
      <c r="F145" s="1">
        <v>0</v>
      </c>
      <c r="G145" s="1">
        <v>0</v>
      </c>
      <c r="H145" s="1">
        <v>135</v>
      </c>
      <c r="I145" s="1">
        <v>56</v>
      </c>
      <c r="J145" s="1"/>
      <c r="L145">
        <v>712</v>
      </c>
      <c r="M145" t="s">
        <v>195</v>
      </c>
      <c r="N145">
        <v>5093</v>
      </c>
      <c r="O145">
        <v>18</v>
      </c>
      <c r="P145">
        <v>0</v>
      </c>
      <c r="Q145">
        <v>0</v>
      </c>
      <c r="R145">
        <v>0</v>
      </c>
      <c r="S145">
        <v>7451</v>
      </c>
    </row>
    <row r="146" spans="1:19" x14ac:dyDescent="0.25">
      <c r="A146" t="s">
        <v>811</v>
      </c>
      <c r="B146" t="s">
        <v>194</v>
      </c>
      <c r="C146" s="1">
        <f>8148+31+2+1038</f>
        <v>9219</v>
      </c>
      <c r="D146" s="1">
        <f>43+87+4</f>
        <v>134</v>
      </c>
      <c r="E146" s="1">
        <v>0</v>
      </c>
      <c r="F146" s="1">
        <v>0</v>
      </c>
      <c r="G146" s="1">
        <v>0</v>
      </c>
      <c r="H146" s="1">
        <v>302</v>
      </c>
      <c r="I146" s="1">
        <v>825</v>
      </c>
      <c r="J146" s="1"/>
      <c r="L146">
        <v>610</v>
      </c>
      <c r="M146" t="s">
        <v>196</v>
      </c>
      <c r="N146">
        <v>5199</v>
      </c>
      <c r="O146">
        <v>102</v>
      </c>
      <c r="P146">
        <v>0</v>
      </c>
      <c r="Q146">
        <v>0</v>
      </c>
      <c r="R146">
        <v>0</v>
      </c>
      <c r="S146">
        <v>5568</v>
      </c>
    </row>
    <row r="147" spans="1:19" x14ac:dyDescent="0.25">
      <c r="A147" t="s">
        <v>76</v>
      </c>
      <c r="B147" t="s">
        <v>195</v>
      </c>
      <c r="C147" s="1">
        <f>4356+737</f>
        <v>5093</v>
      </c>
      <c r="D147" s="1">
        <f>14+4</f>
        <v>18</v>
      </c>
      <c r="E147" s="1">
        <v>0</v>
      </c>
      <c r="F147" s="1">
        <v>0</v>
      </c>
      <c r="G147" s="1">
        <v>0</v>
      </c>
      <c r="H147" s="1">
        <v>7451</v>
      </c>
      <c r="I147" s="1">
        <v>654</v>
      </c>
      <c r="J147" s="1"/>
      <c r="L147">
        <v>616</v>
      </c>
      <c r="M147" t="s">
        <v>197</v>
      </c>
    </row>
    <row r="148" spans="1:19" x14ac:dyDescent="0.25">
      <c r="A148" t="s">
        <v>788</v>
      </c>
      <c r="B148" t="s">
        <v>196</v>
      </c>
      <c r="C148" s="1">
        <f>3219+1980</f>
        <v>5199</v>
      </c>
      <c r="D148" s="1">
        <f>2+100</f>
        <v>102</v>
      </c>
      <c r="E148" s="1">
        <v>0</v>
      </c>
      <c r="F148" s="1">
        <v>0</v>
      </c>
      <c r="G148" s="1">
        <v>0</v>
      </c>
      <c r="H148" s="1">
        <v>5568</v>
      </c>
      <c r="I148" s="1">
        <v>1832</v>
      </c>
      <c r="J148" s="1"/>
      <c r="L148">
        <v>616</v>
      </c>
      <c r="M148" t="s">
        <v>198</v>
      </c>
    </row>
    <row r="149" spans="1:19" x14ac:dyDescent="0.25">
      <c r="A149" t="s">
        <v>817</v>
      </c>
      <c r="B149" t="s">
        <v>197</v>
      </c>
      <c r="C149" s="1"/>
      <c r="D149" s="1"/>
      <c r="E149" s="1"/>
      <c r="F149" s="1"/>
      <c r="G149" s="1"/>
      <c r="H149" s="1"/>
      <c r="I149" s="1"/>
      <c r="J149" s="1"/>
      <c r="L149">
        <v>710</v>
      </c>
      <c r="M149" t="s">
        <v>199</v>
      </c>
      <c r="N149">
        <v>6468</v>
      </c>
      <c r="O149">
        <v>0</v>
      </c>
      <c r="P149">
        <v>0</v>
      </c>
      <c r="Q149">
        <v>0</v>
      </c>
      <c r="R149">
        <v>0</v>
      </c>
      <c r="S149">
        <v>29187</v>
      </c>
    </row>
    <row r="150" spans="1:19" x14ac:dyDescent="0.25">
      <c r="A150" t="s">
        <v>817</v>
      </c>
      <c r="B150" t="s">
        <v>198</v>
      </c>
      <c r="C150" s="1"/>
      <c r="D150" s="1"/>
      <c r="E150" s="1"/>
      <c r="F150" s="1"/>
      <c r="G150" s="1"/>
      <c r="H150" s="1"/>
      <c r="I150" s="1"/>
      <c r="J150" s="1"/>
      <c r="L150">
        <v>712</v>
      </c>
      <c r="M150" t="s">
        <v>200</v>
      </c>
      <c r="N150">
        <v>7135</v>
      </c>
      <c r="O150">
        <v>37</v>
      </c>
      <c r="P150">
        <v>0</v>
      </c>
      <c r="Q150">
        <v>0</v>
      </c>
      <c r="R150">
        <v>0</v>
      </c>
      <c r="S150">
        <v>4414</v>
      </c>
    </row>
    <row r="151" spans="1:19" x14ac:dyDescent="0.25">
      <c r="A151" t="s">
        <v>69</v>
      </c>
      <c r="B151" t="s">
        <v>199</v>
      </c>
      <c r="C151" s="1">
        <f>4264+2204</f>
        <v>6468</v>
      </c>
      <c r="D151" s="1">
        <v>0</v>
      </c>
      <c r="E151" s="1">
        <v>0</v>
      </c>
      <c r="F151" s="1">
        <v>0</v>
      </c>
      <c r="G151" s="1">
        <v>0</v>
      </c>
      <c r="H151" s="1">
        <v>29187</v>
      </c>
      <c r="I151" s="1">
        <v>1899</v>
      </c>
      <c r="J151" s="1"/>
      <c r="L151">
        <v>311</v>
      </c>
      <c r="M151" t="s">
        <v>201</v>
      </c>
      <c r="N151">
        <v>7272</v>
      </c>
      <c r="O151">
        <v>133</v>
      </c>
      <c r="P151">
        <v>0</v>
      </c>
      <c r="Q151">
        <v>0</v>
      </c>
      <c r="R151">
        <v>0</v>
      </c>
      <c r="S151">
        <v>2108</v>
      </c>
    </row>
    <row r="152" spans="1:19" x14ac:dyDescent="0.25">
      <c r="A152" t="s">
        <v>76</v>
      </c>
      <c r="B152" t="s">
        <v>200</v>
      </c>
      <c r="C152" s="1">
        <f>5153+23+2+68+27+1862</f>
        <v>7135</v>
      </c>
      <c r="D152" s="1">
        <f>6+4+24+3</f>
        <v>37</v>
      </c>
      <c r="E152" s="1">
        <v>0</v>
      </c>
      <c r="F152" s="1">
        <v>0</v>
      </c>
      <c r="G152" s="1">
        <v>0</v>
      </c>
      <c r="H152" s="1">
        <v>4414</v>
      </c>
      <c r="I152" s="1">
        <v>1699</v>
      </c>
      <c r="J152" s="1"/>
      <c r="L152">
        <v>613</v>
      </c>
      <c r="M152" t="s">
        <v>202</v>
      </c>
    </row>
    <row r="153" spans="1:19" x14ac:dyDescent="0.25">
      <c r="A153" t="s">
        <v>120</v>
      </c>
      <c r="B153" t="s">
        <v>201</v>
      </c>
      <c r="C153" s="1">
        <f>5535+1737</f>
        <v>7272</v>
      </c>
      <c r="D153" s="1">
        <f>13+120</f>
        <v>133</v>
      </c>
      <c r="E153" s="1">
        <v>0</v>
      </c>
      <c r="F153" s="1">
        <v>0</v>
      </c>
      <c r="G153" s="1">
        <v>0</v>
      </c>
      <c r="H153" s="1">
        <v>2108</v>
      </c>
      <c r="I153" s="1">
        <v>1174</v>
      </c>
      <c r="J153" s="1"/>
      <c r="L153">
        <v>610</v>
      </c>
      <c r="M153" t="s">
        <v>203</v>
      </c>
      <c r="N153">
        <v>11251</v>
      </c>
      <c r="O153">
        <v>1</v>
      </c>
      <c r="P153">
        <v>0</v>
      </c>
      <c r="Q153">
        <v>0</v>
      </c>
      <c r="R153">
        <v>0</v>
      </c>
      <c r="S153">
        <v>0</v>
      </c>
    </row>
    <row r="154" spans="1:19" x14ac:dyDescent="0.25">
      <c r="A154" t="s">
        <v>495</v>
      </c>
      <c r="B154" t="s">
        <v>202</v>
      </c>
      <c r="C154" s="1"/>
      <c r="D154" s="1"/>
      <c r="E154" s="1"/>
      <c r="F154" s="1"/>
      <c r="G154" s="1"/>
      <c r="H154" s="1"/>
      <c r="I154" s="1"/>
      <c r="J154" s="1"/>
      <c r="L154">
        <v>312</v>
      </c>
      <c r="M154" t="s">
        <v>204</v>
      </c>
      <c r="N154">
        <v>4704</v>
      </c>
      <c r="O154">
        <v>0</v>
      </c>
      <c r="P154">
        <v>0</v>
      </c>
      <c r="Q154">
        <v>0</v>
      </c>
      <c r="R154">
        <v>0</v>
      </c>
      <c r="S154">
        <v>1261</v>
      </c>
    </row>
    <row r="155" spans="1:19" x14ac:dyDescent="0.25">
      <c r="A155" t="s">
        <v>788</v>
      </c>
      <c r="B155" t="s">
        <v>203</v>
      </c>
      <c r="C155" s="1">
        <f>7495+3756</f>
        <v>11251</v>
      </c>
      <c r="D155" s="1">
        <v>1</v>
      </c>
      <c r="E155" s="1">
        <v>0</v>
      </c>
      <c r="F155" s="1">
        <v>0</v>
      </c>
      <c r="G155" s="1">
        <v>0</v>
      </c>
      <c r="H155" s="1">
        <v>778</v>
      </c>
      <c r="I155" s="1">
        <v>503</v>
      </c>
      <c r="J155" s="1" t="s">
        <v>819</v>
      </c>
      <c r="L155">
        <v>712</v>
      </c>
      <c r="M155" t="s">
        <v>205</v>
      </c>
      <c r="N155">
        <v>3801</v>
      </c>
      <c r="O155">
        <v>153</v>
      </c>
      <c r="P155">
        <v>0</v>
      </c>
      <c r="Q155">
        <v>0</v>
      </c>
      <c r="R155">
        <v>0</v>
      </c>
      <c r="S155">
        <v>2628</v>
      </c>
    </row>
    <row r="156" spans="1:19" x14ac:dyDescent="0.25">
      <c r="A156" t="s">
        <v>72</v>
      </c>
      <c r="B156" t="s">
        <v>204</v>
      </c>
      <c r="C156" s="1">
        <f>4301+403</f>
        <v>4704</v>
      </c>
      <c r="D156" s="1">
        <v>0</v>
      </c>
      <c r="E156" s="1">
        <v>0</v>
      </c>
      <c r="F156" s="1">
        <v>0</v>
      </c>
      <c r="G156" s="1">
        <v>0</v>
      </c>
      <c r="H156" s="1">
        <v>1261</v>
      </c>
      <c r="I156" s="1">
        <v>411</v>
      </c>
      <c r="J156" s="1"/>
      <c r="L156">
        <v>211</v>
      </c>
      <c r="M156" t="s">
        <v>206</v>
      </c>
      <c r="N156">
        <v>1701</v>
      </c>
      <c r="O156">
        <v>0</v>
      </c>
      <c r="P156">
        <v>0</v>
      </c>
      <c r="Q156">
        <v>0</v>
      </c>
      <c r="R156">
        <v>0</v>
      </c>
      <c r="S156">
        <v>4869</v>
      </c>
    </row>
    <row r="157" spans="1:19" x14ac:dyDescent="0.25">
      <c r="A157" t="s">
        <v>76</v>
      </c>
      <c r="B157" t="s">
        <v>205</v>
      </c>
      <c r="C157" s="1">
        <f>1323+2478</f>
        <v>3801</v>
      </c>
      <c r="D157" s="1">
        <v>153</v>
      </c>
      <c r="E157" s="1">
        <v>0</v>
      </c>
      <c r="F157" s="1">
        <v>0</v>
      </c>
      <c r="G157" s="1">
        <v>0</v>
      </c>
      <c r="H157" s="1">
        <v>2628</v>
      </c>
      <c r="I157" s="1">
        <v>1761</v>
      </c>
      <c r="J157" s="1"/>
      <c r="L157">
        <v>712</v>
      </c>
      <c r="M157" t="s">
        <v>207</v>
      </c>
      <c r="N157">
        <v>12210</v>
      </c>
      <c r="O157">
        <v>18</v>
      </c>
      <c r="P157">
        <v>0</v>
      </c>
      <c r="Q157">
        <v>0</v>
      </c>
      <c r="R157">
        <v>0</v>
      </c>
      <c r="S157">
        <v>2316</v>
      </c>
    </row>
    <row r="158" spans="1:19" x14ac:dyDescent="0.25">
      <c r="A158" t="s">
        <v>131</v>
      </c>
      <c r="B158" t="s">
        <v>206</v>
      </c>
      <c r="C158" s="1">
        <f>1210+491</f>
        <v>1701</v>
      </c>
      <c r="D158" s="1">
        <v>0</v>
      </c>
      <c r="E158" s="1">
        <v>0</v>
      </c>
      <c r="F158" s="1">
        <v>0</v>
      </c>
      <c r="G158" s="1">
        <v>0</v>
      </c>
      <c r="H158" s="1">
        <v>4869</v>
      </c>
      <c r="I158" s="1">
        <v>494</v>
      </c>
      <c r="J158" s="1"/>
      <c r="L158" t="s">
        <v>820</v>
      </c>
      <c r="M158" t="s">
        <v>208</v>
      </c>
      <c r="N158">
        <v>1347</v>
      </c>
      <c r="O158">
        <v>0</v>
      </c>
      <c r="P158">
        <v>0</v>
      </c>
      <c r="Q158">
        <v>0</v>
      </c>
      <c r="R158">
        <v>0</v>
      </c>
      <c r="S158">
        <v>2547</v>
      </c>
    </row>
    <row r="159" spans="1:19" x14ac:dyDescent="0.25">
      <c r="A159" t="s">
        <v>76</v>
      </c>
      <c r="B159" t="s">
        <v>207</v>
      </c>
      <c r="C159" s="1">
        <f>5835+6375</f>
        <v>12210</v>
      </c>
      <c r="D159" s="1">
        <v>18</v>
      </c>
      <c r="E159" s="1">
        <v>0</v>
      </c>
      <c r="F159" s="1">
        <v>0</v>
      </c>
      <c r="G159" s="1">
        <v>0</v>
      </c>
      <c r="H159" s="1">
        <v>2316</v>
      </c>
      <c r="I159" s="1">
        <v>5671</v>
      </c>
      <c r="J159" s="1"/>
      <c r="L159">
        <v>711</v>
      </c>
      <c r="M159" t="s">
        <v>209</v>
      </c>
      <c r="N159">
        <v>6584</v>
      </c>
      <c r="O159">
        <v>105</v>
      </c>
      <c r="P159">
        <v>0</v>
      </c>
      <c r="Q159">
        <v>0</v>
      </c>
      <c r="R159">
        <v>0</v>
      </c>
      <c r="S159">
        <v>7449</v>
      </c>
    </row>
    <row r="160" spans="1:19" x14ac:dyDescent="0.25">
      <c r="A160" t="s">
        <v>265</v>
      </c>
      <c r="B160" t="s">
        <v>208</v>
      </c>
      <c r="C160" s="1">
        <f>1120+227</f>
        <v>1347</v>
      </c>
      <c r="D160" s="1">
        <v>0</v>
      </c>
      <c r="E160" s="1">
        <v>0</v>
      </c>
      <c r="F160" s="1">
        <v>0</v>
      </c>
      <c r="G160" s="1">
        <v>0</v>
      </c>
      <c r="H160" s="1">
        <v>2547</v>
      </c>
      <c r="I160" s="1">
        <v>229</v>
      </c>
      <c r="J160" s="1"/>
      <c r="L160">
        <v>312</v>
      </c>
      <c r="M160" t="s">
        <v>210</v>
      </c>
      <c r="N160">
        <v>4851</v>
      </c>
      <c r="O160">
        <v>21</v>
      </c>
      <c r="P160">
        <v>0</v>
      </c>
      <c r="Q160">
        <v>0</v>
      </c>
      <c r="R160">
        <v>0</v>
      </c>
      <c r="S160">
        <v>4599</v>
      </c>
    </row>
    <row r="161" spans="1:19" x14ac:dyDescent="0.25">
      <c r="A161" t="s">
        <v>801</v>
      </c>
      <c r="B161" t="s">
        <v>209</v>
      </c>
      <c r="C161" s="1">
        <f>3713+16+14+2839+2</f>
        <v>6584</v>
      </c>
      <c r="D161" s="1">
        <f>8+97</f>
        <v>105</v>
      </c>
      <c r="E161" s="1">
        <v>0</v>
      </c>
      <c r="F161" s="1">
        <v>0</v>
      </c>
      <c r="G161" s="1">
        <v>0</v>
      </c>
      <c r="H161" s="1">
        <v>7449</v>
      </c>
      <c r="I161" s="1">
        <v>2771</v>
      </c>
      <c r="J161" s="1"/>
      <c r="L161">
        <v>616</v>
      </c>
      <c r="M161" t="s">
        <v>211</v>
      </c>
    </row>
    <row r="162" spans="1:19" x14ac:dyDescent="0.25">
      <c r="A162" t="s">
        <v>72</v>
      </c>
      <c r="B162" t="s">
        <v>210</v>
      </c>
      <c r="C162" s="1">
        <f>2702+2149</f>
        <v>4851</v>
      </c>
      <c r="D162" s="1">
        <f>17+3+1</f>
        <v>21</v>
      </c>
      <c r="E162" s="1">
        <v>0</v>
      </c>
      <c r="F162" s="1">
        <v>0</v>
      </c>
      <c r="G162" s="1">
        <v>0</v>
      </c>
      <c r="H162" s="1">
        <v>4599</v>
      </c>
      <c r="I162" s="1">
        <v>1913</v>
      </c>
      <c r="J162" s="1"/>
      <c r="L162">
        <v>312</v>
      </c>
      <c r="M162" t="s">
        <v>212</v>
      </c>
      <c r="N162">
        <v>4074</v>
      </c>
      <c r="O162">
        <v>0</v>
      </c>
      <c r="P162">
        <v>0</v>
      </c>
      <c r="Q162">
        <v>0</v>
      </c>
      <c r="R162">
        <v>0</v>
      </c>
      <c r="S162">
        <v>514</v>
      </c>
    </row>
    <row r="163" spans="1:19" x14ac:dyDescent="0.25">
      <c r="A163" t="s">
        <v>817</v>
      </c>
      <c r="B163" t="s">
        <v>211</v>
      </c>
      <c r="C163" s="1"/>
      <c r="D163" s="1"/>
      <c r="E163" s="1"/>
      <c r="F163" s="1"/>
      <c r="G163" s="1"/>
      <c r="H163" s="1"/>
      <c r="I163" s="1"/>
      <c r="J163" s="1"/>
      <c r="L163">
        <v>514</v>
      </c>
      <c r="M163" t="s">
        <v>213</v>
      </c>
      <c r="N163">
        <v>391</v>
      </c>
      <c r="O163">
        <v>0</v>
      </c>
      <c r="P163">
        <v>0</v>
      </c>
      <c r="Q163">
        <v>0</v>
      </c>
      <c r="R163">
        <v>0</v>
      </c>
      <c r="S163">
        <v>641</v>
      </c>
    </row>
    <row r="164" spans="1:19" x14ac:dyDescent="0.25">
      <c r="A164" t="s">
        <v>72</v>
      </c>
      <c r="B164" t="s">
        <v>212</v>
      </c>
      <c r="C164" s="1">
        <f>3465+609</f>
        <v>4074</v>
      </c>
      <c r="D164" s="1">
        <v>0</v>
      </c>
      <c r="E164" s="1">
        <v>0</v>
      </c>
      <c r="F164" s="1">
        <v>0</v>
      </c>
      <c r="G164" s="1">
        <v>0</v>
      </c>
      <c r="H164" s="1">
        <v>514</v>
      </c>
      <c r="I164" s="1">
        <v>611</v>
      </c>
      <c r="J164" s="1"/>
      <c r="L164">
        <v>613</v>
      </c>
      <c r="M164" t="s">
        <v>214</v>
      </c>
      <c r="N164">
        <v>2114</v>
      </c>
      <c r="O164">
        <v>9</v>
      </c>
      <c r="P164">
        <v>0</v>
      </c>
      <c r="Q164">
        <v>0</v>
      </c>
      <c r="R164">
        <v>0</v>
      </c>
      <c r="S164">
        <v>3489</v>
      </c>
    </row>
    <row r="165" spans="1:19" x14ac:dyDescent="0.25">
      <c r="A165" t="s">
        <v>134</v>
      </c>
      <c r="B165" t="s">
        <v>213</v>
      </c>
      <c r="C165" s="1">
        <f>387+4</f>
        <v>391</v>
      </c>
      <c r="D165" s="1">
        <v>0</v>
      </c>
      <c r="E165" s="1">
        <v>0</v>
      </c>
      <c r="F165" s="1">
        <v>0</v>
      </c>
      <c r="G165" s="1">
        <v>0</v>
      </c>
      <c r="H165" s="1">
        <v>641</v>
      </c>
      <c r="I165" s="1">
        <v>5</v>
      </c>
      <c r="J165" s="1"/>
      <c r="L165">
        <v>611</v>
      </c>
      <c r="M165" t="s">
        <v>215</v>
      </c>
      <c r="N165">
        <v>6106</v>
      </c>
      <c r="O165">
        <v>0</v>
      </c>
      <c r="P165">
        <v>0</v>
      </c>
      <c r="Q165">
        <v>0</v>
      </c>
      <c r="R165">
        <v>0</v>
      </c>
      <c r="S165">
        <v>9965</v>
      </c>
    </row>
    <row r="166" spans="1:19" x14ac:dyDescent="0.25">
      <c r="A166" t="s">
        <v>495</v>
      </c>
      <c r="B166" t="s">
        <v>214</v>
      </c>
      <c r="C166" s="1">
        <f>1346+8+760</f>
        <v>2114</v>
      </c>
      <c r="D166" s="1">
        <v>9</v>
      </c>
      <c r="E166" s="1">
        <v>0</v>
      </c>
      <c r="F166" s="1">
        <v>0</v>
      </c>
      <c r="G166" s="1">
        <v>0</v>
      </c>
      <c r="H166" s="1">
        <v>3489</v>
      </c>
      <c r="I166" s="1">
        <v>470</v>
      </c>
      <c r="J166" s="1"/>
      <c r="L166" t="s">
        <v>815</v>
      </c>
      <c r="M166" t="s">
        <v>216</v>
      </c>
      <c r="N166">
        <v>2542</v>
      </c>
      <c r="O166">
        <v>0</v>
      </c>
      <c r="P166">
        <v>0</v>
      </c>
      <c r="Q166">
        <v>0</v>
      </c>
      <c r="R166">
        <v>0</v>
      </c>
      <c r="S166">
        <v>149</v>
      </c>
    </row>
    <row r="167" spans="1:19" x14ac:dyDescent="0.25">
      <c r="A167" t="s">
        <v>146</v>
      </c>
      <c r="B167" t="s">
        <v>215</v>
      </c>
      <c r="C167" s="1">
        <f>3856+2250</f>
        <v>6106</v>
      </c>
      <c r="D167" s="1">
        <v>0</v>
      </c>
      <c r="E167" s="1">
        <v>0</v>
      </c>
      <c r="F167" s="1">
        <v>0</v>
      </c>
      <c r="G167" s="1">
        <v>0</v>
      </c>
      <c r="H167" s="1">
        <v>9965</v>
      </c>
      <c r="I167" s="1">
        <v>2118</v>
      </c>
      <c r="J167" s="1"/>
      <c r="L167" t="s">
        <v>814</v>
      </c>
      <c r="M167" t="s">
        <v>217</v>
      </c>
      <c r="N167">
        <v>475</v>
      </c>
      <c r="O167">
        <v>0</v>
      </c>
      <c r="P167">
        <v>0</v>
      </c>
      <c r="Q167">
        <v>0</v>
      </c>
      <c r="R167">
        <v>0</v>
      </c>
      <c r="S167">
        <v>1374</v>
      </c>
    </row>
    <row r="168" spans="1:19" x14ac:dyDescent="0.25">
      <c r="A168" t="s">
        <v>138</v>
      </c>
      <c r="B168" t="s">
        <v>216</v>
      </c>
      <c r="C168" s="1">
        <f>2476+1+65</f>
        <v>2542</v>
      </c>
      <c r="D168" s="1">
        <v>0</v>
      </c>
      <c r="E168" s="1">
        <v>0</v>
      </c>
      <c r="F168" s="1">
        <v>0</v>
      </c>
      <c r="G168" s="1">
        <v>0</v>
      </c>
      <c r="H168" s="1">
        <v>149</v>
      </c>
      <c r="I168" s="1">
        <v>58</v>
      </c>
      <c r="J168" s="1"/>
      <c r="L168" t="s">
        <v>820</v>
      </c>
      <c r="M168" t="s">
        <v>218</v>
      </c>
      <c r="N168">
        <v>411</v>
      </c>
      <c r="O168">
        <v>0</v>
      </c>
      <c r="P168">
        <v>0</v>
      </c>
      <c r="Q168">
        <v>0</v>
      </c>
      <c r="R168">
        <v>0</v>
      </c>
      <c r="S168">
        <v>2390</v>
      </c>
    </row>
    <row r="169" spans="1:19" x14ac:dyDescent="0.25">
      <c r="A169" t="s">
        <v>794</v>
      </c>
      <c r="B169" t="s">
        <v>217</v>
      </c>
      <c r="C169" s="1">
        <f>295+180</f>
        <v>475</v>
      </c>
      <c r="D169" s="1">
        <v>0</v>
      </c>
      <c r="E169" s="1">
        <v>0</v>
      </c>
      <c r="F169" s="1">
        <v>0</v>
      </c>
      <c r="G169" s="1">
        <v>0</v>
      </c>
      <c r="H169" s="1">
        <v>1374</v>
      </c>
      <c r="I169" s="1">
        <v>147</v>
      </c>
      <c r="J169" s="1"/>
      <c r="L169">
        <v>711</v>
      </c>
      <c r="M169" t="s">
        <v>219</v>
      </c>
      <c r="N169">
        <v>25570</v>
      </c>
      <c r="O169">
        <v>43</v>
      </c>
      <c r="P169">
        <v>0</v>
      </c>
      <c r="Q169">
        <v>0</v>
      </c>
      <c r="R169">
        <v>0</v>
      </c>
      <c r="S169">
        <v>6962</v>
      </c>
    </row>
    <row r="170" spans="1:19" x14ac:dyDescent="0.25">
      <c r="A170" t="s">
        <v>265</v>
      </c>
      <c r="B170" t="s">
        <v>218</v>
      </c>
      <c r="C170" s="1">
        <f>187+224</f>
        <v>411</v>
      </c>
      <c r="D170" s="1">
        <v>0</v>
      </c>
      <c r="E170" s="1">
        <v>0</v>
      </c>
      <c r="F170" s="1">
        <v>0</v>
      </c>
      <c r="G170" s="1">
        <v>0</v>
      </c>
      <c r="H170" s="1">
        <v>2390</v>
      </c>
      <c r="I170" s="1">
        <v>190</v>
      </c>
      <c r="J170" s="1"/>
      <c r="L170">
        <v>114</v>
      </c>
      <c r="M170" t="s">
        <v>220</v>
      </c>
      <c r="N170">
        <v>382</v>
      </c>
      <c r="O170">
        <v>0</v>
      </c>
      <c r="P170">
        <v>0</v>
      </c>
      <c r="Q170">
        <v>0</v>
      </c>
      <c r="R170">
        <v>0</v>
      </c>
      <c r="S170">
        <v>502</v>
      </c>
    </row>
    <row r="171" spans="1:19" x14ac:dyDescent="0.25">
      <c r="A171" t="s">
        <v>801</v>
      </c>
      <c r="B171" t="s">
        <v>219</v>
      </c>
      <c r="C171" s="1">
        <f>24693+2+14+861</f>
        <v>25570</v>
      </c>
      <c r="D171" s="1">
        <f>38+5</f>
        <v>43</v>
      </c>
      <c r="E171" s="1">
        <v>0</v>
      </c>
      <c r="F171" s="1">
        <v>0</v>
      </c>
      <c r="G171" s="1">
        <v>0</v>
      </c>
      <c r="H171" s="1">
        <v>6962</v>
      </c>
      <c r="I171" s="1">
        <v>526</v>
      </c>
      <c r="J171" s="1"/>
      <c r="L171" t="s">
        <v>814</v>
      </c>
      <c r="M171" t="s">
        <v>221</v>
      </c>
      <c r="N171">
        <v>2484</v>
      </c>
      <c r="O171">
        <v>0</v>
      </c>
      <c r="P171">
        <v>0</v>
      </c>
      <c r="Q171">
        <v>0</v>
      </c>
      <c r="R171">
        <v>0</v>
      </c>
      <c r="S171">
        <v>579</v>
      </c>
    </row>
    <row r="172" spans="1:19" x14ac:dyDescent="0.25">
      <c r="A172" t="s">
        <v>150</v>
      </c>
      <c r="B172" t="s">
        <v>220</v>
      </c>
      <c r="C172" s="1">
        <f>272+110</f>
        <v>382</v>
      </c>
      <c r="D172" s="1">
        <v>0</v>
      </c>
      <c r="E172" s="1">
        <v>0</v>
      </c>
      <c r="F172" s="1">
        <v>0</v>
      </c>
      <c r="G172" s="1">
        <v>0</v>
      </c>
      <c r="H172" s="1">
        <v>502</v>
      </c>
      <c r="I172" s="1">
        <v>115</v>
      </c>
      <c r="J172" s="1"/>
      <c r="L172">
        <v>311</v>
      </c>
      <c r="M172" t="s">
        <v>222</v>
      </c>
      <c r="N172">
        <v>1095</v>
      </c>
      <c r="O172">
        <v>0</v>
      </c>
      <c r="P172">
        <v>0</v>
      </c>
      <c r="Q172">
        <v>0</v>
      </c>
      <c r="R172">
        <v>0</v>
      </c>
      <c r="S172">
        <v>334</v>
      </c>
    </row>
    <row r="173" spans="1:19" x14ac:dyDescent="0.25">
      <c r="A173" t="s">
        <v>794</v>
      </c>
      <c r="B173" t="s">
        <v>221</v>
      </c>
      <c r="C173" s="1">
        <f>1717+767</f>
        <v>2484</v>
      </c>
      <c r="D173" s="1">
        <v>0</v>
      </c>
      <c r="E173" s="1">
        <v>0</v>
      </c>
      <c r="F173" s="1">
        <v>0</v>
      </c>
      <c r="G173" s="1">
        <v>0</v>
      </c>
      <c r="H173" s="1">
        <v>579</v>
      </c>
      <c r="I173" s="1">
        <v>731</v>
      </c>
      <c r="J173" s="1"/>
      <c r="L173">
        <v>161</v>
      </c>
      <c r="M173" t="s">
        <v>223</v>
      </c>
      <c r="N173">
        <v>760</v>
      </c>
      <c r="O173">
        <v>5</v>
      </c>
      <c r="P173">
        <v>0</v>
      </c>
      <c r="Q173">
        <v>0</v>
      </c>
      <c r="R173">
        <v>0</v>
      </c>
      <c r="S173">
        <v>105</v>
      </c>
    </row>
    <row r="174" spans="1:19" x14ac:dyDescent="0.25">
      <c r="A174" t="s">
        <v>120</v>
      </c>
      <c r="B174" t="s">
        <v>222</v>
      </c>
      <c r="C174" s="1">
        <f>1028+67</f>
        <v>1095</v>
      </c>
      <c r="D174" s="1">
        <v>0</v>
      </c>
      <c r="E174" s="1">
        <v>0</v>
      </c>
      <c r="F174" s="1">
        <v>0</v>
      </c>
      <c r="G174" s="1">
        <v>0</v>
      </c>
      <c r="H174" s="1">
        <v>334</v>
      </c>
      <c r="I174" s="1">
        <v>62</v>
      </c>
      <c r="J174" s="1"/>
      <c r="L174">
        <v>153</v>
      </c>
      <c r="M174" t="s">
        <v>224</v>
      </c>
      <c r="N174">
        <v>822</v>
      </c>
      <c r="O174">
        <v>10</v>
      </c>
      <c r="P174">
        <v>0</v>
      </c>
      <c r="Q174">
        <v>0</v>
      </c>
      <c r="R174">
        <v>0</v>
      </c>
      <c r="S174">
        <v>968</v>
      </c>
    </row>
    <row r="175" spans="1:19" x14ac:dyDescent="0.25">
      <c r="A175" t="s">
        <v>792</v>
      </c>
      <c r="B175" t="s">
        <v>223</v>
      </c>
      <c r="C175" s="1">
        <f>675+85</f>
        <v>760</v>
      </c>
      <c r="D175" s="1">
        <v>5</v>
      </c>
      <c r="E175" s="1">
        <v>0</v>
      </c>
      <c r="F175" s="1">
        <v>0</v>
      </c>
      <c r="G175" s="1">
        <v>0</v>
      </c>
      <c r="H175" s="1">
        <v>105</v>
      </c>
      <c r="I175" s="1">
        <v>67</v>
      </c>
      <c r="J175" s="1"/>
      <c r="L175">
        <v>710</v>
      </c>
      <c r="M175" t="s">
        <v>225</v>
      </c>
      <c r="N175">
        <v>8730</v>
      </c>
      <c r="O175">
        <v>4</v>
      </c>
      <c r="P175">
        <v>0</v>
      </c>
      <c r="Q175">
        <v>0</v>
      </c>
      <c r="R175">
        <v>0</v>
      </c>
      <c r="S175">
        <v>25199</v>
      </c>
    </row>
    <row r="176" spans="1:19" x14ac:dyDescent="0.25">
      <c r="A176" t="s">
        <v>821</v>
      </c>
      <c r="B176" t="s">
        <v>224</v>
      </c>
      <c r="C176" s="1">
        <f>444+378</f>
        <v>822</v>
      </c>
      <c r="D176" s="1">
        <v>10</v>
      </c>
      <c r="E176" s="1">
        <v>0</v>
      </c>
      <c r="F176" s="1">
        <v>0</v>
      </c>
      <c r="G176" s="1">
        <v>0</v>
      </c>
      <c r="H176" s="1">
        <v>968</v>
      </c>
      <c r="I176" s="1">
        <v>370</v>
      </c>
      <c r="J176" s="1"/>
      <c r="L176">
        <v>300</v>
      </c>
      <c r="M176" t="s">
        <v>227</v>
      </c>
      <c r="N176">
        <v>2329</v>
      </c>
      <c r="O176">
        <v>1</v>
      </c>
      <c r="P176">
        <v>0</v>
      </c>
      <c r="Q176">
        <v>0</v>
      </c>
      <c r="R176">
        <v>0</v>
      </c>
      <c r="S176">
        <v>759</v>
      </c>
    </row>
    <row r="177" spans="1:19" x14ac:dyDescent="0.25">
      <c r="A177" t="s">
        <v>69</v>
      </c>
      <c r="B177" t="s">
        <v>225</v>
      </c>
      <c r="C177" s="1">
        <v>8730</v>
      </c>
      <c r="D177" s="1">
        <v>4</v>
      </c>
      <c r="E177" s="1">
        <v>0</v>
      </c>
      <c r="F177" s="1">
        <v>0</v>
      </c>
      <c r="G177" s="1">
        <v>0</v>
      </c>
      <c r="H177" s="1">
        <v>25199</v>
      </c>
      <c r="I177" s="1">
        <v>5557</v>
      </c>
      <c r="J177" s="1"/>
      <c r="L177">
        <v>300</v>
      </c>
      <c r="M177" t="s">
        <v>228</v>
      </c>
      <c r="N177">
        <v>2394</v>
      </c>
      <c r="O177">
        <v>19</v>
      </c>
      <c r="P177">
        <v>0</v>
      </c>
      <c r="Q177">
        <v>0</v>
      </c>
      <c r="R177">
        <v>0</v>
      </c>
      <c r="S177">
        <v>2720</v>
      </c>
    </row>
    <row r="178" spans="1:19" x14ac:dyDescent="0.25">
      <c r="A178" t="s">
        <v>226</v>
      </c>
      <c r="B178" t="s">
        <v>227</v>
      </c>
      <c r="C178" s="1">
        <f>1715+1+613</f>
        <v>2329</v>
      </c>
      <c r="D178" s="1">
        <v>0</v>
      </c>
      <c r="E178" s="1">
        <v>0</v>
      </c>
      <c r="F178" s="1">
        <v>0</v>
      </c>
      <c r="G178" s="1">
        <v>0</v>
      </c>
      <c r="H178" s="1">
        <v>759</v>
      </c>
      <c r="I178" s="1">
        <v>490</v>
      </c>
      <c r="J178" s="1" t="s">
        <v>819</v>
      </c>
      <c r="L178">
        <v>314</v>
      </c>
      <c r="M178" t="s">
        <v>230</v>
      </c>
      <c r="N178">
        <v>669</v>
      </c>
      <c r="O178">
        <v>10</v>
      </c>
      <c r="P178">
        <v>0</v>
      </c>
      <c r="Q178">
        <v>0</v>
      </c>
      <c r="R178">
        <v>0</v>
      </c>
      <c r="S178">
        <v>135</v>
      </c>
    </row>
    <row r="179" spans="1:19" x14ac:dyDescent="0.25">
      <c r="A179" t="s">
        <v>226</v>
      </c>
      <c r="B179" t="s">
        <v>228</v>
      </c>
      <c r="C179" s="1">
        <f>1844+550</f>
        <v>2394</v>
      </c>
      <c r="D179" s="1">
        <v>19</v>
      </c>
      <c r="E179" s="1">
        <v>0</v>
      </c>
      <c r="F179" s="1">
        <v>0</v>
      </c>
      <c r="G179" s="1">
        <v>0</v>
      </c>
      <c r="H179" s="1">
        <v>2720</v>
      </c>
      <c r="I179" s="1">
        <v>508</v>
      </c>
      <c r="J179" s="1"/>
      <c r="L179">
        <v>118</v>
      </c>
      <c r="M179" t="s">
        <v>232</v>
      </c>
      <c r="N179">
        <v>1740</v>
      </c>
      <c r="O179">
        <v>0</v>
      </c>
      <c r="P179">
        <v>0</v>
      </c>
      <c r="Q179">
        <v>0</v>
      </c>
      <c r="R179">
        <v>0</v>
      </c>
      <c r="S179">
        <v>85</v>
      </c>
    </row>
    <row r="180" spans="1:19" x14ac:dyDescent="0.25">
      <c r="A180" t="s">
        <v>305</v>
      </c>
      <c r="B180" t="s">
        <v>230</v>
      </c>
      <c r="C180" s="1">
        <f>549+120</f>
        <v>669</v>
      </c>
      <c r="D180" s="1">
        <v>10</v>
      </c>
      <c r="E180" s="1">
        <v>0</v>
      </c>
      <c r="F180" s="1">
        <v>0</v>
      </c>
      <c r="G180" s="1">
        <v>0</v>
      </c>
      <c r="H180" s="1">
        <v>135</v>
      </c>
      <c r="I180" s="1">
        <v>102</v>
      </c>
      <c r="J180" s="1"/>
      <c r="L180">
        <v>600</v>
      </c>
      <c r="M180" t="s">
        <v>233</v>
      </c>
      <c r="N180">
        <v>3032</v>
      </c>
      <c r="O180">
        <v>0</v>
      </c>
      <c r="P180">
        <v>0</v>
      </c>
      <c r="Q180">
        <v>0</v>
      </c>
      <c r="R180">
        <v>0</v>
      </c>
      <c r="S180">
        <v>2800</v>
      </c>
    </row>
    <row r="181" spans="1:19" x14ac:dyDescent="0.25">
      <c r="A181" t="s">
        <v>188</v>
      </c>
      <c r="B181" t="s">
        <v>232</v>
      </c>
      <c r="C181" s="1">
        <f>1689+1+1+49</f>
        <v>1740</v>
      </c>
      <c r="D181" s="1">
        <v>0</v>
      </c>
      <c r="E181" s="1">
        <v>0</v>
      </c>
      <c r="F181" s="1">
        <v>0</v>
      </c>
      <c r="G181" s="1">
        <v>0</v>
      </c>
      <c r="H181" s="1">
        <v>85</v>
      </c>
      <c r="I181" s="1">
        <v>52</v>
      </c>
      <c r="J181" s="1"/>
      <c r="L181">
        <v>710</v>
      </c>
      <c r="M181" t="s">
        <v>234</v>
      </c>
      <c r="N181">
        <v>31633</v>
      </c>
      <c r="O181">
        <v>26</v>
      </c>
      <c r="P181">
        <v>0</v>
      </c>
      <c r="Q181">
        <v>0</v>
      </c>
      <c r="R181">
        <v>0</v>
      </c>
      <c r="S181">
        <v>35113</v>
      </c>
    </row>
    <row r="182" spans="1:19" x14ac:dyDescent="0.25">
      <c r="A182" t="s">
        <v>248</v>
      </c>
      <c r="B182" t="s">
        <v>233</v>
      </c>
      <c r="C182" s="1">
        <f>2322+5+705</f>
        <v>3032</v>
      </c>
      <c r="D182" s="1">
        <v>0</v>
      </c>
      <c r="E182" s="1">
        <v>0</v>
      </c>
      <c r="F182" s="1">
        <v>0</v>
      </c>
      <c r="G182" s="1">
        <v>0</v>
      </c>
      <c r="H182" s="1">
        <v>2800</v>
      </c>
      <c r="I182" s="1">
        <v>558</v>
      </c>
      <c r="J182" s="1"/>
      <c r="L182">
        <v>116</v>
      </c>
      <c r="M182" t="s">
        <v>235</v>
      </c>
      <c r="N182">
        <v>7662</v>
      </c>
      <c r="O182">
        <v>19</v>
      </c>
      <c r="P182">
        <v>0</v>
      </c>
      <c r="Q182">
        <v>0</v>
      </c>
      <c r="R182">
        <v>0</v>
      </c>
      <c r="S182">
        <v>370</v>
      </c>
    </row>
    <row r="183" spans="1:19" x14ac:dyDescent="0.25">
      <c r="A183" t="s">
        <v>69</v>
      </c>
      <c r="B183" t="s">
        <v>234</v>
      </c>
      <c r="C183" s="1">
        <f>25630+82+5921</f>
        <v>31633</v>
      </c>
      <c r="D183" s="1">
        <f>9+11+5+1</f>
        <v>26</v>
      </c>
      <c r="E183" s="1">
        <v>0</v>
      </c>
      <c r="F183" s="1">
        <v>0</v>
      </c>
      <c r="G183" s="1">
        <v>0</v>
      </c>
      <c r="H183" s="1">
        <v>35113</v>
      </c>
      <c r="I183" s="1">
        <v>4897</v>
      </c>
      <c r="J183" s="1"/>
      <c r="L183">
        <v>116</v>
      </c>
      <c r="M183" t="s">
        <v>236</v>
      </c>
      <c r="N183">
        <v>4735</v>
      </c>
      <c r="O183">
        <v>32</v>
      </c>
      <c r="P183">
        <v>0</v>
      </c>
      <c r="Q183">
        <v>0</v>
      </c>
      <c r="R183">
        <v>0</v>
      </c>
      <c r="S183">
        <v>2863</v>
      </c>
    </row>
    <row r="184" spans="1:19" x14ac:dyDescent="0.25">
      <c r="A184" t="s">
        <v>795</v>
      </c>
      <c r="B184" t="s">
        <v>235</v>
      </c>
      <c r="C184" s="1">
        <f>3843+3819</f>
        <v>7662</v>
      </c>
      <c r="D184" s="1">
        <f>18+1</f>
        <v>19</v>
      </c>
      <c r="E184" s="1">
        <v>0</v>
      </c>
      <c r="F184" s="1">
        <v>0</v>
      </c>
      <c r="G184" s="1">
        <v>0</v>
      </c>
      <c r="H184" s="1">
        <v>370</v>
      </c>
      <c r="I184" s="1">
        <v>3032</v>
      </c>
      <c r="J184" s="1"/>
      <c r="L184">
        <v>711</v>
      </c>
      <c r="M184" t="s">
        <v>237</v>
      </c>
      <c r="N184">
        <v>6897</v>
      </c>
      <c r="O184">
        <v>72</v>
      </c>
      <c r="P184">
        <v>0</v>
      </c>
      <c r="Q184">
        <v>0</v>
      </c>
      <c r="R184">
        <v>0</v>
      </c>
      <c r="S184">
        <v>3756</v>
      </c>
    </row>
    <row r="185" spans="1:19" x14ac:dyDescent="0.25">
      <c r="A185" t="s">
        <v>795</v>
      </c>
      <c r="B185" t="s">
        <v>236</v>
      </c>
      <c r="C185" s="1">
        <f>2687+2+2046</f>
        <v>4735</v>
      </c>
      <c r="D185" s="1">
        <f>1+27+4</f>
        <v>32</v>
      </c>
      <c r="E185" s="1">
        <v>0</v>
      </c>
      <c r="F185" s="1">
        <v>0</v>
      </c>
      <c r="G185" s="1">
        <v>0</v>
      </c>
      <c r="H185" s="1">
        <v>2863</v>
      </c>
      <c r="I185" s="1">
        <v>1503</v>
      </c>
      <c r="J185" s="1"/>
      <c r="L185">
        <v>610</v>
      </c>
      <c r="M185" t="s">
        <v>238</v>
      </c>
      <c r="N185">
        <v>43</v>
      </c>
      <c r="O185">
        <v>0</v>
      </c>
      <c r="P185">
        <v>0</v>
      </c>
      <c r="Q185">
        <v>0</v>
      </c>
      <c r="R185">
        <v>0</v>
      </c>
      <c r="S185">
        <v>2</v>
      </c>
    </row>
    <row r="186" spans="1:19" x14ac:dyDescent="0.25">
      <c r="A186" t="s">
        <v>801</v>
      </c>
      <c r="B186" t="s">
        <v>237</v>
      </c>
      <c r="C186" s="1">
        <f>6402+495</f>
        <v>6897</v>
      </c>
      <c r="D186" s="1">
        <f>70+2</f>
        <v>72</v>
      </c>
      <c r="E186" s="1">
        <v>0</v>
      </c>
      <c r="F186" s="1">
        <v>0</v>
      </c>
      <c r="G186" s="1">
        <v>0</v>
      </c>
      <c r="H186" s="1">
        <v>3756</v>
      </c>
      <c r="I186" s="1">
        <v>427</v>
      </c>
      <c r="J186" s="1"/>
      <c r="L186">
        <v>100</v>
      </c>
      <c r="M186" t="s">
        <v>239</v>
      </c>
      <c r="N186">
        <v>493</v>
      </c>
      <c r="O186">
        <v>0</v>
      </c>
      <c r="P186">
        <v>0</v>
      </c>
      <c r="Q186">
        <v>0</v>
      </c>
      <c r="R186">
        <v>0</v>
      </c>
      <c r="S186">
        <v>53</v>
      </c>
    </row>
    <row r="187" spans="1:19" x14ac:dyDescent="0.25">
      <c r="A187" t="s">
        <v>788</v>
      </c>
      <c r="B187" t="s">
        <v>238</v>
      </c>
      <c r="C187" s="1">
        <f>41+2</f>
        <v>43</v>
      </c>
      <c r="D187" s="1">
        <v>0</v>
      </c>
      <c r="E187" s="1">
        <v>0</v>
      </c>
      <c r="F187" s="1">
        <v>0</v>
      </c>
      <c r="G187" s="1">
        <v>0</v>
      </c>
      <c r="H187" s="1">
        <v>2</v>
      </c>
      <c r="I187" s="1">
        <v>2</v>
      </c>
      <c r="J187" s="1"/>
      <c r="L187">
        <v>711</v>
      </c>
      <c r="M187" t="s">
        <v>240</v>
      </c>
      <c r="N187">
        <v>2007</v>
      </c>
      <c r="O187">
        <v>3</v>
      </c>
      <c r="P187">
        <v>0</v>
      </c>
      <c r="Q187">
        <v>0</v>
      </c>
      <c r="R187">
        <v>0</v>
      </c>
      <c r="S187">
        <v>493</v>
      </c>
    </row>
    <row r="188" spans="1:19" x14ac:dyDescent="0.25">
      <c r="A188" t="s">
        <v>791</v>
      </c>
      <c r="B188" t="s">
        <v>239</v>
      </c>
      <c r="C188" s="1">
        <f>400+93</f>
        <v>493</v>
      </c>
      <c r="D188" s="1">
        <v>0</v>
      </c>
      <c r="E188" s="1">
        <v>0</v>
      </c>
      <c r="F188" s="1">
        <v>0</v>
      </c>
      <c r="G188" s="1">
        <v>0</v>
      </c>
      <c r="H188" s="1">
        <v>53</v>
      </c>
      <c r="I188" s="1">
        <v>100</v>
      </c>
      <c r="J188" s="1"/>
      <c r="L188">
        <v>610</v>
      </c>
      <c r="M188" t="s">
        <v>241</v>
      </c>
      <c r="N188">
        <v>4042</v>
      </c>
      <c r="O188">
        <v>10</v>
      </c>
      <c r="P188">
        <v>0</v>
      </c>
      <c r="Q188">
        <v>0</v>
      </c>
      <c r="R188">
        <v>0</v>
      </c>
      <c r="S188">
        <v>559</v>
      </c>
    </row>
    <row r="189" spans="1:19" x14ac:dyDescent="0.25">
      <c r="A189" t="s">
        <v>801</v>
      </c>
      <c r="B189" t="s">
        <v>240</v>
      </c>
      <c r="C189" s="1">
        <f>1858+149</f>
        <v>2007</v>
      </c>
      <c r="D189" s="1">
        <v>3</v>
      </c>
      <c r="E189" s="1">
        <v>0</v>
      </c>
      <c r="F189" s="1">
        <v>0</v>
      </c>
      <c r="G189" s="1">
        <v>0</v>
      </c>
      <c r="H189" s="1">
        <v>493</v>
      </c>
      <c r="I189" s="1">
        <v>155</v>
      </c>
      <c r="J189" s="1"/>
      <c r="L189" t="s">
        <v>815</v>
      </c>
      <c r="M189" t="s">
        <v>242</v>
      </c>
      <c r="N189">
        <v>10106</v>
      </c>
      <c r="O189">
        <v>9</v>
      </c>
      <c r="P189">
        <v>0</v>
      </c>
      <c r="Q189">
        <v>0</v>
      </c>
      <c r="R189">
        <v>0</v>
      </c>
      <c r="S189">
        <v>4764</v>
      </c>
    </row>
    <row r="190" spans="1:19" x14ac:dyDescent="0.25">
      <c r="A190" t="s">
        <v>788</v>
      </c>
      <c r="B190" t="s">
        <v>241</v>
      </c>
      <c r="C190" s="1">
        <f>1803+3+2236</f>
        <v>4042</v>
      </c>
      <c r="D190" s="1">
        <v>10</v>
      </c>
      <c r="E190" s="1">
        <v>0</v>
      </c>
      <c r="F190" s="1">
        <v>0</v>
      </c>
      <c r="G190" s="1">
        <v>0</v>
      </c>
      <c r="H190" s="1">
        <v>559</v>
      </c>
      <c r="I190" s="1">
        <v>2133</v>
      </c>
      <c r="J190" s="1"/>
      <c r="L190">
        <v>313</v>
      </c>
      <c r="M190" t="s">
        <v>243</v>
      </c>
    </row>
    <row r="191" spans="1:19" x14ac:dyDescent="0.25">
      <c r="A191" t="s">
        <v>138</v>
      </c>
      <c r="B191" t="s">
        <v>242</v>
      </c>
      <c r="C191" s="1">
        <f>8615+10+10+7+7+1457</f>
        <v>10106</v>
      </c>
      <c r="D191" s="1">
        <f>4+2+3</f>
        <v>9</v>
      </c>
      <c r="E191" s="1">
        <v>0</v>
      </c>
      <c r="F191" s="1">
        <v>0</v>
      </c>
      <c r="G191" s="1">
        <v>0</v>
      </c>
      <c r="H191" s="1">
        <v>4764</v>
      </c>
      <c r="I191" s="1">
        <v>1151</v>
      </c>
      <c r="J191" s="1"/>
      <c r="L191">
        <v>713</v>
      </c>
      <c r="M191" t="s">
        <v>244</v>
      </c>
      <c r="N191">
        <v>11729</v>
      </c>
      <c r="O191">
        <v>12</v>
      </c>
      <c r="P191">
        <v>0</v>
      </c>
      <c r="Q191">
        <v>0</v>
      </c>
      <c r="R191">
        <v>0</v>
      </c>
      <c r="S191">
        <v>6486</v>
      </c>
    </row>
    <row r="192" spans="1:19" x14ac:dyDescent="0.25">
      <c r="A192" t="s">
        <v>512</v>
      </c>
      <c r="B192" t="s">
        <v>243</v>
      </c>
      <c r="C192" s="1"/>
      <c r="D192" s="1"/>
      <c r="E192" s="1"/>
      <c r="F192" s="1"/>
      <c r="G192" s="1"/>
      <c r="H192" s="1"/>
      <c r="I192" s="1"/>
      <c r="J192" s="1"/>
      <c r="L192">
        <v>611</v>
      </c>
      <c r="M192" t="s">
        <v>245</v>
      </c>
      <c r="N192">
        <v>1491</v>
      </c>
      <c r="O192">
        <v>1</v>
      </c>
      <c r="P192">
        <v>0</v>
      </c>
      <c r="Q192">
        <v>0</v>
      </c>
      <c r="R192">
        <v>0</v>
      </c>
      <c r="S192">
        <v>2210</v>
      </c>
    </row>
    <row r="193" spans="1:19" x14ac:dyDescent="0.25">
      <c r="A193" t="s">
        <v>796</v>
      </c>
      <c r="B193" t="s">
        <v>244</v>
      </c>
      <c r="C193" s="1">
        <f>9737+9+1983</f>
        <v>11729</v>
      </c>
      <c r="D193" s="1">
        <f>2+8+2</f>
        <v>12</v>
      </c>
      <c r="E193" s="1">
        <v>0</v>
      </c>
      <c r="F193" s="1">
        <v>0</v>
      </c>
      <c r="G193" s="1">
        <v>0</v>
      </c>
      <c r="H193" s="1">
        <v>6486</v>
      </c>
      <c r="I193" s="1">
        <v>1950</v>
      </c>
      <c r="J193" s="1"/>
      <c r="L193">
        <v>114</v>
      </c>
      <c r="M193" t="s">
        <v>246</v>
      </c>
      <c r="N193">
        <v>788</v>
      </c>
      <c r="O193">
        <v>0</v>
      </c>
      <c r="P193">
        <v>0</v>
      </c>
      <c r="Q193">
        <v>0</v>
      </c>
      <c r="R193">
        <v>0</v>
      </c>
      <c r="S193">
        <v>67</v>
      </c>
    </row>
    <row r="194" spans="1:19" x14ac:dyDescent="0.25">
      <c r="A194" t="s">
        <v>146</v>
      </c>
      <c r="B194" t="s">
        <v>245</v>
      </c>
      <c r="C194" s="1">
        <f>1230+261</f>
        <v>1491</v>
      </c>
      <c r="D194" s="1">
        <v>1</v>
      </c>
      <c r="E194" s="1">
        <v>0</v>
      </c>
      <c r="F194" s="1">
        <v>0</v>
      </c>
      <c r="G194" s="1">
        <v>0</v>
      </c>
      <c r="H194" s="1">
        <v>2210</v>
      </c>
      <c r="I194" s="1">
        <v>250</v>
      </c>
      <c r="J194" s="1"/>
      <c r="L194">
        <v>100</v>
      </c>
      <c r="M194" t="s">
        <v>247</v>
      </c>
      <c r="N194">
        <v>718</v>
      </c>
      <c r="O194">
        <v>0</v>
      </c>
      <c r="P194">
        <v>0</v>
      </c>
      <c r="Q194">
        <v>0</v>
      </c>
      <c r="R194">
        <v>0</v>
      </c>
      <c r="S194">
        <v>161</v>
      </c>
    </row>
    <row r="195" spans="1:19" x14ac:dyDescent="0.25">
      <c r="A195" t="s">
        <v>150</v>
      </c>
      <c r="B195" t="s">
        <v>246</v>
      </c>
      <c r="C195" s="1">
        <f>567+221</f>
        <v>788</v>
      </c>
      <c r="D195" s="1">
        <v>0</v>
      </c>
      <c r="E195" s="1">
        <v>0</v>
      </c>
      <c r="F195" s="1">
        <v>0</v>
      </c>
      <c r="G195" s="1">
        <v>0</v>
      </c>
      <c r="H195" s="1">
        <v>67</v>
      </c>
      <c r="I195" s="1">
        <v>65</v>
      </c>
      <c r="J195" s="1"/>
      <c r="L195">
        <v>600</v>
      </c>
      <c r="M195" t="s">
        <v>249</v>
      </c>
      <c r="N195">
        <v>6036</v>
      </c>
      <c r="O195">
        <v>11</v>
      </c>
      <c r="P195">
        <v>0</v>
      </c>
      <c r="Q195">
        <v>0</v>
      </c>
      <c r="R195">
        <v>0</v>
      </c>
      <c r="S195">
        <v>7390</v>
      </c>
    </row>
    <row r="196" spans="1:19" x14ac:dyDescent="0.25">
      <c r="A196" t="s">
        <v>791</v>
      </c>
      <c r="B196" t="s">
        <v>247</v>
      </c>
      <c r="C196" s="1">
        <f>416+302</f>
        <v>718</v>
      </c>
      <c r="D196" s="1">
        <v>0</v>
      </c>
      <c r="E196" s="1">
        <v>0</v>
      </c>
      <c r="F196" s="1">
        <v>0</v>
      </c>
      <c r="G196" s="1">
        <v>0</v>
      </c>
      <c r="H196" s="1">
        <v>161</v>
      </c>
      <c r="I196" s="1">
        <v>206</v>
      </c>
      <c r="J196" s="1"/>
      <c r="L196">
        <v>210</v>
      </c>
      <c r="M196" t="s">
        <v>250</v>
      </c>
      <c r="N196">
        <v>548</v>
      </c>
      <c r="O196">
        <v>0</v>
      </c>
      <c r="P196">
        <v>0</v>
      </c>
      <c r="Q196">
        <v>0</v>
      </c>
      <c r="R196">
        <v>0</v>
      </c>
      <c r="S196">
        <v>207</v>
      </c>
    </row>
    <row r="197" spans="1:19" x14ac:dyDescent="0.25">
      <c r="A197" t="s">
        <v>248</v>
      </c>
      <c r="B197" t="s">
        <v>249</v>
      </c>
      <c r="C197" s="1">
        <f>5359+4+673</f>
        <v>6036</v>
      </c>
      <c r="D197" s="1">
        <v>11</v>
      </c>
      <c r="E197" s="1">
        <v>0</v>
      </c>
      <c r="F197" s="1">
        <v>0</v>
      </c>
      <c r="G197" s="1">
        <v>0</v>
      </c>
      <c r="H197" s="1">
        <v>7390</v>
      </c>
      <c r="I197" s="1">
        <v>609</v>
      </c>
      <c r="J197" s="1"/>
      <c r="L197">
        <v>600</v>
      </c>
      <c r="M197" t="s">
        <v>251</v>
      </c>
      <c r="N197">
        <v>2650</v>
      </c>
      <c r="O197">
        <v>229</v>
      </c>
      <c r="P197">
        <v>0</v>
      </c>
      <c r="Q197">
        <v>0</v>
      </c>
      <c r="R197">
        <v>0</v>
      </c>
      <c r="S197">
        <v>668</v>
      </c>
    </row>
    <row r="198" spans="1:19" x14ac:dyDescent="0.25">
      <c r="A198" t="s">
        <v>185</v>
      </c>
      <c r="B198" t="s">
        <v>250</v>
      </c>
      <c r="C198" s="1">
        <f>520+28</f>
        <v>548</v>
      </c>
      <c r="D198" s="1">
        <v>0</v>
      </c>
      <c r="E198" s="1">
        <v>0</v>
      </c>
      <c r="F198" s="1">
        <v>0</v>
      </c>
      <c r="G198" s="1">
        <v>0</v>
      </c>
      <c r="H198" s="1">
        <v>207</v>
      </c>
      <c r="I198" s="1">
        <v>31</v>
      </c>
      <c r="J198" s="1"/>
      <c r="L198">
        <v>116</v>
      </c>
      <c r="M198" t="s">
        <v>252</v>
      </c>
      <c r="N198">
        <v>5690</v>
      </c>
      <c r="O198">
        <v>8</v>
      </c>
      <c r="P198">
        <v>0</v>
      </c>
      <c r="Q198">
        <v>0</v>
      </c>
      <c r="R198">
        <v>0</v>
      </c>
      <c r="S198">
        <v>2783</v>
      </c>
    </row>
    <row r="199" spans="1:19" x14ac:dyDescent="0.25">
      <c r="A199" t="s">
        <v>248</v>
      </c>
      <c r="B199" t="s">
        <v>251</v>
      </c>
      <c r="C199" s="1">
        <f>2029+621</f>
        <v>2650</v>
      </c>
      <c r="D199" s="1">
        <f>86+140+3</f>
        <v>229</v>
      </c>
      <c r="E199" s="1">
        <v>0</v>
      </c>
      <c r="F199" s="1">
        <v>0</v>
      </c>
      <c r="G199" s="1">
        <v>0</v>
      </c>
      <c r="H199" s="1">
        <v>668</v>
      </c>
      <c r="I199" s="1">
        <v>633</v>
      </c>
      <c r="J199" s="1"/>
      <c r="L199">
        <v>600</v>
      </c>
      <c r="M199" t="s">
        <v>253</v>
      </c>
      <c r="N199">
        <v>3977</v>
      </c>
      <c r="O199">
        <v>38</v>
      </c>
      <c r="P199">
        <v>0</v>
      </c>
      <c r="Q199">
        <v>0</v>
      </c>
      <c r="R199">
        <v>0</v>
      </c>
      <c r="S199">
        <v>693</v>
      </c>
    </row>
    <row r="200" spans="1:19" x14ac:dyDescent="0.25">
      <c r="A200" t="s">
        <v>795</v>
      </c>
      <c r="B200" t="s">
        <v>252</v>
      </c>
      <c r="C200" s="1">
        <f>2012+7+3671</f>
        <v>5690</v>
      </c>
      <c r="D200" s="1">
        <v>8</v>
      </c>
      <c r="E200" s="1">
        <v>0</v>
      </c>
      <c r="F200" s="1">
        <v>0</v>
      </c>
      <c r="G200" s="1">
        <v>0</v>
      </c>
      <c r="H200" s="1">
        <v>2783</v>
      </c>
      <c r="I200" s="1">
        <v>1543</v>
      </c>
      <c r="J200" s="1"/>
      <c r="L200" t="s">
        <v>820</v>
      </c>
      <c r="M200" t="s">
        <v>254</v>
      </c>
    </row>
    <row r="201" spans="1:19" x14ac:dyDescent="0.25">
      <c r="A201" t="s">
        <v>248</v>
      </c>
      <c r="B201" t="s">
        <v>253</v>
      </c>
      <c r="C201" s="1">
        <f>3428+15+3+531</f>
        <v>3977</v>
      </c>
      <c r="D201" s="1">
        <v>38</v>
      </c>
      <c r="E201" s="1">
        <v>0</v>
      </c>
      <c r="F201" s="1">
        <v>0</v>
      </c>
      <c r="G201" s="1">
        <v>0</v>
      </c>
      <c r="H201" s="1">
        <v>693</v>
      </c>
      <c r="I201" s="1">
        <v>453</v>
      </c>
      <c r="J201" s="1"/>
      <c r="L201">
        <v>310</v>
      </c>
      <c r="M201" t="s">
        <v>255</v>
      </c>
    </row>
    <row r="202" spans="1:19" x14ac:dyDescent="0.25">
      <c r="A202" t="s">
        <v>265</v>
      </c>
      <c r="B202" t="s">
        <v>254</v>
      </c>
      <c r="C202" s="1"/>
      <c r="D202" s="1"/>
      <c r="E202" s="1"/>
      <c r="F202" s="1"/>
      <c r="G202" s="1"/>
      <c r="H202" s="1"/>
      <c r="I202" s="1"/>
      <c r="J202" s="1"/>
      <c r="L202">
        <v>312</v>
      </c>
      <c r="M202" t="s">
        <v>256</v>
      </c>
      <c r="N202">
        <v>3166</v>
      </c>
      <c r="O202">
        <v>0</v>
      </c>
      <c r="P202">
        <v>0</v>
      </c>
      <c r="Q202">
        <v>0</v>
      </c>
      <c r="R202">
        <v>0</v>
      </c>
      <c r="S202">
        <v>620</v>
      </c>
    </row>
    <row r="203" spans="1:19" x14ac:dyDescent="0.25">
      <c r="A203" t="s">
        <v>67</v>
      </c>
      <c r="B203" t="s">
        <v>255</v>
      </c>
      <c r="C203" s="1"/>
      <c r="D203" s="1"/>
      <c r="E203" s="1"/>
      <c r="F203" s="1"/>
      <c r="G203" s="1"/>
      <c r="H203" s="1"/>
      <c r="I203" s="1"/>
      <c r="J203" s="1"/>
      <c r="L203" t="s">
        <v>815</v>
      </c>
      <c r="M203" t="s">
        <v>257</v>
      </c>
      <c r="N203">
        <v>4475</v>
      </c>
      <c r="O203">
        <v>15</v>
      </c>
      <c r="P203">
        <v>0</v>
      </c>
      <c r="Q203">
        <v>0</v>
      </c>
      <c r="R203">
        <v>0</v>
      </c>
      <c r="S203">
        <v>911</v>
      </c>
    </row>
    <row r="204" spans="1:19" x14ac:dyDescent="0.25">
      <c r="A204" t="s">
        <v>72</v>
      </c>
      <c r="B204" t="s">
        <v>256</v>
      </c>
      <c r="C204" s="1">
        <f>2817+349</f>
        <v>3166</v>
      </c>
      <c r="D204" s="1">
        <v>0</v>
      </c>
      <c r="E204" s="1">
        <v>0</v>
      </c>
      <c r="F204" s="1">
        <v>0</v>
      </c>
      <c r="G204" s="1">
        <v>0</v>
      </c>
      <c r="H204" s="1">
        <v>620</v>
      </c>
      <c r="I204" s="1">
        <v>317</v>
      </c>
      <c r="J204" s="1"/>
      <c r="L204">
        <v>616</v>
      </c>
      <c r="M204" t="s">
        <v>258</v>
      </c>
    </row>
    <row r="205" spans="1:19" x14ac:dyDescent="0.25">
      <c r="A205" t="s">
        <v>138</v>
      </c>
      <c r="B205" t="s">
        <v>257</v>
      </c>
      <c r="C205" s="1">
        <f>3955+520</f>
        <v>4475</v>
      </c>
      <c r="D205" s="1">
        <v>15</v>
      </c>
      <c r="E205" s="1">
        <v>0</v>
      </c>
      <c r="F205" s="1">
        <v>0</v>
      </c>
      <c r="G205" s="1">
        <v>0</v>
      </c>
      <c r="H205" s="1">
        <v>911</v>
      </c>
      <c r="I205" s="1">
        <v>491</v>
      </c>
      <c r="J205" s="1"/>
      <c r="L205">
        <v>116</v>
      </c>
      <c r="M205" t="s">
        <v>259</v>
      </c>
      <c r="N205">
        <v>21712</v>
      </c>
      <c r="O205">
        <v>170</v>
      </c>
      <c r="P205">
        <v>0</v>
      </c>
      <c r="Q205">
        <v>0</v>
      </c>
      <c r="R205">
        <v>0</v>
      </c>
      <c r="S205">
        <v>4456</v>
      </c>
    </row>
    <row r="206" spans="1:19" x14ac:dyDescent="0.25">
      <c r="A206" t="s">
        <v>817</v>
      </c>
      <c r="B206" t="s">
        <v>258</v>
      </c>
      <c r="C206" s="1"/>
      <c r="D206" s="1"/>
      <c r="E206" s="1"/>
      <c r="F206" s="1"/>
      <c r="G206" s="1"/>
      <c r="H206" s="1"/>
      <c r="I206" s="1"/>
      <c r="J206" s="1"/>
      <c r="L206">
        <v>211</v>
      </c>
      <c r="M206" t="s">
        <v>260</v>
      </c>
      <c r="N206">
        <v>2997</v>
      </c>
      <c r="O206">
        <v>0</v>
      </c>
      <c r="P206">
        <v>0</v>
      </c>
      <c r="Q206">
        <v>0</v>
      </c>
      <c r="R206">
        <v>0</v>
      </c>
      <c r="S206">
        <v>2159</v>
      </c>
    </row>
    <row r="207" spans="1:19" x14ac:dyDescent="0.25">
      <c r="A207" t="s">
        <v>795</v>
      </c>
      <c r="B207" t="s">
        <v>259</v>
      </c>
      <c r="C207" s="1">
        <f>13506+2152+6047+7</f>
        <v>21712</v>
      </c>
      <c r="D207" s="1">
        <f>158+3+9</f>
        <v>170</v>
      </c>
      <c r="E207" s="1">
        <v>0</v>
      </c>
      <c r="F207" s="1">
        <v>0</v>
      </c>
      <c r="G207" s="1">
        <v>0</v>
      </c>
      <c r="H207" s="1">
        <v>4456</v>
      </c>
      <c r="I207" s="1">
        <v>4858</v>
      </c>
      <c r="J207" s="1"/>
      <c r="L207">
        <v>120</v>
      </c>
      <c r="M207" t="s">
        <v>261</v>
      </c>
    </row>
    <row r="208" spans="1:19" x14ac:dyDescent="0.25">
      <c r="A208" t="s">
        <v>131</v>
      </c>
      <c r="B208" t="s">
        <v>260</v>
      </c>
      <c r="C208" s="1">
        <f>1202+1775</f>
        <v>2977</v>
      </c>
      <c r="D208" s="1">
        <v>0</v>
      </c>
      <c r="E208" s="1">
        <v>0</v>
      </c>
      <c r="F208" s="1">
        <v>0</v>
      </c>
      <c r="G208" s="1">
        <v>0</v>
      </c>
      <c r="H208" s="1">
        <v>2159</v>
      </c>
      <c r="I208" s="1">
        <v>1413</v>
      </c>
      <c r="J208" s="1" t="s">
        <v>819</v>
      </c>
      <c r="L208">
        <v>711</v>
      </c>
      <c r="M208" t="s">
        <v>262</v>
      </c>
      <c r="N208">
        <v>14429</v>
      </c>
      <c r="O208">
        <v>105</v>
      </c>
      <c r="P208">
        <v>0</v>
      </c>
      <c r="Q208">
        <v>0</v>
      </c>
      <c r="R208">
        <v>0</v>
      </c>
      <c r="S208">
        <v>10820</v>
      </c>
    </row>
    <row r="209" spans="1:19" x14ac:dyDescent="0.25">
      <c r="A209" t="s">
        <v>802</v>
      </c>
      <c r="B209" t="s">
        <v>261</v>
      </c>
      <c r="C209" s="1"/>
      <c r="D209" s="1"/>
      <c r="E209" s="1"/>
      <c r="F209" s="1"/>
      <c r="G209" s="1"/>
      <c r="H209" s="1"/>
      <c r="I209" s="1"/>
      <c r="J209" s="1"/>
      <c r="L209">
        <v>311</v>
      </c>
      <c r="M209" t="s">
        <v>263</v>
      </c>
      <c r="N209">
        <v>594</v>
      </c>
      <c r="O209">
        <v>0</v>
      </c>
      <c r="P209">
        <v>0</v>
      </c>
      <c r="Q209">
        <v>0</v>
      </c>
      <c r="R209">
        <v>0</v>
      </c>
      <c r="S209">
        <v>7</v>
      </c>
    </row>
    <row r="210" spans="1:19" x14ac:dyDescent="0.25">
      <c r="A210" t="s">
        <v>801</v>
      </c>
      <c r="B210" t="s">
        <v>262</v>
      </c>
      <c r="C210" s="1">
        <f>10085+1+2+310+25+15+1+3990</f>
        <v>14429</v>
      </c>
      <c r="D210" s="1">
        <f>11+45+49</f>
        <v>105</v>
      </c>
      <c r="E210" s="1">
        <v>0</v>
      </c>
      <c r="F210" s="1">
        <v>0</v>
      </c>
      <c r="G210" s="1">
        <v>0</v>
      </c>
      <c r="H210" s="1">
        <v>10820</v>
      </c>
      <c r="I210" s="1">
        <v>3142</v>
      </c>
      <c r="J210" s="1"/>
      <c r="L210">
        <v>200</v>
      </c>
      <c r="M210" t="s">
        <v>264</v>
      </c>
      <c r="N210">
        <v>2066</v>
      </c>
      <c r="O210">
        <v>0</v>
      </c>
      <c r="P210">
        <v>0</v>
      </c>
      <c r="Q210">
        <v>0</v>
      </c>
      <c r="R210">
        <v>0</v>
      </c>
      <c r="S210">
        <v>221</v>
      </c>
    </row>
    <row r="211" spans="1:19" x14ac:dyDescent="0.25">
      <c r="A211" t="s">
        <v>120</v>
      </c>
      <c r="B211" t="s">
        <v>263</v>
      </c>
      <c r="C211" s="1">
        <f>553+14+27</f>
        <v>594</v>
      </c>
      <c r="D211" s="1">
        <v>0</v>
      </c>
      <c r="E211" s="1">
        <v>0</v>
      </c>
      <c r="F211" s="1">
        <v>0</v>
      </c>
      <c r="G211" s="1">
        <v>0</v>
      </c>
      <c r="H211" s="1">
        <v>7</v>
      </c>
      <c r="I211" s="1">
        <v>25</v>
      </c>
      <c r="J211" s="1"/>
      <c r="L211" t="s">
        <v>820</v>
      </c>
      <c r="M211" t="s">
        <v>266</v>
      </c>
      <c r="N211">
        <v>10215</v>
      </c>
      <c r="O211">
        <v>59</v>
      </c>
      <c r="P211">
        <v>0</v>
      </c>
      <c r="Q211">
        <v>0</v>
      </c>
      <c r="R211">
        <v>0</v>
      </c>
      <c r="S211">
        <v>3981</v>
      </c>
    </row>
    <row r="212" spans="1:19" x14ac:dyDescent="0.25">
      <c r="A212" t="s">
        <v>140</v>
      </c>
      <c r="B212" t="s">
        <v>264</v>
      </c>
      <c r="C212" s="1">
        <f>1509+557</f>
        <v>2066</v>
      </c>
      <c r="D212" s="1">
        <v>0</v>
      </c>
      <c r="E212" s="1">
        <v>0</v>
      </c>
      <c r="F212" s="1">
        <v>0</v>
      </c>
      <c r="G212" s="1">
        <v>0</v>
      </c>
      <c r="H212" s="1">
        <v>221</v>
      </c>
      <c r="I212" s="1">
        <v>281</v>
      </c>
      <c r="J212" s="1"/>
      <c r="L212" t="s">
        <v>822</v>
      </c>
      <c r="M212" t="s">
        <v>267</v>
      </c>
    </row>
    <row r="213" spans="1:19" x14ac:dyDescent="0.25">
      <c r="A213" t="s">
        <v>265</v>
      </c>
      <c r="B213" t="s">
        <v>266</v>
      </c>
      <c r="C213" s="1">
        <f>7295+2920</f>
        <v>10215</v>
      </c>
      <c r="D213" s="1">
        <f>47+12</f>
        <v>59</v>
      </c>
      <c r="E213" s="1">
        <v>0</v>
      </c>
      <c r="F213" s="1">
        <v>0</v>
      </c>
      <c r="G213" s="1">
        <v>0</v>
      </c>
      <c r="H213" s="1">
        <v>3981</v>
      </c>
      <c r="I213" s="1">
        <v>2596</v>
      </c>
      <c r="J213" s="1"/>
      <c r="L213">
        <v>114</v>
      </c>
      <c r="M213" t="s">
        <v>268</v>
      </c>
      <c r="N213">
        <v>3953</v>
      </c>
      <c r="O213">
        <v>57</v>
      </c>
      <c r="P213">
        <v>0</v>
      </c>
      <c r="Q213">
        <v>0</v>
      </c>
      <c r="R213">
        <v>0</v>
      </c>
      <c r="S213">
        <v>679</v>
      </c>
    </row>
    <row r="214" spans="1:19" x14ac:dyDescent="0.25">
      <c r="A214" t="s">
        <v>797</v>
      </c>
      <c r="B214" t="s">
        <v>267</v>
      </c>
      <c r="C214" s="1"/>
      <c r="D214" s="1"/>
      <c r="E214" s="1"/>
      <c r="F214" s="1"/>
      <c r="G214" s="1"/>
      <c r="H214" s="1"/>
      <c r="I214" s="1"/>
      <c r="J214" s="1"/>
      <c r="L214" t="s">
        <v>814</v>
      </c>
      <c r="M214" t="s">
        <v>269</v>
      </c>
    </row>
    <row r="215" spans="1:19" x14ac:dyDescent="0.25">
      <c r="A215" t="s">
        <v>150</v>
      </c>
      <c r="B215" t="s">
        <v>268</v>
      </c>
      <c r="C215" s="1">
        <f>3354+599</f>
        <v>3953</v>
      </c>
      <c r="D215" s="1">
        <f>51+6</f>
        <v>57</v>
      </c>
      <c r="E215" s="1">
        <v>0</v>
      </c>
      <c r="F215" s="1">
        <v>0</v>
      </c>
      <c r="G215" s="1">
        <v>0</v>
      </c>
      <c r="H215" s="1">
        <v>679</v>
      </c>
      <c r="I215" s="1">
        <v>595</v>
      </c>
      <c r="J215" s="1"/>
      <c r="L215" t="s">
        <v>808</v>
      </c>
      <c r="M215" t="s">
        <v>270</v>
      </c>
      <c r="N215">
        <v>3392</v>
      </c>
      <c r="O215">
        <v>4</v>
      </c>
      <c r="P215">
        <v>0</v>
      </c>
      <c r="Q215">
        <v>0</v>
      </c>
      <c r="R215">
        <v>0</v>
      </c>
      <c r="S215">
        <v>6542</v>
      </c>
    </row>
    <row r="216" spans="1:19" x14ac:dyDescent="0.25">
      <c r="A216" t="s">
        <v>794</v>
      </c>
      <c r="B216" t="s">
        <v>269</v>
      </c>
      <c r="C216" s="1"/>
      <c r="D216" s="1"/>
      <c r="E216" s="1"/>
      <c r="F216" s="1"/>
      <c r="G216" s="1"/>
      <c r="H216" s="1"/>
      <c r="I216" s="1"/>
      <c r="J216" s="1"/>
      <c r="L216">
        <v>600</v>
      </c>
      <c r="M216" t="s">
        <v>271</v>
      </c>
      <c r="N216">
        <v>7052</v>
      </c>
      <c r="O216">
        <v>80</v>
      </c>
      <c r="P216">
        <v>0</v>
      </c>
      <c r="Q216">
        <v>0</v>
      </c>
      <c r="R216">
        <v>0</v>
      </c>
      <c r="S216">
        <v>12136</v>
      </c>
    </row>
    <row r="217" spans="1:19" x14ac:dyDescent="0.25">
      <c r="A217" t="s">
        <v>809</v>
      </c>
      <c r="B217" t="s">
        <v>270</v>
      </c>
      <c r="C217" s="1">
        <f>2382+1+6+1003</f>
        <v>3392</v>
      </c>
      <c r="D217" s="1">
        <v>4</v>
      </c>
      <c r="E217" s="1">
        <v>0</v>
      </c>
      <c r="F217" s="1">
        <v>0</v>
      </c>
      <c r="G217" s="1">
        <v>0</v>
      </c>
      <c r="H217" s="1">
        <v>6542</v>
      </c>
      <c r="I217" s="1">
        <v>243</v>
      </c>
      <c r="J217" s="1"/>
      <c r="L217">
        <v>613</v>
      </c>
      <c r="M217" t="s">
        <v>272</v>
      </c>
    </row>
    <row r="218" spans="1:19" x14ac:dyDescent="0.25">
      <c r="A218" t="s">
        <v>248</v>
      </c>
      <c r="B218" t="s">
        <v>271</v>
      </c>
      <c r="C218" s="1">
        <f>5526+1526</f>
        <v>7052</v>
      </c>
      <c r="D218" s="1">
        <v>80</v>
      </c>
      <c r="E218" s="1">
        <v>0</v>
      </c>
      <c r="F218" s="1">
        <v>0</v>
      </c>
      <c r="G218" s="1">
        <v>0</v>
      </c>
      <c r="H218" s="1">
        <v>12136</v>
      </c>
      <c r="I218" s="1">
        <v>922</v>
      </c>
      <c r="J218" s="1"/>
      <c r="L218">
        <v>611</v>
      </c>
      <c r="M218" t="s">
        <v>273</v>
      </c>
      <c r="N218">
        <v>1950</v>
      </c>
      <c r="O218">
        <v>17</v>
      </c>
      <c r="P218">
        <v>0</v>
      </c>
      <c r="Q218">
        <v>0</v>
      </c>
      <c r="R218">
        <v>0</v>
      </c>
      <c r="S218">
        <v>3010</v>
      </c>
    </row>
    <row r="219" spans="1:19" x14ac:dyDescent="0.25">
      <c r="A219" s="16" t="s">
        <v>495</v>
      </c>
      <c r="B219" t="s">
        <v>272</v>
      </c>
      <c r="C219" s="1"/>
      <c r="D219" s="1"/>
      <c r="E219" s="1"/>
      <c r="F219" s="1"/>
      <c r="G219" s="1"/>
      <c r="H219" s="1"/>
      <c r="I219" s="1"/>
      <c r="J219" s="1"/>
      <c r="L219">
        <v>610</v>
      </c>
      <c r="M219" t="s">
        <v>274</v>
      </c>
      <c r="N219">
        <v>911</v>
      </c>
      <c r="O219">
        <v>0</v>
      </c>
      <c r="P219">
        <v>0</v>
      </c>
      <c r="Q219">
        <v>0</v>
      </c>
      <c r="R219">
        <v>0</v>
      </c>
      <c r="S219">
        <v>435</v>
      </c>
    </row>
    <row r="220" spans="1:19" x14ac:dyDescent="0.25">
      <c r="A220" t="s">
        <v>146</v>
      </c>
      <c r="B220" t="s">
        <v>273</v>
      </c>
      <c r="C220" s="1">
        <f>814+1+50+1085</f>
        <v>1950</v>
      </c>
      <c r="D220" s="1">
        <f>2+13+2</f>
        <v>17</v>
      </c>
      <c r="E220" s="1">
        <v>0</v>
      </c>
      <c r="F220" s="1">
        <v>0</v>
      </c>
      <c r="G220" s="1">
        <v>0</v>
      </c>
      <c r="H220" s="1">
        <v>3010</v>
      </c>
      <c r="I220" s="1">
        <v>1039</v>
      </c>
      <c r="J220" s="1"/>
      <c r="M220" t="s">
        <v>275</v>
      </c>
    </row>
    <row r="221" spans="1:19" x14ac:dyDescent="0.25">
      <c r="A221" t="s">
        <v>788</v>
      </c>
      <c r="B221" t="s">
        <v>274</v>
      </c>
      <c r="C221" s="1">
        <f>604+307</f>
        <v>911</v>
      </c>
      <c r="D221" s="1">
        <v>0</v>
      </c>
      <c r="E221" s="1">
        <v>0</v>
      </c>
      <c r="F221" s="1">
        <v>0</v>
      </c>
      <c r="G221" s="1">
        <v>0</v>
      </c>
      <c r="H221" s="1">
        <v>435</v>
      </c>
      <c r="I221" s="1">
        <v>232</v>
      </c>
      <c r="J221" s="1"/>
      <c r="M221" s="1" t="s">
        <v>276</v>
      </c>
    </row>
    <row r="222" spans="1:19" x14ac:dyDescent="0.25">
      <c r="A222" t="s">
        <v>805</v>
      </c>
      <c r="B222" t="s">
        <v>275</v>
      </c>
      <c r="C222" s="1"/>
      <c r="D222" s="1"/>
      <c r="E222" s="1"/>
      <c r="F222" s="1"/>
      <c r="G222" s="1"/>
      <c r="H222" s="1"/>
      <c r="I222" s="1"/>
      <c r="J222" s="1"/>
      <c r="L222">
        <v>712</v>
      </c>
      <c r="M222" t="s">
        <v>277</v>
      </c>
      <c r="N222">
        <v>14600</v>
      </c>
      <c r="O222">
        <v>12</v>
      </c>
      <c r="P222">
        <v>0</v>
      </c>
      <c r="Q222">
        <v>0</v>
      </c>
      <c r="R222">
        <v>0</v>
      </c>
      <c r="S222">
        <v>0</v>
      </c>
    </row>
    <row r="223" spans="1:19" x14ac:dyDescent="0.25">
      <c r="A223" t="s">
        <v>805</v>
      </c>
      <c r="B223" s="1" t="s">
        <v>276</v>
      </c>
      <c r="C223" s="1"/>
      <c r="D223" s="1"/>
      <c r="E223" s="1"/>
      <c r="F223" s="1"/>
      <c r="G223" s="1"/>
      <c r="H223" s="1"/>
      <c r="I223" s="1"/>
      <c r="J223" s="1"/>
      <c r="M223" t="s">
        <v>278</v>
      </c>
    </row>
    <row r="224" spans="1:19" x14ac:dyDescent="0.25">
      <c r="A224" t="s">
        <v>76</v>
      </c>
      <c r="B224" t="s">
        <v>277</v>
      </c>
      <c r="C224" s="1">
        <f>13048+1+17+1534</f>
        <v>14600</v>
      </c>
      <c r="D224" s="1">
        <v>12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/>
      <c r="M224" t="s">
        <v>279</v>
      </c>
    </row>
    <row r="225" spans="1:19" x14ac:dyDescent="0.25">
      <c r="A225" t="s">
        <v>823</v>
      </c>
      <c r="B225" t="s">
        <v>278</v>
      </c>
      <c r="C225" s="1"/>
      <c r="D225" s="1"/>
      <c r="E225" s="1"/>
      <c r="F225" s="1"/>
      <c r="G225" s="1"/>
      <c r="H225" s="1"/>
      <c r="I225" s="1"/>
      <c r="J225" s="1"/>
      <c r="L225">
        <v>613</v>
      </c>
      <c r="M225" t="s">
        <v>280</v>
      </c>
    </row>
    <row r="226" spans="1:19" x14ac:dyDescent="0.25">
      <c r="A226" t="s">
        <v>120</v>
      </c>
      <c r="B226" t="s">
        <v>279</v>
      </c>
      <c r="C226" s="1"/>
      <c r="D226" s="1"/>
      <c r="E226" s="1"/>
      <c r="F226" s="1"/>
      <c r="G226" s="1"/>
      <c r="H226" s="1"/>
      <c r="I226" s="1"/>
      <c r="J226" s="1"/>
      <c r="L226">
        <v>100</v>
      </c>
      <c r="M226" t="s">
        <v>281</v>
      </c>
      <c r="N226">
        <v>581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 x14ac:dyDescent="0.25">
      <c r="A227" t="s">
        <v>495</v>
      </c>
      <c r="B227" t="s">
        <v>280</v>
      </c>
      <c r="C227" s="1"/>
      <c r="D227" s="1"/>
      <c r="E227" s="1"/>
      <c r="F227" s="1"/>
      <c r="G227" s="1"/>
      <c r="H227" s="1"/>
      <c r="I227" s="1"/>
      <c r="J227" s="1"/>
      <c r="L227">
        <v>711</v>
      </c>
      <c r="M227" t="s">
        <v>282</v>
      </c>
      <c r="N227">
        <v>5242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5">
      <c r="A228" t="s">
        <v>791</v>
      </c>
      <c r="B228" t="s">
        <v>281</v>
      </c>
      <c r="C228" s="1">
        <v>581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/>
      <c r="L228">
        <v>116</v>
      </c>
      <c r="M228" t="s">
        <v>283</v>
      </c>
      <c r="N228">
        <v>24106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25">
      <c r="A229" t="s">
        <v>801</v>
      </c>
      <c r="B229" t="s">
        <v>282</v>
      </c>
      <c r="C229" s="1">
        <f>5239+3</f>
        <v>5242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/>
      <c r="L229">
        <v>111</v>
      </c>
      <c r="M229" t="s">
        <v>284</v>
      </c>
      <c r="N229">
        <v>11403</v>
      </c>
      <c r="O229">
        <v>168</v>
      </c>
      <c r="P229">
        <v>0</v>
      </c>
      <c r="Q229">
        <v>0</v>
      </c>
      <c r="R229">
        <v>0</v>
      </c>
      <c r="S229">
        <v>0</v>
      </c>
    </row>
    <row r="230" spans="1:19" x14ac:dyDescent="0.25">
      <c r="A230" t="s">
        <v>795</v>
      </c>
      <c r="B230" t="s">
        <v>283</v>
      </c>
      <c r="C230" s="1">
        <f>24091+15</f>
        <v>24106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/>
      <c r="L230">
        <v>311</v>
      </c>
      <c r="M230" t="s">
        <v>285</v>
      </c>
      <c r="N230">
        <v>5395</v>
      </c>
      <c r="O230">
        <v>8</v>
      </c>
      <c r="P230">
        <v>0</v>
      </c>
      <c r="Q230">
        <v>0</v>
      </c>
      <c r="R230">
        <v>0</v>
      </c>
      <c r="S230">
        <v>0</v>
      </c>
    </row>
    <row r="231" spans="1:19" x14ac:dyDescent="0.25">
      <c r="A231" t="s">
        <v>811</v>
      </c>
      <c r="B231" t="s">
        <v>284</v>
      </c>
      <c r="C231" s="1">
        <v>11403</v>
      </c>
      <c r="D231" s="1">
        <f>21+147</f>
        <v>168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/>
      <c r="L231">
        <v>511</v>
      </c>
      <c r="M231" t="s">
        <v>286</v>
      </c>
      <c r="N231">
        <v>4815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 x14ac:dyDescent="0.25">
      <c r="A232" t="s">
        <v>120</v>
      </c>
      <c r="B232" t="s">
        <v>285</v>
      </c>
      <c r="C232" s="1">
        <f>5393+2</f>
        <v>5395</v>
      </c>
      <c r="D232" s="1">
        <v>8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/>
      <c r="L232">
        <v>300</v>
      </c>
      <c r="M232" t="s">
        <v>287</v>
      </c>
      <c r="N232">
        <v>16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 x14ac:dyDescent="0.25">
      <c r="A233" t="s">
        <v>101</v>
      </c>
      <c r="B233" t="s">
        <v>286</v>
      </c>
      <c r="C233" s="1">
        <v>4815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/>
      <c r="L233">
        <v>311</v>
      </c>
      <c r="M233" t="s">
        <v>288</v>
      </c>
      <c r="N233">
        <v>725</v>
      </c>
      <c r="O233">
        <v>0</v>
      </c>
      <c r="P233">
        <v>0</v>
      </c>
      <c r="Q233">
        <v>5697</v>
      </c>
      <c r="R233">
        <v>0</v>
      </c>
      <c r="S233">
        <v>0</v>
      </c>
    </row>
    <row r="234" spans="1:19" x14ac:dyDescent="0.25">
      <c r="A234" t="s">
        <v>226</v>
      </c>
      <c r="B234" t="s">
        <v>287</v>
      </c>
      <c r="C234" s="1">
        <v>16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/>
      <c r="M234" t="s">
        <v>289</v>
      </c>
    </row>
    <row r="235" spans="1:19" x14ac:dyDescent="0.25">
      <c r="A235" t="s">
        <v>120</v>
      </c>
      <c r="B235" t="s">
        <v>288</v>
      </c>
      <c r="C235" s="1">
        <v>725</v>
      </c>
      <c r="D235" s="1">
        <v>0</v>
      </c>
      <c r="E235" s="1">
        <v>0</v>
      </c>
      <c r="F235" s="1">
        <v>5697</v>
      </c>
      <c r="G235" s="1">
        <v>0</v>
      </c>
      <c r="H235" s="1">
        <v>0</v>
      </c>
      <c r="I235" s="1">
        <v>0</v>
      </c>
      <c r="J235" s="1"/>
      <c r="L235">
        <v>100</v>
      </c>
      <c r="M235" t="s">
        <v>290</v>
      </c>
      <c r="N235">
        <v>295</v>
      </c>
      <c r="O235">
        <v>0</v>
      </c>
      <c r="P235">
        <v>0</v>
      </c>
      <c r="Q235">
        <v>909</v>
      </c>
      <c r="R235">
        <v>0</v>
      </c>
      <c r="S235">
        <v>0</v>
      </c>
    </row>
    <row r="236" spans="1:19" x14ac:dyDescent="0.25">
      <c r="A236" t="s">
        <v>802</v>
      </c>
      <c r="B236" t="s">
        <v>289</v>
      </c>
      <c r="C236" s="1"/>
      <c r="D236" s="1"/>
      <c r="E236" s="1"/>
      <c r="F236" s="1"/>
      <c r="G236" s="1"/>
      <c r="H236" s="1"/>
      <c r="I236" s="1"/>
      <c r="J236" s="1"/>
      <c r="M236" t="s">
        <v>291</v>
      </c>
    </row>
    <row r="237" spans="1:19" x14ac:dyDescent="0.25">
      <c r="A237" t="s">
        <v>791</v>
      </c>
      <c r="B237" t="s">
        <v>290</v>
      </c>
      <c r="C237" s="1">
        <v>295</v>
      </c>
      <c r="D237" s="1">
        <v>0</v>
      </c>
      <c r="E237" s="1">
        <v>0</v>
      </c>
      <c r="F237" s="1">
        <f>901+8</f>
        <v>909</v>
      </c>
      <c r="G237" s="1">
        <v>0</v>
      </c>
      <c r="H237" s="1">
        <v>0</v>
      </c>
      <c r="I237" s="1">
        <v>0</v>
      </c>
      <c r="J237" s="1"/>
      <c r="L237">
        <v>300</v>
      </c>
      <c r="M237" t="s">
        <v>292</v>
      </c>
      <c r="N237">
        <v>12</v>
      </c>
      <c r="O237">
        <v>0</v>
      </c>
      <c r="P237">
        <v>0</v>
      </c>
      <c r="Q237">
        <v>55</v>
      </c>
      <c r="R237">
        <v>0</v>
      </c>
      <c r="S237">
        <v>0</v>
      </c>
    </row>
    <row r="238" spans="1:19" x14ac:dyDescent="0.25">
      <c r="A238" t="s">
        <v>802</v>
      </c>
      <c r="B238" t="s">
        <v>291</v>
      </c>
      <c r="C238" s="1"/>
      <c r="D238" s="1"/>
      <c r="E238" s="1"/>
      <c r="F238" s="1"/>
      <c r="G238" s="1"/>
      <c r="H238" s="1"/>
      <c r="I238" s="1"/>
      <c r="J238" s="1"/>
      <c r="L238">
        <v>613</v>
      </c>
      <c r="M238" t="s">
        <v>293</v>
      </c>
    </row>
    <row r="239" spans="1:19" x14ac:dyDescent="0.25">
      <c r="A239" t="s">
        <v>226</v>
      </c>
      <c r="B239" t="s">
        <v>292</v>
      </c>
      <c r="C239" s="1">
        <v>12</v>
      </c>
      <c r="D239" s="1">
        <v>0</v>
      </c>
      <c r="E239" s="1">
        <v>0</v>
      </c>
      <c r="F239" s="1">
        <v>55</v>
      </c>
      <c r="G239" s="1">
        <v>0</v>
      </c>
      <c r="H239" s="1">
        <v>0</v>
      </c>
      <c r="I239" s="1">
        <v>0</v>
      </c>
      <c r="J239" s="1"/>
      <c r="L239">
        <v>114</v>
      </c>
      <c r="M239" t="s">
        <v>294</v>
      </c>
      <c r="N239">
        <v>25</v>
      </c>
      <c r="O239">
        <v>0</v>
      </c>
      <c r="P239">
        <v>0</v>
      </c>
      <c r="Q239">
        <v>467</v>
      </c>
      <c r="R239">
        <v>0</v>
      </c>
      <c r="S239">
        <v>0</v>
      </c>
    </row>
    <row r="240" spans="1:19" x14ac:dyDescent="0.25">
      <c r="A240" t="s">
        <v>495</v>
      </c>
      <c r="B240" t="s">
        <v>293</v>
      </c>
      <c r="C240" s="1"/>
      <c r="D240" s="1"/>
      <c r="E240" s="1"/>
      <c r="F240" s="1"/>
      <c r="G240" s="1"/>
      <c r="H240" s="1"/>
      <c r="I240" s="1"/>
      <c r="J240" s="1"/>
      <c r="L240">
        <v>210</v>
      </c>
      <c r="M240" t="s">
        <v>295</v>
      </c>
      <c r="N240">
        <v>38</v>
      </c>
      <c r="O240">
        <v>0</v>
      </c>
      <c r="P240">
        <v>0</v>
      </c>
      <c r="Q240">
        <v>2304</v>
      </c>
      <c r="R240">
        <v>0</v>
      </c>
      <c r="S240">
        <v>0</v>
      </c>
    </row>
    <row r="241" spans="1:19" x14ac:dyDescent="0.25">
      <c r="A241" t="s">
        <v>150</v>
      </c>
      <c r="B241" t="s">
        <v>294</v>
      </c>
      <c r="C241" s="1">
        <v>25</v>
      </c>
      <c r="D241" s="1">
        <v>0</v>
      </c>
      <c r="E241" s="1">
        <v>0</v>
      </c>
      <c r="F241" s="1">
        <f>458+7+2</f>
        <v>467</v>
      </c>
      <c r="G241" s="1">
        <v>0</v>
      </c>
      <c r="H241" s="1">
        <v>0</v>
      </c>
      <c r="I241" s="1">
        <v>0</v>
      </c>
      <c r="J241" s="1"/>
      <c r="L241">
        <v>114</v>
      </c>
      <c r="M241" t="s">
        <v>296</v>
      </c>
    </row>
    <row r="242" spans="1:19" x14ac:dyDescent="0.25">
      <c r="A242" t="s">
        <v>185</v>
      </c>
      <c r="B242" t="s">
        <v>295</v>
      </c>
      <c r="C242" s="1">
        <v>38</v>
      </c>
      <c r="D242" s="1">
        <v>0</v>
      </c>
      <c r="E242" s="1">
        <v>0</v>
      </c>
      <c r="F242" s="1">
        <f>2297+2+5</f>
        <v>2304</v>
      </c>
      <c r="G242" s="1">
        <v>0</v>
      </c>
      <c r="H242" s="1">
        <v>0</v>
      </c>
      <c r="I242" s="1">
        <v>0</v>
      </c>
      <c r="J242" s="1"/>
      <c r="L242">
        <v>715</v>
      </c>
      <c r="M242" t="s">
        <v>297</v>
      </c>
      <c r="N242">
        <v>207</v>
      </c>
      <c r="O242">
        <v>0</v>
      </c>
      <c r="P242">
        <v>0</v>
      </c>
      <c r="Q242">
        <v>501</v>
      </c>
      <c r="R242">
        <v>0</v>
      </c>
      <c r="S242">
        <v>0</v>
      </c>
    </row>
    <row r="243" spans="1:19" x14ac:dyDescent="0.25">
      <c r="A243" t="s">
        <v>150</v>
      </c>
      <c r="B243" t="s">
        <v>296</v>
      </c>
      <c r="C243" s="1"/>
      <c r="D243" s="1"/>
      <c r="E243" s="1"/>
      <c r="F243" s="1"/>
      <c r="G243" s="1"/>
      <c r="H243" s="1"/>
      <c r="I243" s="1"/>
      <c r="J243" s="1"/>
      <c r="L243">
        <v>111</v>
      </c>
      <c r="M243" t="s">
        <v>298</v>
      </c>
      <c r="N243">
        <v>1454</v>
      </c>
      <c r="O243">
        <v>28</v>
      </c>
      <c r="P243">
        <v>0</v>
      </c>
      <c r="Q243">
        <v>2682</v>
      </c>
      <c r="R243">
        <v>7</v>
      </c>
      <c r="S243">
        <v>0</v>
      </c>
    </row>
    <row r="244" spans="1:19" x14ac:dyDescent="0.25">
      <c r="A244" t="s">
        <v>818</v>
      </c>
      <c r="B244" t="s">
        <v>297</v>
      </c>
      <c r="C244" s="1">
        <v>207</v>
      </c>
      <c r="D244" s="1">
        <v>0</v>
      </c>
      <c r="E244" s="1">
        <v>0</v>
      </c>
      <c r="F244" s="1">
        <v>500</v>
      </c>
      <c r="G244" s="1">
        <v>1</v>
      </c>
      <c r="H244" s="1">
        <v>0</v>
      </c>
      <c r="I244" s="1">
        <v>0</v>
      </c>
      <c r="J244" s="1" t="s">
        <v>819</v>
      </c>
      <c r="L244">
        <v>312</v>
      </c>
      <c r="M244" t="s">
        <v>299</v>
      </c>
      <c r="N244">
        <v>125</v>
      </c>
      <c r="O244">
        <v>0</v>
      </c>
      <c r="P244">
        <v>0</v>
      </c>
      <c r="Q244">
        <v>2740</v>
      </c>
      <c r="R244">
        <v>19</v>
      </c>
      <c r="S244">
        <v>0</v>
      </c>
    </row>
    <row r="245" spans="1:19" x14ac:dyDescent="0.25">
      <c r="A245" t="s">
        <v>811</v>
      </c>
      <c r="B245" t="s">
        <v>298</v>
      </c>
      <c r="C245" s="1">
        <f>1433+2+19</f>
        <v>1454</v>
      </c>
      <c r="D245" s="1">
        <v>28</v>
      </c>
      <c r="E245" s="1">
        <v>0</v>
      </c>
      <c r="F245" s="1">
        <f>2629+4+2+47</f>
        <v>2682</v>
      </c>
      <c r="G245" s="1">
        <v>7</v>
      </c>
      <c r="H245" s="1">
        <v>0</v>
      </c>
      <c r="I245" s="1">
        <v>0</v>
      </c>
      <c r="J245" s="1"/>
      <c r="M245" t="s">
        <v>300</v>
      </c>
    </row>
    <row r="246" spans="1:19" x14ac:dyDescent="0.25">
      <c r="A246" t="s">
        <v>72</v>
      </c>
      <c r="B246" t="s">
        <v>299</v>
      </c>
      <c r="C246" s="1">
        <v>125</v>
      </c>
      <c r="D246" s="1">
        <v>0</v>
      </c>
      <c r="E246" s="1">
        <v>0</v>
      </c>
      <c r="F246" s="1">
        <f>2727+3+10</f>
        <v>2740</v>
      </c>
      <c r="G246" s="1">
        <v>19</v>
      </c>
      <c r="H246" s="1">
        <v>0</v>
      </c>
      <c r="I246" s="1">
        <v>0</v>
      </c>
      <c r="J246" s="1"/>
      <c r="L246" t="s">
        <v>822</v>
      </c>
      <c r="M246" t="s">
        <v>301</v>
      </c>
    </row>
    <row r="247" spans="1:19" x14ac:dyDescent="0.25">
      <c r="A247" t="s">
        <v>67</v>
      </c>
      <c r="B247" t="s">
        <v>300</v>
      </c>
      <c r="C247" s="1"/>
      <c r="D247" s="1"/>
      <c r="E247" s="1"/>
      <c r="F247" s="1"/>
      <c r="G247" s="1"/>
      <c r="H247" s="1"/>
      <c r="I247" s="1"/>
      <c r="J247" s="1"/>
      <c r="L247">
        <v>500</v>
      </c>
      <c r="M247" t="s">
        <v>302</v>
      </c>
    </row>
    <row r="248" spans="1:19" x14ac:dyDescent="0.25">
      <c r="A248" t="s">
        <v>798</v>
      </c>
      <c r="B248" t="s">
        <v>301</v>
      </c>
      <c r="C248" s="1"/>
      <c r="D248" s="1"/>
      <c r="E248" s="1"/>
      <c r="F248" s="1"/>
      <c r="G248" s="1"/>
      <c r="H248" s="1"/>
      <c r="I248" s="1"/>
      <c r="J248" s="1"/>
      <c r="L248">
        <v>610</v>
      </c>
      <c r="M248" t="s">
        <v>303</v>
      </c>
      <c r="N248">
        <v>187</v>
      </c>
      <c r="O248">
        <v>0</v>
      </c>
      <c r="P248">
        <v>0</v>
      </c>
      <c r="Q248">
        <v>370</v>
      </c>
      <c r="R248">
        <v>0</v>
      </c>
      <c r="S248">
        <v>0</v>
      </c>
    </row>
    <row r="249" spans="1:19" x14ac:dyDescent="0.25">
      <c r="A249" t="s">
        <v>824</v>
      </c>
      <c r="B249" t="s">
        <v>302</v>
      </c>
      <c r="C249" s="1"/>
      <c r="D249" s="1"/>
      <c r="E249" s="1"/>
      <c r="F249" s="1"/>
      <c r="G249" s="1"/>
      <c r="H249" s="1"/>
      <c r="I249" s="1"/>
      <c r="J249" s="1"/>
      <c r="L249">
        <v>300</v>
      </c>
      <c r="M249" t="s">
        <v>304</v>
      </c>
    </row>
    <row r="250" spans="1:19" x14ac:dyDescent="0.25">
      <c r="A250" t="s">
        <v>788</v>
      </c>
      <c r="B250" t="s">
        <v>303</v>
      </c>
      <c r="C250" s="1">
        <v>187</v>
      </c>
      <c r="D250" s="1">
        <v>0</v>
      </c>
      <c r="E250" s="1">
        <v>0</v>
      </c>
      <c r="F250" s="1">
        <v>370</v>
      </c>
      <c r="G250" s="1">
        <v>0</v>
      </c>
      <c r="H250" s="1">
        <v>0</v>
      </c>
      <c r="I250" s="1">
        <v>0</v>
      </c>
      <c r="J250" s="1"/>
      <c r="L250">
        <v>314</v>
      </c>
      <c r="M250" t="s">
        <v>306</v>
      </c>
      <c r="N250">
        <v>289</v>
      </c>
      <c r="O250">
        <v>0</v>
      </c>
      <c r="P250">
        <v>0</v>
      </c>
      <c r="Q250">
        <v>214</v>
      </c>
      <c r="R250">
        <v>0</v>
      </c>
      <c r="S250">
        <v>0</v>
      </c>
    </row>
    <row r="251" spans="1:19" x14ac:dyDescent="0.25">
      <c r="A251" t="s">
        <v>226</v>
      </c>
      <c r="B251" t="s">
        <v>304</v>
      </c>
      <c r="C251" s="1"/>
      <c r="D251" s="1"/>
      <c r="E251" s="1"/>
      <c r="F251" s="1"/>
      <c r="G251" s="1"/>
      <c r="H251" s="1"/>
      <c r="I251" s="1"/>
      <c r="J251" s="1"/>
      <c r="L251">
        <v>313</v>
      </c>
      <c r="M251" t="s">
        <v>307</v>
      </c>
    </row>
    <row r="252" spans="1:19" x14ac:dyDescent="0.25">
      <c r="A252" t="s">
        <v>305</v>
      </c>
      <c r="B252" t="s">
        <v>306</v>
      </c>
      <c r="C252" s="1">
        <v>289</v>
      </c>
      <c r="D252" s="1">
        <v>0</v>
      </c>
      <c r="E252" s="1">
        <v>0</v>
      </c>
      <c r="F252" s="1">
        <v>214</v>
      </c>
      <c r="G252" s="1">
        <v>0</v>
      </c>
      <c r="H252" s="1">
        <v>0</v>
      </c>
      <c r="I252" s="1">
        <v>0</v>
      </c>
      <c r="J252" s="1"/>
      <c r="L252">
        <v>100</v>
      </c>
      <c r="M252" t="s">
        <v>308</v>
      </c>
      <c r="N252">
        <v>91</v>
      </c>
      <c r="O252">
        <v>0</v>
      </c>
      <c r="P252">
        <v>0</v>
      </c>
      <c r="Q252">
        <v>983</v>
      </c>
      <c r="R252">
        <v>0</v>
      </c>
      <c r="S252">
        <v>0</v>
      </c>
    </row>
    <row r="253" spans="1:19" x14ac:dyDescent="0.25">
      <c r="A253" t="s">
        <v>512</v>
      </c>
      <c r="B253" t="s">
        <v>307</v>
      </c>
      <c r="C253" s="1"/>
      <c r="D253" s="1"/>
      <c r="E253" s="1"/>
      <c r="F253" s="1"/>
      <c r="G253" s="1"/>
      <c r="H253" s="1"/>
      <c r="I253" s="1"/>
      <c r="J253" s="1"/>
      <c r="L253">
        <v>149</v>
      </c>
      <c r="M253" t="s">
        <v>309</v>
      </c>
      <c r="N253">
        <v>665</v>
      </c>
      <c r="O253">
        <v>0</v>
      </c>
      <c r="P253">
        <v>0</v>
      </c>
      <c r="Q253">
        <v>6178</v>
      </c>
      <c r="R253">
        <v>0</v>
      </c>
      <c r="S253">
        <v>0</v>
      </c>
    </row>
    <row r="254" spans="1:19" x14ac:dyDescent="0.25">
      <c r="A254" t="s">
        <v>791</v>
      </c>
      <c r="B254" t="s">
        <v>308</v>
      </c>
      <c r="C254" s="1">
        <f>86+1+4</f>
        <v>91</v>
      </c>
      <c r="D254" s="1">
        <v>0</v>
      </c>
      <c r="E254" s="1">
        <v>0</v>
      </c>
      <c r="F254" s="1">
        <f>971+2+10</f>
        <v>983</v>
      </c>
      <c r="G254" s="1">
        <v>0</v>
      </c>
      <c r="H254" s="1">
        <v>0</v>
      </c>
      <c r="I254" s="1">
        <v>0</v>
      </c>
      <c r="J254" s="1"/>
      <c r="L254">
        <v>114</v>
      </c>
      <c r="M254" t="s">
        <v>310</v>
      </c>
      <c r="N254">
        <v>86</v>
      </c>
      <c r="O254">
        <v>0</v>
      </c>
      <c r="P254">
        <v>0</v>
      </c>
      <c r="Q254">
        <v>710</v>
      </c>
      <c r="R254">
        <v>0</v>
      </c>
      <c r="S254">
        <v>0</v>
      </c>
    </row>
    <row r="255" spans="1:19" x14ac:dyDescent="0.25">
      <c r="A255" t="s">
        <v>52</v>
      </c>
      <c r="B255" t="s">
        <v>309</v>
      </c>
      <c r="C255" s="1">
        <v>665</v>
      </c>
      <c r="D255" s="1">
        <v>0</v>
      </c>
      <c r="E255" s="1">
        <v>0</v>
      </c>
      <c r="F255" s="1">
        <f>6176+2</f>
        <v>6178</v>
      </c>
      <c r="G255" s="1">
        <v>0</v>
      </c>
      <c r="H255" s="1">
        <v>0</v>
      </c>
      <c r="I255" s="1">
        <v>0</v>
      </c>
      <c r="J255" s="1"/>
      <c r="L255">
        <v>211</v>
      </c>
      <c r="M255" t="s">
        <v>311</v>
      </c>
      <c r="N255">
        <v>67</v>
      </c>
      <c r="O255">
        <v>0</v>
      </c>
      <c r="P255">
        <v>0</v>
      </c>
      <c r="Q255">
        <v>530</v>
      </c>
      <c r="R255">
        <v>0</v>
      </c>
      <c r="S255">
        <v>0</v>
      </c>
    </row>
    <row r="256" spans="1:19" x14ac:dyDescent="0.25">
      <c r="A256" t="s">
        <v>150</v>
      </c>
      <c r="B256" t="s">
        <v>310</v>
      </c>
      <c r="C256" s="1">
        <v>86</v>
      </c>
      <c r="D256" s="1">
        <v>0</v>
      </c>
      <c r="E256" s="1">
        <v>0</v>
      </c>
      <c r="F256" s="1">
        <v>710</v>
      </c>
      <c r="G256" s="1">
        <v>0</v>
      </c>
      <c r="H256" s="1">
        <v>0</v>
      </c>
      <c r="I256" s="1">
        <v>0</v>
      </c>
      <c r="J256" s="1"/>
      <c r="L256">
        <v>151</v>
      </c>
      <c r="M256" t="s">
        <v>312</v>
      </c>
      <c r="N256">
        <v>2540</v>
      </c>
      <c r="O256">
        <v>2</v>
      </c>
      <c r="P256">
        <v>0</v>
      </c>
      <c r="Q256">
        <v>188</v>
      </c>
      <c r="R256">
        <v>0</v>
      </c>
      <c r="S256">
        <v>0</v>
      </c>
    </row>
    <row r="257" spans="1:19" x14ac:dyDescent="0.25">
      <c r="A257" t="s">
        <v>131</v>
      </c>
      <c r="B257" t="s">
        <v>311</v>
      </c>
      <c r="C257" s="1">
        <f>55+12</f>
        <v>67</v>
      </c>
      <c r="D257" s="1">
        <v>0</v>
      </c>
      <c r="E257" s="1">
        <v>0</v>
      </c>
      <c r="F257" s="1">
        <f>521+2+7</f>
        <v>530</v>
      </c>
      <c r="G257" s="1">
        <v>0</v>
      </c>
      <c r="H257" s="1">
        <v>0</v>
      </c>
      <c r="I257" s="1">
        <v>0</v>
      </c>
      <c r="J257" s="1"/>
      <c r="L257" t="s">
        <v>814</v>
      </c>
      <c r="M257" t="s">
        <v>313</v>
      </c>
      <c r="N257">
        <v>68</v>
      </c>
      <c r="O257">
        <v>0</v>
      </c>
      <c r="P257">
        <v>0</v>
      </c>
      <c r="Q257">
        <v>393</v>
      </c>
      <c r="R257">
        <v>0</v>
      </c>
      <c r="S257">
        <v>0</v>
      </c>
    </row>
    <row r="258" spans="1:19" x14ac:dyDescent="0.25">
      <c r="A258" t="s">
        <v>47</v>
      </c>
      <c r="B258" t="s">
        <v>312</v>
      </c>
      <c r="C258" s="1">
        <v>2540</v>
      </c>
      <c r="D258" s="1">
        <v>2</v>
      </c>
      <c r="E258" s="1">
        <v>0</v>
      </c>
      <c r="F258" s="1">
        <v>188</v>
      </c>
      <c r="G258" s="1">
        <v>0</v>
      </c>
      <c r="H258" s="1">
        <v>0</v>
      </c>
      <c r="I258" s="1">
        <v>0</v>
      </c>
      <c r="J258" s="1"/>
      <c r="L258">
        <v>148</v>
      </c>
      <c r="M258" t="s">
        <v>314</v>
      </c>
    </row>
    <row r="259" spans="1:19" x14ac:dyDescent="0.25">
      <c r="A259" t="s">
        <v>794</v>
      </c>
      <c r="B259" t="s">
        <v>313</v>
      </c>
      <c r="C259" s="1">
        <v>68</v>
      </c>
      <c r="D259" s="1">
        <v>0</v>
      </c>
      <c r="E259" s="1">
        <v>0</v>
      </c>
      <c r="F259" s="1">
        <f>390+3</f>
        <v>393</v>
      </c>
      <c r="G259" s="1">
        <v>0</v>
      </c>
      <c r="H259" s="1">
        <v>0</v>
      </c>
      <c r="I259" s="1">
        <v>0</v>
      </c>
      <c r="J259" s="1"/>
      <c r="L259">
        <v>143</v>
      </c>
      <c r="M259" t="s">
        <v>315</v>
      </c>
      <c r="N259">
        <v>27</v>
      </c>
      <c r="O259">
        <v>0</v>
      </c>
      <c r="P259">
        <v>0</v>
      </c>
      <c r="Q259">
        <v>108</v>
      </c>
      <c r="R259">
        <v>0</v>
      </c>
      <c r="S259">
        <v>0</v>
      </c>
    </row>
    <row r="260" spans="1:19" x14ac:dyDescent="0.25">
      <c r="A260" t="s">
        <v>33</v>
      </c>
      <c r="B260" t="s">
        <v>314</v>
      </c>
      <c r="C260" s="1"/>
      <c r="D260" s="1"/>
      <c r="E260" s="1"/>
      <c r="F260" s="1"/>
      <c r="G260" s="1"/>
      <c r="H260" s="1"/>
      <c r="I260" s="1"/>
      <c r="J260" s="1"/>
      <c r="L260">
        <v>150</v>
      </c>
      <c r="M260" t="s">
        <v>316</v>
      </c>
      <c r="N260">
        <v>61</v>
      </c>
      <c r="O260">
        <v>0</v>
      </c>
      <c r="P260">
        <v>0</v>
      </c>
      <c r="Q260">
        <v>305</v>
      </c>
      <c r="R260">
        <v>0</v>
      </c>
      <c r="S260">
        <v>0</v>
      </c>
    </row>
    <row r="261" spans="1:19" x14ac:dyDescent="0.25">
      <c r="A261" t="s">
        <v>61</v>
      </c>
      <c r="B261" t="s">
        <v>315</v>
      </c>
      <c r="C261" s="1">
        <v>27</v>
      </c>
      <c r="D261" s="1">
        <v>0</v>
      </c>
      <c r="E261" s="1">
        <v>0</v>
      </c>
      <c r="F261" s="1">
        <v>108</v>
      </c>
      <c r="G261" s="1">
        <v>0</v>
      </c>
      <c r="H261" s="1">
        <v>0</v>
      </c>
      <c r="I261" s="1">
        <v>0</v>
      </c>
      <c r="J261" s="1"/>
      <c r="L261">
        <v>147</v>
      </c>
      <c r="M261" t="s">
        <v>317</v>
      </c>
      <c r="N261">
        <v>396</v>
      </c>
      <c r="O261">
        <v>0</v>
      </c>
      <c r="P261">
        <v>0</v>
      </c>
      <c r="Q261">
        <v>706</v>
      </c>
      <c r="R261">
        <v>0</v>
      </c>
      <c r="S261">
        <v>0</v>
      </c>
    </row>
    <row r="262" spans="1:19" x14ac:dyDescent="0.25">
      <c r="A262" t="s">
        <v>43</v>
      </c>
      <c r="B262" t="s">
        <v>316</v>
      </c>
      <c r="C262" s="1">
        <v>61</v>
      </c>
      <c r="D262" s="1">
        <v>0</v>
      </c>
      <c r="E262" s="1">
        <v>0</v>
      </c>
      <c r="F262" s="1">
        <v>305</v>
      </c>
      <c r="G262" s="1">
        <v>0</v>
      </c>
      <c r="H262" s="1">
        <v>0</v>
      </c>
      <c r="I262" s="1">
        <v>0</v>
      </c>
      <c r="J262" s="1"/>
      <c r="L262">
        <v>152</v>
      </c>
      <c r="M262" t="s">
        <v>318</v>
      </c>
      <c r="N262">
        <v>44</v>
      </c>
      <c r="O262">
        <v>0</v>
      </c>
      <c r="P262">
        <v>0</v>
      </c>
      <c r="Q262">
        <v>240</v>
      </c>
      <c r="R262">
        <v>0</v>
      </c>
      <c r="S262">
        <v>0</v>
      </c>
    </row>
    <row r="263" spans="1:19" x14ac:dyDescent="0.25">
      <c r="A263" t="s">
        <v>789</v>
      </c>
      <c r="B263" t="s">
        <v>317</v>
      </c>
      <c r="C263" s="1">
        <f>277+1+116+2</f>
        <v>396</v>
      </c>
      <c r="D263" s="1">
        <v>0</v>
      </c>
      <c r="E263" s="1">
        <v>0</v>
      </c>
      <c r="F263" s="1">
        <f>558+138+10</f>
        <v>706</v>
      </c>
      <c r="G263" s="1">
        <v>0</v>
      </c>
      <c r="H263" s="1">
        <v>0</v>
      </c>
      <c r="I263" s="1">
        <v>0</v>
      </c>
      <c r="J263" s="1"/>
      <c r="L263">
        <v>212</v>
      </c>
      <c r="M263" t="s">
        <v>319</v>
      </c>
      <c r="N263">
        <v>12</v>
      </c>
      <c r="O263">
        <v>0</v>
      </c>
      <c r="P263">
        <v>0</v>
      </c>
      <c r="Q263">
        <v>47</v>
      </c>
      <c r="R263">
        <v>0</v>
      </c>
      <c r="S263">
        <v>0</v>
      </c>
    </row>
    <row r="264" spans="1:19" x14ac:dyDescent="0.25">
      <c r="A264" t="s">
        <v>790</v>
      </c>
      <c r="B264" t="s">
        <v>318</v>
      </c>
      <c r="C264" s="1">
        <v>44</v>
      </c>
      <c r="D264" s="1">
        <v>0</v>
      </c>
      <c r="E264" s="1">
        <v>0</v>
      </c>
      <c r="F264" s="1">
        <v>240</v>
      </c>
      <c r="G264" s="1">
        <v>0</v>
      </c>
      <c r="H264" s="1">
        <v>0</v>
      </c>
      <c r="I264" s="1">
        <v>0</v>
      </c>
      <c r="J264" s="1"/>
      <c r="L264">
        <v>713</v>
      </c>
      <c r="M264" t="s">
        <v>320</v>
      </c>
      <c r="N264">
        <v>4876</v>
      </c>
      <c r="O264">
        <v>0</v>
      </c>
      <c r="P264">
        <v>0</v>
      </c>
      <c r="Q264">
        <v>781</v>
      </c>
      <c r="R264">
        <v>0</v>
      </c>
      <c r="S264">
        <v>0</v>
      </c>
    </row>
    <row r="265" spans="1:19" x14ac:dyDescent="0.25">
      <c r="A265" t="s">
        <v>799</v>
      </c>
      <c r="B265" t="s">
        <v>319</v>
      </c>
      <c r="C265" s="1">
        <v>12</v>
      </c>
      <c r="D265" s="1">
        <v>0</v>
      </c>
      <c r="E265" s="1">
        <v>0</v>
      </c>
      <c r="F265" s="1">
        <v>47</v>
      </c>
      <c r="G265" s="1">
        <v>0</v>
      </c>
      <c r="H265" s="1">
        <v>0</v>
      </c>
      <c r="I265" s="1">
        <v>0</v>
      </c>
      <c r="J265" s="1"/>
      <c r="L265">
        <v>711</v>
      </c>
      <c r="M265" t="s">
        <v>321</v>
      </c>
      <c r="N265">
        <v>1681</v>
      </c>
      <c r="O265">
        <v>10</v>
      </c>
      <c r="P265">
        <v>0</v>
      </c>
      <c r="Q265">
        <v>3482</v>
      </c>
      <c r="R265">
        <v>73</v>
      </c>
      <c r="S265">
        <v>0</v>
      </c>
    </row>
    <row r="266" spans="1:19" x14ac:dyDescent="0.25">
      <c r="A266" t="s">
        <v>796</v>
      </c>
      <c r="B266" t="s">
        <v>320</v>
      </c>
      <c r="C266" s="1">
        <v>4876</v>
      </c>
      <c r="D266" s="1">
        <v>0</v>
      </c>
      <c r="E266" s="1">
        <v>0</v>
      </c>
      <c r="F266" s="1">
        <v>781</v>
      </c>
      <c r="G266" s="1">
        <v>0</v>
      </c>
      <c r="H266" s="1">
        <v>0</v>
      </c>
      <c r="I266" s="1">
        <v>0</v>
      </c>
      <c r="J266" s="1"/>
      <c r="L266" t="s">
        <v>815</v>
      </c>
      <c r="M266" t="s">
        <v>322</v>
      </c>
      <c r="N266">
        <v>769</v>
      </c>
      <c r="O266">
        <v>14</v>
      </c>
      <c r="P266">
        <v>0</v>
      </c>
      <c r="Q266">
        <v>14832</v>
      </c>
      <c r="R266">
        <v>23</v>
      </c>
      <c r="S266">
        <v>0</v>
      </c>
    </row>
    <row r="267" spans="1:19" x14ac:dyDescent="0.25">
      <c r="A267" t="s">
        <v>801</v>
      </c>
      <c r="B267" t="s">
        <v>321</v>
      </c>
      <c r="C267" s="1">
        <f>1676+5</f>
        <v>1681</v>
      </c>
      <c r="D267" s="1">
        <v>10</v>
      </c>
      <c r="E267" s="1">
        <v>0</v>
      </c>
      <c r="F267" s="1">
        <f>3467+11+4</f>
        <v>3482</v>
      </c>
      <c r="G267" s="1">
        <v>73</v>
      </c>
      <c r="H267" s="1">
        <v>0</v>
      </c>
      <c r="I267" s="1">
        <v>0</v>
      </c>
      <c r="J267" s="1"/>
      <c r="L267">
        <v>713</v>
      </c>
      <c r="M267" t="s">
        <v>323</v>
      </c>
      <c r="N267">
        <v>235</v>
      </c>
      <c r="O267">
        <v>2</v>
      </c>
      <c r="P267">
        <v>0</v>
      </c>
      <c r="Q267">
        <v>1066</v>
      </c>
      <c r="R267">
        <v>6</v>
      </c>
      <c r="S267">
        <v>0</v>
      </c>
    </row>
    <row r="268" spans="1:19" x14ac:dyDescent="0.25">
      <c r="A268" t="s">
        <v>138</v>
      </c>
      <c r="B268" t="s">
        <v>322</v>
      </c>
      <c r="C268" s="1">
        <v>769</v>
      </c>
      <c r="D268" s="1">
        <v>14</v>
      </c>
      <c r="E268" s="1">
        <v>0</v>
      </c>
      <c r="F268" s="1">
        <f>14823+3+4+1+1</f>
        <v>14832</v>
      </c>
      <c r="G268" s="1">
        <v>23</v>
      </c>
      <c r="H268" s="1">
        <v>0</v>
      </c>
      <c r="I268" s="1">
        <v>0</v>
      </c>
      <c r="J268" s="1"/>
      <c r="L268">
        <v>153</v>
      </c>
      <c r="M268" t="s">
        <v>324</v>
      </c>
      <c r="N268">
        <v>435</v>
      </c>
      <c r="O268">
        <v>1</v>
      </c>
      <c r="P268">
        <v>0</v>
      </c>
      <c r="Q268">
        <v>500</v>
      </c>
      <c r="R268">
        <v>0</v>
      </c>
      <c r="S268">
        <v>0</v>
      </c>
    </row>
    <row r="269" spans="1:19" x14ac:dyDescent="0.25">
      <c r="A269" t="s">
        <v>796</v>
      </c>
      <c r="B269" t="s">
        <v>323</v>
      </c>
      <c r="C269" s="1">
        <v>235</v>
      </c>
      <c r="D269" s="1">
        <v>2</v>
      </c>
      <c r="E269" s="1">
        <v>0</v>
      </c>
      <c r="F269" s="1">
        <f>1060+6</f>
        <v>1066</v>
      </c>
      <c r="G269" s="1">
        <f>1+3+2</f>
        <v>6</v>
      </c>
      <c r="H269" s="1">
        <v>0</v>
      </c>
      <c r="I269" s="1">
        <v>0</v>
      </c>
      <c r="J269" s="1"/>
      <c r="L269">
        <v>600.1</v>
      </c>
      <c r="M269" t="s">
        <v>325</v>
      </c>
    </row>
    <row r="270" spans="1:19" x14ac:dyDescent="0.25">
      <c r="A270" t="s">
        <v>821</v>
      </c>
      <c r="B270" t="s">
        <v>324</v>
      </c>
      <c r="C270" s="1">
        <v>435</v>
      </c>
      <c r="D270" s="1">
        <v>1</v>
      </c>
      <c r="E270" s="1">
        <v>0</v>
      </c>
      <c r="F270" s="1">
        <f>495+5</f>
        <v>500</v>
      </c>
      <c r="G270" s="1">
        <v>0</v>
      </c>
      <c r="H270" s="1">
        <v>0</v>
      </c>
      <c r="I270" s="1">
        <v>0</v>
      </c>
      <c r="J270" s="1"/>
      <c r="L270">
        <v>700</v>
      </c>
      <c r="M270" t="s">
        <v>326</v>
      </c>
    </row>
    <row r="271" spans="1:19" x14ac:dyDescent="0.25">
      <c r="A271" t="s">
        <v>248</v>
      </c>
      <c r="B271" t="s">
        <v>325</v>
      </c>
      <c r="C271" s="1"/>
      <c r="D271" s="1"/>
      <c r="E271" s="1"/>
      <c r="F271" s="1"/>
      <c r="G271" s="1"/>
      <c r="H271" s="1"/>
      <c r="I271" s="1"/>
      <c r="J271" s="1"/>
      <c r="L271">
        <v>116</v>
      </c>
      <c r="M271" t="s">
        <v>327</v>
      </c>
      <c r="N271">
        <v>12</v>
      </c>
      <c r="O271">
        <v>0</v>
      </c>
      <c r="P271">
        <v>0</v>
      </c>
      <c r="Q271">
        <v>34</v>
      </c>
      <c r="R271">
        <v>0</v>
      </c>
      <c r="S271">
        <v>0</v>
      </c>
    </row>
    <row r="272" spans="1:19" x14ac:dyDescent="0.25">
      <c r="A272" t="s">
        <v>83</v>
      </c>
      <c r="B272" t="s">
        <v>326</v>
      </c>
      <c r="C272" s="1"/>
      <c r="D272" s="1"/>
      <c r="E272" s="1"/>
      <c r="F272" s="1"/>
      <c r="G272" s="1"/>
      <c r="H272" s="1"/>
      <c r="I272" s="1"/>
      <c r="J272" s="1"/>
      <c r="L272">
        <v>712</v>
      </c>
      <c r="M272" t="s">
        <v>329</v>
      </c>
      <c r="N272">
        <v>1271</v>
      </c>
      <c r="O272">
        <v>0</v>
      </c>
      <c r="P272">
        <v>0</v>
      </c>
      <c r="Q272">
        <v>4276</v>
      </c>
      <c r="R272">
        <v>3</v>
      </c>
      <c r="S272">
        <v>0</v>
      </c>
    </row>
    <row r="273" spans="1:19" x14ac:dyDescent="0.25">
      <c r="A273" t="s">
        <v>795</v>
      </c>
      <c r="B273" t="s">
        <v>327</v>
      </c>
      <c r="C273" s="1">
        <v>12</v>
      </c>
      <c r="D273" s="1">
        <v>0</v>
      </c>
      <c r="E273" s="1">
        <v>0</v>
      </c>
      <c r="F273" s="1">
        <v>34</v>
      </c>
      <c r="G273" s="1">
        <v>0</v>
      </c>
      <c r="H273" s="1">
        <v>0</v>
      </c>
      <c r="I273" s="1">
        <v>0</v>
      </c>
      <c r="J273" s="1"/>
      <c r="L273" t="s">
        <v>808</v>
      </c>
      <c r="M273" t="s">
        <v>330</v>
      </c>
      <c r="N273">
        <v>451</v>
      </c>
      <c r="O273">
        <v>0</v>
      </c>
      <c r="P273">
        <v>0</v>
      </c>
      <c r="Q273">
        <v>1210</v>
      </c>
      <c r="R273">
        <v>0</v>
      </c>
      <c r="S273">
        <v>0</v>
      </c>
    </row>
    <row r="274" spans="1:19" x14ac:dyDescent="0.25">
      <c r="A274" t="s">
        <v>76</v>
      </c>
      <c r="B274" t="s">
        <v>329</v>
      </c>
      <c r="C274" s="1">
        <v>1271</v>
      </c>
      <c r="D274" s="1">
        <v>0</v>
      </c>
      <c r="E274" s="1">
        <v>0</v>
      </c>
      <c r="F274" s="1">
        <f>4052+1+2+221</f>
        <v>4276</v>
      </c>
      <c r="G274" s="1">
        <v>3</v>
      </c>
      <c r="H274" s="1">
        <v>0</v>
      </c>
      <c r="I274" s="1">
        <v>0</v>
      </c>
      <c r="J274" s="1"/>
      <c r="L274">
        <v>315</v>
      </c>
      <c r="M274" t="s">
        <v>331</v>
      </c>
    </row>
    <row r="275" spans="1:19" x14ac:dyDescent="0.25">
      <c r="A275" t="s">
        <v>809</v>
      </c>
      <c r="B275" t="s">
        <v>330</v>
      </c>
      <c r="C275" s="1">
        <v>451</v>
      </c>
      <c r="D275" s="1">
        <v>0</v>
      </c>
      <c r="E275" s="1">
        <v>0</v>
      </c>
      <c r="F275" s="1">
        <v>1210</v>
      </c>
      <c r="G275" s="1">
        <v>0</v>
      </c>
      <c r="H275" s="1">
        <v>0</v>
      </c>
      <c r="I275" s="1">
        <v>0</v>
      </c>
      <c r="J275" s="1"/>
      <c r="L275">
        <v>600.1</v>
      </c>
      <c r="M275" t="s">
        <v>332</v>
      </c>
    </row>
    <row r="276" spans="1:19" x14ac:dyDescent="0.25">
      <c r="A276" t="s">
        <v>807</v>
      </c>
      <c r="B276" t="s">
        <v>331</v>
      </c>
      <c r="C276" s="1"/>
      <c r="D276" s="1"/>
      <c r="E276" s="1"/>
      <c r="F276" s="1"/>
      <c r="G276" s="1"/>
      <c r="H276" s="1"/>
      <c r="I276" s="1"/>
      <c r="J276" s="1"/>
      <c r="L276">
        <v>128</v>
      </c>
      <c r="M276" t="s">
        <v>333</v>
      </c>
      <c r="N276">
        <v>15</v>
      </c>
      <c r="O276">
        <v>0</v>
      </c>
      <c r="P276">
        <v>0</v>
      </c>
      <c r="Q276">
        <v>146</v>
      </c>
      <c r="R276">
        <v>0</v>
      </c>
      <c r="S276">
        <v>0</v>
      </c>
    </row>
    <row r="277" spans="1:19" x14ac:dyDescent="0.25">
      <c r="A277" t="s">
        <v>248</v>
      </c>
      <c r="B277" t="s">
        <v>332</v>
      </c>
      <c r="C277" s="1"/>
      <c r="D277" s="1"/>
      <c r="E277" s="1"/>
      <c r="F277" s="1"/>
      <c r="G277" s="1"/>
      <c r="H277" s="1"/>
      <c r="I277" s="1"/>
      <c r="J277" s="1"/>
      <c r="L277">
        <v>122</v>
      </c>
      <c r="M277" t="s">
        <v>334</v>
      </c>
      <c r="N277">
        <v>184</v>
      </c>
      <c r="O277">
        <v>0</v>
      </c>
      <c r="P277">
        <v>0</v>
      </c>
      <c r="Q277">
        <v>466</v>
      </c>
      <c r="R277">
        <v>0</v>
      </c>
      <c r="S277">
        <v>0</v>
      </c>
    </row>
    <row r="278" spans="1:19" x14ac:dyDescent="0.25">
      <c r="A278" t="s">
        <v>813</v>
      </c>
      <c r="B278" t="s">
        <v>333</v>
      </c>
      <c r="C278" s="1">
        <v>15</v>
      </c>
      <c r="D278" s="1">
        <v>0</v>
      </c>
      <c r="E278" s="1">
        <v>0</v>
      </c>
      <c r="F278" s="1">
        <v>146</v>
      </c>
      <c r="G278" s="1">
        <v>0</v>
      </c>
      <c r="H278" s="1">
        <v>0</v>
      </c>
      <c r="I278" s="1">
        <v>0</v>
      </c>
      <c r="J278" s="1"/>
      <c r="L278" t="s">
        <v>820</v>
      </c>
      <c r="M278" t="s">
        <v>335</v>
      </c>
      <c r="N278">
        <v>604</v>
      </c>
      <c r="O278">
        <v>0</v>
      </c>
      <c r="P278">
        <v>0</v>
      </c>
      <c r="Q278">
        <v>1396</v>
      </c>
      <c r="R278">
        <v>0</v>
      </c>
      <c r="S278">
        <v>0</v>
      </c>
    </row>
    <row r="279" spans="1:19" x14ac:dyDescent="0.25">
      <c r="A279" t="s">
        <v>115</v>
      </c>
      <c r="B279" t="s">
        <v>334</v>
      </c>
      <c r="C279" s="1">
        <v>184</v>
      </c>
      <c r="D279" s="1">
        <v>0</v>
      </c>
      <c r="E279" s="1">
        <v>0</v>
      </c>
      <c r="F279" s="1">
        <v>466</v>
      </c>
      <c r="G279" s="1">
        <v>0</v>
      </c>
      <c r="H279" s="1">
        <v>0</v>
      </c>
      <c r="I279" s="1">
        <v>0</v>
      </c>
      <c r="J279" s="1"/>
      <c r="L279">
        <v>123</v>
      </c>
      <c r="M279" t="s">
        <v>336</v>
      </c>
      <c r="N279">
        <v>142</v>
      </c>
      <c r="O279">
        <v>0</v>
      </c>
      <c r="P279">
        <v>0</v>
      </c>
      <c r="Q279">
        <v>875</v>
      </c>
      <c r="R279">
        <v>0</v>
      </c>
      <c r="S279">
        <v>0</v>
      </c>
    </row>
    <row r="280" spans="1:19" x14ac:dyDescent="0.25">
      <c r="A280" t="s">
        <v>265</v>
      </c>
      <c r="B280" t="s">
        <v>335</v>
      </c>
      <c r="C280" s="1">
        <v>604</v>
      </c>
      <c r="D280" s="1">
        <v>0</v>
      </c>
      <c r="E280" s="1">
        <v>0</v>
      </c>
      <c r="F280" s="1">
        <v>1396</v>
      </c>
      <c r="G280" s="1">
        <v>0</v>
      </c>
      <c r="H280" s="1">
        <v>0</v>
      </c>
      <c r="I280" s="1">
        <v>0</v>
      </c>
      <c r="J280" s="1"/>
      <c r="L280">
        <v>200</v>
      </c>
      <c r="M280" t="s">
        <v>337</v>
      </c>
      <c r="N280">
        <v>1135</v>
      </c>
      <c r="O280">
        <v>10</v>
      </c>
      <c r="P280">
        <v>0</v>
      </c>
      <c r="Q280">
        <v>3103</v>
      </c>
      <c r="R280">
        <v>15</v>
      </c>
      <c r="S280">
        <v>0</v>
      </c>
    </row>
    <row r="281" spans="1:19" x14ac:dyDescent="0.25">
      <c r="A281" t="s">
        <v>110</v>
      </c>
      <c r="B281" t="s">
        <v>336</v>
      </c>
      <c r="C281" s="1">
        <v>142</v>
      </c>
      <c r="D281" s="1">
        <v>0</v>
      </c>
      <c r="E281" s="1">
        <v>0</v>
      </c>
      <c r="F281" s="1">
        <v>875</v>
      </c>
      <c r="G281" s="1">
        <v>0</v>
      </c>
      <c r="H281" s="1">
        <v>0</v>
      </c>
      <c r="I281" s="1">
        <v>0</v>
      </c>
      <c r="J281" s="1"/>
      <c r="L281">
        <v>121</v>
      </c>
      <c r="M281" t="s">
        <v>338</v>
      </c>
      <c r="N281">
        <v>69</v>
      </c>
      <c r="O281">
        <v>0</v>
      </c>
      <c r="P281">
        <v>0</v>
      </c>
      <c r="Q281">
        <v>777</v>
      </c>
      <c r="R281">
        <v>8</v>
      </c>
      <c r="S281">
        <v>0</v>
      </c>
    </row>
    <row r="282" spans="1:19" x14ac:dyDescent="0.25">
      <c r="A282" t="s">
        <v>140</v>
      </c>
      <c r="B282" t="s">
        <v>337</v>
      </c>
      <c r="C282" s="1">
        <f>1095+21+19</f>
        <v>1135</v>
      </c>
      <c r="D282" s="1">
        <v>10</v>
      </c>
      <c r="E282" s="1">
        <v>0</v>
      </c>
      <c r="F282" s="1">
        <f>3095+2+2+3+1</f>
        <v>3103</v>
      </c>
      <c r="G282" s="1">
        <v>15</v>
      </c>
      <c r="H282" s="1">
        <v>0</v>
      </c>
      <c r="I282" s="1">
        <v>0</v>
      </c>
      <c r="J282" s="1"/>
      <c r="L282">
        <v>130</v>
      </c>
      <c r="M282" t="s">
        <v>339</v>
      </c>
      <c r="N282">
        <v>349</v>
      </c>
      <c r="O282">
        <v>0</v>
      </c>
      <c r="P282">
        <v>0</v>
      </c>
      <c r="Q282">
        <v>716</v>
      </c>
      <c r="R282">
        <v>0</v>
      </c>
      <c r="S282">
        <v>0</v>
      </c>
    </row>
    <row r="283" spans="1:19" x14ac:dyDescent="0.25">
      <c r="A283" t="s">
        <v>104</v>
      </c>
      <c r="B283" t="s">
        <v>338</v>
      </c>
      <c r="C283" s="1">
        <v>69</v>
      </c>
      <c r="D283" s="1">
        <v>0</v>
      </c>
      <c r="E283" s="1">
        <v>0</v>
      </c>
      <c r="F283" s="1">
        <v>777</v>
      </c>
      <c r="G283" s="1">
        <v>8</v>
      </c>
      <c r="H283" s="1">
        <v>0</v>
      </c>
      <c r="I283" s="1">
        <v>0</v>
      </c>
      <c r="J283" s="1"/>
      <c r="L283">
        <v>124</v>
      </c>
      <c r="M283" t="s">
        <v>340</v>
      </c>
      <c r="N283">
        <v>50</v>
      </c>
      <c r="O283">
        <v>0</v>
      </c>
      <c r="P283">
        <v>0</v>
      </c>
      <c r="Q283">
        <v>141</v>
      </c>
      <c r="R283">
        <v>0</v>
      </c>
      <c r="S283">
        <v>0</v>
      </c>
    </row>
    <row r="284" spans="1:19" x14ac:dyDescent="0.25">
      <c r="A284" t="s">
        <v>793</v>
      </c>
      <c r="B284" t="s">
        <v>339</v>
      </c>
      <c r="C284" s="1">
        <f>340+9</f>
        <v>349</v>
      </c>
      <c r="D284" s="1">
        <v>0</v>
      </c>
      <c r="E284" s="1">
        <v>0</v>
      </c>
      <c r="F284" s="1">
        <f>714+2</f>
        <v>716</v>
      </c>
      <c r="G284" s="1">
        <v>0</v>
      </c>
      <c r="H284" s="1">
        <v>0</v>
      </c>
      <c r="I284" s="1">
        <v>0</v>
      </c>
      <c r="J284" s="1"/>
      <c r="L284">
        <v>125</v>
      </c>
      <c r="M284" t="s">
        <v>341</v>
      </c>
      <c r="N284">
        <v>37</v>
      </c>
      <c r="O284">
        <v>0</v>
      </c>
      <c r="P284">
        <v>0</v>
      </c>
      <c r="Q284">
        <v>578</v>
      </c>
      <c r="R284">
        <v>0</v>
      </c>
      <c r="S284">
        <v>0</v>
      </c>
    </row>
    <row r="285" spans="1:19" x14ac:dyDescent="0.25">
      <c r="A285" t="s">
        <v>123</v>
      </c>
      <c r="B285" t="s">
        <v>340</v>
      </c>
      <c r="C285" s="1">
        <v>50</v>
      </c>
      <c r="D285" s="1">
        <v>0</v>
      </c>
      <c r="E285" s="1">
        <v>0</v>
      </c>
      <c r="F285" s="1">
        <v>141</v>
      </c>
      <c r="G285" s="1">
        <v>0</v>
      </c>
      <c r="H285" s="1">
        <v>0</v>
      </c>
      <c r="I285" s="1">
        <v>0</v>
      </c>
      <c r="J285" s="1"/>
      <c r="L285">
        <v>126</v>
      </c>
      <c r="M285" t="s">
        <v>342</v>
      </c>
      <c r="N285">
        <v>41</v>
      </c>
      <c r="O285">
        <v>0</v>
      </c>
      <c r="P285">
        <v>0</v>
      </c>
      <c r="Q285">
        <v>147</v>
      </c>
      <c r="R285">
        <v>0</v>
      </c>
      <c r="S285">
        <v>0</v>
      </c>
    </row>
    <row r="286" spans="1:19" x14ac:dyDescent="0.25">
      <c r="A286" t="s">
        <v>40</v>
      </c>
      <c r="B286" t="s">
        <v>341</v>
      </c>
      <c r="C286" s="1">
        <v>37</v>
      </c>
      <c r="D286" s="1">
        <v>0</v>
      </c>
      <c r="E286" s="1">
        <v>0</v>
      </c>
      <c r="F286" s="1">
        <v>578</v>
      </c>
      <c r="G286" s="1">
        <v>0</v>
      </c>
      <c r="H286" s="1">
        <v>0</v>
      </c>
      <c r="I286" s="1">
        <v>0</v>
      </c>
      <c r="J286" s="1"/>
      <c r="L286">
        <v>711</v>
      </c>
      <c r="M286" t="s">
        <v>343</v>
      </c>
      <c r="N286">
        <v>70</v>
      </c>
      <c r="O286">
        <v>0</v>
      </c>
      <c r="P286">
        <v>0</v>
      </c>
      <c r="Q286">
        <v>626</v>
      </c>
      <c r="R286">
        <v>1</v>
      </c>
      <c r="S286">
        <v>0</v>
      </c>
    </row>
    <row r="287" spans="1:19" x14ac:dyDescent="0.25">
      <c r="A287" t="s">
        <v>97</v>
      </c>
      <c r="B287" t="s">
        <v>342</v>
      </c>
      <c r="C287" s="1">
        <v>41</v>
      </c>
      <c r="D287" s="1">
        <v>0</v>
      </c>
      <c r="E287" s="1">
        <v>0</v>
      </c>
      <c r="F287" s="1">
        <v>147</v>
      </c>
      <c r="G287" s="1">
        <v>0</v>
      </c>
      <c r="H287" s="1">
        <v>0</v>
      </c>
      <c r="I287" s="1">
        <v>0</v>
      </c>
      <c r="J287" s="1"/>
      <c r="L287" t="s">
        <v>815</v>
      </c>
      <c r="M287" t="s">
        <v>344</v>
      </c>
    </row>
    <row r="288" spans="1:19" x14ac:dyDescent="0.25">
      <c r="A288" t="s">
        <v>801</v>
      </c>
      <c r="B288" t="s">
        <v>343</v>
      </c>
      <c r="C288" s="1">
        <v>70</v>
      </c>
      <c r="D288" s="1">
        <v>0</v>
      </c>
      <c r="E288" s="1">
        <v>0</v>
      </c>
      <c r="F288" s="1">
        <v>626</v>
      </c>
      <c r="G288" s="1">
        <v>1</v>
      </c>
      <c r="H288" s="1">
        <v>0</v>
      </c>
      <c r="I288" s="1">
        <v>0</v>
      </c>
      <c r="J288" s="1"/>
      <c r="L288">
        <v>200</v>
      </c>
      <c r="M288" t="s">
        <v>345</v>
      </c>
      <c r="N288">
        <v>121</v>
      </c>
      <c r="O288">
        <v>0</v>
      </c>
      <c r="P288">
        <v>0</v>
      </c>
      <c r="Q288">
        <v>968</v>
      </c>
      <c r="R288">
        <v>0</v>
      </c>
      <c r="S288">
        <v>0</v>
      </c>
    </row>
    <row r="289" spans="1:20" x14ac:dyDescent="0.25">
      <c r="A289" t="s">
        <v>138</v>
      </c>
      <c r="B289" t="s">
        <v>344</v>
      </c>
      <c r="C289" s="1"/>
      <c r="D289" s="1"/>
      <c r="E289" s="1"/>
      <c r="F289" s="1"/>
      <c r="G289" s="1"/>
      <c r="H289" s="1"/>
      <c r="I289" s="1"/>
      <c r="J289" s="1"/>
      <c r="L289">
        <v>710</v>
      </c>
      <c r="M289" t="s">
        <v>346</v>
      </c>
      <c r="N289">
        <v>825</v>
      </c>
      <c r="O289">
        <v>0</v>
      </c>
      <c r="P289">
        <v>0</v>
      </c>
      <c r="Q289">
        <v>5337</v>
      </c>
      <c r="R289">
        <v>0</v>
      </c>
      <c r="S289">
        <v>0</v>
      </c>
    </row>
    <row r="290" spans="1:20" x14ac:dyDescent="0.25">
      <c r="A290" t="s">
        <v>140</v>
      </c>
      <c r="B290" t="s">
        <v>345</v>
      </c>
      <c r="C290" s="1">
        <v>121</v>
      </c>
      <c r="D290" s="1">
        <v>0</v>
      </c>
      <c r="E290" s="1">
        <v>0</v>
      </c>
      <c r="F290" s="1">
        <f>967+1</f>
        <v>968</v>
      </c>
      <c r="G290" s="1">
        <v>0</v>
      </c>
      <c r="H290" s="1">
        <v>0</v>
      </c>
      <c r="I290" s="1">
        <v>0</v>
      </c>
      <c r="J290" s="1"/>
      <c r="L290">
        <v>700</v>
      </c>
      <c r="M290" t="s">
        <v>347</v>
      </c>
      <c r="N290">
        <v>15</v>
      </c>
      <c r="O290">
        <v>0</v>
      </c>
      <c r="P290">
        <v>0</v>
      </c>
      <c r="Q290">
        <v>6</v>
      </c>
      <c r="R290">
        <v>0</v>
      </c>
      <c r="S290">
        <v>0</v>
      </c>
    </row>
    <row r="291" spans="1:20" x14ac:dyDescent="0.25">
      <c r="A291" t="s">
        <v>69</v>
      </c>
      <c r="B291" t="s">
        <v>346</v>
      </c>
      <c r="C291" s="1">
        <f>812+13</f>
        <v>825</v>
      </c>
      <c r="D291" s="1">
        <v>0</v>
      </c>
      <c r="E291" s="1">
        <v>0</v>
      </c>
      <c r="F291" s="1">
        <f>5335+2</f>
        <v>5337</v>
      </c>
      <c r="G291" s="1">
        <v>0</v>
      </c>
      <c r="H291" s="1">
        <v>0</v>
      </c>
      <c r="I291" s="1">
        <v>0</v>
      </c>
      <c r="J291" s="1"/>
      <c r="L291">
        <v>511</v>
      </c>
      <c r="M291" t="s">
        <v>348</v>
      </c>
      <c r="N291">
        <v>660</v>
      </c>
      <c r="O291">
        <v>0</v>
      </c>
      <c r="P291">
        <v>0</v>
      </c>
      <c r="Q291">
        <v>3291</v>
      </c>
      <c r="R291">
        <v>0</v>
      </c>
      <c r="S291">
        <v>0</v>
      </c>
    </row>
    <row r="292" spans="1:20" x14ac:dyDescent="0.25">
      <c r="A292" t="s">
        <v>83</v>
      </c>
      <c r="B292" t="s">
        <v>347</v>
      </c>
      <c r="C292" s="1">
        <v>15</v>
      </c>
      <c r="D292" s="1">
        <v>0</v>
      </c>
      <c r="E292" s="1">
        <v>0</v>
      </c>
      <c r="F292" s="1">
        <v>6</v>
      </c>
      <c r="G292" s="1">
        <v>0</v>
      </c>
      <c r="H292" s="1">
        <v>0</v>
      </c>
      <c r="I292" s="1">
        <v>0</v>
      </c>
      <c r="J292" s="1"/>
      <c r="L292">
        <v>110</v>
      </c>
      <c r="M292" t="s">
        <v>349</v>
      </c>
      <c r="N292">
        <v>130</v>
      </c>
      <c r="O292">
        <v>0</v>
      </c>
      <c r="P292">
        <v>0</v>
      </c>
      <c r="Q292">
        <v>952</v>
      </c>
      <c r="R292">
        <v>0</v>
      </c>
      <c r="S292">
        <v>0</v>
      </c>
    </row>
    <row r="293" spans="1:20" x14ac:dyDescent="0.25">
      <c r="A293" t="s">
        <v>101</v>
      </c>
      <c r="B293" t="s">
        <v>348</v>
      </c>
      <c r="C293" s="1">
        <v>660</v>
      </c>
      <c r="D293" s="1">
        <v>0</v>
      </c>
      <c r="E293" s="1">
        <v>0</v>
      </c>
      <c r="F293" s="1">
        <v>3291</v>
      </c>
      <c r="G293" s="1">
        <v>0</v>
      </c>
      <c r="H293" s="1">
        <v>0</v>
      </c>
      <c r="I293" s="1">
        <v>0</v>
      </c>
      <c r="J293" s="1"/>
      <c r="L293">
        <v>111</v>
      </c>
      <c r="M293" t="s">
        <v>350</v>
      </c>
      <c r="N293">
        <v>279</v>
      </c>
      <c r="O293">
        <v>0</v>
      </c>
      <c r="P293">
        <v>0</v>
      </c>
      <c r="Q293">
        <v>3314</v>
      </c>
      <c r="R293">
        <v>0</v>
      </c>
      <c r="S293">
        <v>0</v>
      </c>
    </row>
    <row r="294" spans="1:20" x14ac:dyDescent="0.25">
      <c r="A294" t="s">
        <v>797</v>
      </c>
      <c r="B294" t="s">
        <v>349</v>
      </c>
      <c r="C294" s="1">
        <v>130</v>
      </c>
      <c r="D294" s="1">
        <v>0</v>
      </c>
      <c r="E294" s="1">
        <v>0</v>
      </c>
      <c r="F294" s="1">
        <v>952</v>
      </c>
      <c r="G294" s="1">
        <v>0</v>
      </c>
      <c r="H294" s="1">
        <v>0</v>
      </c>
      <c r="I294" s="1">
        <v>0</v>
      </c>
      <c r="J294" s="1"/>
      <c r="L294">
        <v>140</v>
      </c>
      <c r="M294" t="s">
        <v>351</v>
      </c>
      <c r="N294">
        <v>186</v>
      </c>
      <c r="O294">
        <v>0</v>
      </c>
      <c r="P294">
        <v>0</v>
      </c>
      <c r="Q294">
        <v>258</v>
      </c>
      <c r="R294">
        <v>0</v>
      </c>
      <c r="S294">
        <v>0</v>
      </c>
    </row>
    <row r="295" spans="1:20" x14ac:dyDescent="0.25">
      <c r="A295" t="s">
        <v>811</v>
      </c>
      <c r="B295" t="s">
        <v>350</v>
      </c>
      <c r="C295" s="1">
        <f>265+14</f>
        <v>279</v>
      </c>
      <c r="D295" s="1">
        <v>0</v>
      </c>
      <c r="E295" s="1">
        <v>0</v>
      </c>
      <c r="F295" s="1">
        <f>3294+20</f>
        <v>3314</v>
      </c>
      <c r="G295" s="1">
        <v>0</v>
      </c>
      <c r="H295" s="1">
        <v>0</v>
      </c>
      <c r="I295" s="1">
        <v>0</v>
      </c>
      <c r="J295" s="1"/>
      <c r="L295">
        <v>500</v>
      </c>
      <c r="M295" t="s">
        <v>352</v>
      </c>
      <c r="N295">
        <v>287</v>
      </c>
      <c r="O295">
        <v>0</v>
      </c>
      <c r="P295">
        <v>0</v>
      </c>
      <c r="Q295">
        <v>527</v>
      </c>
      <c r="R295">
        <v>0</v>
      </c>
      <c r="S295">
        <v>0</v>
      </c>
    </row>
    <row r="296" spans="1:20" x14ac:dyDescent="0.25">
      <c r="A296" t="s">
        <v>45</v>
      </c>
      <c r="B296" t="s">
        <v>351</v>
      </c>
      <c r="C296" s="1">
        <v>186</v>
      </c>
      <c r="D296" s="1">
        <v>0</v>
      </c>
      <c r="E296" s="1">
        <v>0</v>
      </c>
      <c r="F296" s="1">
        <f>255+3</f>
        <v>258</v>
      </c>
      <c r="G296" s="1">
        <v>0</v>
      </c>
      <c r="H296" s="1">
        <v>0</v>
      </c>
      <c r="I296" s="1">
        <v>0</v>
      </c>
      <c r="J296" s="1"/>
      <c r="L296">
        <v>141</v>
      </c>
      <c r="M296" t="s">
        <v>353</v>
      </c>
      <c r="N296">
        <v>4412</v>
      </c>
      <c r="O296">
        <v>0</v>
      </c>
      <c r="P296">
        <v>0</v>
      </c>
      <c r="Q296">
        <v>1262</v>
      </c>
      <c r="R296">
        <v>1</v>
      </c>
      <c r="S296">
        <v>0</v>
      </c>
    </row>
    <row r="297" spans="1:20" x14ac:dyDescent="0.25">
      <c r="A297" t="s">
        <v>824</v>
      </c>
      <c r="B297" t="s">
        <v>352</v>
      </c>
      <c r="C297" s="1">
        <v>287</v>
      </c>
      <c r="D297" s="1">
        <v>0</v>
      </c>
      <c r="E297" s="1">
        <v>0</v>
      </c>
      <c r="F297" s="1">
        <f>499+12+16</f>
        <v>527</v>
      </c>
      <c r="G297" s="1">
        <v>0</v>
      </c>
      <c r="H297" s="1">
        <v>0</v>
      </c>
      <c r="I297" s="1">
        <v>0</v>
      </c>
      <c r="J297" s="1"/>
      <c r="L297">
        <v>146</v>
      </c>
      <c r="M297" t="s">
        <v>354</v>
      </c>
      <c r="N297">
        <v>49</v>
      </c>
      <c r="O297">
        <v>0</v>
      </c>
      <c r="P297">
        <v>0</v>
      </c>
      <c r="Q297">
        <v>266</v>
      </c>
      <c r="R297">
        <v>4</v>
      </c>
      <c r="S297">
        <v>0</v>
      </c>
    </row>
    <row r="298" spans="1:20" x14ac:dyDescent="0.25">
      <c r="A298" t="s">
        <v>31</v>
      </c>
      <c r="B298" t="s">
        <v>353</v>
      </c>
      <c r="C298" s="1">
        <f>4402+10</f>
        <v>4412</v>
      </c>
      <c r="D298" s="1">
        <v>0</v>
      </c>
      <c r="E298" s="1">
        <v>0</v>
      </c>
      <c r="F298" s="1">
        <f>1243+19</f>
        <v>1262</v>
      </c>
      <c r="G298" s="1">
        <v>1</v>
      </c>
      <c r="H298" s="1">
        <v>0</v>
      </c>
      <c r="I298" s="1">
        <v>0</v>
      </c>
      <c r="J298" s="1"/>
      <c r="L298">
        <v>145</v>
      </c>
      <c r="M298" t="s">
        <v>355</v>
      </c>
      <c r="N298">
        <v>135</v>
      </c>
      <c r="O298">
        <v>0</v>
      </c>
      <c r="P298">
        <v>0</v>
      </c>
      <c r="Q298">
        <v>337</v>
      </c>
      <c r="R298">
        <v>0</v>
      </c>
      <c r="S298">
        <v>0</v>
      </c>
    </row>
    <row r="299" spans="1:20" x14ac:dyDescent="0.25">
      <c r="A299" t="s">
        <v>36</v>
      </c>
      <c r="B299" t="s">
        <v>354</v>
      </c>
      <c r="C299" s="1">
        <v>49</v>
      </c>
      <c r="D299" s="1">
        <v>0</v>
      </c>
      <c r="E299" s="1">
        <v>0</v>
      </c>
      <c r="F299" s="1">
        <v>266</v>
      </c>
      <c r="G299" s="1">
        <f>2+2</f>
        <v>4</v>
      </c>
      <c r="H299" s="1">
        <v>0</v>
      </c>
      <c r="I299" s="1">
        <v>0</v>
      </c>
      <c r="J299" s="1"/>
      <c r="L299">
        <v>138</v>
      </c>
      <c r="M299" t="s">
        <v>356</v>
      </c>
    </row>
    <row r="300" spans="1:20" x14ac:dyDescent="0.25">
      <c r="A300" t="s">
        <v>38</v>
      </c>
      <c r="B300" t="s">
        <v>355</v>
      </c>
      <c r="C300" s="1">
        <v>135</v>
      </c>
      <c r="D300" s="1">
        <v>0</v>
      </c>
      <c r="E300" s="1">
        <v>0</v>
      </c>
      <c r="F300" s="1">
        <v>337</v>
      </c>
      <c r="G300" s="1">
        <v>0</v>
      </c>
      <c r="H300" s="1">
        <v>0</v>
      </c>
      <c r="I300" s="1">
        <v>0</v>
      </c>
      <c r="J300" s="1"/>
      <c r="L300">
        <v>139</v>
      </c>
      <c r="M300" t="s">
        <v>357</v>
      </c>
      <c r="N300">
        <v>253</v>
      </c>
      <c r="O300">
        <v>0</v>
      </c>
      <c r="P300">
        <v>0</v>
      </c>
      <c r="Q300">
        <v>869</v>
      </c>
      <c r="R300">
        <v>0</v>
      </c>
      <c r="S300">
        <v>0</v>
      </c>
    </row>
    <row r="301" spans="1:20" x14ac:dyDescent="0.25">
      <c r="A301" t="s">
        <v>50</v>
      </c>
      <c r="B301" t="s">
        <v>356</v>
      </c>
      <c r="C301" s="1"/>
      <c r="D301" s="1"/>
      <c r="E301" s="1"/>
      <c r="F301" s="1"/>
      <c r="G301" s="1"/>
      <c r="H301" s="1"/>
      <c r="I301" s="1"/>
      <c r="J301" s="1"/>
      <c r="L301">
        <v>100</v>
      </c>
      <c r="M301" t="s">
        <v>358</v>
      </c>
      <c r="N301">
        <v>507</v>
      </c>
      <c r="O301">
        <v>0</v>
      </c>
      <c r="P301">
        <v>0</v>
      </c>
      <c r="Q301">
        <v>730</v>
      </c>
      <c r="R301">
        <v>16</v>
      </c>
      <c r="S301">
        <v>0</v>
      </c>
    </row>
    <row r="302" spans="1:20" x14ac:dyDescent="0.25">
      <c r="A302" t="s">
        <v>59</v>
      </c>
      <c r="B302" t="s">
        <v>357</v>
      </c>
      <c r="C302" s="1">
        <v>253</v>
      </c>
      <c r="D302" s="1">
        <v>0</v>
      </c>
      <c r="E302" s="1">
        <v>0</v>
      </c>
      <c r="F302" s="1">
        <f>678+191</f>
        <v>869</v>
      </c>
      <c r="G302" s="1">
        <v>0</v>
      </c>
      <c r="H302" s="1">
        <v>0</v>
      </c>
      <c r="I302" s="1">
        <v>0</v>
      </c>
      <c r="J302" s="1"/>
      <c r="L302">
        <v>142</v>
      </c>
      <c r="M302" t="s">
        <v>359</v>
      </c>
      <c r="N302">
        <v>980</v>
      </c>
      <c r="O302">
        <v>0</v>
      </c>
      <c r="P302">
        <v>0</v>
      </c>
      <c r="Q302">
        <v>1449</v>
      </c>
      <c r="R302">
        <v>0</v>
      </c>
      <c r="S302">
        <v>0</v>
      </c>
    </row>
    <row r="303" spans="1:20" x14ac:dyDescent="0.25">
      <c r="A303" t="s">
        <v>791</v>
      </c>
      <c r="B303" t="s">
        <v>358</v>
      </c>
      <c r="C303" s="1">
        <f>297+4+122+84</f>
        <v>507</v>
      </c>
      <c r="D303" s="1">
        <v>0</v>
      </c>
      <c r="E303" s="1">
        <v>0</v>
      </c>
      <c r="F303" s="1">
        <f>492+50+8+3+177</f>
        <v>730</v>
      </c>
      <c r="G303" s="1">
        <f>14+2</f>
        <v>16</v>
      </c>
      <c r="H303" s="1">
        <v>0</v>
      </c>
      <c r="I303" s="1">
        <v>0</v>
      </c>
      <c r="J303" s="1"/>
      <c r="L303">
        <v>144</v>
      </c>
      <c r="M303" t="s">
        <v>360</v>
      </c>
      <c r="N303">
        <v>80</v>
      </c>
      <c r="O303">
        <v>0</v>
      </c>
      <c r="P303">
        <v>0</v>
      </c>
      <c r="Q303">
        <v>1018</v>
      </c>
      <c r="R303">
        <v>2</v>
      </c>
      <c r="S303">
        <v>0</v>
      </c>
      <c r="T303" s="1"/>
    </row>
    <row r="304" spans="1:20" x14ac:dyDescent="0.25">
      <c r="A304" t="s">
        <v>54</v>
      </c>
      <c r="B304" t="s">
        <v>359</v>
      </c>
      <c r="C304" s="1">
        <v>980</v>
      </c>
      <c r="D304" s="1">
        <v>0</v>
      </c>
      <c r="E304" s="1">
        <v>0</v>
      </c>
      <c r="F304" s="1">
        <v>1449</v>
      </c>
      <c r="G304" s="1">
        <v>0</v>
      </c>
      <c r="H304" s="1">
        <v>0</v>
      </c>
      <c r="I304" s="1">
        <v>0</v>
      </c>
      <c r="J304" s="1"/>
      <c r="L304">
        <v>120</v>
      </c>
      <c r="M304" t="s">
        <v>361</v>
      </c>
    </row>
    <row r="305" spans="1:19" x14ac:dyDescent="0.25">
      <c r="A305" t="s">
        <v>787</v>
      </c>
      <c r="B305" t="s">
        <v>360</v>
      </c>
      <c r="C305" s="1">
        <v>80</v>
      </c>
      <c r="D305" s="1">
        <v>0</v>
      </c>
      <c r="E305" s="1">
        <v>0</v>
      </c>
      <c r="F305" s="1">
        <v>1018</v>
      </c>
      <c r="G305" s="1">
        <v>2</v>
      </c>
      <c r="H305" s="1">
        <v>0</v>
      </c>
      <c r="I305" s="1">
        <v>0</v>
      </c>
      <c r="J305" s="1"/>
      <c r="L305">
        <v>310</v>
      </c>
      <c r="M305" t="s">
        <v>362</v>
      </c>
    </row>
    <row r="306" spans="1:19" x14ac:dyDescent="0.25">
      <c r="A306" t="s">
        <v>802</v>
      </c>
      <c r="B306" t="s">
        <v>361</v>
      </c>
      <c r="C306" s="1"/>
      <c r="D306" s="1"/>
      <c r="E306" s="1"/>
      <c r="F306" s="1"/>
      <c r="G306" s="1"/>
      <c r="H306" s="1"/>
      <c r="I306" s="1"/>
      <c r="J306" s="1"/>
      <c r="L306">
        <v>114</v>
      </c>
      <c r="M306" t="s">
        <v>363</v>
      </c>
      <c r="N306" s="1">
        <v>72</v>
      </c>
      <c r="O306" s="1">
        <v>0</v>
      </c>
      <c r="P306" s="1">
        <v>0</v>
      </c>
      <c r="Q306" s="1">
        <v>1278</v>
      </c>
      <c r="R306" s="1">
        <v>0</v>
      </c>
      <c r="S306" s="1">
        <v>0</v>
      </c>
    </row>
    <row r="307" spans="1:19" x14ac:dyDescent="0.25">
      <c r="A307" t="s">
        <v>67</v>
      </c>
      <c r="B307" t="s">
        <v>362</v>
      </c>
      <c r="C307" s="1"/>
      <c r="D307" s="1"/>
      <c r="E307" s="1"/>
      <c r="F307" s="1"/>
      <c r="G307" s="1"/>
      <c r="H307" s="1"/>
      <c r="I307" s="1"/>
      <c r="J307" s="1"/>
      <c r="L307">
        <v>600</v>
      </c>
      <c r="M307" t="s">
        <v>364</v>
      </c>
      <c r="N307">
        <v>87</v>
      </c>
      <c r="O307">
        <v>0</v>
      </c>
      <c r="P307">
        <v>0</v>
      </c>
      <c r="Q307">
        <v>363</v>
      </c>
      <c r="R307">
        <v>0</v>
      </c>
      <c r="S307">
        <v>0</v>
      </c>
    </row>
    <row r="308" spans="1:19" x14ac:dyDescent="0.25">
      <c r="A308" t="s">
        <v>150</v>
      </c>
      <c r="B308" t="s">
        <v>363</v>
      </c>
      <c r="C308" s="1">
        <v>72</v>
      </c>
      <c r="D308" s="1">
        <v>0</v>
      </c>
      <c r="E308" s="1">
        <v>0</v>
      </c>
      <c r="F308" s="1">
        <v>1278</v>
      </c>
      <c r="G308" s="1">
        <v>0</v>
      </c>
      <c r="H308" s="1">
        <v>0</v>
      </c>
      <c r="I308" s="1">
        <v>0</v>
      </c>
      <c r="J308" s="1"/>
      <c r="L308">
        <v>100</v>
      </c>
      <c r="M308" t="s">
        <v>365</v>
      </c>
      <c r="N308">
        <v>1547</v>
      </c>
      <c r="O308">
        <v>4</v>
      </c>
      <c r="P308">
        <v>0</v>
      </c>
      <c r="Q308">
        <v>631</v>
      </c>
      <c r="R308">
        <v>48</v>
      </c>
      <c r="S308">
        <v>0</v>
      </c>
    </row>
    <row r="309" spans="1:19" x14ac:dyDescent="0.25">
      <c r="A309" t="s">
        <v>248</v>
      </c>
      <c r="B309" t="s">
        <v>364</v>
      </c>
      <c r="C309" s="1">
        <v>87</v>
      </c>
      <c r="D309" s="1">
        <v>0</v>
      </c>
      <c r="E309" s="1">
        <v>0</v>
      </c>
      <c r="F309" s="1">
        <v>363</v>
      </c>
      <c r="G309" s="1">
        <v>0</v>
      </c>
      <c r="H309" s="1">
        <v>0</v>
      </c>
      <c r="I309" s="1">
        <v>0</v>
      </c>
      <c r="J309" s="1"/>
      <c r="L309">
        <v>110</v>
      </c>
      <c r="M309" t="s">
        <v>366</v>
      </c>
      <c r="N309">
        <v>18</v>
      </c>
      <c r="O309">
        <v>0</v>
      </c>
      <c r="P309">
        <v>0</v>
      </c>
      <c r="Q309">
        <v>188</v>
      </c>
      <c r="R309">
        <v>16</v>
      </c>
      <c r="S309">
        <v>0</v>
      </c>
    </row>
    <row r="310" spans="1:19" x14ac:dyDescent="0.25">
      <c r="A310" t="s">
        <v>791</v>
      </c>
      <c r="B310" t="s">
        <v>365</v>
      </c>
      <c r="C310" s="1">
        <f>1511+1+35</f>
        <v>1547</v>
      </c>
      <c r="D310" s="1">
        <v>4</v>
      </c>
      <c r="E310" s="1">
        <v>0</v>
      </c>
      <c r="F310" s="1">
        <f>628+2+1</f>
        <v>631</v>
      </c>
      <c r="G310" s="1">
        <v>48</v>
      </c>
      <c r="H310" s="1">
        <v>0</v>
      </c>
      <c r="I310" s="1">
        <v>0</v>
      </c>
      <c r="J310" s="1"/>
      <c r="L310">
        <v>311</v>
      </c>
      <c r="M310" t="s">
        <v>367</v>
      </c>
      <c r="N310">
        <v>358</v>
      </c>
      <c r="O310">
        <v>0</v>
      </c>
      <c r="P310">
        <v>0</v>
      </c>
      <c r="Q310">
        <v>6417</v>
      </c>
      <c r="R310">
        <v>123</v>
      </c>
      <c r="S310">
        <v>0</v>
      </c>
    </row>
    <row r="311" spans="1:19" x14ac:dyDescent="0.25">
      <c r="A311" t="s">
        <v>797</v>
      </c>
      <c r="B311" t="s">
        <v>366</v>
      </c>
      <c r="C311" s="1">
        <f>10+7+1</f>
        <v>18</v>
      </c>
      <c r="D311" s="1">
        <v>0</v>
      </c>
      <c r="E311" s="1">
        <v>0</v>
      </c>
      <c r="F311" s="1">
        <f>170+2+16</f>
        <v>188</v>
      </c>
      <c r="G311" s="1">
        <f>10+4+2</f>
        <v>16</v>
      </c>
      <c r="H311" s="1">
        <v>0</v>
      </c>
      <c r="I311" s="1">
        <v>0</v>
      </c>
      <c r="J311" s="1"/>
      <c r="L311">
        <v>118</v>
      </c>
      <c r="M311" t="s">
        <v>368</v>
      </c>
      <c r="N311" s="1">
        <f>889+4+4</f>
        <v>897</v>
      </c>
      <c r="O311" s="1">
        <v>0</v>
      </c>
      <c r="P311" s="1">
        <v>0</v>
      </c>
      <c r="Q311" s="1">
        <f>2323+4+38+13+85</f>
        <v>2463</v>
      </c>
      <c r="R311" s="1">
        <v>0</v>
      </c>
      <c r="S311" s="1">
        <v>0</v>
      </c>
    </row>
    <row r="312" spans="1:19" x14ac:dyDescent="0.25">
      <c r="A312" t="s">
        <v>120</v>
      </c>
      <c r="B312" t="s">
        <v>367</v>
      </c>
      <c r="C312" s="1">
        <v>358</v>
      </c>
      <c r="D312" s="1">
        <v>0</v>
      </c>
      <c r="E312" s="1">
        <v>0</v>
      </c>
      <c r="F312" s="1">
        <v>6417</v>
      </c>
      <c r="G312" s="1">
        <f>12+111</f>
        <v>123</v>
      </c>
      <c r="H312" s="1">
        <v>0</v>
      </c>
      <c r="I312" s="1">
        <v>0</v>
      </c>
      <c r="J312" s="1"/>
      <c r="L312" t="s">
        <v>808</v>
      </c>
      <c r="M312" t="s">
        <v>369</v>
      </c>
      <c r="N312">
        <v>890</v>
      </c>
      <c r="O312">
        <v>0</v>
      </c>
      <c r="P312">
        <v>0</v>
      </c>
      <c r="Q312">
        <v>2960</v>
      </c>
      <c r="R312">
        <v>1</v>
      </c>
      <c r="S312">
        <v>0</v>
      </c>
    </row>
    <row r="313" spans="1:19" x14ac:dyDescent="0.25">
      <c r="A313" t="s">
        <v>188</v>
      </c>
      <c r="B313" t="s">
        <v>368</v>
      </c>
      <c r="C313" s="1">
        <f>889+4+4</f>
        <v>897</v>
      </c>
      <c r="D313" s="1">
        <v>0</v>
      </c>
      <c r="E313" s="1">
        <v>0</v>
      </c>
      <c r="F313" s="1">
        <f>2323+4+38+13+85</f>
        <v>2463</v>
      </c>
      <c r="G313" s="1">
        <v>0</v>
      </c>
      <c r="H313" s="1">
        <v>0</v>
      </c>
      <c r="I313" s="1">
        <v>0</v>
      </c>
      <c r="J313" s="1"/>
      <c r="L313">
        <v>161</v>
      </c>
      <c r="M313" t="s">
        <v>370</v>
      </c>
      <c r="N313">
        <v>402</v>
      </c>
      <c r="O313">
        <v>47</v>
      </c>
      <c r="P313">
        <v>0</v>
      </c>
      <c r="Q313">
        <v>1296</v>
      </c>
      <c r="R313">
        <v>7</v>
      </c>
      <c r="S313">
        <v>0</v>
      </c>
    </row>
    <row r="314" spans="1:19" x14ac:dyDescent="0.25">
      <c r="A314" t="s">
        <v>809</v>
      </c>
      <c r="B314" t="s">
        <v>369</v>
      </c>
      <c r="C314" s="1">
        <f>767+1+122</f>
        <v>890</v>
      </c>
      <c r="D314" s="1">
        <v>0</v>
      </c>
      <c r="E314" s="1">
        <v>0</v>
      </c>
      <c r="F314" s="1">
        <f>2945+2+13</f>
        <v>2960</v>
      </c>
      <c r="G314" s="1">
        <v>1</v>
      </c>
      <c r="H314" s="1">
        <v>0</v>
      </c>
      <c r="I314" s="1">
        <v>0</v>
      </c>
      <c r="J314" s="1"/>
      <c r="L314">
        <v>300</v>
      </c>
      <c r="M314" t="s">
        <v>371</v>
      </c>
    </row>
    <row r="315" spans="1:19" x14ac:dyDescent="0.25">
      <c r="A315" t="s">
        <v>792</v>
      </c>
      <c r="B315" t="s">
        <v>370</v>
      </c>
      <c r="C315" s="1">
        <v>402</v>
      </c>
      <c r="D315" s="1">
        <v>47</v>
      </c>
      <c r="E315" s="1">
        <v>0</v>
      </c>
      <c r="F315" s="1">
        <f>1279+17</f>
        <v>1296</v>
      </c>
      <c r="G315" s="1">
        <f>1+6</f>
        <v>7</v>
      </c>
      <c r="H315" s="1">
        <v>0</v>
      </c>
      <c r="I315" s="1">
        <v>0</v>
      </c>
      <c r="J315" s="1"/>
      <c r="L315">
        <v>110</v>
      </c>
      <c r="M315" t="s">
        <v>372</v>
      </c>
      <c r="N315">
        <v>379</v>
      </c>
      <c r="O315">
        <v>7</v>
      </c>
      <c r="P315">
        <v>0</v>
      </c>
      <c r="Q315">
        <v>2710</v>
      </c>
      <c r="R315">
        <v>30</v>
      </c>
      <c r="S315">
        <v>0</v>
      </c>
    </row>
    <row r="316" spans="1:19" x14ac:dyDescent="0.25">
      <c r="A316" t="s">
        <v>226</v>
      </c>
      <c r="B316" t="s">
        <v>371</v>
      </c>
      <c r="C316" s="1"/>
      <c r="D316" s="1"/>
      <c r="E316" s="1"/>
      <c r="F316" s="1"/>
      <c r="G316" s="1"/>
      <c r="H316" s="1"/>
      <c r="I316" s="1"/>
      <c r="J316" s="1"/>
      <c r="L316">
        <v>100</v>
      </c>
      <c r="M316" t="s">
        <v>373</v>
      </c>
      <c r="N316">
        <v>1112</v>
      </c>
      <c r="O316">
        <v>0</v>
      </c>
      <c r="P316">
        <v>0</v>
      </c>
      <c r="Q316">
        <v>2226</v>
      </c>
      <c r="R316">
        <v>3</v>
      </c>
      <c r="S316">
        <v>0</v>
      </c>
    </row>
    <row r="317" spans="1:19" x14ac:dyDescent="0.25">
      <c r="A317" t="s">
        <v>797</v>
      </c>
      <c r="B317" t="s">
        <v>372</v>
      </c>
      <c r="C317" s="1">
        <f>372+5+2</f>
        <v>379</v>
      </c>
      <c r="D317" s="1">
        <v>7</v>
      </c>
      <c r="E317" s="1">
        <v>0</v>
      </c>
      <c r="F317" s="1">
        <f>2695+3+12</f>
        <v>2710</v>
      </c>
      <c r="G317" s="1">
        <v>30</v>
      </c>
      <c r="H317" s="1">
        <v>0</v>
      </c>
      <c r="I317" s="1">
        <v>0</v>
      </c>
      <c r="J317" s="1"/>
      <c r="L317">
        <v>120</v>
      </c>
      <c r="M317" t="s">
        <v>374</v>
      </c>
    </row>
    <row r="318" spans="1:19" x14ac:dyDescent="0.25">
      <c r="A318" t="s">
        <v>791</v>
      </c>
      <c r="B318" t="s">
        <v>373</v>
      </c>
      <c r="C318" s="1">
        <f>1106+3+3</f>
        <v>1112</v>
      </c>
      <c r="D318" s="1">
        <v>0</v>
      </c>
      <c r="E318" s="1">
        <v>0</v>
      </c>
      <c r="F318" s="1">
        <f>1980+4+242</f>
        <v>2226</v>
      </c>
      <c r="G318" s="1">
        <v>3</v>
      </c>
      <c r="H318" s="1">
        <v>0</v>
      </c>
      <c r="I318" s="1">
        <v>0</v>
      </c>
      <c r="J318" s="1"/>
      <c r="L318">
        <v>313</v>
      </c>
      <c r="M318" t="s">
        <v>375</v>
      </c>
    </row>
    <row r="319" spans="1:19" x14ac:dyDescent="0.25">
      <c r="A319" t="s">
        <v>802</v>
      </c>
      <c r="B319" t="s">
        <v>374</v>
      </c>
      <c r="C319" s="1"/>
      <c r="D319" s="1"/>
      <c r="E319" s="1"/>
      <c r="F319" s="1"/>
      <c r="G319" s="1"/>
      <c r="H319" s="1"/>
      <c r="I319" s="1"/>
      <c r="J319" s="1"/>
      <c r="L319">
        <v>616</v>
      </c>
      <c r="M319" t="s">
        <v>376</v>
      </c>
    </row>
    <row r="320" spans="1:19" x14ac:dyDescent="0.25">
      <c r="A320" t="s">
        <v>512</v>
      </c>
      <c r="B320" t="s">
        <v>375</v>
      </c>
      <c r="C320" s="1"/>
      <c r="D320" s="1"/>
      <c r="E320" s="1"/>
      <c r="F320" s="1"/>
      <c r="G320" s="1"/>
      <c r="H320" s="1"/>
      <c r="I320" s="1"/>
      <c r="J320" s="1"/>
      <c r="L320">
        <v>700</v>
      </c>
      <c r="M320" t="s">
        <v>377</v>
      </c>
      <c r="N320" s="1">
        <f>398+26</f>
        <v>424</v>
      </c>
      <c r="O320" s="1">
        <v>111</v>
      </c>
      <c r="P320" s="1">
        <v>0</v>
      </c>
      <c r="Q320" s="1">
        <f>2122+1+113</f>
        <v>2236</v>
      </c>
      <c r="R320" s="1">
        <v>17</v>
      </c>
      <c r="S320" s="1">
        <v>0</v>
      </c>
    </row>
    <row r="321" spans="1:19" x14ac:dyDescent="0.25">
      <c r="A321" t="s">
        <v>817</v>
      </c>
      <c r="B321" t="s">
        <v>376</v>
      </c>
      <c r="C321" s="1"/>
      <c r="D321" s="1"/>
      <c r="E321" s="1"/>
      <c r="F321" s="1"/>
      <c r="G321" s="1"/>
      <c r="H321" s="1"/>
      <c r="I321" s="1"/>
      <c r="J321" s="1"/>
      <c r="L321">
        <v>116</v>
      </c>
      <c r="M321" t="s">
        <v>378</v>
      </c>
      <c r="N321">
        <v>156</v>
      </c>
      <c r="O321">
        <v>0</v>
      </c>
      <c r="P321">
        <v>0</v>
      </c>
      <c r="Q321">
        <v>1461</v>
      </c>
      <c r="R321">
        <v>0</v>
      </c>
      <c r="S321">
        <v>0</v>
      </c>
    </row>
    <row r="322" spans="1:19" x14ac:dyDescent="0.25">
      <c r="A322" t="s">
        <v>83</v>
      </c>
      <c r="B322" t="s">
        <v>377</v>
      </c>
      <c r="C322" s="1">
        <f>398+26</f>
        <v>424</v>
      </c>
      <c r="D322" s="1">
        <v>111</v>
      </c>
      <c r="E322" s="1">
        <v>0</v>
      </c>
      <c r="F322" s="1">
        <f>2122+1+113</f>
        <v>2236</v>
      </c>
      <c r="G322" s="1">
        <v>17</v>
      </c>
      <c r="H322" s="1">
        <v>0</v>
      </c>
      <c r="I322" s="1">
        <v>0</v>
      </c>
      <c r="J322" s="1"/>
      <c r="L322">
        <v>137</v>
      </c>
      <c r="M322" t="s">
        <v>379</v>
      </c>
      <c r="N322">
        <v>225</v>
      </c>
      <c r="O322">
        <v>0</v>
      </c>
      <c r="P322">
        <v>0</v>
      </c>
      <c r="Q322">
        <v>228</v>
      </c>
      <c r="R322">
        <v>0</v>
      </c>
      <c r="S322">
        <v>0</v>
      </c>
    </row>
    <row r="323" spans="1:19" x14ac:dyDescent="0.25">
      <c r="A323" t="s">
        <v>795</v>
      </c>
      <c r="B323" t="s">
        <v>378</v>
      </c>
      <c r="C323" s="1">
        <v>156</v>
      </c>
      <c r="D323" s="1">
        <v>0</v>
      </c>
      <c r="E323" s="1">
        <v>0</v>
      </c>
      <c r="F323" s="1">
        <v>1461</v>
      </c>
      <c r="G323" s="1">
        <v>0</v>
      </c>
      <c r="H323" s="1">
        <v>0</v>
      </c>
      <c r="I323" s="1">
        <v>0</v>
      </c>
      <c r="J323" s="1"/>
      <c r="L323">
        <v>161</v>
      </c>
      <c r="M323" t="s">
        <v>380</v>
      </c>
      <c r="N323">
        <v>99</v>
      </c>
      <c r="O323">
        <v>0</v>
      </c>
      <c r="P323">
        <v>0</v>
      </c>
      <c r="Q323">
        <v>1198</v>
      </c>
      <c r="R323">
        <v>0</v>
      </c>
      <c r="S323">
        <v>0</v>
      </c>
    </row>
    <row r="324" spans="1:19" x14ac:dyDescent="0.25">
      <c r="A324" t="s">
        <v>118</v>
      </c>
      <c r="B324" t="s">
        <v>379</v>
      </c>
      <c r="C324" s="1">
        <v>225</v>
      </c>
      <c r="D324" s="1">
        <v>0</v>
      </c>
      <c r="E324" s="1">
        <v>0</v>
      </c>
      <c r="F324" s="1">
        <f>223+5</f>
        <v>228</v>
      </c>
      <c r="G324" s="1">
        <v>0</v>
      </c>
      <c r="H324" s="1">
        <v>0</v>
      </c>
      <c r="I324" s="1">
        <v>0</v>
      </c>
      <c r="J324" s="1"/>
      <c r="L324">
        <v>136</v>
      </c>
      <c r="M324" t="s">
        <v>381</v>
      </c>
      <c r="N324">
        <v>125</v>
      </c>
      <c r="O324">
        <v>0</v>
      </c>
      <c r="P324">
        <v>0</v>
      </c>
      <c r="Q324">
        <v>917</v>
      </c>
      <c r="R324">
        <v>0</v>
      </c>
      <c r="S324">
        <v>0</v>
      </c>
    </row>
    <row r="325" spans="1:19" x14ac:dyDescent="0.25">
      <c r="A325" t="s">
        <v>792</v>
      </c>
      <c r="B325" t="s">
        <v>380</v>
      </c>
      <c r="C325" s="1">
        <v>99</v>
      </c>
      <c r="D325" s="1">
        <v>0</v>
      </c>
      <c r="E325" s="1">
        <v>0</v>
      </c>
      <c r="F325" s="1">
        <f>1153+45</f>
        <v>1198</v>
      </c>
      <c r="G325" s="1">
        <v>0</v>
      </c>
      <c r="H325" s="1">
        <v>0</v>
      </c>
      <c r="I325" s="1">
        <v>0</v>
      </c>
      <c r="J325" s="1"/>
      <c r="L325">
        <v>127</v>
      </c>
      <c r="M325" t="s">
        <v>382</v>
      </c>
      <c r="N325">
        <v>486</v>
      </c>
      <c r="O325">
        <v>2</v>
      </c>
      <c r="P325">
        <v>0</v>
      </c>
      <c r="Q325">
        <v>361</v>
      </c>
      <c r="R325">
        <v>4</v>
      </c>
      <c r="S325">
        <v>0</v>
      </c>
    </row>
    <row r="326" spans="1:19" x14ac:dyDescent="0.25">
      <c r="A326" t="s">
        <v>128</v>
      </c>
      <c r="B326" t="s">
        <v>381</v>
      </c>
      <c r="C326" s="1">
        <v>125</v>
      </c>
      <c r="D326" s="1">
        <v>0</v>
      </c>
      <c r="E326" s="1">
        <v>0</v>
      </c>
      <c r="F326" s="1">
        <v>917</v>
      </c>
      <c r="G326" s="1">
        <v>0</v>
      </c>
      <c r="H326" s="1">
        <v>0</v>
      </c>
      <c r="I326" s="1">
        <v>0</v>
      </c>
      <c r="J326" s="1"/>
      <c r="L326">
        <v>133</v>
      </c>
      <c r="M326" t="s">
        <v>383</v>
      </c>
      <c r="N326">
        <v>1171</v>
      </c>
      <c r="O326">
        <v>23</v>
      </c>
      <c r="P326">
        <v>0</v>
      </c>
      <c r="Q326">
        <v>5812</v>
      </c>
      <c r="R326">
        <v>72</v>
      </c>
      <c r="S326">
        <v>0</v>
      </c>
    </row>
    <row r="327" spans="1:19" x14ac:dyDescent="0.25">
      <c r="A327" t="s">
        <v>108</v>
      </c>
      <c r="B327" t="s">
        <v>382</v>
      </c>
      <c r="C327" s="1">
        <f>480+6</f>
        <v>486</v>
      </c>
      <c r="D327" s="1">
        <v>2</v>
      </c>
      <c r="E327" s="1">
        <v>0</v>
      </c>
      <c r="F327" s="1">
        <f>339+22</f>
        <v>361</v>
      </c>
      <c r="G327" s="1">
        <v>4</v>
      </c>
      <c r="H327" s="1">
        <v>0</v>
      </c>
      <c r="I327" s="1">
        <v>0</v>
      </c>
      <c r="J327" s="1"/>
      <c r="L327">
        <v>134</v>
      </c>
      <c r="M327" t="s">
        <v>384</v>
      </c>
      <c r="N327">
        <v>219</v>
      </c>
      <c r="O327">
        <v>1</v>
      </c>
      <c r="P327">
        <v>0</v>
      </c>
      <c r="Q327">
        <v>60</v>
      </c>
      <c r="R327">
        <v>0</v>
      </c>
      <c r="S327">
        <v>0</v>
      </c>
    </row>
    <row r="328" spans="1:19" x14ac:dyDescent="0.25">
      <c r="A328" t="s">
        <v>106</v>
      </c>
      <c r="B328" t="s">
        <v>383</v>
      </c>
      <c r="C328" s="1">
        <f>1169+2</f>
        <v>1171</v>
      </c>
      <c r="D328" s="1">
        <v>23</v>
      </c>
      <c r="E328" s="1">
        <v>0</v>
      </c>
      <c r="F328" s="1">
        <f>5769+1+1+41</f>
        <v>5812</v>
      </c>
      <c r="G328" s="1">
        <f>53+2+1+16</f>
        <v>72</v>
      </c>
      <c r="H328" s="1">
        <v>0</v>
      </c>
      <c r="I328" s="1">
        <v>0</v>
      </c>
      <c r="J328" s="1"/>
      <c r="L328">
        <v>135</v>
      </c>
      <c r="M328" t="s">
        <v>385</v>
      </c>
      <c r="N328">
        <v>669</v>
      </c>
      <c r="O328">
        <v>0</v>
      </c>
      <c r="P328">
        <v>0</v>
      </c>
      <c r="Q328">
        <v>346</v>
      </c>
      <c r="R328">
        <v>0</v>
      </c>
      <c r="S328">
        <v>0</v>
      </c>
    </row>
    <row r="329" spans="1:19" x14ac:dyDescent="0.25">
      <c r="A329" t="s">
        <v>99</v>
      </c>
      <c r="B329" t="s">
        <v>384</v>
      </c>
      <c r="C329" s="1">
        <v>219</v>
      </c>
      <c r="D329" s="1">
        <v>1</v>
      </c>
      <c r="E329" s="1">
        <v>0</v>
      </c>
      <c r="F329" s="1">
        <v>60</v>
      </c>
      <c r="G329" s="1">
        <v>0</v>
      </c>
      <c r="H329" s="1">
        <v>0</v>
      </c>
      <c r="I329" s="1">
        <v>0</v>
      </c>
      <c r="J329" s="1"/>
      <c r="L329">
        <v>131</v>
      </c>
      <c r="M329" t="s">
        <v>386</v>
      </c>
    </row>
    <row r="330" spans="1:19" x14ac:dyDescent="0.25">
      <c r="A330" t="s">
        <v>113</v>
      </c>
      <c r="B330" t="s">
        <v>385</v>
      </c>
      <c r="C330" s="1">
        <f>665+4</f>
        <v>669</v>
      </c>
      <c r="D330" s="1">
        <v>0</v>
      </c>
      <c r="E330" s="1">
        <v>0</v>
      </c>
      <c r="F330" s="1">
        <v>346</v>
      </c>
      <c r="G330" s="1">
        <v>0</v>
      </c>
      <c r="H330" s="1">
        <v>0</v>
      </c>
      <c r="I330" s="1">
        <v>0</v>
      </c>
      <c r="J330" s="1"/>
      <c r="L330">
        <v>132</v>
      </c>
      <c r="M330" t="s">
        <v>387</v>
      </c>
    </row>
    <row r="331" spans="1:19" x14ac:dyDescent="0.25">
      <c r="A331" t="s">
        <v>810</v>
      </c>
      <c r="B331" t="s">
        <v>386</v>
      </c>
      <c r="C331" s="1"/>
      <c r="D331" s="1"/>
      <c r="E331" s="1"/>
      <c r="F331" s="1"/>
      <c r="G331" s="1"/>
      <c r="H331" s="1"/>
      <c r="I331" s="1"/>
      <c r="J331" s="1"/>
      <c r="M331" t="s">
        <v>388</v>
      </c>
    </row>
    <row r="332" spans="1:19" x14ac:dyDescent="0.25">
      <c r="A332" t="s">
        <v>812</v>
      </c>
      <c r="B332" t="s">
        <v>387</v>
      </c>
      <c r="C332" s="1"/>
      <c r="D332" s="1"/>
      <c r="E332" s="1"/>
      <c r="F332" s="1"/>
      <c r="G332" s="1"/>
      <c r="H332" s="1"/>
      <c r="I332" s="1"/>
      <c r="J332" s="1"/>
      <c r="M332" t="s">
        <v>391</v>
      </c>
    </row>
    <row r="333" spans="1:19" x14ac:dyDescent="0.25">
      <c r="A333" t="s">
        <v>794</v>
      </c>
      <c r="B333" t="s">
        <v>388</v>
      </c>
      <c r="C333" s="1"/>
      <c r="D333" s="1"/>
      <c r="E333" s="1"/>
      <c r="F333" s="1"/>
      <c r="G333" s="1"/>
      <c r="H333" s="1"/>
      <c r="I333" s="1"/>
      <c r="J333" s="1"/>
      <c r="M333" t="s">
        <v>392</v>
      </c>
    </row>
    <row r="334" spans="1:19" x14ac:dyDescent="0.25">
      <c r="A334" t="s">
        <v>805</v>
      </c>
      <c r="B334" t="s">
        <v>389</v>
      </c>
      <c r="C334" s="1"/>
      <c r="D334" s="1"/>
      <c r="E334" s="1"/>
      <c r="F334" s="1"/>
      <c r="G334" s="1"/>
      <c r="H334" s="1"/>
      <c r="I334" s="1"/>
      <c r="J334" s="1"/>
      <c r="M334" t="s">
        <v>395</v>
      </c>
    </row>
    <row r="335" spans="1:19" x14ac:dyDescent="0.25">
      <c r="A335" t="s">
        <v>10</v>
      </c>
      <c r="B335" s="1" t="s">
        <v>390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/>
      <c r="M335" t="s">
        <v>397</v>
      </c>
    </row>
    <row r="336" spans="1:19" x14ac:dyDescent="0.25">
      <c r="A336" t="s">
        <v>226</v>
      </c>
      <c r="B336" t="s">
        <v>391</v>
      </c>
      <c r="C336" s="1"/>
      <c r="D336" s="1"/>
      <c r="E336" s="1"/>
      <c r="F336" s="1"/>
      <c r="G336" s="1"/>
      <c r="H336" s="1"/>
      <c r="I336" s="1"/>
      <c r="J336" s="1"/>
      <c r="M336" t="s">
        <v>398</v>
      </c>
    </row>
    <row r="337" spans="1:19" x14ac:dyDescent="0.25">
      <c r="A337" t="s">
        <v>798</v>
      </c>
      <c r="B337" t="s">
        <v>392</v>
      </c>
      <c r="C337" s="1"/>
      <c r="D337" s="1"/>
      <c r="E337" s="1"/>
      <c r="F337" s="1"/>
      <c r="G337" s="1"/>
      <c r="H337" s="1"/>
      <c r="I337" s="1"/>
      <c r="J337" s="1"/>
      <c r="M337" t="s">
        <v>400</v>
      </c>
    </row>
    <row r="338" spans="1:19" x14ac:dyDescent="0.25">
      <c r="A338" t="s">
        <v>10</v>
      </c>
      <c r="B338" s="1" t="s">
        <v>393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/>
      <c r="M338" t="s">
        <v>402</v>
      </c>
    </row>
    <row r="339" spans="1:19" x14ac:dyDescent="0.25">
      <c r="A339" t="s">
        <v>10</v>
      </c>
      <c r="B339" s="1" t="s">
        <v>394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/>
      <c r="M339" t="s">
        <v>404</v>
      </c>
    </row>
    <row r="340" spans="1:19" x14ac:dyDescent="0.25">
      <c r="A340" s="27" t="s">
        <v>10</v>
      </c>
      <c r="B340" s="32" t="s">
        <v>778</v>
      </c>
      <c r="C340" s="1"/>
      <c r="D340" s="1"/>
      <c r="E340" s="1"/>
      <c r="F340" s="1"/>
      <c r="G340" s="1"/>
      <c r="H340" s="1"/>
      <c r="I340" s="1"/>
      <c r="J340" s="1"/>
      <c r="L340">
        <v>700</v>
      </c>
      <c r="M340" t="s">
        <v>405</v>
      </c>
    </row>
    <row r="341" spans="1:19" x14ac:dyDescent="0.25">
      <c r="A341" t="s">
        <v>69</v>
      </c>
      <c r="B341" t="s">
        <v>395</v>
      </c>
      <c r="C341" s="1"/>
      <c r="D341" s="1"/>
      <c r="E341" s="1"/>
      <c r="F341" s="1"/>
      <c r="G341" s="1"/>
      <c r="H341" s="1"/>
      <c r="I341" s="1"/>
      <c r="J341" s="1"/>
      <c r="L341">
        <v>600</v>
      </c>
      <c r="M341" t="s">
        <v>406</v>
      </c>
      <c r="N341">
        <v>6253</v>
      </c>
      <c r="O341">
        <v>115</v>
      </c>
      <c r="P341">
        <v>0</v>
      </c>
      <c r="Q341">
        <v>0</v>
      </c>
      <c r="R341">
        <v>0</v>
      </c>
      <c r="S341">
        <v>10995</v>
      </c>
    </row>
    <row r="342" spans="1:19" x14ac:dyDescent="0.25">
      <c r="A342" t="s">
        <v>796</v>
      </c>
      <c r="B342" s="1" t="s">
        <v>396</v>
      </c>
      <c r="C342" s="1"/>
      <c r="D342" s="1"/>
      <c r="E342" s="1"/>
      <c r="F342" s="1"/>
      <c r="G342" s="1"/>
      <c r="H342" s="1"/>
      <c r="I342" s="1"/>
      <c r="J342" s="1"/>
      <c r="L342">
        <v>161</v>
      </c>
      <c r="M342" t="s">
        <v>407</v>
      </c>
      <c r="N342">
        <v>3385</v>
      </c>
      <c r="O342">
        <v>51</v>
      </c>
      <c r="P342">
        <v>0</v>
      </c>
      <c r="Q342">
        <v>0</v>
      </c>
      <c r="R342">
        <v>0</v>
      </c>
      <c r="S342">
        <v>327</v>
      </c>
    </row>
    <row r="343" spans="1:19" x14ac:dyDescent="0.25">
      <c r="A343" t="s">
        <v>512</v>
      </c>
      <c r="B343" t="s">
        <v>397</v>
      </c>
      <c r="C343" s="1"/>
      <c r="D343" s="1"/>
      <c r="E343" s="1"/>
      <c r="F343" s="1"/>
      <c r="G343" s="1"/>
      <c r="H343" s="1"/>
      <c r="I343" s="1"/>
      <c r="J343" s="1"/>
      <c r="L343">
        <v>711</v>
      </c>
      <c r="M343" t="s">
        <v>408</v>
      </c>
      <c r="N343">
        <v>11790</v>
      </c>
      <c r="O343">
        <v>48</v>
      </c>
      <c r="P343">
        <v>0</v>
      </c>
      <c r="Q343">
        <v>0</v>
      </c>
      <c r="R343">
        <v>0</v>
      </c>
      <c r="S343">
        <v>8653</v>
      </c>
    </row>
    <row r="344" spans="1:19" x14ac:dyDescent="0.25">
      <c r="A344" t="s">
        <v>805</v>
      </c>
      <c r="B344" t="s">
        <v>398</v>
      </c>
      <c r="C344" s="1"/>
      <c r="D344" s="1"/>
      <c r="E344" s="1"/>
      <c r="F344" s="1"/>
      <c r="G344" s="1"/>
      <c r="H344" s="1"/>
      <c r="I344" s="1"/>
      <c r="J344" s="1"/>
      <c r="L344">
        <v>111</v>
      </c>
      <c r="M344" t="s">
        <v>409</v>
      </c>
      <c r="N344">
        <v>13874</v>
      </c>
      <c r="O344">
        <v>142</v>
      </c>
      <c r="P344">
        <v>0</v>
      </c>
      <c r="Q344">
        <v>0</v>
      </c>
      <c r="R344">
        <v>0</v>
      </c>
      <c r="S344">
        <v>5207</v>
      </c>
    </row>
    <row r="345" spans="1:19" x14ac:dyDescent="0.25">
      <c r="A345" t="s">
        <v>10</v>
      </c>
      <c r="B345" s="1" t="s">
        <v>399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/>
      <c r="L345">
        <v>700</v>
      </c>
      <c r="M345" t="s">
        <v>410</v>
      </c>
      <c r="N345">
        <v>666</v>
      </c>
      <c r="O345">
        <v>16</v>
      </c>
      <c r="P345">
        <v>0</v>
      </c>
      <c r="Q345">
        <v>0</v>
      </c>
      <c r="R345">
        <v>0</v>
      </c>
      <c r="S345">
        <v>3417</v>
      </c>
    </row>
    <row r="346" spans="1:19" x14ac:dyDescent="0.25">
      <c r="A346" t="s">
        <v>805</v>
      </c>
      <c r="B346" t="s">
        <v>400</v>
      </c>
      <c r="C346" s="1"/>
      <c r="D346" s="1"/>
      <c r="E346" s="1"/>
      <c r="F346" s="1"/>
      <c r="G346" s="1"/>
      <c r="H346" s="1"/>
      <c r="I346" s="1"/>
      <c r="J346" s="1"/>
      <c r="L346">
        <v>311</v>
      </c>
      <c r="M346" t="s">
        <v>411</v>
      </c>
      <c r="N346">
        <v>7987</v>
      </c>
      <c r="O346">
        <v>12</v>
      </c>
      <c r="P346">
        <v>0</v>
      </c>
      <c r="Q346">
        <v>0</v>
      </c>
      <c r="R346">
        <v>0</v>
      </c>
      <c r="S346">
        <v>4447</v>
      </c>
    </row>
    <row r="347" spans="1:19" x14ac:dyDescent="0.25">
      <c r="A347" t="s">
        <v>10</v>
      </c>
      <c r="B347" s="1" t="s">
        <v>401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/>
      <c r="L347">
        <v>514</v>
      </c>
      <c r="M347" t="s">
        <v>412</v>
      </c>
      <c r="N347">
        <v>1019</v>
      </c>
      <c r="O347">
        <v>0</v>
      </c>
      <c r="P347">
        <v>0</v>
      </c>
      <c r="Q347">
        <v>0</v>
      </c>
      <c r="R347">
        <v>0</v>
      </c>
      <c r="S347">
        <v>599</v>
      </c>
    </row>
    <row r="348" spans="1:19" x14ac:dyDescent="0.25">
      <c r="A348" t="s">
        <v>805</v>
      </c>
      <c r="B348" t="s">
        <v>402</v>
      </c>
      <c r="C348" s="1"/>
      <c r="D348" s="1"/>
      <c r="E348" s="1"/>
      <c r="F348" s="1"/>
      <c r="G348" s="1"/>
      <c r="H348" s="1"/>
      <c r="I348" s="1"/>
      <c r="J348" s="1"/>
      <c r="L348">
        <v>311</v>
      </c>
      <c r="M348" t="s">
        <v>413</v>
      </c>
      <c r="N348">
        <v>2369</v>
      </c>
      <c r="O348">
        <v>6</v>
      </c>
      <c r="P348">
        <v>0</v>
      </c>
      <c r="Q348">
        <v>0</v>
      </c>
      <c r="R348">
        <v>0</v>
      </c>
      <c r="S348">
        <v>81</v>
      </c>
    </row>
    <row r="349" spans="1:19" x14ac:dyDescent="0.25">
      <c r="A349" t="s">
        <v>10</v>
      </c>
      <c r="B349" s="1" t="s">
        <v>403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/>
      <c r="L349" t="s">
        <v>815</v>
      </c>
      <c r="M349" t="s">
        <v>414</v>
      </c>
      <c r="N349">
        <v>5365</v>
      </c>
      <c r="O349">
        <v>0</v>
      </c>
      <c r="P349">
        <v>0</v>
      </c>
      <c r="Q349">
        <v>0</v>
      </c>
      <c r="R349">
        <v>0</v>
      </c>
      <c r="S349">
        <v>1797</v>
      </c>
    </row>
    <row r="350" spans="1:19" x14ac:dyDescent="0.25">
      <c r="A350" t="s">
        <v>797</v>
      </c>
      <c r="B350" t="s">
        <v>404</v>
      </c>
      <c r="C350" s="1"/>
      <c r="D350" s="1"/>
      <c r="E350" s="1"/>
      <c r="F350" s="1"/>
      <c r="G350" s="1"/>
      <c r="H350" s="1"/>
      <c r="I350" s="1"/>
      <c r="J350" s="1"/>
      <c r="L350">
        <v>711</v>
      </c>
      <c r="M350" t="s">
        <v>415</v>
      </c>
    </row>
    <row r="351" spans="1:19" x14ac:dyDescent="0.25">
      <c r="A351" t="s">
        <v>83</v>
      </c>
      <c r="B351" t="s">
        <v>405</v>
      </c>
      <c r="C351" s="1"/>
      <c r="D351" s="1"/>
      <c r="E351" s="1"/>
      <c r="F351" s="1"/>
      <c r="G351" s="1"/>
      <c r="H351" s="1"/>
      <c r="I351" s="1"/>
      <c r="J351" s="1"/>
      <c r="L351">
        <v>300</v>
      </c>
      <c r="M351" t="s">
        <v>416</v>
      </c>
      <c r="N351">
        <v>1922</v>
      </c>
      <c r="O351">
        <v>1</v>
      </c>
      <c r="P351">
        <v>0</v>
      </c>
      <c r="Q351">
        <v>0</v>
      </c>
      <c r="R351">
        <v>0</v>
      </c>
      <c r="S351">
        <v>6566</v>
      </c>
    </row>
    <row r="352" spans="1:19" x14ac:dyDescent="0.25">
      <c r="A352" t="s">
        <v>248</v>
      </c>
      <c r="B352" t="s">
        <v>406</v>
      </c>
      <c r="C352" s="1">
        <f>4514+2+4+29+7+46+1651</f>
        <v>6253</v>
      </c>
      <c r="D352" s="1">
        <f>110+5</f>
        <v>115</v>
      </c>
      <c r="E352" s="1">
        <v>0</v>
      </c>
      <c r="F352" s="1">
        <v>0</v>
      </c>
      <c r="G352" s="1">
        <v>0</v>
      </c>
      <c r="H352" s="1">
        <v>10995</v>
      </c>
      <c r="I352" s="1">
        <v>1213</v>
      </c>
      <c r="J352" s="1"/>
      <c r="L352" t="s">
        <v>815</v>
      </c>
      <c r="M352" t="s">
        <v>417</v>
      </c>
      <c r="N352">
        <v>10809</v>
      </c>
      <c r="O352">
        <v>231</v>
      </c>
      <c r="P352">
        <v>0</v>
      </c>
      <c r="Q352">
        <v>0</v>
      </c>
      <c r="R352">
        <v>0</v>
      </c>
      <c r="S352">
        <v>5957</v>
      </c>
    </row>
    <row r="353" spans="1:19" x14ac:dyDescent="0.25">
      <c r="A353" s="27" t="s">
        <v>10</v>
      </c>
      <c r="B353" s="32" t="s">
        <v>779</v>
      </c>
      <c r="C353" s="1"/>
      <c r="D353" s="1"/>
      <c r="E353" s="1"/>
      <c r="F353" s="1"/>
      <c r="G353" s="1"/>
      <c r="H353" s="1"/>
      <c r="I353" s="1"/>
      <c r="J353" s="1"/>
      <c r="L353" t="s">
        <v>815</v>
      </c>
      <c r="M353" t="s">
        <v>418</v>
      </c>
      <c r="N353">
        <v>4763</v>
      </c>
      <c r="O353">
        <v>350</v>
      </c>
      <c r="P353">
        <v>0</v>
      </c>
      <c r="Q353">
        <v>0</v>
      </c>
      <c r="R353">
        <v>0</v>
      </c>
      <c r="S353">
        <v>1393</v>
      </c>
    </row>
    <row r="354" spans="1:19" x14ac:dyDescent="0.25">
      <c r="A354" t="s">
        <v>792</v>
      </c>
      <c r="B354" t="s">
        <v>407</v>
      </c>
      <c r="C354" s="1">
        <f>2985+4+5+390+1</f>
        <v>3385</v>
      </c>
      <c r="D354" s="1">
        <f>50+1</f>
        <v>51</v>
      </c>
      <c r="E354" s="1">
        <v>0</v>
      </c>
      <c r="F354" s="1">
        <v>0</v>
      </c>
      <c r="G354" s="1">
        <v>0</v>
      </c>
      <c r="H354" s="1">
        <v>327</v>
      </c>
      <c r="I354" s="1">
        <v>397</v>
      </c>
      <c r="J354" s="1"/>
      <c r="L354">
        <v>713</v>
      </c>
      <c r="M354" t="s">
        <v>419</v>
      </c>
      <c r="N354">
        <v>8429</v>
      </c>
      <c r="O354">
        <v>455</v>
      </c>
      <c r="P354">
        <v>0</v>
      </c>
      <c r="Q354">
        <v>0</v>
      </c>
      <c r="R354">
        <v>0</v>
      </c>
      <c r="S354">
        <v>7756</v>
      </c>
    </row>
    <row r="355" spans="1:19" x14ac:dyDescent="0.25">
      <c r="A355" t="s">
        <v>801</v>
      </c>
      <c r="B355" t="s">
        <v>408</v>
      </c>
      <c r="C355" s="1">
        <f>7679+2+2+1+1+612+3093+400</f>
        <v>11790</v>
      </c>
      <c r="D355" s="1">
        <f>28+3+1+10+6</f>
        <v>48</v>
      </c>
      <c r="E355" s="1">
        <v>0</v>
      </c>
      <c r="F355" s="1">
        <v>0</v>
      </c>
      <c r="G355" s="1">
        <v>0</v>
      </c>
      <c r="H355" s="1">
        <v>8653</v>
      </c>
      <c r="I355" s="1">
        <v>3519</v>
      </c>
      <c r="J355" s="1"/>
      <c r="L355">
        <v>114</v>
      </c>
      <c r="M355" t="s">
        <v>420</v>
      </c>
      <c r="N355">
        <v>5534</v>
      </c>
      <c r="O355">
        <v>23</v>
      </c>
      <c r="P355">
        <v>0</v>
      </c>
      <c r="Q355">
        <v>0</v>
      </c>
      <c r="R355">
        <v>0</v>
      </c>
      <c r="S355">
        <v>6018</v>
      </c>
    </row>
    <row r="356" spans="1:19" x14ac:dyDescent="0.25">
      <c r="A356" t="s">
        <v>811</v>
      </c>
      <c r="B356" t="s">
        <v>409</v>
      </c>
      <c r="C356" s="1">
        <f>8620+5+4+5243+2</f>
        <v>13874</v>
      </c>
      <c r="D356" s="1">
        <f>76+4+47+15</f>
        <v>142</v>
      </c>
      <c r="E356" s="1"/>
      <c r="F356" s="1"/>
      <c r="G356" s="1"/>
      <c r="H356" s="1">
        <v>5207</v>
      </c>
      <c r="I356" s="1">
        <v>4666</v>
      </c>
      <c r="J356" s="1"/>
      <c r="L356">
        <v>710</v>
      </c>
      <c r="M356" t="s">
        <v>421</v>
      </c>
      <c r="N356">
        <v>5938</v>
      </c>
      <c r="O356">
        <v>22</v>
      </c>
      <c r="P356">
        <v>0</v>
      </c>
      <c r="Q356">
        <v>0</v>
      </c>
      <c r="R356">
        <v>0</v>
      </c>
      <c r="S356">
        <v>2334</v>
      </c>
    </row>
    <row r="357" spans="1:19" x14ac:dyDescent="0.25">
      <c r="A357" t="s">
        <v>83</v>
      </c>
      <c r="B357" t="s">
        <v>410</v>
      </c>
      <c r="C357" s="1">
        <f>378+288</f>
        <v>666</v>
      </c>
      <c r="D357" s="1">
        <v>16</v>
      </c>
      <c r="E357" s="1">
        <v>0</v>
      </c>
      <c r="F357" s="1">
        <v>0</v>
      </c>
      <c r="G357" s="1">
        <v>0</v>
      </c>
      <c r="H357" s="1">
        <v>3417</v>
      </c>
      <c r="I357" s="1">
        <v>271</v>
      </c>
      <c r="J357" s="1"/>
      <c r="L357">
        <v>611</v>
      </c>
      <c r="M357" t="s">
        <v>422</v>
      </c>
      <c r="N357">
        <v>1494</v>
      </c>
      <c r="O357">
        <v>49</v>
      </c>
      <c r="P357">
        <v>0</v>
      </c>
      <c r="Q357">
        <v>0</v>
      </c>
      <c r="R357">
        <v>0</v>
      </c>
      <c r="S357">
        <v>4362</v>
      </c>
    </row>
    <row r="358" spans="1:19" x14ac:dyDescent="0.25">
      <c r="A358" t="s">
        <v>120</v>
      </c>
      <c r="B358" t="s">
        <v>411</v>
      </c>
      <c r="C358" s="1">
        <f>6696+1291</f>
        <v>7987</v>
      </c>
      <c r="D358" s="1">
        <f>10+2</f>
        <v>12</v>
      </c>
      <c r="E358" s="1">
        <v>0</v>
      </c>
      <c r="F358" s="1">
        <v>0</v>
      </c>
      <c r="G358" s="1">
        <v>0</v>
      </c>
      <c r="H358" s="1">
        <v>4447</v>
      </c>
      <c r="I358" s="1">
        <v>1068</v>
      </c>
      <c r="J358" s="1"/>
      <c r="L358">
        <v>611</v>
      </c>
      <c r="M358" t="s">
        <v>423</v>
      </c>
      <c r="N358">
        <v>1254</v>
      </c>
      <c r="O358">
        <v>45</v>
      </c>
      <c r="P358">
        <v>0</v>
      </c>
      <c r="Q358">
        <v>0</v>
      </c>
      <c r="R358">
        <v>0</v>
      </c>
      <c r="S358">
        <v>1462</v>
      </c>
    </row>
    <row r="359" spans="1:19" x14ac:dyDescent="0.25">
      <c r="A359" t="s">
        <v>134</v>
      </c>
      <c r="B359" t="s">
        <v>412</v>
      </c>
      <c r="C359" s="1">
        <f>856+163</f>
        <v>1019</v>
      </c>
      <c r="D359" s="1">
        <v>0</v>
      </c>
      <c r="E359" s="1">
        <v>0</v>
      </c>
      <c r="F359" s="1">
        <v>0</v>
      </c>
      <c r="G359" s="1">
        <v>0</v>
      </c>
      <c r="H359" s="1">
        <v>599</v>
      </c>
      <c r="I359" s="1">
        <v>156</v>
      </c>
      <c r="J359" s="1"/>
      <c r="L359">
        <v>712</v>
      </c>
      <c r="M359" t="s">
        <v>424</v>
      </c>
      <c r="N359">
        <v>16461</v>
      </c>
      <c r="O359">
        <v>28</v>
      </c>
      <c r="P359">
        <v>0</v>
      </c>
      <c r="Q359">
        <v>0</v>
      </c>
      <c r="R359">
        <v>0</v>
      </c>
      <c r="S359">
        <v>22787</v>
      </c>
    </row>
    <row r="360" spans="1:19" x14ac:dyDescent="0.25">
      <c r="A360" t="s">
        <v>120</v>
      </c>
      <c r="B360" t="s">
        <v>413</v>
      </c>
      <c r="C360" s="1">
        <f>2193+2+174</f>
        <v>2369</v>
      </c>
      <c r="D360" s="1">
        <f>5+1</f>
        <v>6</v>
      </c>
      <c r="E360" s="1">
        <v>0</v>
      </c>
      <c r="F360" s="1">
        <v>0</v>
      </c>
      <c r="G360" s="1">
        <v>0</v>
      </c>
      <c r="H360" s="1">
        <v>81</v>
      </c>
      <c r="I360" s="1">
        <v>120</v>
      </c>
      <c r="J360" s="1"/>
      <c r="L360">
        <v>116</v>
      </c>
      <c r="M360" t="s">
        <v>425</v>
      </c>
      <c r="N360" s="1">
        <f>28286+1+1+3+6614+370+2</f>
        <v>35277</v>
      </c>
      <c r="O360" s="1">
        <f>6+3+4</f>
        <v>13</v>
      </c>
      <c r="P360" s="1">
        <v>0</v>
      </c>
      <c r="Q360" s="1">
        <v>0</v>
      </c>
      <c r="R360" s="1">
        <v>0</v>
      </c>
      <c r="S360" s="1">
        <v>15307</v>
      </c>
    </row>
    <row r="361" spans="1:19" x14ac:dyDescent="0.25">
      <c r="A361" t="s">
        <v>138</v>
      </c>
      <c r="B361" t="s">
        <v>414</v>
      </c>
      <c r="C361" s="1">
        <f>5016+3+308+38</f>
        <v>5365</v>
      </c>
      <c r="D361" s="1">
        <v>0</v>
      </c>
      <c r="E361" s="1">
        <v>0</v>
      </c>
      <c r="F361" s="1">
        <v>0</v>
      </c>
      <c r="G361" s="1">
        <v>0</v>
      </c>
      <c r="H361" s="1">
        <v>1797</v>
      </c>
      <c r="I361" s="1">
        <v>179</v>
      </c>
      <c r="J361" s="1"/>
      <c r="L361">
        <v>500</v>
      </c>
      <c r="M361" t="s">
        <v>426</v>
      </c>
    </row>
    <row r="362" spans="1:19" x14ac:dyDescent="0.25">
      <c r="A362" t="s">
        <v>796</v>
      </c>
      <c r="B362" t="s">
        <v>415</v>
      </c>
      <c r="C362" s="1"/>
      <c r="D362" s="1"/>
      <c r="E362" s="1"/>
      <c r="F362" s="1"/>
      <c r="G362" s="1"/>
      <c r="H362" s="1"/>
      <c r="I362" s="1"/>
      <c r="J362" s="1"/>
      <c r="L362">
        <v>610</v>
      </c>
      <c r="M362" t="s">
        <v>427</v>
      </c>
      <c r="N362">
        <v>17374</v>
      </c>
      <c r="O362">
        <v>34</v>
      </c>
      <c r="P362">
        <v>0</v>
      </c>
      <c r="Q362">
        <v>0</v>
      </c>
      <c r="R362">
        <v>0</v>
      </c>
      <c r="S362">
        <v>11767</v>
      </c>
    </row>
    <row r="363" spans="1:19" x14ac:dyDescent="0.25">
      <c r="A363" t="s">
        <v>226</v>
      </c>
      <c r="B363" t="s">
        <v>416</v>
      </c>
      <c r="C363" s="1">
        <f>1631+4+10+276+1</f>
        <v>1922</v>
      </c>
      <c r="D363" s="1">
        <v>1</v>
      </c>
      <c r="E363" s="1">
        <v>0</v>
      </c>
      <c r="F363" s="1">
        <v>0</v>
      </c>
      <c r="G363" s="1">
        <v>0</v>
      </c>
      <c r="H363" s="1">
        <v>6566</v>
      </c>
      <c r="I363" s="1">
        <v>289</v>
      </c>
      <c r="J363" s="1"/>
      <c r="L363">
        <v>300</v>
      </c>
      <c r="M363" t="s">
        <v>428</v>
      </c>
    </row>
    <row r="364" spans="1:19" x14ac:dyDescent="0.25">
      <c r="A364" t="s">
        <v>138</v>
      </c>
      <c r="B364" t="s">
        <v>417</v>
      </c>
      <c r="C364" s="1">
        <f>6677+2+4130</f>
        <v>10809</v>
      </c>
      <c r="D364" s="1">
        <f>225+6</f>
        <v>231</v>
      </c>
      <c r="E364" s="1">
        <v>0</v>
      </c>
      <c r="F364" s="1">
        <v>0</v>
      </c>
      <c r="G364" s="1">
        <v>0</v>
      </c>
      <c r="H364" s="1">
        <v>5957</v>
      </c>
      <c r="I364" s="1">
        <v>3266</v>
      </c>
      <c r="J364" s="1"/>
      <c r="L364">
        <v>100</v>
      </c>
      <c r="M364" t="s">
        <v>429</v>
      </c>
      <c r="N364">
        <v>436</v>
      </c>
      <c r="O364">
        <v>0</v>
      </c>
      <c r="P364">
        <v>0</v>
      </c>
      <c r="Q364">
        <v>0</v>
      </c>
      <c r="R364">
        <v>0</v>
      </c>
      <c r="S364">
        <v>46</v>
      </c>
    </row>
    <row r="365" spans="1:19" x14ac:dyDescent="0.25">
      <c r="A365" t="s">
        <v>138</v>
      </c>
      <c r="B365" t="s">
        <v>418</v>
      </c>
      <c r="C365" s="1">
        <f>4161+62+538+2</f>
        <v>4763</v>
      </c>
      <c r="D365" s="1">
        <f>272+78</f>
        <v>350</v>
      </c>
      <c r="E365" s="1">
        <v>0</v>
      </c>
      <c r="F365" s="1">
        <v>0</v>
      </c>
      <c r="G365" s="1">
        <v>0</v>
      </c>
      <c r="H365" s="1">
        <v>1393</v>
      </c>
      <c r="I365" s="1">
        <v>603</v>
      </c>
      <c r="J365" s="1"/>
      <c r="L365">
        <v>610</v>
      </c>
      <c r="M365" t="s">
        <v>430</v>
      </c>
      <c r="N365">
        <v>12170</v>
      </c>
      <c r="O365">
        <v>0</v>
      </c>
      <c r="P365">
        <v>0</v>
      </c>
      <c r="Q365">
        <v>0</v>
      </c>
      <c r="R365">
        <v>0</v>
      </c>
      <c r="S365">
        <v>1855</v>
      </c>
    </row>
    <row r="366" spans="1:19" x14ac:dyDescent="0.25">
      <c r="A366" t="s">
        <v>796</v>
      </c>
      <c r="B366" t="s">
        <v>419</v>
      </c>
      <c r="C366" s="1">
        <f>6561+8+29+4+1+12+1814</f>
        <v>8429</v>
      </c>
      <c r="D366" s="1">
        <f>451+1+3</f>
        <v>455</v>
      </c>
      <c r="E366" s="1">
        <v>0</v>
      </c>
      <c r="F366" s="1">
        <v>0</v>
      </c>
      <c r="G366" s="1">
        <v>0</v>
      </c>
      <c r="H366" s="1">
        <v>7756</v>
      </c>
      <c r="I366" s="1">
        <v>1518</v>
      </c>
      <c r="J366" s="1"/>
      <c r="L366">
        <v>153</v>
      </c>
      <c r="M366" t="s">
        <v>432</v>
      </c>
      <c r="N366">
        <v>1407</v>
      </c>
      <c r="O366">
        <v>8</v>
      </c>
      <c r="P366">
        <v>0</v>
      </c>
      <c r="Q366">
        <v>0</v>
      </c>
      <c r="R366">
        <v>0</v>
      </c>
      <c r="S366">
        <v>2692</v>
      </c>
    </row>
    <row r="367" spans="1:19" x14ac:dyDescent="0.25">
      <c r="A367" t="s">
        <v>150</v>
      </c>
      <c r="B367" t="s">
        <v>420</v>
      </c>
      <c r="C367" s="1">
        <f>1780+6+3724+24</f>
        <v>5534</v>
      </c>
      <c r="D367" s="1">
        <f>1+19+3</f>
        <v>23</v>
      </c>
      <c r="E367" s="1">
        <v>0</v>
      </c>
      <c r="F367" s="1">
        <v>0</v>
      </c>
      <c r="G367" s="1">
        <v>0</v>
      </c>
      <c r="H367" s="1">
        <v>6018</v>
      </c>
      <c r="I367" s="1">
        <v>3207</v>
      </c>
      <c r="J367" s="1"/>
      <c r="L367">
        <v>300</v>
      </c>
      <c r="M367" t="s">
        <v>433</v>
      </c>
      <c r="N367">
        <v>6603</v>
      </c>
      <c r="O367">
        <v>0</v>
      </c>
      <c r="P367">
        <v>0</v>
      </c>
      <c r="Q367">
        <v>0</v>
      </c>
      <c r="R367">
        <v>0</v>
      </c>
      <c r="S367">
        <v>635</v>
      </c>
    </row>
    <row r="368" spans="1:19" x14ac:dyDescent="0.25">
      <c r="A368" t="s">
        <v>69</v>
      </c>
      <c r="B368" t="s">
        <v>421</v>
      </c>
      <c r="C368" s="1">
        <f>2905+3032+1</f>
        <v>5938</v>
      </c>
      <c r="D368" s="1">
        <f>20+2</f>
        <v>22</v>
      </c>
      <c r="E368" s="1">
        <v>0</v>
      </c>
      <c r="F368" s="1">
        <v>0</v>
      </c>
      <c r="G368" s="1">
        <v>0</v>
      </c>
      <c r="H368" s="1">
        <v>2334</v>
      </c>
      <c r="I368" s="1">
        <v>2056</v>
      </c>
      <c r="J368" s="1"/>
      <c r="L368">
        <v>211</v>
      </c>
      <c r="M368" t="s">
        <v>434</v>
      </c>
      <c r="N368">
        <v>2591</v>
      </c>
      <c r="O368">
        <v>10</v>
      </c>
      <c r="P368">
        <v>0</v>
      </c>
      <c r="Q368">
        <v>0</v>
      </c>
      <c r="R368">
        <v>0</v>
      </c>
      <c r="S368">
        <v>1643</v>
      </c>
    </row>
    <row r="369" spans="1:19" x14ac:dyDescent="0.25">
      <c r="A369" t="s">
        <v>146</v>
      </c>
      <c r="B369" t="s">
        <v>422</v>
      </c>
      <c r="C369" s="1">
        <f>21+1473</f>
        <v>1494</v>
      </c>
      <c r="D369" s="1">
        <f>3+46</f>
        <v>49</v>
      </c>
      <c r="E369" s="1">
        <v>0</v>
      </c>
      <c r="F369" s="1">
        <v>0</v>
      </c>
      <c r="G369" s="1">
        <v>0</v>
      </c>
      <c r="H369" s="1">
        <v>4362</v>
      </c>
      <c r="I369" s="1">
        <v>1204</v>
      </c>
      <c r="J369" s="1"/>
      <c r="L369" t="s">
        <v>808</v>
      </c>
      <c r="M369" t="s">
        <v>435</v>
      </c>
      <c r="N369">
        <v>6417</v>
      </c>
      <c r="O369">
        <v>4</v>
      </c>
      <c r="P369">
        <v>0</v>
      </c>
      <c r="Q369">
        <v>0</v>
      </c>
      <c r="R369">
        <v>0</v>
      </c>
      <c r="S369">
        <v>14979</v>
      </c>
    </row>
    <row r="370" spans="1:19" x14ac:dyDescent="0.25">
      <c r="A370" t="s">
        <v>146</v>
      </c>
      <c r="B370" t="s">
        <v>423</v>
      </c>
      <c r="C370" s="1">
        <f>434+820</f>
        <v>1254</v>
      </c>
      <c r="D370" s="1">
        <v>12</v>
      </c>
      <c r="E370" s="1">
        <v>0</v>
      </c>
      <c r="F370" s="1">
        <v>0</v>
      </c>
      <c r="G370" s="1">
        <v>0</v>
      </c>
      <c r="H370" s="1">
        <v>1462</v>
      </c>
      <c r="I370" s="1">
        <v>794</v>
      </c>
      <c r="J370" s="1" t="s">
        <v>819</v>
      </c>
      <c r="L370" t="s">
        <v>815</v>
      </c>
      <c r="M370" t="s">
        <v>436</v>
      </c>
      <c r="N370">
        <v>9299</v>
      </c>
      <c r="O370">
        <v>173</v>
      </c>
      <c r="P370">
        <v>0</v>
      </c>
      <c r="Q370">
        <v>0</v>
      </c>
      <c r="R370">
        <v>0</v>
      </c>
      <c r="S370">
        <v>9500</v>
      </c>
    </row>
    <row r="371" spans="1:19" x14ac:dyDescent="0.25">
      <c r="A371" t="s">
        <v>76</v>
      </c>
      <c r="B371" t="s">
        <v>424</v>
      </c>
      <c r="C371" s="1">
        <f>9071+141+7222+27</f>
        <v>16461</v>
      </c>
      <c r="D371" s="1">
        <f>2+26</f>
        <v>28</v>
      </c>
      <c r="E371" s="1">
        <v>0</v>
      </c>
      <c r="F371" s="1">
        <v>0</v>
      </c>
      <c r="G371" s="1">
        <v>0</v>
      </c>
      <c r="H371" s="1">
        <v>22787</v>
      </c>
      <c r="I371" s="1">
        <v>6273</v>
      </c>
      <c r="J371" s="1"/>
      <c r="L371">
        <v>314</v>
      </c>
      <c r="M371" t="s">
        <v>437</v>
      </c>
      <c r="N371">
        <v>4126</v>
      </c>
      <c r="O371">
        <v>3</v>
      </c>
      <c r="P371">
        <v>0</v>
      </c>
      <c r="Q371">
        <v>0</v>
      </c>
      <c r="R371">
        <v>0</v>
      </c>
      <c r="S371">
        <v>7464</v>
      </c>
    </row>
    <row r="372" spans="1:19" x14ac:dyDescent="0.25">
      <c r="A372" t="s">
        <v>795</v>
      </c>
      <c r="B372" t="s">
        <v>425</v>
      </c>
      <c r="C372" s="1">
        <f>28286+1+1+3+6614+370+2</f>
        <v>35277</v>
      </c>
      <c r="D372" s="1">
        <f>6+3+4</f>
        <v>13</v>
      </c>
      <c r="E372" s="1">
        <v>0</v>
      </c>
      <c r="F372" s="1">
        <v>0</v>
      </c>
      <c r="G372" s="1">
        <v>0</v>
      </c>
      <c r="H372" s="1">
        <v>15307</v>
      </c>
      <c r="I372" s="1">
        <v>6812</v>
      </c>
      <c r="J372" s="1"/>
      <c r="L372">
        <v>711</v>
      </c>
      <c r="M372" t="s">
        <v>438</v>
      </c>
      <c r="N372">
        <v>17292</v>
      </c>
      <c r="O372">
        <v>48</v>
      </c>
      <c r="P372">
        <v>0</v>
      </c>
      <c r="Q372">
        <v>0</v>
      </c>
      <c r="R372">
        <v>0</v>
      </c>
      <c r="S372">
        <v>72652</v>
      </c>
    </row>
    <row r="373" spans="1:19" x14ac:dyDescent="0.25">
      <c r="A373" t="s">
        <v>824</v>
      </c>
      <c r="B373" t="s">
        <v>426</v>
      </c>
      <c r="C373" s="1"/>
      <c r="D373" s="1"/>
      <c r="E373" s="1"/>
      <c r="F373" s="1"/>
      <c r="G373" s="1"/>
      <c r="H373" s="1"/>
      <c r="I373" s="1"/>
      <c r="J373" s="1"/>
      <c r="M373" t="s">
        <v>439</v>
      </c>
    </row>
    <row r="374" spans="1:19" x14ac:dyDescent="0.25">
      <c r="A374" t="s">
        <v>788</v>
      </c>
      <c r="B374" t="s">
        <v>427</v>
      </c>
      <c r="C374" s="1">
        <f>11287+2+6085</f>
        <v>17374</v>
      </c>
      <c r="D374" s="1">
        <v>34</v>
      </c>
      <c r="E374" s="1">
        <v>0</v>
      </c>
      <c r="F374" s="1">
        <v>0</v>
      </c>
      <c r="G374" s="1">
        <v>0</v>
      </c>
      <c r="H374" s="1">
        <v>11767</v>
      </c>
      <c r="I374" s="1">
        <v>6113</v>
      </c>
      <c r="J374" s="1"/>
      <c r="L374">
        <v>700</v>
      </c>
      <c r="M374" t="s">
        <v>440</v>
      </c>
      <c r="N374">
        <v>1933</v>
      </c>
      <c r="O374">
        <v>19</v>
      </c>
      <c r="P374">
        <v>0</v>
      </c>
      <c r="Q374">
        <v>0</v>
      </c>
      <c r="R374">
        <v>0</v>
      </c>
      <c r="S374">
        <v>4934</v>
      </c>
    </row>
    <row r="375" spans="1:19" x14ac:dyDescent="0.25">
      <c r="A375" t="s">
        <v>226</v>
      </c>
      <c r="B375" t="s">
        <v>428</v>
      </c>
      <c r="C375" s="1"/>
      <c r="D375" s="1"/>
      <c r="E375" s="1"/>
      <c r="F375" s="1"/>
      <c r="G375" s="1"/>
      <c r="H375" s="1"/>
      <c r="I375" s="1"/>
      <c r="J375" s="1"/>
      <c r="L375" t="s">
        <v>808</v>
      </c>
      <c r="M375" t="s">
        <v>441</v>
      </c>
      <c r="N375">
        <v>3328</v>
      </c>
      <c r="O375">
        <v>23</v>
      </c>
      <c r="P375">
        <v>0</v>
      </c>
      <c r="Q375">
        <v>0</v>
      </c>
      <c r="R375">
        <v>0</v>
      </c>
      <c r="S375">
        <v>4178</v>
      </c>
    </row>
    <row r="376" spans="1:19" x14ac:dyDescent="0.25">
      <c r="A376" t="s">
        <v>791</v>
      </c>
      <c r="B376" t="s">
        <v>429</v>
      </c>
      <c r="C376" s="1">
        <f>172+264</f>
        <v>436</v>
      </c>
      <c r="D376" s="1">
        <v>0</v>
      </c>
      <c r="E376" s="1">
        <v>0</v>
      </c>
      <c r="F376" s="1">
        <v>0</v>
      </c>
      <c r="G376" s="1">
        <v>0</v>
      </c>
      <c r="H376" s="1">
        <v>46</v>
      </c>
      <c r="I376" s="1">
        <v>174</v>
      </c>
      <c r="J376" s="1"/>
      <c r="L376" t="s">
        <v>814</v>
      </c>
      <c r="M376" t="s">
        <v>442</v>
      </c>
      <c r="N376">
        <v>7837</v>
      </c>
      <c r="O376">
        <v>69</v>
      </c>
      <c r="P376">
        <v>0</v>
      </c>
      <c r="Q376">
        <v>0</v>
      </c>
      <c r="R376">
        <v>0</v>
      </c>
      <c r="S376">
        <v>3165</v>
      </c>
    </row>
    <row r="377" spans="1:19" x14ac:dyDescent="0.25">
      <c r="A377" t="s">
        <v>788</v>
      </c>
      <c r="B377" t="s">
        <v>430</v>
      </c>
      <c r="C377" s="1">
        <f>4507+7663</f>
        <v>12170</v>
      </c>
      <c r="D377" s="1">
        <v>0</v>
      </c>
      <c r="E377" s="1">
        <v>0</v>
      </c>
      <c r="F377" s="1">
        <v>0</v>
      </c>
      <c r="G377" s="1">
        <v>0</v>
      </c>
      <c r="H377" s="1">
        <v>1855</v>
      </c>
      <c r="I377" s="1">
        <v>1086</v>
      </c>
      <c r="J377" s="1"/>
      <c r="L377">
        <v>713</v>
      </c>
      <c r="M377" t="s">
        <v>443</v>
      </c>
      <c r="N377">
        <v>7367</v>
      </c>
      <c r="O377">
        <v>1</v>
      </c>
      <c r="P377">
        <v>0</v>
      </c>
      <c r="Q377">
        <v>0</v>
      </c>
      <c r="R377">
        <v>0</v>
      </c>
      <c r="S377">
        <v>10572</v>
      </c>
    </row>
    <row r="378" spans="1:19" x14ac:dyDescent="0.25">
      <c r="A378" t="s">
        <v>10</v>
      </c>
      <c r="B378" s="1" t="s">
        <v>431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/>
      <c r="L378" t="s">
        <v>814</v>
      </c>
      <c r="M378" t="s">
        <v>444</v>
      </c>
      <c r="N378">
        <v>10908</v>
      </c>
      <c r="O378">
        <v>149</v>
      </c>
      <c r="P378">
        <v>0</v>
      </c>
      <c r="Q378">
        <v>0</v>
      </c>
      <c r="R378">
        <v>0</v>
      </c>
      <c r="S378">
        <v>1967</v>
      </c>
    </row>
    <row r="379" spans="1:19" x14ac:dyDescent="0.25">
      <c r="A379" t="s">
        <v>821</v>
      </c>
      <c r="B379" t="s">
        <v>432</v>
      </c>
      <c r="C379" s="1">
        <f>963+4+440</f>
        <v>1407</v>
      </c>
      <c r="D379" s="1">
        <v>8</v>
      </c>
      <c r="E379" s="1">
        <v>0</v>
      </c>
      <c r="F379" s="1">
        <v>0</v>
      </c>
      <c r="G379" s="1">
        <v>0</v>
      </c>
      <c r="H379" s="1">
        <v>2692</v>
      </c>
      <c r="I379" s="1">
        <v>463</v>
      </c>
      <c r="J379" s="1"/>
      <c r="M379" t="s">
        <v>445</v>
      </c>
    </row>
    <row r="380" spans="1:19" x14ac:dyDescent="0.25">
      <c r="A380" t="s">
        <v>226</v>
      </c>
      <c r="B380" t="s">
        <v>433</v>
      </c>
      <c r="C380" s="1">
        <f>5453+26+3+1121</f>
        <v>6603</v>
      </c>
      <c r="D380" s="1">
        <v>0</v>
      </c>
      <c r="E380" s="1">
        <v>0</v>
      </c>
      <c r="F380" s="1">
        <v>0</v>
      </c>
      <c r="G380" s="1">
        <v>0</v>
      </c>
      <c r="H380" s="1">
        <v>635</v>
      </c>
      <c r="I380" s="1">
        <v>1013</v>
      </c>
      <c r="J380" s="1"/>
      <c r="L380">
        <v>161</v>
      </c>
      <c r="M380" t="s">
        <v>446</v>
      </c>
      <c r="N380">
        <v>1139</v>
      </c>
      <c r="O380">
        <v>6</v>
      </c>
      <c r="P380">
        <v>0</v>
      </c>
      <c r="Q380">
        <v>0</v>
      </c>
      <c r="R380">
        <v>0</v>
      </c>
      <c r="S380">
        <v>150</v>
      </c>
    </row>
    <row r="381" spans="1:19" x14ac:dyDescent="0.25">
      <c r="A381" t="s">
        <v>131</v>
      </c>
      <c r="B381" t="s">
        <v>434</v>
      </c>
      <c r="C381" s="1">
        <f>1774+817</f>
        <v>2591</v>
      </c>
      <c r="D381" s="1">
        <v>10</v>
      </c>
      <c r="E381" s="1">
        <v>0</v>
      </c>
      <c r="F381" s="1">
        <v>0</v>
      </c>
      <c r="G381" s="1">
        <v>0</v>
      </c>
      <c r="H381" s="1">
        <v>1643</v>
      </c>
      <c r="I381" s="1">
        <v>681</v>
      </c>
      <c r="J381" s="1"/>
      <c r="M381" t="s">
        <v>447</v>
      </c>
    </row>
    <row r="382" spans="1:19" x14ac:dyDescent="0.25">
      <c r="A382" t="s">
        <v>809</v>
      </c>
      <c r="B382" t="s">
        <v>435</v>
      </c>
      <c r="C382" s="1">
        <f>5385+1032</f>
        <v>6417</v>
      </c>
      <c r="D382" s="1">
        <v>4</v>
      </c>
      <c r="E382" s="1">
        <v>0</v>
      </c>
      <c r="F382" s="1">
        <v>0</v>
      </c>
      <c r="G382" s="1">
        <v>0</v>
      </c>
      <c r="H382" s="1">
        <v>14979</v>
      </c>
      <c r="I382" s="1">
        <v>585</v>
      </c>
      <c r="J382" s="1"/>
      <c r="L382">
        <v>712</v>
      </c>
      <c r="M382" t="s">
        <v>448</v>
      </c>
      <c r="N382">
        <v>29412</v>
      </c>
      <c r="O382">
        <v>5</v>
      </c>
      <c r="P382">
        <v>0</v>
      </c>
      <c r="Q382">
        <v>0</v>
      </c>
      <c r="R382">
        <v>0</v>
      </c>
      <c r="S382">
        <v>16840</v>
      </c>
    </row>
    <row r="383" spans="1:19" x14ac:dyDescent="0.25">
      <c r="A383" t="s">
        <v>138</v>
      </c>
      <c r="B383" t="s">
        <v>436</v>
      </c>
      <c r="C383" s="1">
        <f>7249+25+46+1915+64</f>
        <v>9299</v>
      </c>
      <c r="D383" s="1">
        <f>23+90+47+13</f>
        <v>173</v>
      </c>
      <c r="E383" s="1">
        <v>0</v>
      </c>
      <c r="F383" s="1">
        <v>0</v>
      </c>
      <c r="G383" s="1">
        <v>0</v>
      </c>
      <c r="H383" s="1">
        <v>9500</v>
      </c>
      <c r="I383" s="1">
        <v>833</v>
      </c>
      <c r="J383" s="1"/>
      <c r="L383">
        <v>711</v>
      </c>
      <c r="M383" t="s">
        <v>449</v>
      </c>
      <c r="N383">
        <v>16528</v>
      </c>
      <c r="O383">
        <v>55</v>
      </c>
      <c r="P383">
        <v>0</v>
      </c>
      <c r="Q383">
        <v>0</v>
      </c>
      <c r="R383">
        <v>0</v>
      </c>
      <c r="S383">
        <v>15675</v>
      </c>
    </row>
    <row r="384" spans="1:19" x14ac:dyDescent="0.25">
      <c r="A384" t="s">
        <v>305</v>
      </c>
      <c r="B384" t="s">
        <v>437</v>
      </c>
      <c r="C384" s="1">
        <f>2828+55+1243</f>
        <v>4126</v>
      </c>
      <c r="D384" s="1">
        <v>3</v>
      </c>
      <c r="E384" s="1">
        <v>0</v>
      </c>
      <c r="F384" s="1">
        <v>0</v>
      </c>
      <c r="G384" s="1">
        <v>0</v>
      </c>
      <c r="H384" s="1">
        <v>7464</v>
      </c>
      <c r="I384" s="1">
        <v>1195</v>
      </c>
      <c r="J384" s="1"/>
      <c r="L384">
        <v>610</v>
      </c>
      <c r="M384" t="s">
        <v>450</v>
      </c>
      <c r="N384">
        <v>11332</v>
      </c>
      <c r="O384">
        <v>152</v>
      </c>
      <c r="P384">
        <v>0</v>
      </c>
      <c r="Q384">
        <v>0</v>
      </c>
      <c r="R384">
        <v>0</v>
      </c>
      <c r="S384">
        <v>6112</v>
      </c>
    </row>
    <row r="385" spans="1:19" x14ac:dyDescent="0.25">
      <c r="A385" t="s">
        <v>801</v>
      </c>
      <c r="B385" t="s">
        <v>438</v>
      </c>
      <c r="C385" s="1">
        <f>10719+11+6303+259</f>
        <v>17292</v>
      </c>
      <c r="D385" s="1">
        <f>8+34+6</f>
        <v>48</v>
      </c>
      <c r="E385" s="1">
        <v>0</v>
      </c>
      <c r="F385" s="1">
        <v>0</v>
      </c>
      <c r="G385" s="1">
        <v>0</v>
      </c>
      <c r="H385" s="1">
        <v>72652</v>
      </c>
      <c r="I385" s="1">
        <v>6310</v>
      </c>
      <c r="J385" s="1"/>
      <c r="L385">
        <v>116</v>
      </c>
      <c r="M385" t="s">
        <v>451</v>
      </c>
      <c r="N385">
        <v>43353</v>
      </c>
      <c r="O385">
        <v>763</v>
      </c>
      <c r="P385">
        <v>0</v>
      </c>
      <c r="Q385">
        <v>0</v>
      </c>
      <c r="R385">
        <v>0</v>
      </c>
      <c r="S385">
        <v>6883</v>
      </c>
    </row>
    <row r="386" spans="1:19" x14ac:dyDescent="0.25">
      <c r="A386" s="27" t="s">
        <v>10</v>
      </c>
      <c r="B386" s="32" t="s">
        <v>780</v>
      </c>
      <c r="C386" s="1"/>
      <c r="D386" s="1"/>
      <c r="E386" s="1"/>
      <c r="F386" s="1"/>
      <c r="G386" s="1"/>
      <c r="H386" s="1"/>
      <c r="I386" s="1"/>
      <c r="J386" s="1"/>
      <c r="M386" t="s">
        <v>452</v>
      </c>
    </row>
    <row r="387" spans="1:19" x14ac:dyDescent="0.25">
      <c r="A387" t="s">
        <v>69</v>
      </c>
      <c r="B387" t="s">
        <v>439</v>
      </c>
      <c r="C387" s="1"/>
      <c r="D387" s="1"/>
      <c r="E387" s="1"/>
      <c r="F387" s="1"/>
      <c r="G387" s="1"/>
      <c r="H387" s="1"/>
      <c r="I387" s="1"/>
      <c r="J387" s="1"/>
      <c r="L387">
        <v>511</v>
      </c>
      <c r="M387" t="s">
        <v>453</v>
      </c>
      <c r="N387">
        <v>8849</v>
      </c>
      <c r="O387">
        <v>39</v>
      </c>
      <c r="P387">
        <v>0</v>
      </c>
      <c r="Q387">
        <v>0</v>
      </c>
      <c r="R387">
        <v>0</v>
      </c>
      <c r="S387">
        <v>3909</v>
      </c>
    </row>
    <row r="388" spans="1:19" x14ac:dyDescent="0.25">
      <c r="A388" t="s">
        <v>83</v>
      </c>
      <c r="B388" t="s">
        <v>440</v>
      </c>
      <c r="C388" s="1">
        <f>1454+478+1</f>
        <v>1933</v>
      </c>
      <c r="D388" s="1">
        <f>2+17</f>
        <v>19</v>
      </c>
      <c r="E388" s="1">
        <v>0</v>
      </c>
      <c r="F388" s="1">
        <v>0</v>
      </c>
      <c r="G388" s="1">
        <v>0</v>
      </c>
      <c r="H388" s="1">
        <v>4934</v>
      </c>
      <c r="I388" s="1">
        <v>483</v>
      </c>
      <c r="J388" s="1"/>
      <c r="L388" t="s">
        <v>820</v>
      </c>
      <c r="M388" t="s">
        <v>454</v>
      </c>
      <c r="N388">
        <v>31201</v>
      </c>
      <c r="O388">
        <v>18</v>
      </c>
      <c r="P388">
        <v>0</v>
      </c>
      <c r="Q388">
        <v>0</v>
      </c>
      <c r="R388">
        <v>0</v>
      </c>
      <c r="S388">
        <v>26052</v>
      </c>
    </row>
    <row r="389" spans="1:19" x14ac:dyDescent="0.25">
      <c r="A389" t="s">
        <v>809</v>
      </c>
      <c r="B389" t="s">
        <v>441</v>
      </c>
      <c r="C389" s="1">
        <f>2730+3+595</f>
        <v>3328</v>
      </c>
      <c r="D389" s="1">
        <f>10+9+4</f>
        <v>23</v>
      </c>
      <c r="E389" s="1">
        <v>0</v>
      </c>
      <c r="F389" s="1">
        <v>0</v>
      </c>
      <c r="G389" s="1">
        <v>0</v>
      </c>
      <c r="H389" s="1">
        <v>4178</v>
      </c>
      <c r="I389" s="1">
        <v>458</v>
      </c>
      <c r="J389" s="1"/>
      <c r="L389">
        <v>600</v>
      </c>
      <c r="M389" t="s">
        <v>455</v>
      </c>
      <c r="N389">
        <v>1008</v>
      </c>
      <c r="O389">
        <v>0</v>
      </c>
      <c r="P389">
        <v>0</v>
      </c>
      <c r="Q389">
        <v>0</v>
      </c>
      <c r="R389">
        <v>0</v>
      </c>
      <c r="S389">
        <v>590</v>
      </c>
    </row>
    <row r="390" spans="1:19" x14ac:dyDescent="0.25">
      <c r="A390" t="s">
        <v>794</v>
      </c>
      <c r="B390" t="s">
        <v>442</v>
      </c>
      <c r="C390" s="1">
        <f>5089+334+1+2410+2+1</f>
        <v>7837</v>
      </c>
      <c r="D390" s="1">
        <f>29+39+1</f>
        <v>69</v>
      </c>
      <c r="E390" s="1">
        <v>0</v>
      </c>
      <c r="F390" s="1">
        <v>0</v>
      </c>
      <c r="G390" s="1">
        <v>0</v>
      </c>
      <c r="H390" s="1">
        <v>3165</v>
      </c>
      <c r="I390" s="1">
        <v>2303</v>
      </c>
      <c r="J390" s="1"/>
      <c r="L390">
        <v>712</v>
      </c>
      <c r="M390" t="s">
        <v>456</v>
      </c>
      <c r="N390">
        <v>16260</v>
      </c>
      <c r="O390">
        <v>0</v>
      </c>
      <c r="P390">
        <v>0</v>
      </c>
      <c r="Q390">
        <v>0</v>
      </c>
      <c r="R390">
        <v>0</v>
      </c>
      <c r="S390">
        <v>18319</v>
      </c>
    </row>
    <row r="391" spans="1:19" x14ac:dyDescent="0.25">
      <c r="A391" t="s">
        <v>796</v>
      </c>
      <c r="B391" t="s">
        <v>443</v>
      </c>
      <c r="C391" s="1">
        <f>4375+1436+4+1552</f>
        <v>7367</v>
      </c>
      <c r="D391" s="1">
        <v>1</v>
      </c>
      <c r="E391" s="1">
        <v>0</v>
      </c>
      <c r="F391" s="1">
        <v>0</v>
      </c>
      <c r="G391" s="1">
        <v>0</v>
      </c>
      <c r="H391" s="1">
        <v>10672</v>
      </c>
      <c r="I391" s="1">
        <v>1535</v>
      </c>
      <c r="J391" s="1" t="s">
        <v>819</v>
      </c>
      <c r="L391">
        <v>712</v>
      </c>
      <c r="M391" t="s">
        <v>457</v>
      </c>
      <c r="N391">
        <v>14401</v>
      </c>
      <c r="O391">
        <v>24</v>
      </c>
      <c r="P391">
        <v>0</v>
      </c>
      <c r="Q391">
        <v>0</v>
      </c>
      <c r="R391">
        <v>0</v>
      </c>
      <c r="S391">
        <v>2899</v>
      </c>
    </row>
    <row r="392" spans="1:19" x14ac:dyDescent="0.25">
      <c r="A392" t="s">
        <v>794</v>
      </c>
      <c r="B392" t="s">
        <v>444</v>
      </c>
      <c r="C392" s="1">
        <f>8265+4+1+2638</f>
        <v>10908</v>
      </c>
      <c r="D392" s="1">
        <f>4+101+44</f>
        <v>149</v>
      </c>
      <c r="E392" s="1">
        <v>0</v>
      </c>
      <c r="F392" s="1">
        <v>0</v>
      </c>
      <c r="G392" s="1">
        <v>0</v>
      </c>
      <c r="H392" s="1">
        <v>1967</v>
      </c>
      <c r="I392" s="1">
        <v>2272</v>
      </c>
      <c r="J392" s="1"/>
      <c r="L392">
        <v>611</v>
      </c>
      <c r="M392" t="s">
        <v>458</v>
      </c>
      <c r="N392">
        <v>1008</v>
      </c>
      <c r="O392">
        <v>76</v>
      </c>
      <c r="P392">
        <v>0</v>
      </c>
      <c r="Q392">
        <v>0</v>
      </c>
      <c r="R392">
        <v>0</v>
      </c>
      <c r="S392">
        <v>5417</v>
      </c>
    </row>
    <row r="393" spans="1:19" x14ac:dyDescent="0.25">
      <c r="A393" t="s">
        <v>811</v>
      </c>
      <c r="B393" t="s">
        <v>445</v>
      </c>
      <c r="C393" s="1"/>
      <c r="D393" s="1"/>
      <c r="E393" s="1"/>
      <c r="F393" s="1"/>
      <c r="G393" s="1"/>
      <c r="H393" s="1"/>
      <c r="I393" s="1"/>
      <c r="J393" s="1"/>
      <c r="L393">
        <v>700</v>
      </c>
      <c r="M393" t="s">
        <v>459</v>
      </c>
      <c r="N393">
        <v>1866</v>
      </c>
      <c r="O393">
        <v>44</v>
      </c>
      <c r="P393">
        <v>0</v>
      </c>
      <c r="Q393">
        <v>0</v>
      </c>
      <c r="R393">
        <v>0</v>
      </c>
      <c r="S393">
        <v>1689</v>
      </c>
    </row>
    <row r="394" spans="1:19" x14ac:dyDescent="0.25">
      <c r="A394" t="s">
        <v>792</v>
      </c>
      <c r="B394" t="s">
        <v>446</v>
      </c>
      <c r="C394" s="1">
        <f>903+236</f>
        <v>1139</v>
      </c>
      <c r="D394" s="1">
        <f>3+3</f>
        <v>6</v>
      </c>
      <c r="E394" s="1">
        <v>0</v>
      </c>
      <c r="F394" s="1">
        <v>0</v>
      </c>
      <c r="G394" s="1">
        <v>0</v>
      </c>
      <c r="H394" s="1">
        <v>150</v>
      </c>
      <c r="I394" s="1">
        <v>241</v>
      </c>
      <c r="J394" s="1"/>
      <c r="L394">
        <v>600</v>
      </c>
      <c r="M394" t="s">
        <v>460</v>
      </c>
      <c r="N394">
        <v>5331</v>
      </c>
      <c r="O394">
        <v>6</v>
      </c>
      <c r="P394">
        <v>0</v>
      </c>
      <c r="Q394">
        <v>0</v>
      </c>
      <c r="R394">
        <v>0</v>
      </c>
      <c r="S394">
        <v>33526</v>
      </c>
    </row>
    <row r="395" spans="1:19" x14ac:dyDescent="0.25">
      <c r="A395" t="s">
        <v>134</v>
      </c>
      <c r="B395" t="s">
        <v>447</v>
      </c>
      <c r="C395" s="1"/>
      <c r="D395" s="1"/>
      <c r="E395" s="1"/>
      <c r="F395" s="1"/>
      <c r="G395" s="1"/>
      <c r="H395" s="1"/>
      <c r="I395" s="1"/>
      <c r="J395" s="1"/>
      <c r="L395">
        <v>600</v>
      </c>
      <c r="M395" t="s">
        <v>461</v>
      </c>
      <c r="N395">
        <v>8105</v>
      </c>
      <c r="O395">
        <v>38</v>
      </c>
      <c r="P395">
        <v>0</v>
      </c>
      <c r="Q395">
        <v>0</v>
      </c>
      <c r="R395">
        <v>0</v>
      </c>
      <c r="S395">
        <v>10836</v>
      </c>
    </row>
    <row r="396" spans="1:19" x14ac:dyDescent="0.25">
      <c r="A396" t="s">
        <v>76</v>
      </c>
      <c r="B396" t="s">
        <v>448</v>
      </c>
      <c r="C396" s="1">
        <f>26705+2+2705</f>
        <v>29412</v>
      </c>
      <c r="D396" s="1">
        <f>3+2</f>
        <v>5</v>
      </c>
      <c r="E396" s="1">
        <v>0</v>
      </c>
      <c r="F396" s="1">
        <v>0</v>
      </c>
      <c r="G396" s="1">
        <v>0</v>
      </c>
      <c r="H396" s="1">
        <v>16840</v>
      </c>
      <c r="I396" s="1">
        <v>2394</v>
      </c>
      <c r="J396" s="1"/>
      <c r="M396" t="s">
        <v>462</v>
      </c>
    </row>
    <row r="397" spans="1:19" x14ac:dyDescent="0.25">
      <c r="A397" t="s">
        <v>801</v>
      </c>
      <c r="B397" t="s">
        <v>449</v>
      </c>
      <c r="C397" s="1">
        <f>10731+302+7+3989+1498+1</f>
        <v>16528</v>
      </c>
      <c r="D397" s="1">
        <f>3+3+49</f>
        <v>55</v>
      </c>
      <c r="E397" s="1">
        <v>0</v>
      </c>
      <c r="F397" s="1">
        <v>0</v>
      </c>
      <c r="G397" s="1">
        <v>0</v>
      </c>
      <c r="H397" s="1">
        <v>15675</v>
      </c>
      <c r="I397" s="1">
        <v>4696</v>
      </c>
      <c r="J397" s="1"/>
      <c r="L397">
        <v>120</v>
      </c>
      <c r="M397" t="s">
        <v>463</v>
      </c>
    </row>
    <row r="398" spans="1:19" x14ac:dyDescent="0.25">
      <c r="A398" t="s">
        <v>788</v>
      </c>
      <c r="B398" t="s">
        <v>450</v>
      </c>
      <c r="C398" s="1">
        <f>3483+4+7845</f>
        <v>11332</v>
      </c>
      <c r="D398" s="1">
        <f>10+31+111</f>
        <v>152</v>
      </c>
      <c r="E398" s="1">
        <v>0</v>
      </c>
      <c r="F398" s="1">
        <v>0</v>
      </c>
      <c r="G398" s="1">
        <v>0</v>
      </c>
      <c r="H398" s="1">
        <v>6112</v>
      </c>
      <c r="I398" s="1">
        <v>2077</v>
      </c>
      <c r="J398" s="1"/>
      <c r="L398">
        <v>600</v>
      </c>
      <c r="M398" t="s">
        <v>464</v>
      </c>
      <c r="N398">
        <v>2214</v>
      </c>
      <c r="O398">
        <v>1</v>
      </c>
      <c r="P398">
        <v>0</v>
      </c>
      <c r="Q398">
        <v>0</v>
      </c>
      <c r="R398">
        <v>0</v>
      </c>
      <c r="S398">
        <v>2611</v>
      </c>
    </row>
    <row r="399" spans="1:19" x14ac:dyDescent="0.25">
      <c r="A399" t="s">
        <v>795</v>
      </c>
      <c r="B399" t="s">
        <v>451</v>
      </c>
      <c r="C399" s="1">
        <f>10798+3+18+32521+13</f>
        <v>43353</v>
      </c>
      <c r="D399" s="1">
        <f>110+256+8+230+158+1</f>
        <v>763</v>
      </c>
      <c r="E399" s="1">
        <v>0</v>
      </c>
      <c r="F399" s="1">
        <v>0</v>
      </c>
      <c r="G399" s="1">
        <v>0</v>
      </c>
      <c r="H399" s="1">
        <v>6883</v>
      </c>
      <c r="I399" s="1">
        <v>18737</v>
      </c>
      <c r="J399" s="1"/>
      <c r="L399">
        <v>511</v>
      </c>
      <c r="M399" t="s">
        <v>465</v>
      </c>
      <c r="N399">
        <v>6412</v>
      </c>
      <c r="O399">
        <v>7</v>
      </c>
      <c r="P399">
        <v>0</v>
      </c>
      <c r="Q399">
        <v>0</v>
      </c>
      <c r="R399">
        <v>0</v>
      </c>
      <c r="S399">
        <v>11311</v>
      </c>
    </row>
    <row r="400" spans="1:19" x14ac:dyDescent="0.25">
      <c r="A400" t="s">
        <v>825</v>
      </c>
      <c r="B400" t="s">
        <v>452</v>
      </c>
      <c r="C400" s="1"/>
      <c r="D400" s="1"/>
      <c r="E400" s="1"/>
      <c r="F400" s="1"/>
      <c r="G400" s="1"/>
      <c r="H400" s="1"/>
      <c r="I400" s="1"/>
      <c r="J400" s="1"/>
      <c r="L400">
        <v>210</v>
      </c>
      <c r="M400" t="s">
        <v>466</v>
      </c>
      <c r="N400">
        <v>5925</v>
      </c>
      <c r="O400">
        <v>37</v>
      </c>
      <c r="P400">
        <v>0</v>
      </c>
      <c r="Q400">
        <v>0</v>
      </c>
      <c r="R400">
        <v>0</v>
      </c>
      <c r="S400">
        <v>1246</v>
      </c>
    </row>
    <row r="401" spans="1:19" x14ac:dyDescent="0.25">
      <c r="A401" t="s">
        <v>101</v>
      </c>
      <c r="B401" t="s">
        <v>453</v>
      </c>
      <c r="C401" s="1">
        <f>6731+1+1+2115+1</f>
        <v>8849</v>
      </c>
      <c r="D401" s="1">
        <f>17+16+6</f>
        <v>39</v>
      </c>
      <c r="E401" s="1">
        <v>0</v>
      </c>
      <c r="F401" s="1">
        <v>0</v>
      </c>
      <c r="G401" s="1">
        <v>0</v>
      </c>
      <c r="H401" s="1">
        <v>3909</v>
      </c>
      <c r="I401" s="1">
        <v>1589</v>
      </c>
      <c r="J401" s="1"/>
      <c r="L401">
        <v>313</v>
      </c>
      <c r="M401" t="s">
        <v>467</v>
      </c>
    </row>
    <row r="402" spans="1:19" x14ac:dyDescent="0.25">
      <c r="A402" t="s">
        <v>265</v>
      </c>
      <c r="B402" t="s">
        <v>454</v>
      </c>
      <c r="C402" s="1">
        <f>26373+2+4453+373</f>
        <v>31201</v>
      </c>
      <c r="D402" s="1">
        <v>18</v>
      </c>
      <c r="E402" s="1">
        <v>0</v>
      </c>
      <c r="F402" s="1">
        <v>0</v>
      </c>
      <c r="G402" s="1">
        <v>0</v>
      </c>
      <c r="H402" s="1">
        <v>26052</v>
      </c>
      <c r="I402" s="1">
        <v>3317</v>
      </c>
      <c r="J402" s="1"/>
      <c r="L402">
        <v>200</v>
      </c>
      <c r="M402" t="s">
        <v>468</v>
      </c>
      <c r="N402">
        <v>2775</v>
      </c>
      <c r="O402">
        <v>14</v>
      </c>
      <c r="P402">
        <v>0</v>
      </c>
      <c r="Q402">
        <v>0</v>
      </c>
      <c r="R402">
        <v>0</v>
      </c>
      <c r="S402">
        <v>1194</v>
      </c>
    </row>
    <row r="403" spans="1:19" x14ac:dyDescent="0.25">
      <c r="A403" t="s">
        <v>248</v>
      </c>
      <c r="B403" t="s">
        <v>455</v>
      </c>
      <c r="C403" s="1">
        <f>933+75</f>
        <v>1008</v>
      </c>
      <c r="D403" s="1">
        <v>0</v>
      </c>
      <c r="E403" s="1">
        <v>0</v>
      </c>
      <c r="F403" s="1">
        <v>0</v>
      </c>
      <c r="G403" s="1">
        <v>0</v>
      </c>
      <c r="H403" s="1">
        <v>590</v>
      </c>
      <c r="I403" s="1">
        <v>78</v>
      </c>
      <c r="J403" s="1"/>
      <c r="L403">
        <v>616</v>
      </c>
      <c r="M403" t="s">
        <v>469</v>
      </c>
    </row>
    <row r="404" spans="1:19" x14ac:dyDescent="0.25">
      <c r="A404" t="s">
        <v>76</v>
      </c>
      <c r="B404" t="s">
        <v>456</v>
      </c>
      <c r="C404" s="1">
        <f>12821+451+20+2968</f>
        <v>16260</v>
      </c>
      <c r="D404" s="1">
        <v>0</v>
      </c>
      <c r="E404" s="1">
        <v>0</v>
      </c>
      <c r="F404" s="1">
        <v>0</v>
      </c>
      <c r="G404" s="1">
        <v>0</v>
      </c>
      <c r="H404" s="1">
        <v>18319</v>
      </c>
      <c r="I404" s="1">
        <v>2807</v>
      </c>
      <c r="J404" s="1"/>
      <c r="L404">
        <v>100</v>
      </c>
      <c r="M404" t="s">
        <v>470</v>
      </c>
      <c r="N404">
        <v>1976</v>
      </c>
      <c r="O404">
        <v>187</v>
      </c>
      <c r="P404">
        <v>0</v>
      </c>
      <c r="Q404">
        <v>0</v>
      </c>
      <c r="R404">
        <v>0</v>
      </c>
      <c r="S404">
        <v>18</v>
      </c>
    </row>
    <row r="405" spans="1:19" x14ac:dyDescent="0.25">
      <c r="A405" t="s">
        <v>76</v>
      </c>
      <c r="B405" t="s">
        <v>457</v>
      </c>
      <c r="C405" s="1">
        <f>6013+8386+2</f>
        <v>14401</v>
      </c>
      <c r="D405" s="1">
        <v>24</v>
      </c>
      <c r="E405" s="1">
        <v>0</v>
      </c>
      <c r="F405" s="1">
        <v>0</v>
      </c>
      <c r="G405" s="1">
        <v>0</v>
      </c>
      <c r="H405" s="1">
        <v>2899</v>
      </c>
      <c r="I405" s="1">
        <v>7951</v>
      </c>
      <c r="J405" s="1"/>
      <c r="L405">
        <v>610</v>
      </c>
      <c r="M405" t="s">
        <v>471</v>
      </c>
      <c r="N405">
        <v>3793</v>
      </c>
      <c r="O405">
        <v>8</v>
      </c>
      <c r="P405">
        <v>0</v>
      </c>
      <c r="Q405">
        <v>0</v>
      </c>
      <c r="R405">
        <v>0</v>
      </c>
      <c r="S405">
        <v>165</v>
      </c>
    </row>
    <row r="406" spans="1:19" x14ac:dyDescent="0.25">
      <c r="A406" t="s">
        <v>146</v>
      </c>
      <c r="B406" t="s">
        <v>458</v>
      </c>
      <c r="C406" s="1">
        <f>721+3+284</f>
        <v>1008</v>
      </c>
      <c r="D406" s="1">
        <f>58+18</f>
        <v>76</v>
      </c>
      <c r="E406" s="1">
        <v>0</v>
      </c>
      <c r="F406" s="1">
        <v>0</v>
      </c>
      <c r="G406" s="1">
        <v>0</v>
      </c>
      <c r="H406" s="1">
        <v>5417</v>
      </c>
      <c r="I406" s="1">
        <v>359</v>
      </c>
      <c r="J406" s="1"/>
      <c r="L406">
        <v>116</v>
      </c>
      <c r="M406" t="s">
        <v>472</v>
      </c>
      <c r="N406">
        <v>9186</v>
      </c>
      <c r="O406">
        <v>25</v>
      </c>
      <c r="P406">
        <v>0</v>
      </c>
      <c r="Q406">
        <v>0</v>
      </c>
      <c r="R406">
        <v>0</v>
      </c>
      <c r="S406">
        <v>2290</v>
      </c>
    </row>
    <row r="407" spans="1:19" x14ac:dyDescent="0.25">
      <c r="A407" t="s">
        <v>83</v>
      </c>
      <c r="B407" t="s">
        <v>459</v>
      </c>
      <c r="C407" s="1">
        <f>1164+7+695</f>
        <v>1866</v>
      </c>
      <c r="D407" s="1">
        <f>11+33</f>
        <v>44</v>
      </c>
      <c r="E407" s="1">
        <v>0</v>
      </c>
      <c r="F407" s="1">
        <v>0</v>
      </c>
      <c r="G407" s="1">
        <v>0</v>
      </c>
      <c r="H407" s="1">
        <v>1689</v>
      </c>
      <c r="I407" s="1">
        <v>718</v>
      </c>
      <c r="J407" s="1"/>
      <c r="L407">
        <v>610</v>
      </c>
      <c r="M407" t="s">
        <v>473</v>
      </c>
      <c r="N407">
        <v>13926</v>
      </c>
      <c r="O407">
        <v>122</v>
      </c>
      <c r="P407">
        <v>0</v>
      </c>
      <c r="Q407">
        <v>0</v>
      </c>
      <c r="R407">
        <v>0</v>
      </c>
      <c r="S407">
        <v>3565</v>
      </c>
    </row>
    <row r="408" spans="1:19" x14ac:dyDescent="0.25">
      <c r="A408" t="s">
        <v>248</v>
      </c>
      <c r="B408" t="s">
        <v>460</v>
      </c>
      <c r="C408" s="1">
        <f>1590+48+6+3684+2+1</f>
        <v>5331</v>
      </c>
      <c r="D408" s="1">
        <v>6</v>
      </c>
      <c r="E408" s="1">
        <v>0</v>
      </c>
      <c r="F408" s="1">
        <v>0</v>
      </c>
      <c r="G408" s="1">
        <v>0</v>
      </c>
      <c r="H408" s="1">
        <v>33526</v>
      </c>
      <c r="I408" s="1">
        <v>3076</v>
      </c>
      <c r="J408" s="1"/>
      <c r="L408">
        <v>616</v>
      </c>
      <c r="M408" t="s">
        <v>474</v>
      </c>
    </row>
    <row r="409" spans="1:19" x14ac:dyDescent="0.25">
      <c r="A409" t="s">
        <v>248</v>
      </c>
      <c r="B409" t="s">
        <v>461</v>
      </c>
      <c r="C409" s="1">
        <f>5737+1+1+2366</f>
        <v>8105</v>
      </c>
      <c r="D409" s="1">
        <f>7+10+21</f>
        <v>38</v>
      </c>
      <c r="E409" s="1">
        <v>0</v>
      </c>
      <c r="F409" s="1">
        <v>0</v>
      </c>
      <c r="G409" s="1">
        <v>0</v>
      </c>
      <c r="H409" s="1">
        <v>10836</v>
      </c>
      <c r="I409" s="1">
        <v>1907</v>
      </c>
      <c r="J409" s="1"/>
      <c r="L409">
        <v>313</v>
      </c>
      <c r="M409" t="s">
        <v>475</v>
      </c>
    </row>
    <row r="410" spans="1:19" x14ac:dyDescent="0.25">
      <c r="A410" t="s">
        <v>226</v>
      </c>
      <c r="B410" t="s">
        <v>462</v>
      </c>
      <c r="C410" s="1"/>
      <c r="D410" s="1"/>
      <c r="E410" s="1"/>
      <c r="F410" s="1"/>
      <c r="G410" s="1"/>
      <c r="H410" s="1"/>
      <c r="I410" s="1"/>
      <c r="J410" s="1"/>
      <c r="L410">
        <v>611</v>
      </c>
      <c r="M410" t="s">
        <v>476</v>
      </c>
      <c r="N410">
        <v>7702</v>
      </c>
      <c r="O410">
        <v>21</v>
      </c>
      <c r="P410">
        <v>0</v>
      </c>
      <c r="Q410">
        <v>0</v>
      </c>
      <c r="R410">
        <v>0</v>
      </c>
      <c r="S410">
        <v>1645</v>
      </c>
    </row>
    <row r="411" spans="1:19" x14ac:dyDescent="0.25">
      <c r="A411" t="s">
        <v>802</v>
      </c>
      <c r="B411" t="s">
        <v>463</v>
      </c>
      <c r="C411" s="1"/>
      <c r="D411" s="1"/>
      <c r="E411" s="1"/>
      <c r="F411" s="1"/>
      <c r="G411" s="1"/>
      <c r="H411" s="1"/>
      <c r="I411" s="1"/>
      <c r="J411" s="1"/>
      <c r="L411">
        <v>712</v>
      </c>
      <c r="M411" t="s">
        <v>477</v>
      </c>
      <c r="N411">
        <v>15279</v>
      </c>
      <c r="O411">
        <v>78</v>
      </c>
      <c r="P411">
        <v>0</v>
      </c>
      <c r="Q411">
        <v>0</v>
      </c>
      <c r="R411">
        <v>0</v>
      </c>
      <c r="S411">
        <v>9444</v>
      </c>
    </row>
    <row r="412" spans="1:19" x14ac:dyDescent="0.25">
      <c r="A412" t="s">
        <v>248</v>
      </c>
      <c r="B412" t="s">
        <v>464</v>
      </c>
      <c r="C412" s="1">
        <f>1846+1+367</f>
        <v>2214</v>
      </c>
      <c r="D412" s="1">
        <v>1</v>
      </c>
      <c r="E412" s="1">
        <v>0</v>
      </c>
      <c r="F412" s="1">
        <v>0</v>
      </c>
      <c r="G412" s="1">
        <v>0</v>
      </c>
      <c r="H412" s="1">
        <v>2611</v>
      </c>
      <c r="I412" s="1">
        <v>347</v>
      </c>
      <c r="J412" s="1"/>
      <c r="L412">
        <v>712</v>
      </c>
      <c r="M412" t="s">
        <v>478</v>
      </c>
      <c r="N412">
        <v>12897</v>
      </c>
      <c r="O412">
        <v>45</v>
      </c>
      <c r="P412">
        <v>0</v>
      </c>
      <c r="Q412">
        <v>0</v>
      </c>
      <c r="R412">
        <v>0</v>
      </c>
      <c r="S412">
        <v>7329</v>
      </c>
    </row>
    <row r="413" spans="1:19" x14ac:dyDescent="0.25">
      <c r="A413" t="s">
        <v>101</v>
      </c>
      <c r="B413" t="s">
        <v>465</v>
      </c>
      <c r="C413" s="1">
        <f>4800+3+1609</f>
        <v>6412</v>
      </c>
      <c r="D413" s="1">
        <v>7</v>
      </c>
      <c r="E413" s="1">
        <v>0</v>
      </c>
      <c r="F413" s="1">
        <v>0</v>
      </c>
      <c r="G413" s="1">
        <v>0</v>
      </c>
      <c r="H413" s="1">
        <v>11311</v>
      </c>
      <c r="I413" s="1">
        <v>1631</v>
      </c>
      <c r="J413" s="1"/>
      <c r="L413">
        <v>113</v>
      </c>
      <c r="M413" t="s">
        <v>479</v>
      </c>
    </row>
    <row r="414" spans="1:19" x14ac:dyDescent="0.25">
      <c r="A414" t="s">
        <v>185</v>
      </c>
      <c r="B414" t="s">
        <v>466</v>
      </c>
      <c r="C414" s="1">
        <f>4942+11+87+6+18+12+4+54+214+21+523+33</f>
        <v>5925</v>
      </c>
      <c r="D414" s="1">
        <f>3+34</f>
        <v>37</v>
      </c>
      <c r="E414" s="1">
        <v>0</v>
      </c>
      <c r="F414" s="1">
        <v>0</v>
      </c>
      <c r="G414" s="1">
        <v>0</v>
      </c>
      <c r="H414" s="1">
        <v>1246</v>
      </c>
      <c r="I414" s="1">
        <v>544</v>
      </c>
      <c r="J414" s="1"/>
      <c r="L414">
        <v>700</v>
      </c>
      <c r="M414" t="s">
        <v>480</v>
      </c>
      <c r="N414">
        <v>12675</v>
      </c>
      <c r="O414">
        <v>0</v>
      </c>
      <c r="P414">
        <v>0</v>
      </c>
      <c r="Q414">
        <v>0</v>
      </c>
      <c r="R414">
        <v>0</v>
      </c>
      <c r="S414">
        <v>1193</v>
      </c>
    </row>
    <row r="415" spans="1:19" x14ac:dyDescent="0.25">
      <c r="A415" t="s">
        <v>512</v>
      </c>
      <c r="B415" t="s">
        <v>467</v>
      </c>
      <c r="C415" s="1"/>
      <c r="D415" s="1"/>
      <c r="E415" s="1"/>
      <c r="F415" s="1"/>
      <c r="G415" s="1"/>
      <c r="H415" s="1"/>
      <c r="I415" s="1"/>
      <c r="J415" s="1"/>
      <c r="L415">
        <v>313</v>
      </c>
      <c r="M415" t="s">
        <v>481</v>
      </c>
    </row>
    <row r="416" spans="1:19" x14ac:dyDescent="0.25">
      <c r="A416" s="27" t="s">
        <v>10</v>
      </c>
      <c r="B416" s="32" t="s">
        <v>781</v>
      </c>
      <c r="C416" s="1"/>
      <c r="D416" s="1"/>
      <c r="E416" s="1"/>
      <c r="F416" s="1"/>
      <c r="G416" s="1"/>
      <c r="H416" s="1"/>
      <c r="I416" s="1"/>
      <c r="J416" s="1"/>
      <c r="L416">
        <v>500</v>
      </c>
      <c r="M416" t="s">
        <v>482</v>
      </c>
      <c r="N416">
        <v>363</v>
      </c>
      <c r="O416">
        <v>0</v>
      </c>
      <c r="P416">
        <v>0</v>
      </c>
      <c r="Q416">
        <v>0</v>
      </c>
      <c r="R416">
        <v>0</v>
      </c>
      <c r="S416">
        <v>59</v>
      </c>
    </row>
    <row r="417" spans="1:19" x14ac:dyDescent="0.25">
      <c r="A417" t="s">
        <v>140</v>
      </c>
      <c r="B417" t="s">
        <v>468</v>
      </c>
      <c r="C417" s="1">
        <f>1948+26+10+774+17</f>
        <v>2775</v>
      </c>
      <c r="D417" s="1">
        <f>10+3+1</f>
        <v>14</v>
      </c>
      <c r="E417" s="1">
        <v>0</v>
      </c>
      <c r="F417" s="1">
        <v>0</v>
      </c>
      <c r="G417" s="1">
        <v>0</v>
      </c>
      <c r="H417" s="1">
        <v>1194</v>
      </c>
      <c r="I417" s="1">
        <v>601</v>
      </c>
      <c r="J417" s="1"/>
      <c r="L417">
        <v>312</v>
      </c>
      <c r="M417" t="s">
        <v>483</v>
      </c>
      <c r="N417">
        <v>10236</v>
      </c>
      <c r="O417">
        <v>66</v>
      </c>
      <c r="P417">
        <v>0</v>
      </c>
      <c r="Q417">
        <v>0</v>
      </c>
      <c r="R417">
        <v>0</v>
      </c>
      <c r="S417">
        <v>27229</v>
      </c>
    </row>
    <row r="418" spans="1:19" x14ac:dyDescent="0.25">
      <c r="A418" t="s">
        <v>817</v>
      </c>
      <c r="B418" t="s">
        <v>469</v>
      </c>
      <c r="C418" s="1"/>
      <c r="D418" s="1"/>
      <c r="E418" s="1"/>
      <c r="F418" s="1"/>
      <c r="G418" s="1"/>
      <c r="H418" s="1"/>
      <c r="I418" s="1"/>
      <c r="J418" s="1"/>
      <c r="L418">
        <v>711</v>
      </c>
      <c r="M418" t="s">
        <v>484</v>
      </c>
      <c r="N418">
        <v>11283</v>
      </c>
      <c r="O418">
        <v>1</v>
      </c>
      <c r="P418">
        <v>0</v>
      </c>
      <c r="Q418">
        <v>0</v>
      </c>
      <c r="R418">
        <v>0</v>
      </c>
      <c r="S418">
        <v>18845</v>
      </c>
    </row>
    <row r="419" spans="1:19" x14ac:dyDescent="0.25">
      <c r="A419" t="s">
        <v>791</v>
      </c>
      <c r="B419" t="s">
        <v>470</v>
      </c>
      <c r="C419" s="1">
        <f>473+4+1499</f>
        <v>1976</v>
      </c>
      <c r="D419" s="1">
        <f>168+19</f>
        <v>187</v>
      </c>
      <c r="E419" s="1">
        <v>0</v>
      </c>
      <c r="F419" s="1">
        <v>0</v>
      </c>
      <c r="G419" s="1">
        <v>0</v>
      </c>
      <c r="H419" s="1">
        <v>18</v>
      </c>
      <c r="I419" s="1">
        <v>1760</v>
      </c>
      <c r="J419" s="1"/>
      <c r="L419">
        <v>715</v>
      </c>
      <c r="M419" t="s">
        <v>485</v>
      </c>
      <c r="N419">
        <v>3106</v>
      </c>
      <c r="O419">
        <v>0</v>
      </c>
      <c r="P419">
        <v>0</v>
      </c>
      <c r="Q419">
        <v>0</v>
      </c>
      <c r="R419">
        <v>0</v>
      </c>
      <c r="S419">
        <v>2060</v>
      </c>
    </row>
    <row r="420" spans="1:19" x14ac:dyDescent="0.25">
      <c r="A420" t="s">
        <v>788</v>
      </c>
      <c r="B420" t="s">
        <v>471</v>
      </c>
      <c r="C420" s="1">
        <f>3248+545</f>
        <v>3793</v>
      </c>
      <c r="D420" s="1">
        <v>8</v>
      </c>
      <c r="E420" s="1">
        <v>0</v>
      </c>
      <c r="F420" s="1">
        <v>0</v>
      </c>
      <c r="G420" s="1">
        <v>0</v>
      </c>
      <c r="H420" s="1">
        <v>165</v>
      </c>
      <c r="I420" s="1">
        <v>545</v>
      </c>
      <c r="J420" s="1"/>
      <c r="L420">
        <v>110</v>
      </c>
      <c r="M420" t="s">
        <v>486</v>
      </c>
      <c r="N420">
        <v>10769</v>
      </c>
      <c r="O420">
        <v>0</v>
      </c>
      <c r="P420">
        <v>0</v>
      </c>
      <c r="Q420">
        <v>0</v>
      </c>
      <c r="R420">
        <v>0</v>
      </c>
      <c r="S420">
        <v>7</v>
      </c>
    </row>
    <row r="421" spans="1:19" x14ac:dyDescent="0.25">
      <c r="A421" t="s">
        <v>795</v>
      </c>
      <c r="B421" t="s">
        <v>472</v>
      </c>
      <c r="C421" s="1">
        <f>4525+4625+36</f>
        <v>9186</v>
      </c>
      <c r="D421" s="1">
        <f>3+19+3</f>
        <v>25</v>
      </c>
      <c r="E421" s="1">
        <v>0</v>
      </c>
      <c r="F421" s="1">
        <v>0</v>
      </c>
      <c r="G421" s="1">
        <v>0</v>
      </c>
      <c r="H421" s="1">
        <v>2290</v>
      </c>
      <c r="I421" s="1">
        <v>1543</v>
      </c>
      <c r="J421" s="1"/>
      <c r="L421">
        <v>212</v>
      </c>
      <c r="M421" t="s">
        <v>487</v>
      </c>
      <c r="N421">
        <v>2167</v>
      </c>
      <c r="O421">
        <v>5</v>
      </c>
      <c r="P421">
        <v>0</v>
      </c>
      <c r="Q421">
        <v>0</v>
      </c>
      <c r="R421">
        <v>0</v>
      </c>
      <c r="S421">
        <v>2027</v>
      </c>
    </row>
    <row r="422" spans="1:19" x14ac:dyDescent="0.25">
      <c r="A422" t="s">
        <v>788</v>
      </c>
      <c r="B422" t="s">
        <v>473</v>
      </c>
      <c r="C422" s="1">
        <f>8915+8+5003</f>
        <v>13926</v>
      </c>
      <c r="D422" s="1">
        <f>100+11+8+1+2</f>
        <v>122</v>
      </c>
      <c r="E422" s="1">
        <v>0</v>
      </c>
      <c r="F422" s="1">
        <v>0</v>
      </c>
      <c r="G422" s="1">
        <v>0</v>
      </c>
      <c r="H422" s="1">
        <v>3565</v>
      </c>
      <c r="I422" s="1">
        <v>4614</v>
      </c>
      <c r="J422" s="1"/>
      <c r="L422">
        <v>300</v>
      </c>
      <c r="M422" t="s">
        <v>488</v>
      </c>
      <c r="N422">
        <v>13703</v>
      </c>
      <c r="O422">
        <v>26</v>
      </c>
      <c r="P422">
        <v>0</v>
      </c>
      <c r="Q422">
        <v>0</v>
      </c>
      <c r="R422">
        <v>0</v>
      </c>
      <c r="S422">
        <v>3205</v>
      </c>
    </row>
    <row r="423" spans="1:19" x14ac:dyDescent="0.25">
      <c r="A423" t="s">
        <v>817</v>
      </c>
      <c r="B423" t="s">
        <v>474</v>
      </c>
      <c r="C423" s="1"/>
      <c r="D423" s="1"/>
      <c r="E423" s="1"/>
      <c r="F423" s="1"/>
      <c r="G423" s="1"/>
      <c r="H423" s="1"/>
      <c r="I423" s="1"/>
      <c r="J423" s="1"/>
      <c r="L423" t="s">
        <v>820</v>
      </c>
      <c r="M423" t="s">
        <v>489</v>
      </c>
      <c r="N423">
        <v>5859</v>
      </c>
      <c r="O423">
        <v>4</v>
      </c>
      <c r="P423">
        <v>0</v>
      </c>
      <c r="Q423">
        <v>0</v>
      </c>
      <c r="R423">
        <v>0</v>
      </c>
      <c r="S423">
        <v>6439</v>
      </c>
    </row>
    <row r="424" spans="1:19" x14ac:dyDescent="0.25">
      <c r="A424" t="s">
        <v>512</v>
      </c>
      <c r="B424" t="s">
        <v>475</v>
      </c>
      <c r="C424" s="1"/>
      <c r="D424" s="1"/>
      <c r="E424" s="1"/>
      <c r="F424" s="1"/>
      <c r="G424" s="1"/>
      <c r="H424" s="1"/>
      <c r="I424" s="1"/>
      <c r="J424" s="1"/>
      <c r="L424">
        <v>711</v>
      </c>
      <c r="M424" t="s">
        <v>491</v>
      </c>
      <c r="N424">
        <v>4619</v>
      </c>
      <c r="O424">
        <v>142</v>
      </c>
      <c r="P424">
        <v>0</v>
      </c>
      <c r="Q424">
        <v>0</v>
      </c>
      <c r="R424">
        <v>0</v>
      </c>
      <c r="S424">
        <v>4313</v>
      </c>
    </row>
    <row r="425" spans="1:19" x14ac:dyDescent="0.25">
      <c r="A425" t="s">
        <v>146</v>
      </c>
      <c r="B425" t="s">
        <v>476</v>
      </c>
      <c r="C425" s="1">
        <f>5574+2128</f>
        <v>7702</v>
      </c>
      <c r="D425" s="1">
        <f>1+20</f>
        <v>21</v>
      </c>
      <c r="E425" s="1">
        <v>0</v>
      </c>
      <c r="F425" s="1">
        <v>0</v>
      </c>
      <c r="G425" s="1">
        <v>0</v>
      </c>
      <c r="H425" s="1">
        <v>1645</v>
      </c>
      <c r="I425" s="1">
        <v>2183</v>
      </c>
      <c r="J425" s="1"/>
      <c r="L425">
        <v>715</v>
      </c>
      <c r="M425" t="s">
        <v>492</v>
      </c>
      <c r="N425">
        <v>2341</v>
      </c>
      <c r="O425">
        <v>1</v>
      </c>
      <c r="P425">
        <v>0</v>
      </c>
      <c r="Q425">
        <v>0</v>
      </c>
      <c r="R425">
        <v>0</v>
      </c>
      <c r="S425">
        <v>4563</v>
      </c>
    </row>
    <row r="426" spans="1:19" x14ac:dyDescent="0.25">
      <c r="A426" t="s">
        <v>76</v>
      </c>
      <c r="B426" t="s">
        <v>477</v>
      </c>
      <c r="C426" s="1">
        <f>8999+8+6196+76</f>
        <v>15279</v>
      </c>
      <c r="D426" s="1">
        <f>66+12</f>
        <v>78</v>
      </c>
      <c r="E426" s="1">
        <v>0</v>
      </c>
      <c r="F426" s="1">
        <v>0</v>
      </c>
      <c r="G426" s="1">
        <v>0</v>
      </c>
      <c r="H426" s="1">
        <v>9444</v>
      </c>
      <c r="I426" s="1">
        <v>4915</v>
      </c>
      <c r="J426" s="1"/>
      <c r="L426">
        <v>100</v>
      </c>
      <c r="M426" t="s">
        <v>493</v>
      </c>
      <c r="N426">
        <v>2677</v>
      </c>
      <c r="O426">
        <v>101</v>
      </c>
      <c r="P426">
        <v>0</v>
      </c>
      <c r="Q426">
        <v>0</v>
      </c>
      <c r="R426">
        <v>0</v>
      </c>
      <c r="S426">
        <v>6473</v>
      </c>
    </row>
    <row r="427" spans="1:19" x14ac:dyDescent="0.25">
      <c r="A427" t="s">
        <v>76</v>
      </c>
      <c r="B427" t="s">
        <v>478</v>
      </c>
      <c r="C427" s="1">
        <f>8304+164+4017+412</f>
        <v>12897</v>
      </c>
      <c r="D427" s="1">
        <v>45</v>
      </c>
      <c r="E427" s="1">
        <v>0</v>
      </c>
      <c r="F427" s="1">
        <v>0</v>
      </c>
      <c r="G427" s="1">
        <v>0</v>
      </c>
      <c r="H427" s="1">
        <v>7329</v>
      </c>
      <c r="I427" s="1">
        <v>3961</v>
      </c>
      <c r="J427" s="1"/>
      <c r="L427" t="s">
        <v>815</v>
      </c>
      <c r="M427" t="s">
        <v>494</v>
      </c>
    </row>
    <row r="428" spans="1:19" x14ac:dyDescent="0.25">
      <c r="A428" t="s">
        <v>823</v>
      </c>
      <c r="B428" t="s">
        <v>479</v>
      </c>
      <c r="C428" s="1"/>
      <c r="D428" s="1"/>
      <c r="E428" s="1"/>
      <c r="F428" s="1"/>
      <c r="G428" s="1"/>
      <c r="H428" s="1"/>
      <c r="I428" s="1"/>
      <c r="J428" s="1"/>
      <c r="L428">
        <v>613</v>
      </c>
      <c r="M428" t="s">
        <v>496</v>
      </c>
      <c r="N428">
        <v>28368</v>
      </c>
      <c r="O428">
        <v>57</v>
      </c>
      <c r="P428">
        <v>0</v>
      </c>
      <c r="Q428">
        <v>0</v>
      </c>
      <c r="R428">
        <v>0</v>
      </c>
      <c r="S428">
        <v>4857</v>
      </c>
    </row>
    <row r="429" spans="1:19" x14ac:dyDescent="0.25">
      <c r="A429" t="s">
        <v>83</v>
      </c>
      <c r="B429" t="s">
        <v>480</v>
      </c>
      <c r="C429" s="1">
        <f>11328+2+1342+2+1</f>
        <v>12675</v>
      </c>
      <c r="D429" s="1">
        <v>0</v>
      </c>
      <c r="E429" s="1">
        <v>0</v>
      </c>
      <c r="F429" s="1">
        <v>0</v>
      </c>
      <c r="G429" s="1">
        <v>0</v>
      </c>
      <c r="H429" s="1">
        <v>1193</v>
      </c>
      <c r="I429" s="1">
        <v>1238</v>
      </c>
      <c r="J429" s="1"/>
      <c r="L429">
        <v>100</v>
      </c>
      <c r="M429" t="s">
        <v>497</v>
      </c>
      <c r="N429" s="1">
        <f>2234+3+12+1561</f>
        <v>3810</v>
      </c>
      <c r="O429" s="1">
        <v>0</v>
      </c>
      <c r="P429" s="1">
        <v>0</v>
      </c>
      <c r="Q429" s="1">
        <v>0</v>
      </c>
      <c r="R429" s="1">
        <v>0</v>
      </c>
      <c r="S429" s="1">
        <v>3116</v>
      </c>
    </row>
    <row r="430" spans="1:19" x14ac:dyDescent="0.25">
      <c r="A430" t="s">
        <v>512</v>
      </c>
      <c r="B430" t="s">
        <v>481</v>
      </c>
      <c r="C430" s="1"/>
      <c r="D430" s="1"/>
      <c r="E430" s="1"/>
      <c r="F430" s="1"/>
      <c r="G430" s="1"/>
      <c r="H430" s="1"/>
      <c r="I430" s="1"/>
      <c r="J430" s="1"/>
      <c r="L430">
        <v>712</v>
      </c>
      <c r="M430" t="s">
        <v>501</v>
      </c>
    </row>
    <row r="431" spans="1:19" x14ac:dyDescent="0.25">
      <c r="A431" t="s">
        <v>824</v>
      </c>
      <c r="B431" t="s">
        <v>482</v>
      </c>
      <c r="C431" s="1">
        <f>327+36</f>
        <v>363</v>
      </c>
      <c r="D431" s="1">
        <v>0</v>
      </c>
      <c r="E431" s="1">
        <v>0</v>
      </c>
      <c r="F431" s="1">
        <v>0</v>
      </c>
      <c r="G431" s="1">
        <v>0</v>
      </c>
      <c r="H431" s="1">
        <v>59</v>
      </c>
      <c r="I431" s="1">
        <v>21</v>
      </c>
      <c r="J431" s="1"/>
      <c r="L431">
        <v>616</v>
      </c>
      <c r="M431" t="s">
        <v>502</v>
      </c>
    </row>
    <row r="432" spans="1:19" x14ac:dyDescent="0.25">
      <c r="A432" t="s">
        <v>72</v>
      </c>
      <c r="B432" t="s">
        <v>483</v>
      </c>
      <c r="C432" s="1">
        <f>9061+1175</f>
        <v>10236</v>
      </c>
      <c r="D432" s="1">
        <f>8+2+56</f>
        <v>66</v>
      </c>
      <c r="E432" s="1">
        <v>0</v>
      </c>
      <c r="F432" s="1">
        <v>0</v>
      </c>
      <c r="G432" s="1">
        <v>0</v>
      </c>
      <c r="H432" s="1">
        <v>27229</v>
      </c>
      <c r="I432" s="1">
        <v>1176</v>
      </c>
      <c r="J432" s="1"/>
      <c r="L432">
        <v>114</v>
      </c>
      <c r="M432" t="s">
        <v>503</v>
      </c>
    </row>
    <row r="433" spans="1:19" x14ac:dyDescent="0.25">
      <c r="A433" t="s">
        <v>801</v>
      </c>
      <c r="B433" t="s">
        <v>484</v>
      </c>
      <c r="C433" s="1">
        <f>5631+44+3+3+5026+572+4</f>
        <v>11283</v>
      </c>
      <c r="D433" s="1">
        <v>1</v>
      </c>
      <c r="E433" s="1">
        <v>0</v>
      </c>
      <c r="F433" s="1">
        <v>0</v>
      </c>
      <c r="G433" s="1">
        <v>0</v>
      </c>
      <c r="H433" s="1">
        <v>18845</v>
      </c>
      <c r="I433" s="1">
        <v>5162</v>
      </c>
      <c r="J433" s="1"/>
      <c r="L433">
        <v>712</v>
      </c>
      <c r="M433" t="s">
        <v>504</v>
      </c>
    </row>
    <row r="434" spans="1:19" x14ac:dyDescent="0.25">
      <c r="A434" t="s">
        <v>818</v>
      </c>
      <c r="B434" t="s">
        <v>485</v>
      </c>
      <c r="C434" s="1">
        <f>723+2383</f>
        <v>3106</v>
      </c>
      <c r="D434" s="1">
        <v>0</v>
      </c>
      <c r="E434" s="1">
        <v>0</v>
      </c>
      <c r="F434" s="1">
        <v>0</v>
      </c>
      <c r="G434" s="1">
        <v>0</v>
      </c>
      <c r="H434" s="1">
        <v>2060</v>
      </c>
      <c r="I434" s="1">
        <v>1273</v>
      </c>
      <c r="J434" s="1"/>
      <c r="L434">
        <v>616</v>
      </c>
      <c r="M434" t="s">
        <v>505</v>
      </c>
    </row>
    <row r="435" spans="1:19" x14ac:dyDescent="0.25">
      <c r="A435" t="s">
        <v>797</v>
      </c>
      <c r="B435" t="s">
        <v>486</v>
      </c>
      <c r="C435" s="1">
        <f>10732+64</f>
        <v>10796</v>
      </c>
      <c r="D435" s="1">
        <v>0</v>
      </c>
      <c r="E435" s="1">
        <v>0</v>
      </c>
      <c r="F435" s="1">
        <v>0</v>
      </c>
      <c r="G435" s="1">
        <v>0</v>
      </c>
      <c r="H435" s="1">
        <v>7</v>
      </c>
      <c r="I435" s="1">
        <v>70</v>
      </c>
      <c r="J435" s="1" t="s">
        <v>819</v>
      </c>
      <c r="L435">
        <v>500</v>
      </c>
      <c r="M435" t="s">
        <v>506</v>
      </c>
      <c r="N435">
        <v>63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 x14ac:dyDescent="0.25">
      <c r="A436" t="s">
        <v>799</v>
      </c>
      <c r="B436" t="s">
        <v>487</v>
      </c>
      <c r="C436" s="1">
        <f>1728+439</f>
        <v>2167</v>
      </c>
      <c r="D436" s="1">
        <f>3+2</f>
        <v>5</v>
      </c>
      <c r="E436" s="1">
        <v>0</v>
      </c>
      <c r="F436" s="1">
        <v>0</v>
      </c>
      <c r="G436" s="1">
        <v>0</v>
      </c>
      <c r="H436" s="1">
        <v>2027</v>
      </c>
      <c r="I436" s="1">
        <v>485</v>
      </c>
      <c r="J436" s="1"/>
      <c r="L436">
        <v>616</v>
      </c>
      <c r="M436" t="s">
        <v>507</v>
      </c>
    </row>
    <row r="437" spans="1:19" x14ac:dyDescent="0.25">
      <c r="A437" t="s">
        <v>226</v>
      </c>
      <c r="B437" t="s">
        <v>488</v>
      </c>
      <c r="C437" s="1">
        <f>11508+17+4+2174</f>
        <v>13703</v>
      </c>
      <c r="D437" s="1">
        <v>26</v>
      </c>
      <c r="E437" s="1">
        <v>0</v>
      </c>
      <c r="F437" s="1">
        <v>0</v>
      </c>
      <c r="G437" s="1">
        <v>0</v>
      </c>
      <c r="H437" s="1">
        <v>3205</v>
      </c>
      <c r="I437" s="1">
        <v>1861</v>
      </c>
      <c r="J437" s="1"/>
      <c r="L437">
        <v>616</v>
      </c>
      <c r="M437" t="s">
        <v>508</v>
      </c>
    </row>
    <row r="438" spans="1:19" x14ac:dyDescent="0.25">
      <c r="A438" t="s">
        <v>265</v>
      </c>
      <c r="B438" t="s">
        <v>489</v>
      </c>
      <c r="C438" s="1">
        <f>4603+19+1237</f>
        <v>5859</v>
      </c>
      <c r="D438" s="1">
        <f>2+2</f>
        <v>4</v>
      </c>
      <c r="E438" s="1">
        <v>0</v>
      </c>
      <c r="F438" s="1">
        <v>0</v>
      </c>
      <c r="G438" s="1">
        <v>0</v>
      </c>
      <c r="H438" s="1">
        <v>6439</v>
      </c>
      <c r="I438" s="1">
        <v>1103</v>
      </c>
      <c r="J438" s="1"/>
      <c r="L438">
        <v>711</v>
      </c>
      <c r="M438" t="s">
        <v>509</v>
      </c>
    </row>
    <row r="439" spans="1:19" x14ac:dyDescent="0.25">
      <c r="A439" t="s">
        <v>10</v>
      </c>
      <c r="B439" s="1" t="s">
        <v>490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/>
      <c r="L439">
        <v>711</v>
      </c>
      <c r="M439" t="s">
        <v>510</v>
      </c>
      <c r="N439">
        <v>2471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25">
      <c r="A440" t="s">
        <v>801</v>
      </c>
      <c r="B440" t="s">
        <v>491</v>
      </c>
      <c r="C440" s="1">
        <f>1860+2749+10</f>
        <v>4619</v>
      </c>
      <c r="D440" s="1">
        <f>10+132</f>
        <v>142</v>
      </c>
      <c r="E440" s="1">
        <v>0</v>
      </c>
      <c r="F440" s="1">
        <v>0</v>
      </c>
      <c r="G440" s="1">
        <v>0</v>
      </c>
      <c r="H440" s="1">
        <v>4313</v>
      </c>
      <c r="I440" s="1">
        <v>2643</v>
      </c>
      <c r="J440" s="1"/>
      <c r="L440">
        <v>114</v>
      </c>
      <c r="M440" t="s">
        <v>511</v>
      </c>
    </row>
    <row r="441" spans="1:19" x14ac:dyDescent="0.25">
      <c r="A441" t="s">
        <v>818</v>
      </c>
      <c r="B441" t="s">
        <v>492</v>
      </c>
      <c r="C441" s="1">
        <f>1713+628</f>
        <v>2341</v>
      </c>
      <c r="D441" s="1">
        <v>1</v>
      </c>
      <c r="E441" s="1">
        <v>0</v>
      </c>
      <c r="F441" s="1">
        <v>0</v>
      </c>
      <c r="G441" s="1">
        <v>0</v>
      </c>
      <c r="H441" s="1">
        <v>4563</v>
      </c>
      <c r="I441" s="1">
        <v>548</v>
      </c>
      <c r="J441" s="1"/>
      <c r="L441">
        <v>313</v>
      </c>
      <c r="M441" t="s">
        <v>513</v>
      </c>
    </row>
    <row r="442" spans="1:19" x14ac:dyDescent="0.25">
      <c r="A442" t="s">
        <v>791</v>
      </c>
      <c r="B442" t="s">
        <v>493</v>
      </c>
      <c r="C442" s="1">
        <f>1886+4+4+783</f>
        <v>2677</v>
      </c>
      <c r="D442" s="1">
        <f>6+95</f>
        <v>101</v>
      </c>
      <c r="E442" s="1">
        <v>0</v>
      </c>
      <c r="F442" s="1">
        <v>0</v>
      </c>
      <c r="G442" s="1">
        <v>0</v>
      </c>
      <c r="H442" s="1">
        <v>6473</v>
      </c>
      <c r="I442" s="1">
        <v>867</v>
      </c>
      <c r="J442" s="1"/>
      <c r="L442">
        <v>616</v>
      </c>
      <c r="M442" t="s">
        <v>514</v>
      </c>
    </row>
    <row r="443" spans="1:19" x14ac:dyDescent="0.25">
      <c r="A443" t="s">
        <v>138</v>
      </c>
      <c r="B443" t="s">
        <v>494</v>
      </c>
      <c r="C443" s="1"/>
      <c r="D443" s="1"/>
      <c r="E443" s="1"/>
      <c r="F443" s="1"/>
      <c r="G443" s="1"/>
      <c r="H443" s="1"/>
      <c r="I443" s="1"/>
      <c r="J443" s="1"/>
      <c r="L443">
        <v>711</v>
      </c>
      <c r="M443" t="s">
        <v>515</v>
      </c>
      <c r="N443">
        <v>199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 x14ac:dyDescent="0.25">
      <c r="A444" t="s">
        <v>495</v>
      </c>
      <c r="B444" t="s">
        <v>496</v>
      </c>
      <c r="C444" s="1">
        <f>20374+1+156+43+7793+1</f>
        <v>28368</v>
      </c>
      <c r="D444" s="1">
        <f>9+33+15</f>
        <v>57</v>
      </c>
      <c r="E444" s="1">
        <v>0</v>
      </c>
      <c r="F444" s="1">
        <v>0</v>
      </c>
      <c r="G444" s="1">
        <v>0</v>
      </c>
      <c r="H444" s="1">
        <v>4857</v>
      </c>
      <c r="I444" s="1">
        <v>6436</v>
      </c>
      <c r="J444" s="1"/>
      <c r="L444">
        <v>161</v>
      </c>
      <c r="M444" t="s">
        <v>516</v>
      </c>
      <c r="N444">
        <v>16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 x14ac:dyDescent="0.25">
      <c r="A445" t="s">
        <v>791</v>
      </c>
      <c r="B445" t="s">
        <v>497</v>
      </c>
      <c r="C445" s="1">
        <f>2234+3+12+1561</f>
        <v>3810</v>
      </c>
      <c r="D445" s="1">
        <v>0</v>
      </c>
      <c r="E445" s="1">
        <v>0</v>
      </c>
      <c r="F445" s="1">
        <v>0</v>
      </c>
      <c r="G445" s="1">
        <v>0</v>
      </c>
      <c r="H445" s="1">
        <v>3116</v>
      </c>
      <c r="I445" s="1">
        <v>1541</v>
      </c>
      <c r="J445" s="1"/>
      <c r="L445">
        <v>110</v>
      </c>
      <c r="M445" t="s">
        <v>517</v>
      </c>
      <c r="N445">
        <v>268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25">
      <c r="A446" s="27" t="s">
        <v>10</v>
      </c>
      <c r="B446" s="32" t="s">
        <v>782</v>
      </c>
      <c r="C446" s="1"/>
      <c r="D446" s="1"/>
      <c r="E446" s="1"/>
      <c r="F446" s="1"/>
      <c r="G446" s="1"/>
      <c r="H446" s="1"/>
      <c r="I446" s="1"/>
      <c r="J446" s="1"/>
      <c r="L446">
        <v>111</v>
      </c>
      <c r="M446" t="s">
        <v>518</v>
      </c>
    </row>
    <row r="447" spans="1:19" x14ac:dyDescent="0.25">
      <c r="A447" s="27" t="s">
        <v>10</v>
      </c>
      <c r="B447" s="32" t="s">
        <v>783</v>
      </c>
      <c r="C447" s="1"/>
      <c r="D447" s="1"/>
      <c r="E447" s="1"/>
      <c r="F447" s="1"/>
      <c r="G447" s="1"/>
      <c r="H447" s="1"/>
      <c r="I447" s="1"/>
      <c r="J447" s="1"/>
      <c r="L447">
        <v>300</v>
      </c>
      <c r="M447" t="s">
        <v>519</v>
      </c>
    </row>
    <row r="448" spans="1:19" x14ac:dyDescent="0.25">
      <c r="A448" s="27" t="s">
        <v>10</v>
      </c>
      <c r="B448" s="32" t="s">
        <v>784</v>
      </c>
      <c r="C448" s="1"/>
      <c r="D448" s="1"/>
      <c r="E448" s="1"/>
      <c r="F448" s="1"/>
      <c r="G448" s="1"/>
      <c r="H448" s="1"/>
      <c r="I448" s="1"/>
      <c r="J448" s="1"/>
      <c r="L448">
        <v>712</v>
      </c>
      <c r="M448" t="s">
        <v>520</v>
      </c>
    </row>
    <row r="449" spans="1:19" x14ac:dyDescent="0.25">
      <c r="A449" s="27" t="s">
        <v>10</v>
      </c>
      <c r="B449" s="32" t="s">
        <v>785</v>
      </c>
      <c r="C449" s="1"/>
      <c r="D449" s="1"/>
      <c r="E449" s="1"/>
      <c r="F449" s="1"/>
      <c r="G449" s="1"/>
      <c r="H449" s="1"/>
      <c r="I449" s="1"/>
      <c r="J449" s="1"/>
      <c r="L449">
        <v>114</v>
      </c>
      <c r="M449" t="s">
        <v>521</v>
      </c>
    </row>
    <row r="450" spans="1:19" x14ac:dyDescent="0.25">
      <c r="A450" t="s">
        <v>10</v>
      </c>
      <c r="B450" s="1" t="s">
        <v>498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/>
      <c r="L450">
        <v>312</v>
      </c>
      <c r="M450" t="s">
        <v>522</v>
      </c>
      <c r="N450">
        <v>166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 x14ac:dyDescent="0.25">
      <c r="A451" s="27" t="s">
        <v>10</v>
      </c>
      <c r="B451" s="32" t="s">
        <v>786</v>
      </c>
      <c r="C451" s="1"/>
      <c r="D451" s="1"/>
      <c r="E451" s="1"/>
      <c r="F451" s="1"/>
      <c r="G451" s="1"/>
      <c r="H451" s="1"/>
      <c r="I451" s="1"/>
      <c r="J451" s="1"/>
      <c r="L451">
        <v>616</v>
      </c>
      <c r="M451" t="s">
        <v>523</v>
      </c>
    </row>
    <row r="452" spans="1:19" x14ac:dyDescent="0.25">
      <c r="A452" t="s">
        <v>10</v>
      </c>
      <c r="B452" s="1" t="s">
        <v>499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/>
      <c r="L452">
        <v>600</v>
      </c>
      <c r="M452" t="s">
        <v>524</v>
      </c>
      <c r="N452">
        <v>494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 x14ac:dyDescent="0.25">
      <c r="A453" t="s">
        <v>10</v>
      </c>
      <c r="B453" s="1" t="s">
        <v>500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/>
      <c r="L453">
        <v>118</v>
      </c>
      <c r="M453" t="s">
        <v>525</v>
      </c>
      <c r="N453">
        <v>129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25">
      <c r="A454" t="s">
        <v>76</v>
      </c>
      <c r="B454" t="s">
        <v>501</v>
      </c>
      <c r="C454" s="1"/>
      <c r="D454" s="1"/>
      <c r="E454" s="1"/>
      <c r="F454" s="1"/>
      <c r="G454" s="1"/>
      <c r="H454" s="1"/>
      <c r="I454" s="1"/>
      <c r="J454" s="1"/>
      <c r="L454">
        <v>712</v>
      </c>
      <c r="M454" t="s">
        <v>526</v>
      </c>
    </row>
    <row r="455" spans="1:19" x14ac:dyDescent="0.25">
      <c r="A455" t="s">
        <v>817</v>
      </c>
      <c r="B455" t="s">
        <v>502</v>
      </c>
      <c r="C455" s="1"/>
      <c r="D455" s="1"/>
      <c r="E455" s="1"/>
      <c r="F455" s="1"/>
      <c r="G455" s="1"/>
      <c r="H455" s="1"/>
      <c r="I455" s="1"/>
      <c r="J455" s="1"/>
      <c r="L455">
        <v>212</v>
      </c>
      <c r="M455" t="s">
        <v>527</v>
      </c>
      <c r="N455">
        <v>32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 x14ac:dyDescent="0.25">
      <c r="A456" t="s">
        <v>150</v>
      </c>
      <c r="B456" t="s">
        <v>503</v>
      </c>
      <c r="C456" s="1"/>
      <c r="D456" s="1"/>
      <c r="E456" s="1"/>
      <c r="F456" s="1"/>
      <c r="G456" s="1"/>
      <c r="H456" s="1"/>
      <c r="I456" s="1"/>
      <c r="J456" s="1"/>
      <c r="L456">
        <v>712</v>
      </c>
      <c r="M456" t="s">
        <v>528</v>
      </c>
      <c r="N456">
        <v>87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 x14ac:dyDescent="0.25">
      <c r="A457" t="s">
        <v>76</v>
      </c>
      <c r="B457" t="s">
        <v>504</v>
      </c>
      <c r="C457" s="1"/>
      <c r="D457" s="1"/>
      <c r="E457" s="1"/>
      <c r="F457" s="1"/>
      <c r="G457" s="1"/>
      <c r="H457" s="1"/>
      <c r="I457" s="1"/>
      <c r="J457" s="1"/>
      <c r="L457">
        <v>711</v>
      </c>
      <c r="M457" t="s">
        <v>529</v>
      </c>
    </row>
    <row r="458" spans="1:19" x14ac:dyDescent="0.25">
      <c r="A458" t="s">
        <v>817</v>
      </c>
      <c r="B458" t="s">
        <v>505</v>
      </c>
      <c r="C458" s="1"/>
      <c r="D458" s="1"/>
      <c r="E458" s="1"/>
      <c r="F458" s="1"/>
      <c r="G458" s="1"/>
      <c r="H458" s="1"/>
      <c r="I458" s="1"/>
      <c r="J458" s="1"/>
      <c r="L458">
        <v>116</v>
      </c>
      <c r="M458" t="s">
        <v>530</v>
      </c>
    </row>
    <row r="459" spans="1:19" x14ac:dyDescent="0.25">
      <c r="A459" t="s">
        <v>824</v>
      </c>
      <c r="B459" t="s">
        <v>506</v>
      </c>
      <c r="C459" s="1">
        <v>63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/>
      <c r="L459">
        <v>161</v>
      </c>
      <c r="M459" t="s">
        <v>531</v>
      </c>
      <c r="N459">
        <v>343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 x14ac:dyDescent="0.25">
      <c r="A460" t="s">
        <v>817</v>
      </c>
      <c r="B460" t="s">
        <v>507</v>
      </c>
      <c r="C460" s="1"/>
      <c r="D460" s="1"/>
      <c r="E460" s="1"/>
      <c r="F460" s="1"/>
      <c r="G460" s="1"/>
      <c r="H460" s="1"/>
      <c r="I460" s="1"/>
      <c r="J460" s="1"/>
      <c r="L460">
        <v>500</v>
      </c>
      <c r="M460" t="s">
        <v>532</v>
      </c>
    </row>
    <row r="461" spans="1:19" x14ac:dyDescent="0.25">
      <c r="A461" t="s">
        <v>817</v>
      </c>
      <c r="B461" t="s">
        <v>508</v>
      </c>
      <c r="C461" s="1"/>
      <c r="D461" s="1"/>
      <c r="E461" s="1"/>
      <c r="F461" s="1"/>
      <c r="G461" s="1"/>
      <c r="H461" s="1"/>
      <c r="I461" s="1"/>
      <c r="J461" s="1"/>
      <c r="L461">
        <v>712</v>
      </c>
      <c r="M461" t="s">
        <v>533</v>
      </c>
      <c r="N461">
        <v>120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 x14ac:dyDescent="0.25">
      <c r="A462" t="s">
        <v>801</v>
      </c>
      <c r="B462" t="s">
        <v>509</v>
      </c>
      <c r="C462" s="1"/>
      <c r="D462" s="1"/>
      <c r="E462" s="1"/>
      <c r="F462" s="1"/>
      <c r="G462" s="1"/>
      <c r="H462" s="1"/>
      <c r="I462" s="1"/>
      <c r="J462" s="1"/>
      <c r="L462">
        <v>511</v>
      </c>
      <c r="M462" t="s">
        <v>534</v>
      </c>
      <c r="N462">
        <v>37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 x14ac:dyDescent="0.25">
      <c r="A463" t="s">
        <v>801</v>
      </c>
      <c r="B463" t="s">
        <v>510</v>
      </c>
      <c r="C463" s="1">
        <v>2471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/>
      <c r="L463">
        <v>110</v>
      </c>
      <c r="M463" t="s">
        <v>535</v>
      </c>
      <c r="N463">
        <v>5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 x14ac:dyDescent="0.25">
      <c r="A464" t="s">
        <v>150</v>
      </c>
      <c r="B464" t="s">
        <v>511</v>
      </c>
      <c r="C464" s="1"/>
      <c r="D464" s="1"/>
      <c r="E464" s="1"/>
      <c r="F464" s="1"/>
      <c r="G464" s="1"/>
      <c r="H464" s="1"/>
      <c r="I464" s="1"/>
      <c r="J464" s="1"/>
      <c r="L464">
        <v>311</v>
      </c>
      <c r="M464" t="s">
        <v>536</v>
      </c>
      <c r="N464">
        <v>599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 x14ac:dyDescent="0.25">
      <c r="A465" t="s">
        <v>512</v>
      </c>
      <c r="B465" t="s">
        <v>513</v>
      </c>
      <c r="C465" s="1"/>
      <c r="D465" s="1"/>
      <c r="E465" s="1"/>
      <c r="F465" s="1"/>
      <c r="G465" s="1"/>
      <c r="H465" s="1"/>
      <c r="I465" s="1"/>
      <c r="J465" s="1"/>
      <c r="L465">
        <v>616</v>
      </c>
      <c r="M465" t="s">
        <v>537</v>
      </c>
    </row>
    <row r="466" spans="1:19" x14ac:dyDescent="0.25">
      <c r="A466" t="s">
        <v>817</v>
      </c>
      <c r="B466" t="s">
        <v>514</v>
      </c>
      <c r="C466" s="1"/>
      <c r="D466" s="1"/>
      <c r="E466" s="1"/>
      <c r="F466" s="1"/>
      <c r="G466" s="1"/>
      <c r="H466" s="1"/>
      <c r="I466" s="1"/>
      <c r="J466" s="1"/>
      <c r="L466">
        <v>111</v>
      </c>
      <c r="M466" t="s">
        <v>538</v>
      </c>
    </row>
    <row r="467" spans="1:19" x14ac:dyDescent="0.25">
      <c r="A467" t="s">
        <v>801</v>
      </c>
      <c r="B467" t="s">
        <v>515</v>
      </c>
      <c r="C467" s="1">
        <v>199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/>
      <c r="L467">
        <v>616</v>
      </c>
      <c r="M467" t="s">
        <v>539</v>
      </c>
    </row>
    <row r="468" spans="1:19" x14ac:dyDescent="0.25">
      <c r="A468" t="s">
        <v>792</v>
      </c>
      <c r="B468" t="s">
        <v>516</v>
      </c>
      <c r="C468" s="1">
        <v>16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/>
      <c r="L468">
        <v>611</v>
      </c>
      <c r="M468" t="s">
        <v>540</v>
      </c>
      <c r="N468">
        <v>17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 x14ac:dyDescent="0.25">
      <c r="A469" t="s">
        <v>797</v>
      </c>
      <c r="B469" t="s">
        <v>517</v>
      </c>
      <c r="C469" s="1">
        <v>268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/>
      <c r="L469">
        <v>616</v>
      </c>
      <c r="M469" t="s">
        <v>541</v>
      </c>
    </row>
    <row r="470" spans="1:19" x14ac:dyDescent="0.25">
      <c r="A470" t="s">
        <v>811</v>
      </c>
      <c r="B470" t="s">
        <v>518</v>
      </c>
      <c r="C470" s="1"/>
      <c r="D470" s="1"/>
      <c r="E470" s="1"/>
      <c r="F470" s="1"/>
      <c r="G470" s="1"/>
      <c r="H470" s="1"/>
      <c r="I470" s="1"/>
      <c r="J470" s="1"/>
      <c r="L470">
        <v>312</v>
      </c>
      <c r="M470" t="s">
        <v>542</v>
      </c>
      <c r="N470">
        <v>4706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25">
      <c r="A471" t="s">
        <v>226</v>
      </c>
      <c r="B471" t="s">
        <v>519</v>
      </c>
      <c r="C471" s="1"/>
      <c r="D471" s="1"/>
      <c r="E471" s="1"/>
      <c r="F471" s="1"/>
      <c r="G471" s="1"/>
      <c r="H471" s="1"/>
      <c r="I471" s="1"/>
      <c r="J471" s="1"/>
      <c r="L471">
        <v>116</v>
      </c>
      <c r="M471" t="s">
        <v>543</v>
      </c>
      <c r="N471">
        <v>35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 x14ac:dyDescent="0.25">
      <c r="A472" t="s">
        <v>76</v>
      </c>
      <c r="B472" t="s">
        <v>520</v>
      </c>
      <c r="C472" s="1"/>
      <c r="D472" s="1"/>
      <c r="E472" s="1"/>
      <c r="F472" s="1"/>
      <c r="G472" s="1"/>
      <c r="H472" s="1"/>
      <c r="I472" s="1"/>
      <c r="J472" s="1"/>
      <c r="L472">
        <v>700</v>
      </c>
      <c r="M472" t="s">
        <v>544</v>
      </c>
      <c r="N472">
        <v>44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25">
      <c r="A473" t="s">
        <v>150</v>
      </c>
      <c r="B473" t="s">
        <v>521</v>
      </c>
      <c r="C473" s="1"/>
      <c r="D473" s="1"/>
      <c r="E473" s="1"/>
      <c r="F473" s="1"/>
      <c r="G473" s="1"/>
      <c r="H473" s="1"/>
      <c r="I473" s="1"/>
      <c r="J473" s="1"/>
      <c r="L473">
        <v>514</v>
      </c>
      <c r="M473" t="s">
        <v>545</v>
      </c>
      <c r="N473">
        <v>441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25">
      <c r="A474" t="s">
        <v>72</v>
      </c>
      <c r="B474" t="s">
        <v>522</v>
      </c>
      <c r="C474" s="1">
        <v>166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/>
      <c r="L474">
        <v>712</v>
      </c>
      <c r="M474" t="s">
        <v>546</v>
      </c>
      <c r="N474">
        <v>238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 x14ac:dyDescent="0.25">
      <c r="A475" t="s">
        <v>817</v>
      </c>
      <c r="B475" t="s">
        <v>523</v>
      </c>
      <c r="C475" s="1"/>
      <c r="D475" s="1"/>
      <c r="E475" s="1"/>
      <c r="F475" s="1"/>
      <c r="G475" s="1"/>
      <c r="H475" s="1"/>
      <c r="I475" s="1"/>
      <c r="J475" s="1"/>
      <c r="L475">
        <v>613</v>
      </c>
      <c r="M475" t="s">
        <v>547</v>
      </c>
    </row>
    <row r="476" spans="1:19" x14ac:dyDescent="0.25">
      <c r="A476" t="s">
        <v>248</v>
      </c>
      <c r="B476" t="s">
        <v>524</v>
      </c>
      <c r="C476" s="1">
        <v>494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/>
      <c r="L476">
        <v>153</v>
      </c>
      <c r="M476" t="s">
        <v>548</v>
      </c>
      <c r="N476">
        <v>1234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 x14ac:dyDescent="0.25">
      <c r="A477" t="s">
        <v>188</v>
      </c>
      <c r="B477" t="s">
        <v>525</v>
      </c>
      <c r="C477" s="1">
        <v>129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/>
      <c r="L477">
        <v>312</v>
      </c>
      <c r="M477" t="s">
        <v>549</v>
      </c>
      <c r="N477">
        <v>2763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 x14ac:dyDescent="0.25">
      <c r="A478" t="s">
        <v>76</v>
      </c>
      <c r="B478" t="s">
        <v>526</v>
      </c>
      <c r="C478" s="1"/>
      <c r="D478" s="1"/>
      <c r="E478" s="1"/>
      <c r="F478" s="1"/>
      <c r="G478" s="1"/>
      <c r="H478" s="1"/>
      <c r="I478" s="1"/>
      <c r="J478" s="1"/>
      <c r="L478">
        <v>514</v>
      </c>
      <c r="M478" t="s">
        <v>550</v>
      </c>
      <c r="N478">
        <v>802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 x14ac:dyDescent="0.25">
      <c r="A479" t="s">
        <v>799</v>
      </c>
      <c r="B479" t="s">
        <v>527</v>
      </c>
      <c r="C479" s="1">
        <v>32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/>
      <c r="L479">
        <v>116</v>
      </c>
      <c r="M479" t="s">
        <v>551</v>
      </c>
      <c r="N479">
        <v>683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 x14ac:dyDescent="0.25">
      <c r="A480" t="s">
        <v>76</v>
      </c>
      <c r="B480" t="s">
        <v>528</v>
      </c>
      <c r="C480" s="1">
        <v>87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/>
      <c r="L480">
        <v>712</v>
      </c>
      <c r="M480" t="s">
        <v>552</v>
      </c>
      <c r="N480">
        <v>319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 x14ac:dyDescent="0.25">
      <c r="A481" t="s">
        <v>801</v>
      </c>
      <c r="B481" t="s">
        <v>529</v>
      </c>
      <c r="C481" s="1"/>
      <c r="D481" s="1"/>
      <c r="E481" s="1"/>
      <c r="F481" s="1"/>
      <c r="G481" s="1"/>
      <c r="H481" s="1"/>
      <c r="I481" s="1"/>
      <c r="J481" s="1"/>
      <c r="L481">
        <v>500</v>
      </c>
      <c r="M481" t="s">
        <v>553</v>
      </c>
      <c r="N481">
        <v>40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25">
      <c r="A482" t="s">
        <v>795</v>
      </c>
      <c r="B482" t="s">
        <v>530</v>
      </c>
      <c r="C482" s="1"/>
      <c r="D482" s="1"/>
      <c r="E482" s="1"/>
      <c r="F482" s="1"/>
      <c r="G482" s="1"/>
      <c r="H482" s="1"/>
      <c r="I482" s="1"/>
      <c r="J482" s="1"/>
      <c r="L482">
        <v>313</v>
      </c>
      <c r="M482" t="s">
        <v>554</v>
      </c>
    </row>
    <row r="483" spans="1:19" x14ac:dyDescent="0.25">
      <c r="A483" t="s">
        <v>792</v>
      </c>
      <c r="B483" t="s">
        <v>531</v>
      </c>
      <c r="C483" s="1">
        <v>343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/>
      <c r="L483">
        <v>610</v>
      </c>
      <c r="M483" t="s">
        <v>555</v>
      </c>
    </row>
    <row r="484" spans="1:19" x14ac:dyDescent="0.25">
      <c r="A484" t="s">
        <v>824</v>
      </c>
      <c r="B484" t="s">
        <v>532</v>
      </c>
      <c r="C484" s="1"/>
      <c r="D484" s="1"/>
      <c r="E484" s="1"/>
      <c r="F484" s="1"/>
      <c r="G484" s="1"/>
      <c r="H484" s="1"/>
      <c r="I484" s="1"/>
      <c r="J484" s="1"/>
      <c r="L484">
        <v>511</v>
      </c>
      <c r="M484" t="s">
        <v>556</v>
      </c>
      <c r="N484">
        <v>3084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 x14ac:dyDescent="0.25">
      <c r="A485" t="s">
        <v>76</v>
      </c>
      <c r="B485" t="s">
        <v>533</v>
      </c>
      <c r="C485" s="1">
        <v>120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/>
      <c r="L485">
        <v>713</v>
      </c>
      <c r="M485" t="s">
        <v>557</v>
      </c>
      <c r="N485">
        <v>40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 x14ac:dyDescent="0.25">
      <c r="A486" t="s">
        <v>101</v>
      </c>
      <c r="B486" t="s">
        <v>534</v>
      </c>
      <c r="C486" s="1">
        <v>37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/>
      <c r="L486">
        <v>616</v>
      </c>
      <c r="M486" t="s">
        <v>558</v>
      </c>
    </row>
    <row r="487" spans="1:19" x14ac:dyDescent="0.25">
      <c r="A487" t="s">
        <v>797</v>
      </c>
      <c r="B487" t="s">
        <v>535</v>
      </c>
      <c r="C487" s="1">
        <v>5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/>
      <c r="L487">
        <v>712</v>
      </c>
      <c r="M487" t="s">
        <v>559</v>
      </c>
    </row>
    <row r="488" spans="1:19" x14ac:dyDescent="0.25">
      <c r="A488" t="s">
        <v>120</v>
      </c>
      <c r="B488" t="s">
        <v>536</v>
      </c>
      <c r="C488" s="1">
        <v>599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/>
      <c r="L488">
        <v>711</v>
      </c>
      <c r="M488" t="s">
        <v>560</v>
      </c>
      <c r="N488">
        <v>3473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 x14ac:dyDescent="0.25">
      <c r="A489" t="s">
        <v>817</v>
      </c>
      <c r="B489" t="s">
        <v>537</v>
      </c>
      <c r="C489" s="1"/>
      <c r="D489" s="1"/>
      <c r="E489" s="1"/>
      <c r="F489" s="1"/>
      <c r="G489" s="1"/>
      <c r="H489" s="1"/>
      <c r="I489" s="1"/>
      <c r="J489" s="1"/>
      <c r="L489">
        <v>713</v>
      </c>
      <c r="M489" t="s">
        <v>561</v>
      </c>
      <c r="N489">
        <v>525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 x14ac:dyDescent="0.25">
      <c r="A490" t="s">
        <v>811</v>
      </c>
      <c r="B490" t="s">
        <v>538</v>
      </c>
      <c r="C490" s="1"/>
      <c r="D490" s="1"/>
      <c r="E490" s="1"/>
      <c r="F490" s="1"/>
      <c r="G490" s="1"/>
      <c r="H490" s="1"/>
      <c r="I490" s="1"/>
      <c r="J490" s="1"/>
      <c r="L490">
        <v>616</v>
      </c>
      <c r="M490" t="s">
        <v>562</v>
      </c>
    </row>
    <row r="491" spans="1:19" x14ac:dyDescent="0.25">
      <c r="A491" t="s">
        <v>817</v>
      </c>
      <c r="B491" t="s">
        <v>539</v>
      </c>
      <c r="C491" s="1"/>
      <c r="D491" s="1"/>
      <c r="E491" s="1"/>
      <c r="F491" s="1"/>
      <c r="G491" s="1"/>
      <c r="H491" s="1"/>
      <c r="I491" s="1"/>
      <c r="J491" s="1"/>
      <c r="L491">
        <v>600</v>
      </c>
      <c r="M491" t="s">
        <v>563</v>
      </c>
      <c r="N491" s="1">
        <v>2759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</row>
    <row r="492" spans="1:19" x14ac:dyDescent="0.25">
      <c r="A492" t="s">
        <v>146</v>
      </c>
      <c r="B492" t="s">
        <v>540</v>
      </c>
      <c r="C492" s="1">
        <v>17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/>
      <c r="L492">
        <v>100</v>
      </c>
      <c r="M492" t="s">
        <v>564</v>
      </c>
      <c r="N492">
        <v>583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 x14ac:dyDescent="0.25">
      <c r="A493" t="s">
        <v>817</v>
      </c>
      <c r="B493" t="s">
        <v>541</v>
      </c>
      <c r="C493" s="1"/>
      <c r="D493" s="1"/>
      <c r="E493" s="1"/>
      <c r="F493" s="1"/>
      <c r="G493" s="1"/>
      <c r="H493" s="1"/>
      <c r="I493" s="1"/>
      <c r="J493" s="1"/>
      <c r="L493">
        <v>710</v>
      </c>
      <c r="M493" t="s">
        <v>565</v>
      </c>
      <c r="N493">
        <v>325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 x14ac:dyDescent="0.25">
      <c r="A494" t="s">
        <v>72</v>
      </c>
      <c r="B494" t="s">
        <v>542</v>
      </c>
      <c r="C494" s="1">
        <v>4706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/>
      <c r="L494" t="s">
        <v>814</v>
      </c>
      <c r="M494" t="s">
        <v>566</v>
      </c>
    </row>
    <row r="495" spans="1:19" x14ac:dyDescent="0.25">
      <c r="A495" t="s">
        <v>795</v>
      </c>
      <c r="B495" t="s">
        <v>543</v>
      </c>
      <c r="C495" s="1">
        <v>35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/>
      <c r="L495">
        <v>110</v>
      </c>
      <c r="M495" t="s">
        <v>567</v>
      </c>
      <c r="N495">
        <v>9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 x14ac:dyDescent="0.25">
      <c r="A496" t="s">
        <v>83</v>
      </c>
      <c r="B496" t="s">
        <v>544</v>
      </c>
      <c r="C496" s="1">
        <v>44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/>
      <c r="M496" t="s">
        <v>568</v>
      </c>
    </row>
    <row r="497" spans="1:19" x14ac:dyDescent="0.25">
      <c r="A497" t="s">
        <v>134</v>
      </c>
      <c r="B497" t="s">
        <v>545</v>
      </c>
      <c r="C497" s="1">
        <v>441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/>
      <c r="L497">
        <v>211</v>
      </c>
      <c r="M497" t="s">
        <v>569</v>
      </c>
      <c r="N497">
        <v>583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 x14ac:dyDescent="0.25">
      <c r="A498" t="s">
        <v>76</v>
      </c>
      <c r="B498" t="s">
        <v>546</v>
      </c>
      <c r="C498" s="1">
        <v>238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/>
      <c r="M498" t="s">
        <v>570</v>
      </c>
    </row>
    <row r="499" spans="1:19" x14ac:dyDescent="0.25">
      <c r="A499" t="s">
        <v>495</v>
      </c>
      <c r="B499" t="s">
        <v>547</v>
      </c>
      <c r="C499" s="1"/>
      <c r="D499" s="1"/>
      <c r="E499" s="1"/>
      <c r="F499" s="1"/>
      <c r="G499" s="1"/>
      <c r="H499" s="1"/>
      <c r="I499" s="1"/>
      <c r="J499" s="1"/>
      <c r="L499">
        <v>312</v>
      </c>
      <c r="M499" t="s">
        <v>571</v>
      </c>
      <c r="N499">
        <v>5097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 x14ac:dyDescent="0.25">
      <c r="A500" t="s">
        <v>821</v>
      </c>
      <c r="B500" t="s">
        <v>548</v>
      </c>
      <c r="C500" s="1">
        <v>1234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/>
      <c r="L500">
        <v>711</v>
      </c>
      <c r="M500" t="s">
        <v>572</v>
      </c>
      <c r="N500">
        <v>2485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 x14ac:dyDescent="0.25">
      <c r="A501" t="s">
        <v>72</v>
      </c>
      <c r="B501" t="s">
        <v>549</v>
      </c>
      <c r="C501" s="1">
        <v>2763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/>
      <c r="M501" t="s">
        <v>573</v>
      </c>
    </row>
    <row r="502" spans="1:19" x14ac:dyDescent="0.25">
      <c r="A502" t="s">
        <v>134</v>
      </c>
      <c r="B502" t="s">
        <v>550</v>
      </c>
      <c r="C502" s="1">
        <v>802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/>
      <c r="L502">
        <v>515</v>
      </c>
      <c r="M502" t="s">
        <v>574</v>
      </c>
    </row>
    <row r="503" spans="1:19" x14ac:dyDescent="0.25">
      <c r="A503" t="s">
        <v>795</v>
      </c>
      <c r="B503" t="s">
        <v>551</v>
      </c>
      <c r="C503" s="1">
        <v>633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 t="s">
        <v>819</v>
      </c>
      <c r="L503">
        <v>211</v>
      </c>
      <c r="M503" t="s">
        <v>575</v>
      </c>
      <c r="N503">
        <v>4162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 x14ac:dyDescent="0.25">
      <c r="A504" t="s">
        <v>76</v>
      </c>
      <c r="B504" t="s">
        <v>552</v>
      </c>
      <c r="C504" s="1">
        <v>319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/>
      <c r="L504">
        <v>611</v>
      </c>
      <c r="M504" t="s">
        <v>576</v>
      </c>
      <c r="N504">
        <v>8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 x14ac:dyDescent="0.25">
      <c r="A505" t="s">
        <v>824</v>
      </c>
      <c r="B505" t="s">
        <v>553</v>
      </c>
      <c r="C505" s="1">
        <v>40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/>
      <c r="L505" t="s">
        <v>814</v>
      </c>
      <c r="M505" t="s">
        <v>577</v>
      </c>
    </row>
    <row r="506" spans="1:19" x14ac:dyDescent="0.25">
      <c r="A506" t="s">
        <v>512</v>
      </c>
      <c r="B506" t="s">
        <v>554</v>
      </c>
      <c r="C506" s="1"/>
      <c r="D506" s="1"/>
      <c r="E506" s="1"/>
      <c r="F506" s="1"/>
      <c r="G506" s="1"/>
      <c r="H506" s="1"/>
      <c r="I506" s="1"/>
      <c r="J506" s="1"/>
      <c r="L506">
        <v>611</v>
      </c>
      <c r="M506" t="s">
        <v>578</v>
      </c>
      <c r="N506">
        <v>717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 x14ac:dyDescent="0.25">
      <c r="A507" t="s">
        <v>788</v>
      </c>
      <c r="B507" t="s">
        <v>555</v>
      </c>
      <c r="C507" s="1"/>
      <c r="D507" s="1"/>
      <c r="E507" s="1"/>
      <c r="F507" s="1"/>
      <c r="G507" s="1"/>
      <c r="H507" s="1"/>
      <c r="I507" s="1"/>
      <c r="J507" s="1"/>
      <c r="L507">
        <v>146</v>
      </c>
      <c r="M507" t="s">
        <v>579</v>
      </c>
      <c r="N507">
        <v>1045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 x14ac:dyDescent="0.25">
      <c r="A508" t="s">
        <v>101</v>
      </c>
      <c r="B508" t="s">
        <v>556</v>
      </c>
      <c r="C508" s="1">
        <v>3084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/>
      <c r="L508">
        <v>100</v>
      </c>
      <c r="M508" t="s">
        <v>580</v>
      </c>
    </row>
    <row r="509" spans="1:19" x14ac:dyDescent="0.25">
      <c r="A509" t="s">
        <v>796</v>
      </c>
      <c r="B509" t="s">
        <v>557</v>
      </c>
      <c r="C509" s="1">
        <v>40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/>
      <c r="L509" t="s">
        <v>814</v>
      </c>
      <c r="M509" t="s">
        <v>581</v>
      </c>
      <c r="N509">
        <v>562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 x14ac:dyDescent="0.25">
      <c r="A510" t="s">
        <v>817</v>
      </c>
      <c r="B510" t="s">
        <v>558</v>
      </c>
      <c r="C510" s="1"/>
      <c r="D510" s="1"/>
      <c r="E510" s="1"/>
      <c r="F510" s="1"/>
      <c r="G510" s="1"/>
      <c r="H510" s="1"/>
      <c r="I510" s="1"/>
      <c r="J510" s="1"/>
      <c r="L510" t="s">
        <v>814</v>
      </c>
      <c r="M510" t="s">
        <v>582</v>
      </c>
      <c r="N510">
        <v>1103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 x14ac:dyDescent="0.25">
      <c r="A511" t="s">
        <v>76</v>
      </c>
      <c r="B511" t="s">
        <v>559</v>
      </c>
      <c r="C511" s="1"/>
      <c r="D511" s="1"/>
      <c r="E511" s="1"/>
      <c r="F511" s="1"/>
      <c r="G511" s="1"/>
      <c r="H511" s="1"/>
      <c r="I511" s="1"/>
      <c r="J511" s="1"/>
      <c r="L511" t="s">
        <v>814</v>
      </c>
      <c r="M511" t="s">
        <v>583</v>
      </c>
      <c r="N511">
        <v>18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 x14ac:dyDescent="0.25">
      <c r="A512" t="s">
        <v>801</v>
      </c>
      <c r="B512" t="s">
        <v>560</v>
      </c>
      <c r="C512" s="1">
        <v>3473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/>
      <c r="L512">
        <v>311</v>
      </c>
      <c r="M512" t="s">
        <v>584</v>
      </c>
    </row>
    <row r="513" spans="1:19" x14ac:dyDescent="0.25">
      <c r="A513" t="s">
        <v>796</v>
      </c>
      <c r="B513" t="s">
        <v>561</v>
      </c>
      <c r="C513" s="1">
        <v>525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/>
      <c r="L513">
        <v>140</v>
      </c>
      <c r="M513" t="s">
        <v>585</v>
      </c>
      <c r="N513">
        <v>1549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 x14ac:dyDescent="0.25">
      <c r="A514" t="s">
        <v>817</v>
      </c>
      <c r="B514" t="s">
        <v>562</v>
      </c>
      <c r="C514" s="1"/>
      <c r="D514" s="1"/>
      <c r="E514" s="1"/>
      <c r="F514" s="1"/>
      <c r="G514" s="1"/>
      <c r="H514" s="1"/>
      <c r="I514" s="1"/>
      <c r="J514" s="1"/>
      <c r="L514" t="s">
        <v>814</v>
      </c>
      <c r="M514" t="s">
        <v>586</v>
      </c>
      <c r="N514">
        <v>19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 x14ac:dyDescent="0.25">
      <c r="A515" t="s">
        <v>248</v>
      </c>
      <c r="B515" t="s">
        <v>563</v>
      </c>
      <c r="C515" s="1">
        <v>2759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/>
      <c r="L515">
        <v>150</v>
      </c>
      <c r="M515" t="s">
        <v>587</v>
      </c>
      <c r="N515">
        <v>888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 x14ac:dyDescent="0.25">
      <c r="A516" t="s">
        <v>791</v>
      </c>
      <c r="B516" t="s">
        <v>564</v>
      </c>
      <c r="C516" s="1">
        <v>583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/>
      <c r="L516">
        <v>143</v>
      </c>
      <c r="M516" t="s">
        <v>588</v>
      </c>
      <c r="N516">
        <v>1344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 x14ac:dyDescent="0.25">
      <c r="A517" t="s">
        <v>69</v>
      </c>
      <c r="B517" t="s">
        <v>565</v>
      </c>
      <c r="C517" s="1">
        <v>325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/>
      <c r="L517">
        <v>151</v>
      </c>
      <c r="M517" t="s">
        <v>589</v>
      </c>
      <c r="N517">
        <v>374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 x14ac:dyDescent="0.25">
      <c r="A518" t="s">
        <v>794</v>
      </c>
      <c r="B518" t="s">
        <v>566</v>
      </c>
      <c r="C518" s="1"/>
      <c r="D518" s="1"/>
      <c r="E518" s="1"/>
      <c r="F518" s="1"/>
      <c r="G518" s="1"/>
      <c r="H518" s="1"/>
      <c r="I518" s="1"/>
      <c r="J518" s="1"/>
      <c r="L518">
        <v>145</v>
      </c>
      <c r="M518" t="s">
        <v>590</v>
      </c>
      <c r="N518">
        <v>1876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 x14ac:dyDescent="0.25">
      <c r="A519" t="s">
        <v>797</v>
      </c>
      <c r="B519" t="s">
        <v>567</v>
      </c>
      <c r="C519" s="1">
        <v>9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/>
      <c r="L519">
        <v>147</v>
      </c>
      <c r="M519" t="s">
        <v>591</v>
      </c>
      <c r="N519">
        <v>244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 x14ac:dyDescent="0.25">
      <c r="A520" t="s">
        <v>826</v>
      </c>
      <c r="B520" t="s">
        <v>568</v>
      </c>
      <c r="C520" s="1"/>
      <c r="D520" s="1"/>
      <c r="E520" s="1"/>
      <c r="F520" s="1"/>
      <c r="G520" s="1"/>
      <c r="H520" s="1"/>
      <c r="I520" s="1"/>
      <c r="J520" s="1"/>
      <c r="L520" t="s">
        <v>814</v>
      </c>
      <c r="M520" t="s">
        <v>592</v>
      </c>
    </row>
    <row r="521" spans="1:19" x14ac:dyDescent="0.25">
      <c r="A521" t="s">
        <v>131</v>
      </c>
      <c r="B521" t="s">
        <v>569</v>
      </c>
      <c r="C521" s="1">
        <v>583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/>
      <c r="L521">
        <v>139</v>
      </c>
      <c r="M521" t="s">
        <v>593</v>
      </c>
      <c r="N521">
        <v>300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 x14ac:dyDescent="0.25">
      <c r="A522" t="s">
        <v>826</v>
      </c>
      <c r="B522" t="s">
        <v>570</v>
      </c>
      <c r="C522" s="1"/>
      <c r="D522" s="1"/>
      <c r="E522" s="1"/>
      <c r="F522" s="1"/>
      <c r="G522" s="1"/>
      <c r="H522" s="1"/>
      <c r="I522" s="1"/>
      <c r="J522" s="1"/>
      <c r="L522">
        <v>136</v>
      </c>
      <c r="M522" t="s">
        <v>594</v>
      </c>
      <c r="N522">
        <v>604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25">
      <c r="A523" t="s">
        <v>72</v>
      </c>
      <c r="B523" t="s">
        <v>571</v>
      </c>
      <c r="C523" s="1">
        <v>5097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/>
      <c r="M523" t="s">
        <v>595</v>
      </c>
    </row>
    <row r="524" spans="1:19" x14ac:dyDescent="0.25">
      <c r="A524" t="s">
        <v>801</v>
      </c>
      <c r="B524" t="s">
        <v>572</v>
      </c>
      <c r="C524" s="1">
        <v>2485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/>
      <c r="L524">
        <v>116</v>
      </c>
      <c r="M524" t="s">
        <v>596</v>
      </c>
      <c r="N524">
        <v>1195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 x14ac:dyDescent="0.25">
      <c r="A525" t="s">
        <v>120</v>
      </c>
      <c r="B525" t="s">
        <v>573</v>
      </c>
      <c r="C525" s="1"/>
      <c r="D525" s="1"/>
      <c r="E525" s="1"/>
      <c r="F525" s="1"/>
      <c r="G525" s="1"/>
      <c r="H525" s="1"/>
      <c r="I525" s="1"/>
      <c r="J525" s="1"/>
      <c r="L525">
        <v>511</v>
      </c>
      <c r="M525" t="s">
        <v>597</v>
      </c>
      <c r="N525">
        <v>796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25">
      <c r="A526" t="s">
        <v>816</v>
      </c>
      <c r="B526" t="s">
        <v>574</v>
      </c>
      <c r="C526" s="1"/>
      <c r="D526" s="1"/>
      <c r="E526" s="1"/>
      <c r="F526" s="1"/>
      <c r="G526" s="1"/>
      <c r="H526" s="1"/>
      <c r="I526" s="1"/>
      <c r="J526" s="1"/>
      <c r="L526">
        <v>144</v>
      </c>
      <c r="M526" t="s">
        <v>598</v>
      </c>
      <c r="N526">
        <v>545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25">
      <c r="A527" t="s">
        <v>131</v>
      </c>
      <c r="B527" t="s">
        <v>575</v>
      </c>
      <c r="C527" s="1">
        <v>4162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/>
      <c r="L527">
        <v>142</v>
      </c>
      <c r="M527" t="s">
        <v>599</v>
      </c>
      <c r="N527">
        <v>353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 x14ac:dyDescent="0.25">
      <c r="A528" t="s">
        <v>146</v>
      </c>
      <c r="B528" t="s">
        <v>576</v>
      </c>
      <c r="C528" s="1">
        <v>8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/>
      <c r="L528">
        <v>300</v>
      </c>
      <c r="M528" t="s">
        <v>600</v>
      </c>
    </row>
    <row r="529" spans="1:19" x14ac:dyDescent="0.25">
      <c r="A529" t="s">
        <v>794</v>
      </c>
      <c r="B529" t="s">
        <v>577</v>
      </c>
      <c r="C529" s="1"/>
      <c r="D529" s="1"/>
      <c r="E529" s="1"/>
      <c r="F529" s="1"/>
      <c r="G529" s="1"/>
      <c r="H529" s="1"/>
      <c r="I529" s="1"/>
      <c r="J529" s="1"/>
      <c r="L529">
        <v>616</v>
      </c>
      <c r="M529" t="s">
        <v>601</v>
      </c>
    </row>
    <row r="530" spans="1:19" x14ac:dyDescent="0.25">
      <c r="A530" t="s">
        <v>146</v>
      </c>
      <c r="B530" t="s">
        <v>578</v>
      </c>
      <c r="C530" s="1">
        <v>717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/>
      <c r="L530">
        <v>610</v>
      </c>
      <c r="M530" t="s">
        <v>602</v>
      </c>
    </row>
    <row r="531" spans="1:19" x14ac:dyDescent="0.25">
      <c r="A531" t="s">
        <v>36</v>
      </c>
      <c r="B531" t="s">
        <v>579</v>
      </c>
      <c r="C531" s="1">
        <v>1045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/>
      <c r="M531" t="s">
        <v>603</v>
      </c>
    </row>
    <row r="532" spans="1:19" x14ac:dyDescent="0.25">
      <c r="A532" t="s">
        <v>807</v>
      </c>
      <c r="B532" t="s">
        <v>580</v>
      </c>
      <c r="C532" s="1"/>
      <c r="D532" s="1"/>
      <c r="E532" s="1"/>
      <c r="F532" s="1"/>
      <c r="G532" s="1"/>
      <c r="H532" s="1"/>
      <c r="I532" s="1"/>
      <c r="J532" s="1"/>
      <c r="L532">
        <v>114</v>
      </c>
      <c r="M532" t="s">
        <v>604</v>
      </c>
    </row>
    <row r="533" spans="1:19" x14ac:dyDescent="0.25">
      <c r="A533" t="s">
        <v>794</v>
      </c>
      <c r="B533" t="s">
        <v>581</v>
      </c>
      <c r="C533" s="1">
        <v>562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/>
      <c r="L533" t="s">
        <v>808</v>
      </c>
      <c r="M533" t="s">
        <v>605</v>
      </c>
      <c r="N533">
        <v>764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 x14ac:dyDescent="0.25">
      <c r="A534" t="s">
        <v>794</v>
      </c>
      <c r="B534" t="s">
        <v>582</v>
      </c>
      <c r="C534" s="1">
        <v>1103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/>
      <c r="L534">
        <v>616</v>
      </c>
      <c r="M534" t="s">
        <v>606</v>
      </c>
    </row>
    <row r="535" spans="1:19" x14ac:dyDescent="0.25">
      <c r="A535" t="s">
        <v>794</v>
      </c>
      <c r="B535" t="s">
        <v>583</v>
      </c>
      <c r="C535" s="1">
        <v>18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/>
      <c r="L535">
        <v>500</v>
      </c>
      <c r="M535" t="s">
        <v>607</v>
      </c>
    </row>
    <row r="536" spans="1:19" x14ac:dyDescent="0.25">
      <c r="A536" t="s">
        <v>120</v>
      </c>
      <c r="B536" t="s">
        <v>584</v>
      </c>
      <c r="C536" s="1"/>
      <c r="D536" s="1"/>
      <c r="E536" s="1"/>
      <c r="F536" s="1"/>
      <c r="G536" s="1"/>
      <c r="H536" s="1"/>
      <c r="I536" s="1"/>
      <c r="J536" s="1"/>
      <c r="L536" t="s">
        <v>815</v>
      </c>
      <c r="M536" t="s">
        <v>608</v>
      </c>
      <c r="N536">
        <v>788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 x14ac:dyDescent="0.25">
      <c r="A537" t="s">
        <v>45</v>
      </c>
      <c r="B537" t="s">
        <v>585</v>
      </c>
      <c r="C537" s="1">
        <v>1549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/>
      <c r="M537" t="s">
        <v>609</v>
      </c>
    </row>
    <row r="538" spans="1:19" x14ac:dyDescent="0.25">
      <c r="A538" t="s">
        <v>794</v>
      </c>
      <c r="B538" t="s">
        <v>586</v>
      </c>
      <c r="C538" s="1">
        <v>19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/>
      <c r="L538">
        <v>616</v>
      </c>
      <c r="M538" t="s">
        <v>610</v>
      </c>
    </row>
    <row r="539" spans="1:19" x14ac:dyDescent="0.25">
      <c r="A539" t="s">
        <v>43</v>
      </c>
      <c r="B539" t="s">
        <v>587</v>
      </c>
      <c r="C539" s="1">
        <v>888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/>
      <c r="L539">
        <v>616</v>
      </c>
      <c r="M539" t="s">
        <v>611</v>
      </c>
    </row>
    <row r="540" spans="1:19" x14ac:dyDescent="0.25">
      <c r="A540" t="s">
        <v>61</v>
      </c>
      <c r="B540" t="s">
        <v>588</v>
      </c>
      <c r="C540" s="1">
        <v>1344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/>
      <c r="L540">
        <v>514</v>
      </c>
      <c r="M540" t="s">
        <v>612</v>
      </c>
      <c r="N540">
        <v>3184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25">
      <c r="A541" t="s">
        <v>47</v>
      </c>
      <c r="B541" t="s">
        <v>589</v>
      </c>
      <c r="C541" s="1">
        <v>374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/>
      <c r="L541">
        <v>616.1</v>
      </c>
      <c r="M541" t="s">
        <v>613</v>
      </c>
    </row>
    <row r="542" spans="1:19" x14ac:dyDescent="0.25">
      <c r="A542" t="s">
        <v>38</v>
      </c>
      <c r="B542" t="s">
        <v>590</v>
      </c>
      <c r="C542" s="1">
        <v>1876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/>
      <c r="L542">
        <v>616</v>
      </c>
      <c r="M542" t="s">
        <v>614</v>
      </c>
    </row>
    <row r="543" spans="1:19" x14ac:dyDescent="0.25">
      <c r="A543" t="s">
        <v>789</v>
      </c>
      <c r="B543" t="s">
        <v>591</v>
      </c>
      <c r="C543" s="1">
        <v>244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/>
      <c r="L543">
        <v>120</v>
      </c>
      <c r="M543" t="s">
        <v>615</v>
      </c>
    </row>
    <row r="544" spans="1:19" x14ac:dyDescent="0.25">
      <c r="A544" t="s">
        <v>794</v>
      </c>
      <c r="B544" t="s">
        <v>592</v>
      </c>
      <c r="C544" s="1"/>
      <c r="D544" s="1"/>
      <c r="E544" s="1"/>
      <c r="F544" s="1"/>
      <c r="G544" s="1"/>
      <c r="H544" s="1"/>
      <c r="I544" s="1"/>
      <c r="J544" s="1"/>
      <c r="L544">
        <v>511</v>
      </c>
      <c r="M544" t="s">
        <v>616</v>
      </c>
      <c r="N544">
        <v>299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 x14ac:dyDescent="0.25">
      <c r="A545" t="s">
        <v>59</v>
      </c>
      <c r="B545" t="s">
        <v>593</v>
      </c>
      <c r="C545" s="1">
        <v>300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/>
      <c r="L545">
        <v>111</v>
      </c>
      <c r="M545" t="s">
        <v>617</v>
      </c>
    </row>
    <row r="546" spans="1:19" x14ac:dyDescent="0.25">
      <c r="A546" t="s">
        <v>128</v>
      </c>
      <c r="B546" t="s">
        <v>594</v>
      </c>
      <c r="C546" s="1">
        <v>604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/>
      <c r="L546">
        <v>511</v>
      </c>
      <c r="M546" t="s">
        <v>618</v>
      </c>
      <c r="N546">
        <v>973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25">
      <c r="A547" t="s">
        <v>804</v>
      </c>
      <c r="B547" t="s">
        <v>595</v>
      </c>
      <c r="C547" s="1"/>
      <c r="D547" s="1"/>
      <c r="E547" s="1"/>
      <c r="F547" s="1"/>
      <c r="G547" s="1"/>
      <c r="H547" s="1"/>
      <c r="I547" s="1"/>
      <c r="J547" s="1"/>
      <c r="L547">
        <v>610</v>
      </c>
      <c r="M547" t="s">
        <v>619</v>
      </c>
    </row>
    <row r="548" spans="1:19" x14ac:dyDescent="0.25">
      <c r="A548" t="s">
        <v>795</v>
      </c>
      <c r="B548" t="s">
        <v>596</v>
      </c>
      <c r="C548" s="1">
        <v>1195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/>
      <c r="L548">
        <v>616</v>
      </c>
      <c r="M548" t="s">
        <v>620</v>
      </c>
    </row>
    <row r="549" spans="1:19" x14ac:dyDescent="0.25">
      <c r="A549" t="s">
        <v>101</v>
      </c>
      <c r="B549" t="s">
        <v>597</v>
      </c>
      <c r="C549" s="1">
        <v>796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/>
      <c r="L549">
        <v>600</v>
      </c>
      <c r="M549" t="s">
        <v>621</v>
      </c>
      <c r="N549" s="1">
        <v>470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</row>
    <row r="550" spans="1:19" x14ac:dyDescent="0.25">
      <c r="A550" t="s">
        <v>787</v>
      </c>
      <c r="B550" t="s">
        <v>598</v>
      </c>
      <c r="C550" s="1">
        <v>545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/>
      <c r="L550">
        <v>114</v>
      </c>
      <c r="M550" t="s">
        <v>622</v>
      </c>
    </row>
    <row r="551" spans="1:19" x14ac:dyDescent="0.25">
      <c r="A551" t="s">
        <v>54</v>
      </c>
      <c r="B551" t="s">
        <v>599</v>
      </c>
      <c r="C551" s="1">
        <v>353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/>
      <c r="M551" t="s">
        <v>623</v>
      </c>
    </row>
    <row r="552" spans="1:19" x14ac:dyDescent="0.25">
      <c r="A552" t="s">
        <v>226</v>
      </c>
      <c r="B552" t="s">
        <v>600</v>
      </c>
      <c r="C552" s="1"/>
      <c r="D552" s="1"/>
      <c r="E552" s="1"/>
      <c r="F552" s="1"/>
      <c r="G552" s="1"/>
      <c r="H552" s="1"/>
      <c r="I552" s="1"/>
      <c r="J552" s="1"/>
      <c r="M552" t="s">
        <v>624</v>
      </c>
    </row>
    <row r="553" spans="1:19" x14ac:dyDescent="0.25">
      <c r="A553" t="s">
        <v>817</v>
      </c>
      <c r="B553" t="s">
        <v>601</v>
      </c>
      <c r="C553" s="1"/>
      <c r="D553" s="1"/>
      <c r="E553" s="1"/>
      <c r="F553" s="1"/>
      <c r="G553" s="1"/>
      <c r="H553" s="1"/>
      <c r="I553" s="1"/>
      <c r="J553" s="1"/>
      <c r="L553">
        <v>712</v>
      </c>
      <c r="M553" t="s">
        <v>625</v>
      </c>
      <c r="N553">
        <v>512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 x14ac:dyDescent="0.25">
      <c r="A554" t="s">
        <v>788</v>
      </c>
      <c r="B554" t="s">
        <v>602</v>
      </c>
      <c r="C554" s="1"/>
      <c r="D554" s="1"/>
      <c r="E554" s="1"/>
      <c r="F554" s="1"/>
      <c r="G554" s="1"/>
      <c r="H554" s="1"/>
      <c r="I554" s="1"/>
      <c r="J554" s="1"/>
      <c r="L554">
        <v>710</v>
      </c>
      <c r="M554" t="s">
        <v>626</v>
      </c>
    </row>
    <row r="555" spans="1:19" x14ac:dyDescent="0.25">
      <c r="A555" t="s">
        <v>120</v>
      </c>
      <c r="B555" t="s">
        <v>603</v>
      </c>
      <c r="C555" s="1"/>
      <c r="D555" s="1"/>
      <c r="E555" s="1"/>
      <c r="F555" s="1"/>
      <c r="G555" s="1"/>
      <c r="H555" s="1"/>
      <c r="I555" s="1"/>
      <c r="J555" s="1"/>
      <c r="M555" t="s">
        <v>627</v>
      </c>
    </row>
    <row r="556" spans="1:19" x14ac:dyDescent="0.25">
      <c r="A556" t="s">
        <v>150</v>
      </c>
      <c r="B556" t="s">
        <v>604</v>
      </c>
      <c r="C556" s="1"/>
      <c r="D556" s="1"/>
      <c r="E556" s="1"/>
      <c r="F556" s="1"/>
      <c r="G556" s="1"/>
      <c r="H556" s="1"/>
      <c r="I556" s="1"/>
      <c r="J556" s="1"/>
      <c r="M556" t="s">
        <v>628</v>
      </c>
    </row>
    <row r="557" spans="1:19" x14ac:dyDescent="0.25">
      <c r="A557" t="s">
        <v>809</v>
      </c>
      <c r="B557" t="s">
        <v>605</v>
      </c>
      <c r="C557" s="1">
        <v>764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/>
      <c r="L557">
        <v>110</v>
      </c>
      <c r="M557" t="s">
        <v>629</v>
      </c>
      <c r="N557">
        <v>111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25">
      <c r="A558" t="s">
        <v>817</v>
      </c>
      <c r="B558" t="s">
        <v>606</v>
      </c>
      <c r="C558" s="1"/>
      <c r="D558" s="1"/>
      <c r="E558" s="1"/>
      <c r="F558" s="1"/>
      <c r="G558" s="1"/>
      <c r="H558" s="1"/>
      <c r="I558" s="1"/>
      <c r="J558" s="1"/>
      <c r="L558">
        <v>710</v>
      </c>
      <c r="M558" t="s">
        <v>630</v>
      </c>
      <c r="N558">
        <v>488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x14ac:dyDescent="0.25">
      <c r="A559" t="s">
        <v>824</v>
      </c>
      <c r="B559" t="s">
        <v>607</v>
      </c>
      <c r="C559" s="1"/>
      <c r="D559" s="1"/>
      <c r="E559" s="1"/>
      <c r="F559" s="1"/>
      <c r="G559" s="1"/>
      <c r="H559" s="1"/>
      <c r="I559" s="1"/>
      <c r="J559" s="1"/>
      <c r="L559">
        <v>710</v>
      </c>
      <c r="M559" t="s">
        <v>631</v>
      </c>
      <c r="N559">
        <v>3698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25">
      <c r="A560" t="s">
        <v>138</v>
      </c>
      <c r="B560" t="s">
        <v>608</v>
      </c>
      <c r="C560" s="1">
        <v>788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/>
      <c r="L560">
        <v>616</v>
      </c>
      <c r="M560" t="s">
        <v>632</v>
      </c>
    </row>
    <row r="561" spans="1:19" x14ac:dyDescent="0.25">
      <c r="A561" t="s">
        <v>120</v>
      </c>
      <c r="B561" t="s">
        <v>609</v>
      </c>
      <c r="C561" s="1"/>
      <c r="D561" s="1"/>
      <c r="E561" s="1"/>
      <c r="F561" s="1"/>
      <c r="G561" s="1"/>
      <c r="H561" s="1"/>
      <c r="I561" s="1"/>
      <c r="J561" s="1"/>
      <c r="L561">
        <v>712</v>
      </c>
      <c r="M561" t="s">
        <v>633</v>
      </c>
      <c r="N561">
        <v>1031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25">
      <c r="A562" t="s">
        <v>817</v>
      </c>
      <c r="B562" t="s">
        <v>610</v>
      </c>
      <c r="C562" s="1"/>
      <c r="D562" s="1"/>
      <c r="E562" s="1"/>
      <c r="F562" s="1"/>
      <c r="G562" s="1"/>
      <c r="H562" s="1"/>
      <c r="I562" s="1"/>
      <c r="J562" s="1"/>
      <c r="L562">
        <v>616</v>
      </c>
      <c r="M562" t="s">
        <v>634</v>
      </c>
    </row>
    <row r="563" spans="1:19" x14ac:dyDescent="0.25">
      <c r="A563" t="s">
        <v>817</v>
      </c>
      <c r="B563" t="s">
        <v>611</v>
      </c>
      <c r="C563" s="1"/>
      <c r="D563" s="1"/>
      <c r="E563" s="1"/>
      <c r="F563" s="1"/>
      <c r="G563" s="1"/>
      <c r="H563" s="1"/>
      <c r="I563" s="1"/>
      <c r="J563" s="1"/>
      <c r="L563">
        <v>711</v>
      </c>
      <c r="M563" t="s">
        <v>635</v>
      </c>
      <c r="N563">
        <v>6214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25">
      <c r="A564" t="s">
        <v>134</v>
      </c>
      <c r="B564" t="s">
        <v>612</v>
      </c>
      <c r="C564" s="1">
        <v>3184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/>
      <c r="L564">
        <v>616</v>
      </c>
      <c r="M564" t="s">
        <v>636</v>
      </c>
    </row>
    <row r="565" spans="1:19" x14ac:dyDescent="0.25">
      <c r="A565" t="s">
        <v>817</v>
      </c>
      <c r="B565" t="s">
        <v>613</v>
      </c>
      <c r="C565" s="1"/>
      <c r="D565" s="1"/>
      <c r="E565" s="1"/>
      <c r="F565" s="1"/>
      <c r="G565" s="1"/>
      <c r="H565" s="1"/>
      <c r="I565" s="1"/>
      <c r="J565" s="1"/>
      <c r="L565">
        <v>500</v>
      </c>
      <c r="M565" t="s">
        <v>637</v>
      </c>
      <c r="N565">
        <v>255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 x14ac:dyDescent="0.25">
      <c r="A566" t="s">
        <v>817</v>
      </c>
      <c r="B566" t="s">
        <v>614</v>
      </c>
      <c r="C566" s="1"/>
      <c r="D566" s="1"/>
      <c r="E566" s="1"/>
      <c r="F566" s="1"/>
      <c r="G566" s="1"/>
      <c r="H566" s="1"/>
      <c r="I566" s="1"/>
      <c r="J566" s="1"/>
      <c r="L566">
        <v>715</v>
      </c>
      <c r="M566" t="s">
        <v>638</v>
      </c>
    </row>
    <row r="567" spans="1:19" x14ac:dyDescent="0.25">
      <c r="A567" t="s">
        <v>802</v>
      </c>
      <c r="B567" t="s">
        <v>615</v>
      </c>
      <c r="C567" s="1"/>
      <c r="D567" s="1"/>
      <c r="E567" s="1"/>
      <c r="F567" s="1"/>
      <c r="G567" s="1"/>
      <c r="H567" s="1"/>
      <c r="I567" s="1"/>
      <c r="J567" s="1"/>
      <c r="L567">
        <v>616</v>
      </c>
      <c r="M567" t="s">
        <v>639</v>
      </c>
    </row>
    <row r="568" spans="1:19" x14ac:dyDescent="0.25">
      <c r="A568" t="s">
        <v>101</v>
      </c>
      <c r="B568" t="s">
        <v>616</v>
      </c>
      <c r="C568" s="1">
        <v>299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/>
      <c r="L568">
        <v>111</v>
      </c>
      <c r="M568" t="s">
        <v>640</v>
      </c>
    </row>
    <row r="569" spans="1:19" x14ac:dyDescent="0.25">
      <c r="A569" t="s">
        <v>811</v>
      </c>
      <c r="B569" t="s">
        <v>617</v>
      </c>
      <c r="C569" s="1"/>
      <c r="D569" s="1"/>
      <c r="E569" s="1"/>
      <c r="F569" s="1"/>
      <c r="G569" s="1"/>
      <c r="H569" s="1"/>
      <c r="I569" s="1"/>
      <c r="J569" s="1"/>
      <c r="M569" t="s">
        <v>641</v>
      </c>
    </row>
    <row r="570" spans="1:19" x14ac:dyDescent="0.25">
      <c r="A570" t="s">
        <v>101</v>
      </c>
      <c r="B570" t="s">
        <v>618</v>
      </c>
      <c r="C570" s="1">
        <v>973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/>
      <c r="L570">
        <v>712</v>
      </c>
      <c r="M570" t="s">
        <v>642</v>
      </c>
      <c r="N570">
        <v>545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 x14ac:dyDescent="0.25">
      <c r="A571" t="s">
        <v>788</v>
      </c>
      <c r="B571" t="s">
        <v>619</v>
      </c>
      <c r="C571" s="1"/>
      <c r="D571" s="1"/>
      <c r="E571" s="1"/>
      <c r="F571" s="1"/>
      <c r="G571" s="1"/>
      <c r="H571" s="1"/>
      <c r="I571" s="1"/>
      <c r="J571" s="1"/>
      <c r="L571">
        <v>616</v>
      </c>
      <c r="M571" t="s">
        <v>643</v>
      </c>
    </row>
    <row r="572" spans="1:19" x14ac:dyDescent="0.25">
      <c r="A572" t="s">
        <v>817</v>
      </c>
      <c r="B572" t="s">
        <v>620</v>
      </c>
      <c r="C572" s="1"/>
      <c r="D572" s="1"/>
      <c r="E572" s="1"/>
      <c r="F572" s="1"/>
      <c r="G572" s="1"/>
      <c r="H572" s="1"/>
      <c r="I572" s="1"/>
      <c r="J572" s="1"/>
      <c r="L572">
        <v>712</v>
      </c>
      <c r="M572" t="s">
        <v>644</v>
      </c>
      <c r="N572">
        <v>910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 x14ac:dyDescent="0.25">
      <c r="A573" t="s">
        <v>248</v>
      </c>
      <c r="B573" t="s">
        <v>621</v>
      </c>
      <c r="C573" s="1">
        <v>470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/>
      <c r="L573">
        <v>616</v>
      </c>
      <c r="M573" t="s">
        <v>645</v>
      </c>
    </row>
    <row r="574" spans="1:19" x14ac:dyDescent="0.25">
      <c r="A574" t="s">
        <v>150</v>
      </c>
      <c r="B574" t="s">
        <v>622</v>
      </c>
      <c r="C574" s="1"/>
      <c r="D574" s="1"/>
      <c r="E574" s="1"/>
      <c r="F574" s="1"/>
      <c r="G574" s="1"/>
      <c r="H574" s="1"/>
      <c r="I574" s="1"/>
      <c r="J574" s="1"/>
      <c r="L574">
        <v>616</v>
      </c>
      <c r="M574" t="s">
        <v>646</v>
      </c>
    </row>
    <row r="575" spans="1:19" x14ac:dyDescent="0.25">
      <c r="A575" t="s">
        <v>823</v>
      </c>
      <c r="B575" t="s">
        <v>623</v>
      </c>
      <c r="C575" s="1"/>
      <c r="D575" s="1"/>
      <c r="E575" s="1"/>
      <c r="F575" s="1"/>
      <c r="G575" s="1"/>
      <c r="H575" s="1"/>
      <c r="I575" s="1"/>
      <c r="J575" s="1"/>
      <c r="L575">
        <v>300</v>
      </c>
      <c r="M575" t="s">
        <v>647</v>
      </c>
    </row>
    <row r="576" spans="1:19" x14ac:dyDescent="0.25">
      <c r="A576" t="s">
        <v>817</v>
      </c>
      <c r="B576" t="s">
        <v>624</v>
      </c>
      <c r="C576" s="1"/>
      <c r="D576" s="1"/>
      <c r="E576" s="1"/>
      <c r="F576" s="1"/>
      <c r="G576" s="1"/>
      <c r="H576" s="1"/>
      <c r="I576" s="1"/>
      <c r="J576" s="1"/>
      <c r="L576">
        <v>114</v>
      </c>
      <c r="M576" t="s">
        <v>648</v>
      </c>
    </row>
    <row r="577" spans="1:19" x14ac:dyDescent="0.25">
      <c r="A577" t="s">
        <v>76</v>
      </c>
      <c r="B577" t="s">
        <v>625</v>
      </c>
      <c r="C577" s="1">
        <v>512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/>
      <c r="L577">
        <v>715</v>
      </c>
      <c r="M577" t="s">
        <v>649</v>
      </c>
    </row>
    <row r="578" spans="1:19" x14ac:dyDescent="0.25">
      <c r="A578" t="s">
        <v>69</v>
      </c>
      <c r="B578" t="s">
        <v>626</v>
      </c>
      <c r="C578" s="1"/>
      <c r="D578" s="1"/>
      <c r="E578" s="1"/>
      <c r="F578" s="1"/>
      <c r="G578" s="1"/>
      <c r="H578" s="1"/>
      <c r="I578" s="1"/>
      <c r="J578" s="1"/>
      <c r="L578">
        <v>616</v>
      </c>
      <c r="M578" t="s">
        <v>650</v>
      </c>
    </row>
    <row r="579" spans="1:19" x14ac:dyDescent="0.25">
      <c r="A579" t="s">
        <v>83</v>
      </c>
      <c r="B579" t="s">
        <v>627</v>
      </c>
      <c r="C579" s="1"/>
      <c r="D579" s="1"/>
      <c r="E579" s="1"/>
      <c r="F579" s="1"/>
      <c r="G579" s="1"/>
      <c r="H579" s="1"/>
      <c r="I579" s="1"/>
      <c r="J579" s="1"/>
      <c r="L579">
        <v>616</v>
      </c>
      <c r="M579" t="s">
        <v>651</v>
      </c>
    </row>
    <row r="580" spans="1:19" x14ac:dyDescent="0.25">
      <c r="A580" t="s">
        <v>791</v>
      </c>
      <c r="B580" t="s">
        <v>628</v>
      </c>
      <c r="C580" s="1"/>
      <c r="D580" s="1"/>
      <c r="E580" s="1"/>
      <c r="F580" s="1"/>
      <c r="G580" s="1"/>
      <c r="H580" s="1"/>
      <c r="I580" s="1"/>
      <c r="J580" s="1"/>
      <c r="L580">
        <v>616</v>
      </c>
      <c r="M580" t="s">
        <v>652</v>
      </c>
    </row>
    <row r="581" spans="1:19" x14ac:dyDescent="0.25">
      <c r="A581" t="s">
        <v>797</v>
      </c>
      <c r="B581" t="s">
        <v>629</v>
      </c>
      <c r="C581" s="1">
        <v>111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/>
      <c r="L581">
        <v>616</v>
      </c>
      <c r="M581" t="s">
        <v>653</v>
      </c>
    </row>
    <row r="582" spans="1:19" x14ac:dyDescent="0.25">
      <c r="A582" t="s">
        <v>69</v>
      </c>
      <c r="B582" t="s">
        <v>630</v>
      </c>
      <c r="C582" s="1">
        <v>488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/>
      <c r="L582">
        <v>616</v>
      </c>
      <c r="M582" t="s">
        <v>654</v>
      </c>
    </row>
    <row r="583" spans="1:19" x14ac:dyDescent="0.25">
      <c r="A583" t="s">
        <v>69</v>
      </c>
      <c r="B583" t="s">
        <v>631</v>
      </c>
      <c r="C583" s="1">
        <v>3698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/>
      <c r="L583">
        <v>120</v>
      </c>
      <c r="M583" t="s">
        <v>655</v>
      </c>
    </row>
    <row r="584" spans="1:19" x14ac:dyDescent="0.25">
      <c r="A584" t="s">
        <v>817</v>
      </c>
      <c r="B584" t="s">
        <v>632</v>
      </c>
      <c r="C584" s="1"/>
      <c r="D584" s="1"/>
      <c r="E584" s="1"/>
      <c r="F584" s="1"/>
      <c r="G584" s="1"/>
      <c r="H584" s="1"/>
      <c r="I584" s="1"/>
      <c r="J584" s="1"/>
      <c r="L584">
        <v>616</v>
      </c>
      <c r="M584" t="s">
        <v>656</v>
      </c>
    </row>
    <row r="585" spans="1:19" x14ac:dyDescent="0.25">
      <c r="A585" t="s">
        <v>76</v>
      </c>
      <c r="B585" t="s">
        <v>633</v>
      </c>
      <c r="C585" s="1">
        <v>1031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/>
      <c r="L585">
        <v>111</v>
      </c>
      <c r="M585" t="s">
        <v>657</v>
      </c>
    </row>
    <row r="586" spans="1:19" x14ac:dyDescent="0.25">
      <c r="A586" t="s">
        <v>817</v>
      </c>
      <c r="B586" t="s">
        <v>634</v>
      </c>
      <c r="C586" s="1"/>
      <c r="D586" s="1"/>
      <c r="E586" s="1"/>
      <c r="F586" s="1"/>
      <c r="G586" s="1"/>
      <c r="H586" s="1"/>
      <c r="I586" s="1"/>
      <c r="J586" s="1"/>
      <c r="L586">
        <v>616</v>
      </c>
      <c r="M586" t="s">
        <v>658</v>
      </c>
    </row>
    <row r="587" spans="1:19" x14ac:dyDescent="0.25">
      <c r="A587" t="s">
        <v>801</v>
      </c>
      <c r="B587" t="s">
        <v>635</v>
      </c>
      <c r="C587" s="1">
        <v>6214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/>
      <c r="L587">
        <v>130</v>
      </c>
      <c r="M587" t="s">
        <v>659</v>
      </c>
      <c r="N587">
        <v>1682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 x14ac:dyDescent="0.25">
      <c r="A588" t="s">
        <v>817</v>
      </c>
      <c r="B588" t="s">
        <v>636</v>
      </c>
      <c r="C588" s="1"/>
      <c r="D588" s="1"/>
      <c r="E588" s="1"/>
      <c r="F588" s="1"/>
      <c r="G588" s="1"/>
      <c r="H588" s="1"/>
      <c r="I588" s="1"/>
      <c r="J588" s="1"/>
      <c r="L588">
        <v>600</v>
      </c>
      <c r="M588" t="s">
        <v>660</v>
      </c>
      <c r="N588" s="1">
        <v>363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</row>
    <row r="589" spans="1:19" x14ac:dyDescent="0.25">
      <c r="A589" t="s">
        <v>824</v>
      </c>
      <c r="B589" t="s">
        <v>637</v>
      </c>
      <c r="C589" s="1">
        <v>255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/>
      <c r="L589">
        <v>124</v>
      </c>
      <c r="M589" t="s">
        <v>661</v>
      </c>
      <c r="N589">
        <v>1149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 x14ac:dyDescent="0.25">
      <c r="A590" t="s">
        <v>818</v>
      </c>
      <c r="B590" t="s">
        <v>638</v>
      </c>
      <c r="C590" s="1"/>
      <c r="D590" s="1"/>
      <c r="E590" s="1"/>
      <c r="F590" s="1"/>
      <c r="G590" s="1"/>
      <c r="H590" s="1"/>
      <c r="I590" s="1"/>
      <c r="J590" s="1"/>
      <c r="L590">
        <v>314</v>
      </c>
      <c r="M590" t="s">
        <v>662</v>
      </c>
      <c r="N590">
        <v>242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25">
      <c r="A591" t="s">
        <v>817</v>
      </c>
      <c r="B591" t="s">
        <v>639</v>
      </c>
      <c r="C591" s="1"/>
      <c r="D591" s="1"/>
      <c r="E591" s="1"/>
      <c r="F591" s="1"/>
      <c r="G591" s="1"/>
      <c r="H591" s="1"/>
      <c r="I591" s="1"/>
      <c r="J591" s="1"/>
      <c r="L591">
        <v>511</v>
      </c>
      <c r="M591" t="s">
        <v>663</v>
      </c>
      <c r="N591">
        <v>706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 x14ac:dyDescent="0.25">
      <c r="A592" t="s">
        <v>811</v>
      </c>
      <c r="B592" t="s">
        <v>640</v>
      </c>
      <c r="C592" s="1"/>
      <c r="D592" s="1"/>
      <c r="E592" s="1"/>
      <c r="F592" s="1"/>
      <c r="G592" s="1"/>
      <c r="H592" s="1"/>
      <c r="I592" s="1"/>
      <c r="J592" s="1"/>
      <c r="L592">
        <v>710</v>
      </c>
      <c r="M592" t="s">
        <v>664</v>
      </c>
      <c r="N592">
        <v>809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 x14ac:dyDescent="0.25">
      <c r="A593" t="s">
        <v>811</v>
      </c>
      <c r="B593" t="s">
        <v>641</v>
      </c>
      <c r="C593" s="1"/>
      <c r="D593" s="1"/>
      <c r="E593" s="1"/>
      <c r="F593" s="1"/>
      <c r="G593" s="1"/>
      <c r="H593" s="1"/>
      <c r="I593" s="1"/>
      <c r="J593" s="1"/>
      <c r="M593" t="s">
        <v>665</v>
      </c>
    </row>
    <row r="594" spans="1:19" x14ac:dyDescent="0.25">
      <c r="A594" t="s">
        <v>76</v>
      </c>
      <c r="B594" t="s">
        <v>642</v>
      </c>
      <c r="C594" s="1">
        <v>545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/>
      <c r="L594">
        <v>212</v>
      </c>
      <c r="M594" t="s">
        <v>666</v>
      </c>
    </row>
    <row r="595" spans="1:19" x14ac:dyDescent="0.25">
      <c r="A595" t="s">
        <v>817</v>
      </c>
      <c r="B595" t="s">
        <v>643</v>
      </c>
      <c r="C595" s="1"/>
      <c r="D595" s="1"/>
      <c r="E595" s="1"/>
      <c r="F595" s="1"/>
      <c r="G595" s="1"/>
      <c r="H595" s="1"/>
      <c r="I595" s="1"/>
      <c r="J595" s="1"/>
      <c r="L595">
        <v>133</v>
      </c>
      <c r="M595" t="s">
        <v>667</v>
      </c>
      <c r="N595">
        <v>326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 x14ac:dyDescent="0.25">
      <c r="A596" t="s">
        <v>76</v>
      </c>
      <c r="B596" t="s">
        <v>644</v>
      </c>
      <c r="C596" s="1">
        <v>910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/>
      <c r="L596">
        <v>128</v>
      </c>
      <c r="M596" t="s">
        <v>668</v>
      </c>
      <c r="N596">
        <v>606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 x14ac:dyDescent="0.25">
      <c r="A597" t="s">
        <v>817</v>
      </c>
      <c r="B597" t="s">
        <v>645</v>
      </c>
      <c r="C597" s="1"/>
      <c r="D597" s="1"/>
      <c r="E597" s="1"/>
      <c r="F597" s="1"/>
      <c r="G597" s="1"/>
      <c r="H597" s="1"/>
      <c r="I597" s="1"/>
      <c r="J597" s="1"/>
      <c r="L597">
        <v>131</v>
      </c>
      <c r="M597" t="s">
        <v>669</v>
      </c>
    </row>
    <row r="598" spans="1:19" x14ac:dyDescent="0.25">
      <c r="A598" t="s">
        <v>817</v>
      </c>
      <c r="B598" t="s">
        <v>646</v>
      </c>
      <c r="C598" s="1"/>
      <c r="D598" s="1"/>
      <c r="E598" s="1"/>
      <c r="F598" s="1"/>
      <c r="G598" s="1"/>
      <c r="H598" s="1"/>
      <c r="I598" s="1"/>
      <c r="J598" s="1"/>
      <c r="L598">
        <v>132</v>
      </c>
      <c r="M598" t="s">
        <v>670</v>
      </c>
    </row>
    <row r="599" spans="1:19" x14ac:dyDescent="0.25">
      <c r="A599" t="s">
        <v>226</v>
      </c>
      <c r="B599" t="s">
        <v>647</v>
      </c>
      <c r="C599" s="1"/>
      <c r="D599" s="1"/>
      <c r="E599" s="1"/>
      <c r="F599" s="1"/>
      <c r="G599" s="1"/>
      <c r="H599" s="1"/>
      <c r="I599" s="1"/>
      <c r="J599" s="1"/>
      <c r="L599">
        <v>300</v>
      </c>
      <c r="M599" t="s">
        <v>671</v>
      </c>
      <c r="N599">
        <v>16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 x14ac:dyDescent="0.25">
      <c r="A600" t="s">
        <v>150</v>
      </c>
      <c r="B600" t="s">
        <v>648</v>
      </c>
      <c r="C600" s="1"/>
      <c r="D600" s="1"/>
      <c r="E600" s="1"/>
      <c r="F600" s="1"/>
      <c r="G600" s="1"/>
      <c r="H600" s="1"/>
      <c r="I600" s="1"/>
      <c r="J600" s="1"/>
      <c r="L600">
        <v>116</v>
      </c>
      <c r="M600" t="s">
        <v>672</v>
      </c>
      <c r="N600">
        <v>1908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 x14ac:dyDescent="0.25">
      <c r="A601" t="s">
        <v>818</v>
      </c>
      <c r="B601" t="s">
        <v>649</v>
      </c>
      <c r="C601" s="1"/>
      <c r="D601" s="1"/>
      <c r="E601" s="1"/>
      <c r="F601" s="1"/>
      <c r="G601" s="1"/>
      <c r="H601" s="1"/>
      <c r="I601" s="1"/>
      <c r="J601" s="1"/>
      <c r="L601">
        <v>148</v>
      </c>
      <c r="M601" t="s">
        <v>673</v>
      </c>
    </row>
    <row r="602" spans="1:19" x14ac:dyDescent="0.25">
      <c r="A602" t="s">
        <v>817</v>
      </c>
      <c r="B602" t="s">
        <v>650</v>
      </c>
      <c r="C602" s="1"/>
      <c r="D602" s="1"/>
      <c r="E602" s="1"/>
      <c r="F602" s="1"/>
      <c r="G602" s="1"/>
      <c r="H602" s="1"/>
      <c r="I602" s="1"/>
      <c r="J602" s="1"/>
      <c r="L602">
        <v>116</v>
      </c>
      <c r="M602" t="s">
        <v>674</v>
      </c>
      <c r="N602">
        <v>3823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 x14ac:dyDescent="0.25">
      <c r="A603" t="s">
        <v>817</v>
      </c>
      <c r="B603" t="s">
        <v>651</v>
      </c>
      <c r="C603" s="1"/>
      <c r="D603" s="1"/>
      <c r="E603" s="1"/>
      <c r="F603" s="1"/>
      <c r="G603" s="1"/>
      <c r="H603" s="1"/>
      <c r="I603" s="1"/>
      <c r="J603" s="1"/>
      <c r="M603" t="s">
        <v>675</v>
      </c>
    </row>
    <row r="604" spans="1:19" x14ac:dyDescent="0.25">
      <c r="A604" t="s">
        <v>817</v>
      </c>
      <c r="B604" t="s">
        <v>652</v>
      </c>
      <c r="C604" s="1"/>
      <c r="D604" s="1"/>
      <c r="E604" s="1"/>
      <c r="F604" s="1"/>
      <c r="G604" s="1"/>
      <c r="H604" s="1"/>
      <c r="I604" s="1"/>
      <c r="J604" s="1"/>
      <c r="L604">
        <v>511</v>
      </c>
      <c r="M604" t="s">
        <v>676</v>
      </c>
      <c r="N604">
        <v>2352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 x14ac:dyDescent="0.25">
      <c r="A605" t="s">
        <v>817</v>
      </c>
      <c r="B605" t="s">
        <v>653</v>
      </c>
      <c r="C605" s="1"/>
      <c r="D605" s="1"/>
      <c r="E605" s="1"/>
      <c r="F605" s="1"/>
      <c r="G605" s="1"/>
      <c r="H605" s="1"/>
      <c r="I605" s="1"/>
      <c r="J605" s="1"/>
      <c r="L605">
        <v>300</v>
      </c>
      <c r="M605" t="s">
        <v>677</v>
      </c>
      <c r="N605">
        <v>123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 x14ac:dyDescent="0.25">
      <c r="A606" t="s">
        <v>817</v>
      </c>
      <c r="B606" t="s">
        <v>654</v>
      </c>
      <c r="C606" s="1"/>
      <c r="D606" s="1"/>
      <c r="E606" s="1"/>
      <c r="F606" s="1"/>
      <c r="G606" s="1"/>
      <c r="H606" s="1"/>
      <c r="I606" s="1"/>
      <c r="J606" s="1"/>
      <c r="L606" t="s">
        <v>815</v>
      </c>
      <c r="M606" t="s">
        <v>678</v>
      </c>
      <c r="N606">
        <v>223</v>
      </c>
      <c r="O606">
        <v>0</v>
      </c>
      <c r="P606">
        <v>0</v>
      </c>
      <c r="Q606">
        <v>0</v>
      </c>
      <c r="R606">
        <v>0</v>
      </c>
      <c r="S606">
        <v>0</v>
      </c>
    </row>
    <row r="607" spans="1:19" x14ac:dyDescent="0.25">
      <c r="A607" t="s">
        <v>802</v>
      </c>
      <c r="B607" t="s">
        <v>655</v>
      </c>
      <c r="C607" s="1"/>
      <c r="D607" s="1"/>
      <c r="E607" s="1"/>
      <c r="F607" s="1"/>
      <c r="G607" s="1"/>
      <c r="H607" s="1"/>
      <c r="I607" s="1"/>
      <c r="J607" s="1"/>
      <c r="L607">
        <v>212</v>
      </c>
      <c r="M607" t="s">
        <v>679</v>
      </c>
      <c r="N607">
        <v>66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 x14ac:dyDescent="0.25">
      <c r="A608" t="s">
        <v>817</v>
      </c>
      <c r="B608" t="s">
        <v>656</v>
      </c>
      <c r="C608" s="1"/>
      <c r="D608" s="1"/>
      <c r="E608" s="1"/>
      <c r="F608" s="1"/>
      <c r="G608" s="1"/>
      <c r="H608" s="1"/>
      <c r="I608" s="1"/>
      <c r="J608" s="1"/>
      <c r="M608" t="s">
        <v>680</v>
      </c>
    </row>
    <row r="609" spans="1:19" x14ac:dyDescent="0.25">
      <c r="A609" t="s">
        <v>811</v>
      </c>
      <c r="B609" t="s">
        <v>657</v>
      </c>
      <c r="C609" s="1"/>
      <c r="D609" s="1"/>
      <c r="E609" s="1"/>
      <c r="F609" s="1"/>
      <c r="G609" s="1"/>
      <c r="H609" s="1"/>
      <c r="I609" s="1"/>
      <c r="J609" s="1"/>
      <c r="L609" t="s">
        <v>808</v>
      </c>
      <c r="M609" t="s">
        <v>681</v>
      </c>
      <c r="N609">
        <v>63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 x14ac:dyDescent="0.25">
      <c r="A610" t="s">
        <v>817</v>
      </c>
      <c r="B610" t="s">
        <v>658</v>
      </c>
      <c r="C610" s="1"/>
      <c r="D610" s="1"/>
      <c r="E610" s="1"/>
      <c r="F610" s="1"/>
      <c r="G610" s="1"/>
      <c r="H610" s="1"/>
      <c r="I610" s="1"/>
      <c r="J610" s="1"/>
      <c r="L610">
        <v>600</v>
      </c>
      <c r="M610" t="s">
        <v>682</v>
      </c>
      <c r="N610" s="1">
        <v>2415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</row>
    <row r="611" spans="1:19" x14ac:dyDescent="0.25">
      <c r="A611" t="s">
        <v>793</v>
      </c>
      <c r="B611" t="s">
        <v>659</v>
      </c>
      <c r="C611" s="1">
        <v>1682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/>
      <c r="L611">
        <v>116</v>
      </c>
      <c r="M611" t="s">
        <v>683</v>
      </c>
      <c r="N611">
        <v>1432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25">
      <c r="A612" t="s">
        <v>248</v>
      </c>
      <c r="B612" t="s">
        <v>660</v>
      </c>
      <c r="C612" s="1">
        <v>363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/>
      <c r="L612">
        <v>116</v>
      </c>
      <c r="M612" t="s">
        <v>684</v>
      </c>
      <c r="N612">
        <v>6056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25">
      <c r="A613" t="s">
        <v>123</v>
      </c>
      <c r="B613" t="s">
        <v>661</v>
      </c>
      <c r="C613" s="1">
        <v>1149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/>
      <c r="L613">
        <v>116</v>
      </c>
      <c r="M613" t="s">
        <v>685</v>
      </c>
      <c r="N613">
        <v>31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 x14ac:dyDescent="0.25">
      <c r="A614" t="s">
        <v>305</v>
      </c>
      <c r="B614" t="s">
        <v>662</v>
      </c>
      <c r="C614" s="1">
        <v>242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/>
      <c r="L614">
        <v>134</v>
      </c>
      <c r="M614" t="s">
        <v>686</v>
      </c>
      <c r="N614">
        <v>591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 x14ac:dyDescent="0.25">
      <c r="A615" t="s">
        <v>101</v>
      </c>
      <c r="B615" t="s">
        <v>663</v>
      </c>
      <c r="C615" s="1">
        <v>706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/>
      <c r="L615">
        <v>149</v>
      </c>
      <c r="M615" t="s">
        <v>687</v>
      </c>
      <c r="N615">
        <v>1324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25">
      <c r="A616" t="s">
        <v>69</v>
      </c>
      <c r="B616" t="s">
        <v>664</v>
      </c>
      <c r="C616" s="1">
        <v>809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/>
      <c r="M616" t="s">
        <v>688</v>
      </c>
    </row>
    <row r="617" spans="1:19" x14ac:dyDescent="0.25">
      <c r="A617" t="s">
        <v>120</v>
      </c>
      <c r="B617" t="s">
        <v>665</v>
      </c>
      <c r="C617" s="1"/>
      <c r="D617" s="1"/>
      <c r="E617" s="1"/>
      <c r="F617" s="1"/>
      <c r="G617" s="1"/>
      <c r="H617" s="1"/>
      <c r="I617" s="1"/>
      <c r="J617" s="1"/>
      <c r="L617">
        <v>600</v>
      </c>
      <c r="M617" t="s">
        <v>689</v>
      </c>
      <c r="N617" s="1">
        <v>2039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</row>
    <row r="618" spans="1:19" x14ac:dyDescent="0.25">
      <c r="A618" t="s">
        <v>799</v>
      </c>
      <c r="B618" t="s">
        <v>666</v>
      </c>
      <c r="C618" s="1"/>
      <c r="D618" s="1"/>
      <c r="E618" s="1"/>
      <c r="F618" s="1"/>
      <c r="G618" s="1"/>
      <c r="H618" s="1"/>
      <c r="I618" s="1"/>
      <c r="J618" s="1"/>
      <c r="L618">
        <v>114</v>
      </c>
      <c r="M618" t="s">
        <v>690</v>
      </c>
    </row>
    <row r="619" spans="1:19" x14ac:dyDescent="0.25">
      <c r="A619" t="s">
        <v>106</v>
      </c>
      <c r="B619" t="s">
        <v>667</v>
      </c>
      <c r="C619" s="1">
        <v>326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/>
      <c r="L619">
        <v>138</v>
      </c>
      <c r="M619" t="s">
        <v>691</v>
      </c>
    </row>
    <row r="620" spans="1:19" x14ac:dyDescent="0.25">
      <c r="A620" t="s">
        <v>813</v>
      </c>
      <c r="B620" t="s">
        <v>668</v>
      </c>
      <c r="C620" s="1">
        <v>606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/>
      <c r="L620">
        <v>613</v>
      </c>
      <c r="M620" t="s">
        <v>692</v>
      </c>
      <c r="N620">
        <v>1863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 x14ac:dyDescent="0.25">
      <c r="A621" t="s">
        <v>810</v>
      </c>
      <c r="B621" t="s">
        <v>669</v>
      </c>
      <c r="C621" s="1"/>
      <c r="D621" s="1"/>
      <c r="E621" s="1"/>
      <c r="F621" s="1"/>
      <c r="G621" s="1"/>
      <c r="H621" s="1"/>
      <c r="I621" s="1"/>
      <c r="J621" s="1"/>
      <c r="L621">
        <v>500</v>
      </c>
      <c r="M621" t="s">
        <v>693</v>
      </c>
    </row>
    <row r="622" spans="1:19" x14ac:dyDescent="0.25">
      <c r="A622" t="s">
        <v>812</v>
      </c>
      <c r="B622" t="s">
        <v>670</v>
      </c>
      <c r="C622" s="1"/>
      <c r="D622" s="1"/>
      <c r="E622" s="1"/>
      <c r="F622" s="1"/>
      <c r="G622" s="1"/>
      <c r="H622" s="1"/>
      <c r="I622" s="1"/>
      <c r="J622" s="1"/>
      <c r="L622">
        <v>116</v>
      </c>
      <c r="M622" t="s">
        <v>694</v>
      </c>
      <c r="N622">
        <v>290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 x14ac:dyDescent="0.25">
      <c r="A623" t="s">
        <v>226</v>
      </c>
      <c r="B623" t="s">
        <v>671</v>
      </c>
      <c r="C623" s="1">
        <v>16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/>
      <c r="L623">
        <v>312</v>
      </c>
      <c r="M623" t="s">
        <v>695</v>
      </c>
      <c r="N623">
        <v>419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 x14ac:dyDescent="0.25">
      <c r="A624" t="s">
        <v>795</v>
      </c>
      <c r="B624" t="s">
        <v>672</v>
      </c>
      <c r="C624" s="1">
        <v>1908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/>
      <c r="L624">
        <v>116</v>
      </c>
      <c r="M624" t="s">
        <v>696</v>
      </c>
      <c r="N624">
        <v>5140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 x14ac:dyDescent="0.25">
      <c r="A625" t="s">
        <v>33</v>
      </c>
      <c r="B625" t="s">
        <v>673</v>
      </c>
      <c r="C625" s="1"/>
      <c r="D625" s="1"/>
      <c r="E625" s="1"/>
      <c r="F625" s="1"/>
      <c r="G625" s="1"/>
      <c r="H625" s="1"/>
      <c r="I625" s="1"/>
      <c r="J625" s="1"/>
      <c r="L625">
        <v>114</v>
      </c>
      <c r="M625" t="s">
        <v>697</v>
      </c>
    </row>
    <row r="626" spans="1:19" x14ac:dyDescent="0.25">
      <c r="A626" t="s">
        <v>795</v>
      </c>
      <c r="B626" t="s">
        <v>674</v>
      </c>
      <c r="C626" s="1">
        <v>3823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/>
      <c r="L626">
        <v>141</v>
      </c>
      <c r="M626" t="s">
        <v>698</v>
      </c>
      <c r="N626">
        <v>1552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 x14ac:dyDescent="0.25">
      <c r="A627" t="s">
        <v>108</v>
      </c>
      <c r="B627" t="s">
        <v>675</v>
      </c>
      <c r="C627" s="1"/>
      <c r="D627" s="1"/>
      <c r="E627" s="1"/>
      <c r="F627" s="1"/>
      <c r="G627" s="1"/>
      <c r="H627" s="1"/>
      <c r="I627" s="1"/>
      <c r="J627" s="1"/>
      <c r="L627">
        <v>111</v>
      </c>
      <c r="M627" t="s">
        <v>699</v>
      </c>
    </row>
    <row r="628" spans="1:19" x14ac:dyDescent="0.25">
      <c r="A628" t="s">
        <v>101</v>
      </c>
      <c r="B628" t="s">
        <v>676</v>
      </c>
      <c r="C628" s="1">
        <v>2352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/>
      <c r="L628">
        <v>135</v>
      </c>
      <c r="M628" t="s">
        <v>700</v>
      </c>
      <c r="N628">
        <v>2381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25">
      <c r="A629" t="s">
        <v>226</v>
      </c>
      <c r="B629" t="s">
        <v>677</v>
      </c>
      <c r="C629" s="1">
        <v>123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/>
      <c r="M629" t="s">
        <v>701</v>
      </c>
    </row>
    <row r="630" spans="1:19" x14ac:dyDescent="0.25">
      <c r="A630" t="s">
        <v>138</v>
      </c>
      <c r="B630" t="s">
        <v>678</v>
      </c>
      <c r="C630" s="1">
        <v>223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/>
      <c r="M630" t="s">
        <v>702</v>
      </c>
    </row>
    <row r="631" spans="1:19" x14ac:dyDescent="0.25">
      <c r="A631" t="s">
        <v>799</v>
      </c>
      <c r="B631" t="s">
        <v>679</v>
      </c>
      <c r="C631" s="1">
        <v>66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/>
      <c r="L631">
        <v>126</v>
      </c>
      <c r="M631" t="s">
        <v>703</v>
      </c>
      <c r="N631">
        <v>375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25">
      <c r="A632" t="s">
        <v>823</v>
      </c>
      <c r="B632" t="s">
        <v>680</v>
      </c>
      <c r="C632" s="1"/>
      <c r="D632" s="1"/>
      <c r="E632" s="1"/>
      <c r="F632" s="1"/>
      <c r="G632" s="1"/>
      <c r="H632" s="1"/>
      <c r="I632" s="1"/>
      <c r="J632" s="1"/>
      <c r="L632">
        <v>611</v>
      </c>
      <c r="M632" t="s">
        <v>704</v>
      </c>
      <c r="N632">
        <v>725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 x14ac:dyDescent="0.25">
      <c r="A633" t="s">
        <v>809</v>
      </c>
      <c r="B633" t="s">
        <v>681</v>
      </c>
      <c r="C633" s="1">
        <v>63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/>
      <c r="L633">
        <v>152</v>
      </c>
      <c r="M633" t="s">
        <v>705</v>
      </c>
      <c r="N633">
        <v>478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25">
      <c r="A634" t="s">
        <v>248</v>
      </c>
      <c r="B634" t="s">
        <v>682</v>
      </c>
      <c r="C634" s="1">
        <v>2415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/>
      <c r="L634">
        <v>123</v>
      </c>
      <c r="M634" t="s">
        <v>706</v>
      </c>
      <c r="N634">
        <v>480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25">
      <c r="A635" t="s">
        <v>795</v>
      </c>
      <c r="B635" t="s">
        <v>683</v>
      </c>
      <c r="C635" s="1">
        <v>1432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/>
      <c r="L635" t="s">
        <v>814</v>
      </c>
      <c r="M635" t="s">
        <v>707</v>
      </c>
      <c r="N635">
        <v>339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25">
      <c r="A636" t="s">
        <v>795</v>
      </c>
      <c r="B636" t="s">
        <v>684</v>
      </c>
      <c r="C636" s="1">
        <v>6056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/>
      <c r="L636">
        <v>127</v>
      </c>
      <c r="M636" t="s">
        <v>708</v>
      </c>
      <c r="N636">
        <v>2176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25">
      <c r="A637" t="s">
        <v>795</v>
      </c>
      <c r="B637" t="s">
        <v>685</v>
      </c>
      <c r="C637" s="1">
        <v>31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/>
      <c r="L637">
        <v>125</v>
      </c>
      <c r="M637" t="s">
        <v>709</v>
      </c>
      <c r="N637">
        <v>366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 x14ac:dyDescent="0.25">
      <c r="A638" t="s">
        <v>99</v>
      </c>
      <c r="B638" t="s">
        <v>686</v>
      </c>
      <c r="C638" s="1">
        <v>591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/>
      <c r="L638">
        <v>121</v>
      </c>
      <c r="M638" t="s">
        <v>710</v>
      </c>
      <c r="N638">
        <v>714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25">
      <c r="A639" t="s">
        <v>52</v>
      </c>
      <c r="B639" t="s">
        <v>687</v>
      </c>
      <c r="C639" s="1">
        <v>1324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/>
      <c r="L639">
        <v>500</v>
      </c>
      <c r="M639" t="s">
        <v>711</v>
      </c>
      <c r="N639">
        <v>5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 x14ac:dyDescent="0.25">
      <c r="A640" t="s">
        <v>120</v>
      </c>
      <c r="B640" t="s">
        <v>688</v>
      </c>
      <c r="C640" s="1"/>
      <c r="D640" s="1"/>
      <c r="E640" s="1"/>
      <c r="F640" s="1"/>
      <c r="G640" s="1"/>
      <c r="H640" s="1"/>
      <c r="I640" s="1"/>
      <c r="J640" s="1"/>
      <c r="M640" t="s">
        <v>712</v>
      </c>
    </row>
    <row r="641" spans="1:19" x14ac:dyDescent="0.25">
      <c r="A641" t="s">
        <v>248</v>
      </c>
      <c r="B641" t="s">
        <v>689</v>
      </c>
      <c r="C641" s="1">
        <v>2039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/>
      <c r="L641">
        <v>122</v>
      </c>
      <c r="M641" t="s">
        <v>713</v>
      </c>
      <c r="N641">
        <v>390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25">
      <c r="A642" t="s">
        <v>150</v>
      </c>
      <c r="B642" t="s">
        <v>690</v>
      </c>
      <c r="C642" s="1"/>
      <c r="D642" s="1"/>
      <c r="E642" s="1"/>
      <c r="F642" s="1"/>
      <c r="G642" s="1"/>
      <c r="H642" s="1"/>
      <c r="I642" s="1"/>
      <c r="J642" s="1"/>
      <c r="L642">
        <v>611</v>
      </c>
      <c r="M642" t="s">
        <v>714</v>
      </c>
      <c r="N642">
        <v>933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 x14ac:dyDescent="0.25">
      <c r="A643" t="s">
        <v>50</v>
      </c>
      <c r="B643" t="s">
        <v>691</v>
      </c>
      <c r="C643" s="1"/>
      <c r="D643" s="1"/>
      <c r="E643" s="1"/>
      <c r="F643" s="1"/>
      <c r="G643" s="1"/>
      <c r="H643" s="1"/>
      <c r="I643" s="1"/>
      <c r="J643" s="1"/>
      <c r="L643">
        <v>311</v>
      </c>
      <c r="M643" t="s">
        <v>715</v>
      </c>
      <c r="N643">
        <v>1803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 x14ac:dyDescent="0.25">
      <c r="A644" t="s">
        <v>495</v>
      </c>
      <c r="B644" t="s">
        <v>692</v>
      </c>
      <c r="C644" s="1">
        <v>1863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/>
      <c r="L644">
        <v>611</v>
      </c>
      <c r="M644" t="s">
        <v>716</v>
      </c>
      <c r="N644">
        <v>618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 x14ac:dyDescent="0.25">
      <c r="A645" t="s">
        <v>824</v>
      </c>
      <c r="B645" t="s">
        <v>693</v>
      </c>
      <c r="C645" s="1"/>
      <c r="D645" s="1"/>
      <c r="E645" s="1"/>
      <c r="F645" s="1"/>
      <c r="G645" s="1"/>
      <c r="H645" s="1"/>
      <c r="I645" s="1"/>
      <c r="J645" s="1"/>
      <c r="L645">
        <v>116</v>
      </c>
      <c r="M645" t="s">
        <v>717</v>
      </c>
      <c r="N645">
        <v>271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 x14ac:dyDescent="0.25">
      <c r="A646" t="s">
        <v>795</v>
      </c>
      <c r="B646" t="s">
        <v>694</v>
      </c>
      <c r="C646" s="1">
        <v>290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/>
      <c r="L646">
        <v>611</v>
      </c>
      <c r="M646" t="s">
        <v>718</v>
      </c>
      <c r="N646">
        <v>218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 x14ac:dyDescent="0.25">
      <c r="A647" t="s">
        <v>72</v>
      </c>
      <c r="B647" t="s">
        <v>695</v>
      </c>
      <c r="C647" s="1">
        <v>419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/>
      <c r="L647">
        <v>515</v>
      </c>
      <c r="M647" t="s">
        <v>719</v>
      </c>
    </row>
    <row r="648" spans="1:19" x14ac:dyDescent="0.25">
      <c r="A648" t="s">
        <v>795</v>
      </c>
      <c r="B648" t="s">
        <v>696</v>
      </c>
      <c r="C648" s="1">
        <v>5140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/>
      <c r="L648">
        <v>616</v>
      </c>
      <c r="M648" t="s">
        <v>720</v>
      </c>
    </row>
    <row r="649" spans="1:19" x14ac:dyDescent="0.25">
      <c r="A649" t="s">
        <v>150</v>
      </c>
      <c r="B649" t="s">
        <v>697</v>
      </c>
      <c r="C649" s="1"/>
      <c r="D649" s="1"/>
      <c r="E649" s="1"/>
      <c r="F649" s="1"/>
      <c r="G649" s="1"/>
      <c r="H649" s="1"/>
      <c r="I649" s="1"/>
      <c r="J649" s="1"/>
      <c r="L649">
        <v>211</v>
      </c>
      <c r="M649" t="s">
        <v>721</v>
      </c>
      <c r="N649">
        <v>4919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 x14ac:dyDescent="0.25">
      <c r="A650" t="s">
        <v>31</v>
      </c>
      <c r="B650" t="s">
        <v>698</v>
      </c>
      <c r="C650" s="1">
        <v>1552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/>
      <c r="L650">
        <v>611</v>
      </c>
      <c r="M650" t="s">
        <v>722</v>
      </c>
      <c r="N650">
        <v>810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5">
      <c r="A651" t="s">
        <v>811</v>
      </c>
      <c r="B651" t="s">
        <v>699</v>
      </c>
      <c r="C651" s="1"/>
      <c r="D651" s="1"/>
      <c r="E651" s="1"/>
      <c r="F651" s="1"/>
      <c r="G651" s="1"/>
      <c r="H651" s="1"/>
      <c r="I651" s="1"/>
      <c r="J651" s="1"/>
      <c r="L651">
        <v>137</v>
      </c>
      <c r="M651" t="s">
        <v>723</v>
      </c>
      <c r="N651">
        <v>1180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25">
      <c r="A652" t="s">
        <v>113</v>
      </c>
      <c r="B652" t="s">
        <v>700</v>
      </c>
      <c r="C652" s="1">
        <v>2381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/>
      <c r="L652">
        <v>211</v>
      </c>
      <c r="M652" t="s">
        <v>724</v>
      </c>
      <c r="N652">
        <v>16930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 x14ac:dyDescent="0.25">
      <c r="A653" t="s">
        <v>805</v>
      </c>
      <c r="B653" t="s">
        <v>701</v>
      </c>
      <c r="C653" s="1"/>
      <c r="D653" s="1"/>
      <c r="E653" s="1"/>
      <c r="F653" s="1"/>
      <c r="G653" s="1"/>
      <c r="H653" s="1"/>
      <c r="I653" s="1"/>
      <c r="J653" s="1"/>
      <c r="L653" t="s">
        <v>814</v>
      </c>
      <c r="M653" t="s">
        <v>725</v>
      </c>
      <c r="N653">
        <v>504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 x14ac:dyDescent="0.25">
      <c r="A654" t="s">
        <v>512</v>
      </c>
      <c r="B654" t="s">
        <v>702</v>
      </c>
      <c r="C654" s="1"/>
      <c r="D654" s="1"/>
      <c r="E654" s="1"/>
      <c r="F654" s="1"/>
      <c r="G654" s="1"/>
      <c r="H654" s="1"/>
      <c r="I654" s="1"/>
      <c r="J654" s="1"/>
      <c r="L654">
        <v>211</v>
      </c>
      <c r="M654" t="s">
        <v>726</v>
      </c>
      <c r="N654">
        <v>4268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25">
      <c r="A655" t="s">
        <v>97</v>
      </c>
      <c r="B655" t="s">
        <v>703</v>
      </c>
      <c r="C655" s="1">
        <v>375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/>
      <c r="L655">
        <v>713</v>
      </c>
      <c r="M655" t="s">
        <v>727</v>
      </c>
      <c r="N655">
        <v>560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 x14ac:dyDescent="0.25">
      <c r="A656" t="s">
        <v>146</v>
      </c>
      <c r="B656" t="s">
        <v>704</v>
      </c>
      <c r="C656" s="1">
        <v>725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/>
      <c r="L656">
        <v>514</v>
      </c>
      <c r="M656" t="s">
        <v>728</v>
      </c>
      <c r="N656">
        <v>578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25">
      <c r="A657" t="s">
        <v>790</v>
      </c>
      <c r="B657" t="s">
        <v>705</v>
      </c>
      <c r="C657" s="1">
        <v>478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/>
      <c r="L657" t="s">
        <v>815</v>
      </c>
      <c r="M657" t="s">
        <v>729</v>
      </c>
      <c r="N657">
        <v>84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x14ac:dyDescent="0.25">
      <c r="A658" t="s">
        <v>110</v>
      </c>
      <c r="B658" t="s">
        <v>706</v>
      </c>
      <c r="C658" s="1">
        <v>480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/>
      <c r="L658">
        <v>610</v>
      </c>
      <c r="M658" t="s">
        <v>730</v>
      </c>
    </row>
    <row r="659" spans="1:19" x14ac:dyDescent="0.25">
      <c r="A659" t="s">
        <v>794</v>
      </c>
      <c r="B659" t="s">
        <v>707</v>
      </c>
      <c r="C659" s="1">
        <v>339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/>
      <c r="L659">
        <v>114</v>
      </c>
      <c r="M659" t="s">
        <v>731</v>
      </c>
    </row>
    <row r="660" spans="1:19" x14ac:dyDescent="0.25">
      <c r="A660" t="s">
        <v>108</v>
      </c>
      <c r="B660" t="s">
        <v>708</v>
      </c>
      <c r="C660" s="1">
        <v>2176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/>
      <c r="L660" t="s">
        <v>815</v>
      </c>
      <c r="M660" t="s">
        <v>732</v>
      </c>
      <c r="N660">
        <v>290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25">
      <c r="A661" t="s">
        <v>40</v>
      </c>
      <c r="B661" t="s">
        <v>709</v>
      </c>
      <c r="C661" s="1">
        <v>366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/>
      <c r="L661" t="s">
        <v>808</v>
      </c>
      <c r="M661" t="s">
        <v>733</v>
      </c>
      <c r="N661">
        <v>840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25">
      <c r="A662" t="s">
        <v>104</v>
      </c>
      <c r="B662" t="s">
        <v>710</v>
      </c>
      <c r="C662" s="1">
        <v>714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/>
      <c r="M662" t="s">
        <v>734</v>
      </c>
    </row>
    <row r="663" spans="1:19" x14ac:dyDescent="0.25">
      <c r="A663" t="s">
        <v>824</v>
      </c>
      <c r="B663" t="s">
        <v>711</v>
      </c>
      <c r="C663" s="1">
        <v>5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/>
      <c r="L663">
        <v>616</v>
      </c>
      <c r="M663" t="s">
        <v>735</v>
      </c>
    </row>
    <row r="664" spans="1:19" x14ac:dyDescent="0.25">
      <c r="A664" t="s">
        <v>817</v>
      </c>
      <c r="B664" t="s">
        <v>712</v>
      </c>
      <c r="C664" s="1"/>
      <c r="D664" s="1"/>
      <c r="E664" s="1"/>
      <c r="F664" s="1"/>
      <c r="G664" s="1"/>
      <c r="H664" s="1"/>
      <c r="I664" s="1"/>
      <c r="J664" s="1"/>
      <c r="L664">
        <v>711</v>
      </c>
      <c r="M664" t="s">
        <v>736</v>
      </c>
      <c r="N664">
        <v>81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25">
      <c r="A665" t="s">
        <v>115</v>
      </c>
      <c r="B665" t="s">
        <v>713</v>
      </c>
      <c r="C665" s="1">
        <v>390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/>
      <c r="L665" t="s">
        <v>815</v>
      </c>
      <c r="M665" t="s">
        <v>737</v>
      </c>
      <c r="N665">
        <v>665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 x14ac:dyDescent="0.25">
      <c r="A666" t="s">
        <v>146</v>
      </c>
      <c r="B666" t="s">
        <v>714</v>
      </c>
      <c r="C666" s="1">
        <v>933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/>
      <c r="L666" t="s">
        <v>815</v>
      </c>
      <c r="M666" t="s">
        <v>738</v>
      </c>
      <c r="N666">
        <v>200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x14ac:dyDescent="0.25">
      <c r="A667" t="s">
        <v>120</v>
      </c>
      <c r="B667" t="s">
        <v>715</v>
      </c>
      <c r="C667" s="1">
        <v>1803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/>
      <c r="L667">
        <v>600</v>
      </c>
      <c r="M667" t="s">
        <v>739</v>
      </c>
      <c r="N667" s="1">
        <v>1437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</row>
    <row r="668" spans="1:19" x14ac:dyDescent="0.25">
      <c r="A668" t="s">
        <v>146</v>
      </c>
      <c r="B668" t="s">
        <v>716</v>
      </c>
      <c r="C668" s="1">
        <v>618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/>
      <c r="L668" t="s">
        <v>815</v>
      </c>
      <c r="M668" t="s">
        <v>740</v>
      </c>
    </row>
    <row r="669" spans="1:19" x14ac:dyDescent="0.25">
      <c r="A669" t="s">
        <v>795</v>
      </c>
      <c r="B669" t="s">
        <v>717</v>
      </c>
      <c r="C669" s="1">
        <v>271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/>
      <c r="L669">
        <v>514</v>
      </c>
      <c r="M669" t="s">
        <v>741</v>
      </c>
      <c r="N669">
        <v>471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 x14ac:dyDescent="0.25">
      <c r="A670" t="s">
        <v>146</v>
      </c>
      <c r="B670" t="s">
        <v>718</v>
      </c>
      <c r="C670" s="1">
        <v>218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/>
      <c r="L670">
        <v>118</v>
      </c>
      <c r="M670" t="s">
        <v>742</v>
      </c>
      <c r="N670">
        <v>63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 x14ac:dyDescent="0.25">
      <c r="A671" t="s">
        <v>816</v>
      </c>
      <c r="B671" t="s">
        <v>719</v>
      </c>
      <c r="C671" s="1"/>
      <c r="D671" s="1"/>
      <c r="E671" s="1"/>
      <c r="F671" s="1"/>
      <c r="G671" s="1"/>
      <c r="H671" s="1"/>
      <c r="I671" s="1"/>
      <c r="J671" s="1"/>
      <c r="M671" t="s">
        <v>743</v>
      </c>
    </row>
    <row r="672" spans="1:19" x14ac:dyDescent="0.25">
      <c r="A672" t="s">
        <v>817</v>
      </c>
      <c r="B672" t="s">
        <v>720</v>
      </c>
      <c r="C672" s="1"/>
      <c r="D672" s="1"/>
      <c r="E672" s="1"/>
      <c r="F672" s="1"/>
      <c r="G672" s="1"/>
      <c r="H672" s="1"/>
      <c r="I672" s="1"/>
      <c r="J672" s="1"/>
      <c r="M672" t="s">
        <v>744</v>
      </c>
    </row>
    <row r="673" spans="1:19" x14ac:dyDescent="0.25">
      <c r="A673" t="s">
        <v>131</v>
      </c>
      <c r="B673" t="s">
        <v>721</v>
      </c>
      <c r="C673" s="1">
        <v>4919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/>
      <c r="L673">
        <v>111</v>
      </c>
      <c r="M673" t="s">
        <v>745</v>
      </c>
    </row>
    <row r="674" spans="1:19" x14ac:dyDescent="0.25">
      <c r="A674" t="s">
        <v>146</v>
      </c>
      <c r="B674" t="s">
        <v>722</v>
      </c>
      <c r="C674" s="1">
        <v>810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/>
      <c r="L674">
        <v>600</v>
      </c>
      <c r="M674" t="s">
        <v>746</v>
      </c>
      <c r="N674" s="1">
        <v>8321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</row>
    <row r="675" spans="1:19" x14ac:dyDescent="0.25">
      <c r="A675" t="s">
        <v>118</v>
      </c>
      <c r="B675" t="s">
        <v>723</v>
      </c>
      <c r="C675" s="1">
        <v>1180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/>
      <c r="L675">
        <v>711</v>
      </c>
      <c r="M675" t="s">
        <v>747</v>
      </c>
      <c r="N675">
        <v>771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 x14ac:dyDescent="0.25">
      <c r="A676" t="s">
        <v>131</v>
      </c>
      <c r="B676" t="s">
        <v>724</v>
      </c>
      <c r="C676" s="1">
        <v>16930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/>
      <c r="L676" t="s">
        <v>808</v>
      </c>
      <c r="M676" t="s">
        <v>748</v>
      </c>
      <c r="N676">
        <v>6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 x14ac:dyDescent="0.25">
      <c r="A677" t="s">
        <v>794</v>
      </c>
      <c r="B677" t="s">
        <v>725</v>
      </c>
      <c r="C677" s="1">
        <v>504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/>
      <c r="L677">
        <v>713</v>
      </c>
      <c r="M677" t="s">
        <v>749</v>
      </c>
      <c r="N677">
        <v>7696</v>
      </c>
      <c r="O677">
        <v>14</v>
      </c>
      <c r="P677">
        <v>0</v>
      </c>
      <c r="Q677">
        <v>0</v>
      </c>
      <c r="R677">
        <v>0</v>
      </c>
      <c r="S677">
        <v>0</v>
      </c>
    </row>
    <row r="678" spans="1:19" x14ac:dyDescent="0.25">
      <c r="A678" t="s">
        <v>131</v>
      </c>
      <c r="B678" t="s">
        <v>726</v>
      </c>
      <c r="C678" s="1">
        <v>4268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/>
      <c r="L678">
        <v>300</v>
      </c>
      <c r="M678" t="s">
        <v>750</v>
      </c>
      <c r="N678">
        <v>338</v>
      </c>
      <c r="O678">
        <v>7</v>
      </c>
      <c r="P678">
        <v>0</v>
      </c>
      <c r="Q678">
        <v>0</v>
      </c>
      <c r="R678">
        <v>0</v>
      </c>
      <c r="S678">
        <v>0</v>
      </c>
    </row>
    <row r="679" spans="1:19" x14ac:dyDescent="0.25">
      <c r="A679" t="s">
        <v>796</v>
      </c>
      <c r="B679" t="s">
        <v>727</v>
      </c>
      <c r="C679" s="1">
        <v>560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/>
      <c r="L679">
        <v>111</v>
      </c>
      <c r="M679" t="s">
        <v>751</v>
      </c>
      <c r="N679">
        <v>1158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25">
      <c r="A680" t="s">
        <v>134</v>
      </c>
      <c r="B680" t="s">
        <v>728</v>
      </c>
      <c r="C680" s="1">
        <v>578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/>
      <c r="L680">
        <v>110</v>
      </c>
      <c r="M680" t="s">
        <v>752</v>
      </c>
      <c r="N680">
        <v>19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 x14ac:dyDescent="0.25">
      <c r="A681" t="s">
        <v>138</v>
      </c>
      <c r="B681" t="s">
        <v>729</v>
      </c>
      <c r="C681" s="1">
        <v>84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/>
      <c r="L681">
        <v>710</v>
      </c>
      <c r="M681" t="s">
        <v>753</v>
      </c>
      <c r="N681">
        <v>6269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25">
      <c r="A682" t="s">
        <v>788</v>
      </c>
      <c r="B682" t="s">
        <v>730</v>
      </c>
      <c r="C682" s="1"/>
      <c r="D682" s="1"/>
      <c r="E682" s="1"/>
      <c r="F682" s="1"/>
      <c r="G682" s="1"/>
      <c r="H682" s="1"/>
      <c r="I682" s="1"/>
      <c r="J682" s="1"/>
      <c r="L682">
        <v>500</v>
      </c>
      <c r="M682" t="s">
        <v>754</v>
      </c>
    </row>
    <row r="683" spans="1:19" x14ac:dyDescent="0.25">
      <c r="A683" t="s">
        <v>150</v>
      </c>
      <c r="B683" t="s">
        <v>731</v>
      </c>
      <c r="C683" s="1"/>
      <c r="D683" s="1"/>
      <c r="E683" s="1"/>
      <c r="F683" s="1"/>
      <c r="G683" s="1"/>
      <c r="H683" s="1"/>
      <c r="I683" s="1"/>
      <c r="J683" s="1"/>
      <c r="L683">
        <v>616</v>
      </c>
      <c r="M683" t="s">
        <v>755</v>
      </c>
    </row>
    <row r="684" spans="1:19" x14ac:dyDescent="0.25">
      <c r="A684" t="s">
        <v>138</v>
      </c>
      <c r="B684" t="s">
        <v>732</v>
      </c>
      <c r="C684" s="1">
        <v>290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/>
      <c r="L684" t="s">
        <v>814</v>
      </c>
      <c r="M684" t="s">
        <v>756</v>
      </c>
      <c r="N684">
        <v>2653</v>
      </c>
      <c r="O684">
        <v>19</v>
      </c>
      <c r="P684">
        <v>0</v>
      </c>
      <c r="Q684">
        <v>0</v>
      </c>
      <c r="R684">
        <v>0</v>
      </c>
      <c r="S684">
        <v>0</v>
      </c>
    </row>
    <row r="685" spans="1:19" x14ac:dyDescent="0.25">
      <c r="A685" t="s">
        <v>809</v>
      </c>
      <c r="B685" t="s">
        <v>733</v>
      </c>
      <c r="C685" s="1">
        <v>840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/>
      <c r="L685">
        <v>311</v>
      </c>
      <c r="M685" t="s">
        <v>757</v>
      </c>
      <c r="N685">
        <v>6020</v>
      </c>
      <c r="O685">
        <v>32</v>
      </c>
      <c r="P685">
        <v>0</v>
      </c>
      <c r="Q685">
        <v>0</v>
      </c>
      <c r="R685">
        <v>0</v>
      </c>
      <c r="S685">
        <v>0</v>
      </c>
    </row>
    <row r="686" spans="1:19" x14ac:dyDescent="0.25">
      <c r="A686" t="s">
        <v>140</v>
      </c>
      <c r="B686" t="s">
        <v>734</v>
      </c>
      <c r="C686" s="1"/>
      <c r="D686" s="1"/>
      <c r="E686" s="1"/>
      <c r="F686" s="1"/>
      <c r="G686" s="1"/>
      <c r="H686" s="1"/>
      <c r="I686" s="1"/>
      <c r="J686" s="1"/>
      <c r="L686">
        <v>610</v>
      </c>
      <c r="M686" t="s">
        <v>758</v>
      </c>
      <c r="N686">
        <v>3295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 x14ac:dyDescent="0.25">
      <c r="A687" t="s">
        <v>817</v>
      </c>
      <c r="B687" t="s">
        <v>735</v>
      </c>
      <c r="C687" s="1"/>
      <c r="D687" s="1"/>
      <c r="E687" s="1"/>
      <c r="F687" s="1"/>
      <c r="G687" s="1"/>
      <c r="H687" s="1"/>
      <c r="I687" s="1"/>
      <c r="J687" s="1"/>
      <c r="L687">
        <v>611</v>
      </c>
      <c r="M687" t="s">
        <v>759</v>
      </c>
      <c r="N687">
        <v>14262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 x14ac:dyDescent="0.25">
      <c r="A688" t="s">
        <v>801</v>
      </c>
      <c r="B688" t="s">
        <v>736</v>
      </c>
      <c r="C688" s="1">
        <v>81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/>
      <c r="L688">
        <v>116</v>
      </c>
      <c r="M688" t="s">
        <v>760</v>
      </c>
      <c r="N688">
        <v>10535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 x14ac:dyDescent="0.25">
      <c r="A689" t="s">
        <v>138</v>
      </c>
      <c r="B689" t="s">
        <v>737</v>
      </c>
      <c r="C689" s="1">
        <v>665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/>
      <c r="L689">
        <v>600</v>
      </c>
      <c r="M689" t="s">
        <v>761</v>
      </c>
      <c r="N689">
        <v>75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 x14ac:dyDescent="0.25">
      <c r="A690" t="s">
        <v>138</v>
      </c>
      <c r="B690" t="s">
        <v>738</v>
      </c>
      <c r="C690" s="1">
        <v>200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/>
      <c r="L690">
        <v>713</v>
      </c>
      <c r="M690" t="s">
        <v>762</v>
      </c>
    </row>
    <row r="691" spans="1:19" x14ac:dyDescent="0.25">
      <c r="A691" t="s">
        <v>248</v>
      </c>
      <c r="B691" t="s">
        <v>739</v>
      </c>
      <c r="C691" s="1">
        <v>1437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/>
      <c r="L691" t="s">
        <v>815</v>
      </c>
      <c r="M691" t="s">
        <v>763</v>
      </c>
      <c r="N691">
        <v>4878</v>
      </c>
      <c r="O691">
        <v>22</v>
      </c>
      <c r="P691">
        <v>0</v>
      </c>
      <c r="Q691">
        <v>0</v>
      </c>
      <c r="R691">
        <v>0</v>
      </c>
      <c r="S691">
        <v>0</v>
      </c>
    </row>
    <row r="692" spans="1:19" x14ac:dyDescent="0.25">
      <c r="A692" t="s">
        <v>138</v>
      </c>
      <c r="B692" t="s">
        <v>740</v>
      </c>
      <c r="C692" s="1"/>
      <c r="D692" s="1"/>
      <c r="E692" s="1"/>
      <c r="F692" s="1"/>
      <c r="G692" s="1"/>
      <c r="H692" s="1"/>
      <c r="I692" s="1"/>
      <c r="J692" s="1"/>
      <c r="L692" t="s">
        <v>820</v>
      </c>
      <c r="M692" t="s">
        <v>764</v>
      </c>
      <c r="N692">
        <v>1097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25">
      <c r="A693" t="s">
        <v>134</v>
      </c>
      <c r="B693" t="s">
        <v>741</v>
      </c>
      <c r="C693" s="1">
        <v>471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/>
      <c r="L693">
        <v>113</v>
      </c>
      <c r="M693" t="s">
        <v>765</v>
      </c>
    </row>
    <row r="694" spans="1:19" x14ac:dyDescent="0.25">
      <c r="A694" t="s">
        <v>188</v>
      </c>
      <c r="B694" t="s">
        <v>742</v>
      </c>
      <c r="C694" s="17">
        <v>63</v>
      </c>
      <c r="D694" s="17">
        <v>0</v>
      </c>
      <c r="E694" s="17">
        <v>0</v>
      </c>
      <c r="F694" s="17">
        <v>0</v>
      </c>
      <c r="G694" s="17">
        <v>0</v>
      </c>
      <c r="H694" s="17">
        <v>0</v>
      </c>
      <c r="I694" s="1">
        <v>0</v>
      </c>
      <c r="J694" s="1"/>
      <c r="L694">
        <v>700</v>
      </c>
      <c r="M694" t="s">
        <v>766</v>
      </c>
    </row>
    <row r="695" spans="1:19" x14ac:dyDescent="0.25">
      <c r="A695" s="9" t="s">
        <v>83</v>
      </c>
      <c r="B695" s="10" t="s">
        <v>743</v>
      </c>
      <c r="C695" s="17"/>
      <c r="D695" s="17"/>
      <c r="E695" s="17"/>
      <c r="F695" s="17"/>
      <c r="G695" s="17"/>
      <c r="H695" s="17"/>
      <c r="I695" s="1"/>
      <c r="J695" s="1"/>
      <c r="L695">
        <v>211</v>
      </c>
      <c r="M695" s="10" t="s">
        <v>767</v>
      </c>
      <c r="N695">
        <v>1813</v>
      </c>
      <c r="O695">
        <v>8</v>
      </c>
      <c r="P695">
        <v>0</v>
      </c>
      <c r="Q695">
        <v>0</v>
      </c>
      <c r="R695">
        <v>0</v>
      </c>
      <c r="S695">
        <v>0</v>
      </c>
    </row>
    <row r="696" spans="1:19" x14ac:dyDescent="0.25">
      <c r="A696" s="9" t="s">
        <v>826</v>
      </c>
      <c r="B696" s="10" t="s">
        <v>744</v>
      </c>
      <c r="C696" s="17"/>
      <c r="D696" s="17"/>
      <c r="E696" s="17"/>
      <c r="F696" s="17"/>
      <c r="G696" s="17"/>
      <c r="H696" s="17"/>
      <c r="I696" s="1"/>
      <c r="J696" s="1"/>
      <c r="L696">
        <v>712</v>
      </c>
      <c r="M696" t="s">
        <v>768</v>
      </c>
      <c r="N696">
        <v>6054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 x14ac:dyDescent="0.25">
      <c r="A697" s="9" t="s">
        <v>811</v>
      </c>
      <c r="B697" s="10" t="s">
        <v>745</v>
      </c>
      <c r="C697" s="17"/>
      <c r="D697" s="17"/>
      <c r="E697" s="17"/>
      <c r="F697" s="17"/>
      <c r="G697" s="17"/>
      <c r="H697" s="17"/>
      <c r="I697" s="1"/>
      <c r="J697" s="1"/>
      <c r="L697">
        <v>511</v>
      </c>
      <c r="M697" t="s">
        <v>769</v>
      </c>
      <c r="N697">
        <v>3337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 x14ac:dyDescent="0.25">
      <c r="A698" s="9" t="s">
        <v>248</v>
      </c>
      <c r="B698" t="s">
        <v>746</v>
      </c>
      <c r="C698" s="1">
        <v>8321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/>
      <c r="L698">
        <v>114</v>
      </c>
      <c r="M698" t="s">
        <v>770</v>
      </c>
      <c r="N698">
        <v>20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 x14ac:dyDescent="0.25">
      <c r="A699" s="9" t="s">
        <v>801</v>
      </c>
      <c r="B699" t="s">
        <v>747</v>
      </c>
      <c r="C699" s="1">
        <f>770+1</f>
        <v>771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/>
      <c r="M699" t="s">
        <v>771</v>
      </c>
    </row>
    <row r="700" spans="1:19" x14ac:dyDescent="0.25">
      <c r="A700" t="s">
        <v>809</v>
      </c>
      <c r="B700" t="s">
        <v>748</v>
      </c>
      <c r="C700" s="1">
        <v>6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/>
      <c r="L700">
        <v>161</v>
      </c>
      <c r="M700" t="s">
        <v>772</v>
      </c>
      <c r="N700">
        <v>720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25">
      <c r="A701" t="s">
        <v>796</v>
      </c>
      <c r="B701" t="s">
        <v>749</v>
      </c>
      <c r="C701" s="1">
        <f>7520+12+164</f>
        <v>7696</v>
      </c>
      <c r="D701" s="1">
        <v>2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 t="s">
        <v>819</v>
      </c>
      <c r="L701">
        <v>713</v>
      </c>
      <c r="M701" t="s">
        <v>773</v>
      </c>
    </row>
    <row r="702" spans="1:19" x14ac:dyDescent="0.25">
      <c r="A702" t="s">
        <v>226</v>
      </c>
      <c r="B702" t="s">
        <v>750</v>
      </c>
      <c r="C702" s="1">
        <f>333+5</f>
        <v>338</v>
      </c>
      <c r="D702" s="1">
        <v>7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/>
      <c r="L702">
        <v>120</v>
      </c>
      <c r="M702" t="s">
        <v>774</v>
      </c>
    </row>
    <row r="703" spans="1:19" x14ac:dyDescent="0.25">
      <c r="A703" t="s">
        <v>811</v>
      </c>
      <c r="B703" t="s">
        <v>751</v>
      </c>
      <c r="C703" s="1">
        <v>1158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/>
      <c r="M703" t="s">
        <v>775</v>
      </c>
    </row>
    <row r="704" spans="1:19" x14ac:dyDescent="0.25">
      <c r="A704" t="s">
        <v>797</v>
      </c>
      <c r="B704" t="s">
        <v>752</v>
      </c>
      <c r="C704" s="1">
        <v>19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/>
      <c r="M704" t="s">
        <v>776</v>
      </c>
    </row>
    <row r="705" spans="1:13" x14ac:dyDescent="0.25">
      <c r="A705" t="s">
        <v>69</v>
      </c>
      <c r="B705" t="s">
        <v>753</v>
      </c>
      <c r="C705" s="1">
        <v>6269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/>
      <c r="M705" t="s">
        <v>777</v>
      </c>
    </row>
    <row r="706" spans="1:13" x14ac:dyDescent="0.25">
      <c r="A706" t="s">
        <v>824</v>
      </c>
      <c r="B706" t="s">
        <v>754</v>
      </c>
      <c r="C706" s="1"/>
      <c r="D706" s="1"/>
      <c r="E706" s="1"/>
      <c r="F706" s="1"/>
      <c r="G706" s="1"/>
      <c r="H706" s="1"/>
      <c r="I706" s="1"/>
      <c r="J706" s="1"/>
      <c r="L706" t="s">
        <v>805</v>
      </c>
      <c r="M706" t="s">
        <v>389</v>
      </c>
    </row>
    <row r="707" spans="1:13" x14ac:dyDescent="0.25">
      <c r="A707" t="s">
        <v>817</v>
      </c>
      <c r="B707" t="s">
        <v>755</v>
      </c>
      <c r="C707" s="1"/>
      <c r="D707" s="1"/>
      <c r="E707" s="1"/>
      <c r="F707" s="1"/>
      <c r="G707" s="1"/>
      <c r="H707" s="1"/>
      <c r="I707" s="1"/>
      <c r="J707" s="1"/>
    </row>
    <row r="708" spans="1:13" x14ac:dyDescent="0.25">
      <c r="A708" t="s">
        <v>794</v>
      </c>
      <c r="B708" t="s">
        <v>756</v>
      </c>
      <c r="C708" s="1">
        <f>2626+23+4</f>
        <v>2653</v>
      </c>
      <c r="D708" s="1">
        <v>19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/>
    </row>
    <row r="709" spans="1:13" x14ac:dyDescent="0.25">
      <c r="A709" t="s">
        <v>120</v>
      </c>
      <c r="B709" t="s">
        <v>757</v>
      </c>
      <c r="C709" s="1">
        <v>6020</v>
      </c>
      <c r="D709" s="1">
        <v>32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/>
    </row>
    <row r="710" spans="1:13" x14ac:dyDescent="0.25">
      <c r="A710" t="s">
        <v>788</v>
      </c>
      <c r="B710" t="s">
        <v>758</v>
      </c>
      <c r="C710" s="1">
        <f>2184+1111</f>
        <v>3295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/>
    </row>
    <row r="711" spans="1:13" x14ac:dyDescent="0.25">
      <c r="A711" t="s">
        <v>146</v>
      </c>
      <c r="B711" t="s">
        <v>759</v>
      </c>
      <c r="C711" s="1">
        <v>14262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/>
    </row>
    <row r="712" spans="1:13" x14ac:dyDescent="0.25">
      <c r="A712" t="s">
        <v>795</v>
      </c>
      <c r="B712" t="s">
        <v>760</v>
      </c>
      <c r="C712" s="1">
        <v>10535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/>
    </row>
    <row r="713" spans="1:13" x14ac:dyDescent="0.25">
      <c r="A713" t="s">
        <v>248</v>
      </c>
      <c r="B713" t="s">
        <v>761</v>
      </c>
      <c r="C713" s="1">
        <v>75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/>
    </row>
    <row r="714" spans="1:13" x14ac:dyDescent="0.25">
      <c r="A714" t="s">
        <v>796</v>
      </c>
      <c r="B714" t="s">
        <v>762</v>
      </c>
      <c r="C714" s="1"/>
      <c r="D714" s="1"/>
      <c r="E714" s="1"/>
      <c r="F714" s="1"/>
      <c r="G714" s="1"/>
      <c r="H714" s="1"/>
      <c r="I714" s="1"/>
      <c r="J714" s="1"/>
    </row>
    <row r="715" spans="1:13" x14ac:dyDescent="0.25">
      <c r="A715" t="s">
        <v>138</v>
      </c>
      <c r="B715" t="s">
        <v>763</v>
      </c>
      <c r="C715" s="1">
        <f>4870+4+4</f>
        <v>4878</v>
      </c>
      <c r="D715" s="1">
        <f>2+20</f>
        <v>22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/>
    </row>
    <row r="716" spans="1:13" x14ac:dyDescent="0.25">
      <c r="A716" t="s">
        <v>265</v>
      </c>
      <c r="B716" t="s">
        <v>764</v>
      </c>
      <c r="C716" s="1">
        <v>1097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/>
    </row>
    <row r="717" spans="1:13" x14ac:dyDescent="0.25">
      <c r="A717" t="s">
        <v>823</v>
      </c>
      <c r="B717" t="s">
        <v>765</v>
      </c>
      <c r="C717" s="1"/>
      <c r="D717" s="1"/>
      <c r="E717" s="1"/>
      <c r="F717" s="1"/>
      <c r="G717" s="1"/>
      <c r="H717" s="1"/>
      <c r="I717" s="1"/>
      <c r="J717" s="1"/>
    </row>
    <row r="718" spans="1:13" x14ac:dyDescent="0.25">
      <c r="A718" t="s">
        <v>83</v>
      </c>
      <c r="B718" t="s">
        <v>766</v>
      </c>
      <c r="C718" s="1"/>
      <c r="D718" s="1"/>
      <c r="E718" s="1"/>
      <c r="F718" s="1"/>
      <c r="G718" s="1"/>
      <c r="H718" s="1"/>
      <c r="I718" s="1"/>
      <c r="J718" s="1"/>
    </row>
    <row r="719" spans="1:13" x14ac:dyDescent="0.25">
      <c r="A719" t="s">
        <v>131</v>
      </c>
      <c r="B719" t="s">
        <v>767</v>
      </c>
      <c r="C719" s="1">
        <v>1813</v>
      </c>
      <c r="D719" s="1">
        <v>8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/>
    </row>
    <row r="720" spans="1:13" x14ac:dyDescent="0.25">
      <c r="A720" t="s">
        <v>76</v>
      </c>
      <c r="B720" t="s">
        <v>768</v>
      </c>
      <c r="C720" s="1">
        <f>6051+3</f>
        <v>6054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/>
    </row>
    <row r="721" spans="1:10" x14ac:dyDescent="0.25">
      <c r="A721" s="53" t="s">
        <v>101</v>
      </c>
      <c r="B721" s="55" t="s">
        <v>769</v>
      </c>
      <c r="C721" s="1">
        <v>3337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/>
    </row>
    <row r="722" spans="1:10" x14ac:dyDescent="0.25">
      <c r="A722" s="53" t="s">
        <v>150</v>
      </c>
      <c r="B722" s="55" t="s">
        <v>770</v>
      </c>
      <c r="C722" s="1">
        <v>20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/>
    </row>
    <row r="723" spans="1:10" x14ac:dyDescent="0.25">
      <c r="A723" s="53" t="s">
        <v>512</v>
      </c>
      <c r="B723" s="55" t="s">
        <v>771</v>
      </c>
      <c r="C723" s="1"/>
      <c r="D723" s="1"/>
      <c r="E723" s="1"/>
      <c r="F723" s="1"/>
      <c r="G723" s="1"/>
      <c r="H723" s="1"/>
      <c r="I723" s="1"/>
      <c r="J723" s="1"/>
    </row>
    <row r="724" spans="1:10" x14ac:dyDescent="0.25">
      <c r="A724" s="53" t="s">
        <v>792</v>
      </c>
      <c r="B724" s="55" t="s">
        <v>772</v>
      </c>
      <c r="C724" s="1">
        <v>720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/>
    </row>
    <row r="725" spans="1:10" x14ac:dyDescent="0.25">
      <c r="A725" s="53" t="s">
        <v>796</v>
      </c>
      <c r="B725" s="55" t="s">
        <v>773</v>
      </c>
      <c r="C725" s="1"/>
      <c r="D725" s="1"/>
      <c r="E725" s="1"/>
      <c r="F725" s="1"/>
      <c r="G725" s="1"/>
      <c r="H725" s="1"/>
      <c r="I725" s="1"/>
      <c r="J725" s="1"/>
    </row>
    <row r="726" spans="1:10" x14ac:dyDescent="0.25">
      <c r="A726" s="53" t="s">
        <v>802</v>
      </c>
      <c r="B726" s="55" t="s">
        <v>774</v>
      </c>
      <c r="J726" s="1"/>
    </row>
    <row r="727" spans="1:10" x14ac:dyDescent="0.25">
      <c r="A727" s="53" t="s">
        <v>805</v>
      </c>
      <c r="B727" s="55" t="s">
        <v>775</v>
      </c>
      <c r="J727" s="1"/>
    </row>
    <row r="728" spans="1:10" x14ac:dyDescent="0.25">
      <c r="A728" s="53" t="s">
        <v>805</v>
      </c>
      <c r="B728" s="55" t="s">
        <v>776</v>
      </c>
      <c r="J728" s="1"/>
    </row>
    <row r="729" spans="1:10" x14ac:dyDescent="0.25">
      <c r="A729" s="54" t="s">
        <v>805</v>
      </c>
      <c r="B729" s="56" t="s">
        <v>777</v>
      </c>
      <c r="J729" s="1"/>
    </row>
  </sheetData>
  <conditionalFormatting sqref="A707:B707">
    <cfRule type="expression" dxfId="131" priority="8">
      <formula>A707&lt;&gt;L707</formula>
    </cfRule>
  </conditionalFormatting>
  <conditionalFormatting sqref="A709:B709">
    <cfRule type="expression" dxfId="130" priority="7">
      <formula>A709&lt;&gt;N709</formula>
    </cfRule>
  </conditionalFormatting>
  <conditionalFormatting sqref="A706:H706">
    <cfRule type="expression" dxfId="129" priority="406">
      <formula>A706&lt;&gt;#REF!</formula>
    </cfRule>
  </conditionalFormatting>
  <conditionalFormatting sqref="A2:J705 I706:J706">
    <cfRule type="expression" dxfId="128" priority="13">
      <formula>A2&lt;&gt;L2</formula>
    </cfRule>
  </conditionalFormatting>
  <conditionalFormatting sqref="B709">
    <cfRule type="expression" dxfId="127" priority="6">
      <formula>B709&lt;&gt;#REF!</formula>
    </cfRule>
  </conditionalFormatting>
  <conditionalFormatting sqref="B721:B729">
    <cfRule type="expression" dxfId="126" priority="1">
      <formula>B721&lt;&gt;M721</formula>
    </cfRule>
  </conditionalFormatting>
  <conditionalFormatting sqref="B710:C710">
    <cfRule type="expression" dxfId="125" priority="4">
      <formula>B710&lt;&gt;#REF!</formula>
    </cfRule>
  </conditionalFormatting>
  <conditionalFormatting sqref="B712:C712">
    <cfRule type="expression" dxfId="124" priority="3">
      <formula>B712&lt;&gt;#REF!</formula>
    </cfRule>
  </conditionalFormatting>
  <conditionalFormatting sqref="L706:M706">
    <cfRule type="expression" dxfId="123" priority="9">
      <formula>L706&lt;&gt;W707</formula>
    </cfRule>
  </conditionalFormatting>
  <conditionalFormatting sqref="L2:S705 N706:S706">
    <cfRule type="expression" dxfId="122" priority="12">
      <formula>L2&lt;&gt;A2</formula>
    </cfRule>
  </conditionalFormatting>
  <pageMargins left="0.7" right="0.7" top="0.75" bottom="0.75" header="0.3" footer="0.3"/>
  <pageSetup paperSize="9" orientation="portrait"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2C4E6551-BF1D-4745-93CC-8C117741247B}">
            <xm:f>A721&lt;&gt;'202212 DICIEMBRE'!#REF!</xm:f>
            <x14:dxf>
              <fill>
                <patternFill>
                  <bgColor theme="7" tint="0.39994506668294322"/>
                </patternFill>
              </fill>
            </x14:dxf>
          </x14:cfRule>
          <xm:sqref>A721:B729</xm:sqref>
        </x14:conditionalFormatting>
        <x14:conditionalFormatting xmlns:xm="http://schemas.microsoft.com/office/excel/2006/main">
          <x14:cfRule type="expression" priority="5" id="{4BBF89EF-FA86-4DC0-A38B-1D8E16A066A6}">
            <xm:f>A710&lt;&gt;'202210 OCTUBRE'!#REF!</xm:f>
            <x14:dxf>
              <fill>
                <patternFill>
                  <bgColor theme="7" tint="0.39994506668294322"/>
                </patternFill>
              </fill>
            </x14:dxf>
          </x14:cfRule>
          <xm:sqref>A710:I720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F01BE-4A79-4BAB-980C-F73FB7C14B02}">
  <sheetPr>
    <tabColor rgb="FF92D050"/>
  </sheetPr>
  <dimension ref="A1:S729"/>
  <sheetViews>
    <sheetView topLeftCell="A709" workbookViewId="0">
      <selection activeCell="A725" sqref="A725"/>
    </sheetView>
  </sheetViews>
  <sheetFormatPr baseColWidth="10" defaultColWidth="11.42578125" defaultRowHeight="15" x14ac:dyDescent="0.25"/>
  <cols>
    <col min="1" max="1" width="11.85546875" bestFit="1" customWidth="1"/>
    <col min="2" max="2" width="14.42578125" bestFit="1" customWidth="1"/>
    <col min="3" max="3" width="12.5703125" bestFit="1" customWidth="1"/>
    <col min="4" max="4" width="12.7109375" bestFit="1" customWidth="1"/>
    <col min="5" max="5" width="9" bestFit="1" customWidth="1"/>
    <col min="6" max="6" width="16.140625" bestFit="1" customWidth="1"/>
    <col min="7" max="7" width="16.42578125" bestFit="1" customWidth="1"/>
    <col min="8" max="9" width="10.28515625" bestFit="1" customWidth="1"/>
    <col min="10" max="10" width="46.42578125" bestFit="1" customWidth="1"/>
    <col min="12" max="12" width="12.7109375" bestFit="1" customWidth="1"/>
    <col min="13" max="13" width="14.28515625" bestFit="1" customWidth="1"/>
    <col min="14" max="14" width="12.5703125" bestFit="1" customWidth="1"/>
    <col min="15" max="15" width="12.7109375" bestFit="1" customWidth="1"/>
    <col min="16" max="16" width="9" bestFit="1" customWidth="1"/>
    <col min="17" max="17" width="16.140625" bestFit="1" customWidth="1"/>
    <col min="18" max="18" width="16.42578125" bestFit="1" customWidth="1"/>
    <col min="19" max="19" width="10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20" t="s">
        <v>0</v>
      </c>
      <c r="M1" s="20" t="s">
        <v>1</v>
      </c>
      <c r="N1" s="20" t="s">
        <v>2</v>
      </c>
      <c r="O1" s="20" t="s">
        <v>3</v>
      </c>
      <c r="P1" s="20" t="s">
        <v>4</v>
      </c>
      <c r="Q1" s="20" t="s">
        <v>5</v>
      </c>
      <c r="R1" s="20" t="s">
        <v>6</v>
      </c>
      <c r="S1" s="20" t="s">
        <v>7</v>
      </c>
    </row>
    <row r="2" spans="1:19" x14ac:dyDescent="0.25">
      <c r="A2" t="s">
        <v>76</v>
      </c>
      <c r="B2" t="s">
        <v>11</v>
      </c>
      <c r="C2" s="1"/>
      <c r="D2" s="1"/>
      <c r="E2" s="1"/>
      <c r="F2" s="1"/>
      <c r="G2" s="1"/>
      <c r="H2" s="1"/>
      <c r="I2" s="1"/>
      <c r="J2" s="1"/>
      <c r="L2" s="10">
        <v>712</v>
      </c>
      <c r="M2" s="10" t="s">
        <v>11</v>
      </c>
      <c r="N2" s="10"/>
      <c r="O2" s="10"/>
      <c r="P2" s="10"/>
      <c r="Q2" s="10"/>
      <c r="R2" s="10"/>
      <c r="S2" s="19"/>
    </row>
    <row r="3" spans="1:19" x14ac:dyDescent="0.25">
      <c r="A3" t="s">
        <v>796</v>
      </c>
      <c r="B3" t="s">
        <v>12</v>
      </c>
      <c r="C3" s="1"/>
      <c r="D3" s="1"/>
      <c r="E3" s="1"/>
      <c r="F3" s="1"/>
      <c r="G3" s="1"/>
      <c r="H3" s="1"/>
      <c r="I3" s="1"/>
      <c r="J3" s="1"/>
      <c r="L3" s="10">
        <v>713</v>
      </c>
      <c r="M3" s="10" t="s">
        <v>12</v>
      </c>
      <c r="N3" s="10"/>
      <c r="O3" s="10"/>
      <c r="P3" s="10"/>
      <c r="Q3" s="10"/>
      <c r="R3" s="10"/>
      <c r="S3" s="19"/>
    </row>
    <row r="4" spans="1:19" x14ac:dyDescent="0.25">
      <c r="A4" t="s">
        <v>76</v>
      </c>
      <c r="B4" t="s">
        <v>13</v>
      </c>
      <c r="C4" s="1"/>
      <c r="D4" s="1"/>
      <c r="E4" s="1"/>
      <c r="F4" s="1"/>
      <c r="G4" s="1"/>
      <c r="H4" s="1"/>
      <c r="I4" s="1"/>
      <c r="J4" s="1"/>
      <c r="L4" s="12"/>
      <c r="M4" t="s">
        <v>13</v>
      </c>
      <c r="N4" s="12"/>
      <c r="O4" s="12"/>
      <c r="P4" s="12"/>
      <c r="Q4" s="12"/>
      <c r="R4" s="12"/>
      <c r="S4" s="18"/>
    </row>
    <row r="5" spans="1:19" x14ac:dyDescent="0.25">
      <c r="A5" t="s">
        <v>801</v>
      </c>
      <c r="B5" t="s">
        <v>14</v>
      </c>
      <c r="C5" s="1"/>
      <c r="D5" s="1"/>
      <c r="E5" s="1"/>
      <c r="F5" s="1"/>
      <c r="G5" s="1"/>
      <c r="H5" s="1"/>
      <c r="I5" s="1"/>
      <c r="J5" s="1"/>
      <c r="L5" s="10">
        <v>711</v>
      </c>
      <c r="M5" s="10" t="s">
        <v>14</v>
      </c>
      <c r="N5" s="10"/>
      <c r="O5" s="10"/>
      <c r="P5" s="10"/>
      <c r="Q5" s="10"/>
      <c r="R5" s="10"/>
      <c r="S5" s="19"/>
    </row>
    <row r="6" spans="1:19" x14ac:dyDescent="0.25">
      <c r="A6" t="s">
        <v>802</v>
      </c>
      <c r="B6" t="s">
        <v>15</v>
      </c>
      <c r="C6" s="1"/>
      <c r="D6" s="1"/>
      <c r="E6" s="1"/>
      <c r="F6" s="1"/>
      <c r="G6" s="1"/>
      <c r="H6" s="1"/>
      <c r="I6" s="1"/>
      <c r="J6" s="1"/>
      <c r="L6" s="12">
        <v>120</v>
      </c>
      <c r="M6" s="12" t="s">
        <v>15</v>
      </c>
      <c r="N6" s="12"/>
      <c r="O6" s="12"/>
      <c r="P6" s="12"/>
      <c r="Q6" s="12"/>
      <c r="R6" s="12"/>
      <c r="S6" s="18"/>
    </row>
    <row r="7" spans="1:19" x14ac:dyDescent="0.25">
      <c r="A7" t="s">
        <v>796</v>
      </c>
      <c r="B7" t="s">
        <v>16</v>
      </c>
      <c r="C7" s="1"/>
      <c r="D7" s="1"/>
      <c r="E7" s="1"/>
      <c r="F7" s="1"/>
      <c r="G7" s="1"/>
      <c r="H7" s="1"/>
      <c r="I7" s="1"/>
      <c r="J7" s="1"/>
      <c r="L7" s="10">
        <v>713</v>
      </c>
      <c r="M7" t="s">
        <v>16</v>
      </c>
      <c r="N7" s="10"/>
      <c r="O7" s="10"/>
      <c r="P7" s="10"/>
      <c r="Q7" s="10"/>
      <c r="R7" s="10"/>
      <c r="S7" s="19"/>
    </row>
    <row r="8" spans="1:19" x14ac:dyDescent="0.25">
      <c r="A8" t="s">
        <v>83</v>
      </c>
      <c r="B8" t="s">
        <v>17</v>
      </c>
      <c r="C8" s="1"/>
      <c r="D8" s="1"/>
      <c r="E8" s="1"/>
      <c r="F8" s="1"/>
      <c r="G8" s="1"/>
      <c r="H8" s="1"/>
      <c r="I8" s="1"/>
      <c r="J8" s="1"/>
      <c r="L8" s="12"/>
      <c r="M8" t="s">
        <v>17</v>
      </c>
      <c r="N8" s="12"/>
      <c r="O8" s="12"/>
      <c r="P8" s="12"/>
      <c r="Q8" s="12"/>
      <c r="R8" s="12"/>
      <c r="S8" s="18"/>
    </row>
    <row r="9" spans="1:19" x14ac:dyDescent="0.25">
      <c r="A9" t="s">
        <v>803</v>
      </c>
      <c r="B9" s="1" t="s">
        <v>18</v>
      </c>
      <c r="C9" s="1"/>
      <c r="D9" s="1"/>
      <c r="E9" s="1"/>
      <c r="F9" s="1"/>
      <c r="G9" s="1"/>
      <c r="H9" s="1"/>
      <c r="I9" s="1"/>
      <c r="J9" s="1"/>
      <c r="L9" s="12"/>
      <c r="M9" t="s">
        <v>19</v>
      </c>
      <c r="N9" s="12"/>
      <c r="O9" s="12"/>
      <c r="P9" s="12"/>
      <c r="Q9" s="12"/>
      <c r="R9" s="12"/>
      <c r="S9" s="18"/>
    </row>
    <row r="10" spans="1:19" x14ac:dyDescent="0.25">
      <c r="A10" t="s">
        <v>76</v>
      </c>
      <c r="B10" t="s">
        <v>19</v>
      </c>
      <c r="C10" s="1"/>
      <c r="D10" s="1"/>
      <c r="E10" s="1"/>
      <c r="F10" s="1"/>
      <c r="G10" s="1"/>
      <c r="H10" s="1"/>
      <c r="I10" s="1"/>
      <c r="J10" s="1"/>
      <c r="L10" s="12"/>
      <c r="M10" t="s">
        <v>20</v>
      </c>
      <c r="N10" s="12"/>
      <c r="O10" s="12"/>
      <c r="P10" s="12"/>
      <c r="Q10" s="12"/>
      <c r="R10" s="12"/>
      <c r="S10" s="18"/>
    </row>
    <row r="11" spans="1:19" x14ac:dyDescent="0.25">
      <c r="A11" t="s">
        <v>83</v>
      </c>
      <c r="B11" t="s">
        <v>20</v>
      </c>
      <c r="C11" s="1"/>
      <c r="D11" s="1"/>
      <c r="E11" s="1"/>
      <c r="F11" s="1"/>
      <c r="G11" s="1"/>
      <c r="H11" s="1"/>
      <c r="I11" s="1"/>
      <c r="J11" s="1"/>
      <c r="L11" s="12"/>
      <c r="M11" t="s">
        <v>21</v>
      </c>
      <c r="N11" s="12"/>
      <c r="O11" s="12"/>
      <c r="P11" s="12"/>
      <c r="Q11" s="12"/>
      <c r="R11" s="12"/>
      <c r="S11" s="18"/>
    </row>
    <row r="12" spans="1:19" x14ac:dyDescent="0.25">
      <c r="A12" t="s">
        <v>248</v>
      </c>
      <c r="B12" t="s">
        <v>21</v>
      </c>
      <c r="C12" s="1"/>
      <c r="D12" s="1"/>
      <c r="E12" s="1"/>
      <c r="F12" s="1"/>
      <c r="G12" s="1"/>
      <c r="H12" s="1"/>
      <c r="I12" s="1"/>
      <c r="J12" s="1"/>
      <c r="L12" s="12"/>
      <c r="M12" t="s">
        <v>22</v>
      </c>
      <c r="N12" s="12"/>
      <c r="O12" s="12"/>
      <c r="P12" s="12"/>
      <c r="Q12" s="12"/>
      <c r="R12" s="12"/>
      <c r="S12" s="18"/>
    </row>
    <row r="13" spans="1:19" x14ac:dyDescent="0.25">
      <c r="A13" t="s">
        <v>83</v>
      </c>
      <c r="B13" t="s">
        <v>22</v>
      </c>
      <c r="C13" s="1"/>
      <c r="D13" s="1"/>
      <c r="E13" s="1"/>
      <c r="F13" s="1"/>
      <c r="G13" s="1"/>
      <c r="H13" s="1"/>
      <c r="I13" s="1"/>
      <c r="J13" s="1"/>
      <c r="L13" s="12"/>
      <c r="M13" t="s">
        <v>23</v>
      </c>
      <c r="N13" s="12"/>
      <c r="O13" s="12"/>
      <c r="P13" s="12"/>
      <c r="Q13" s="12"/>
      <c r="R13" s="12"/>
      <c r="S13" s="18"/>
    </row>
    <row r="14" spans="1:19" x14ac:dyDescent="0.25">
      <c r="A14" t="s">
        <v>801</v>
      </c>
      <c r="B14" t="s">
        <v>23</v>
      </c>
      <c r="C14" s="1"/>
      <c r="D14" s="1"/>
      <c r="E14" s="1"/>
      <c r="F14" s="1"/>
      <c r="G14" s="1"/>
      <c r="H14" s="1"/>
      <c r="I14" s="1"/>
      <c r="J14" s="1"/>
      <c r="L14" s="12">
        <v>713</v>
      </c>
      <c r="M14" s="12" t="s">
        <v>24</v>
      </c>
      <c r="N14" s="12"/>
      <c r="O14" s="12"/>
      <c r="P14" s="12"/>
      <c r="Q14" s="12"/>
      <c r="R14" s="12"/>
      <c r="S14" s="18"/>
    </row>
    <row r="15" spans="1:19" x14ac:dyDescent="0.25">
      <c r="A15" t="s">
        <v>796</v>
      </c>
      <c r="B15" t="s">
        <v>24</v>
      </c>
      <c r="C15" s="1"/>
      <c r="D15" s="1"/>
      <c r="E15" s="1"/>
      <c r="F15" s="1"/>
      <c r="G15" s="1"/>
      <c r="H15" s="1"/>
      <c r="I15" s="1"/>
      <c r="J15" s="1"/>
      <c r="L15" s="12"/>
      <c r="M15" t="s">
        <v>25</v>
      </c>
      <c r="N15" s="12"/>
      <c r="O15" s="12"/>
      <c r="P15" s="12"/>
      <c r="Q15" s="12"/>
      <c r="R15" s="12"/>
      <c r="S15" s="18"/>
    </row>
    <row r="16" spans="1:19" x14ac:dyDescent="0.25">
      <c r="A16" t="s">
        <v>804</v>
      </c>
      <c r="B16" t="s">
        <v>25</v>
      </c>
      <c r="C16" s="1"/>
      <c r="D16" s="1"/>
      <c r="E16" s="1"/>
      <c r="F16" s="1"/>
      <c r="G16" s="1"/>
      <c r="H16" s="1"/>
      <c r="I16" s="1"/>
      <c r="J16" s="1"/>
      <c r="L16" s="12"/>
      <c r="M16" t="s">
        <v>26</v>
      </c>
      <c r="N16" s="12"/>
      <c r="O16" s="12"/>
      <c r="P16" s="12"/>
      <c r="Q16" s="12"/>
      <c r="R16" s="12"/>
      <c r="S16" s="18"/>
    </row>
    <row r="17" spans="1:19" x14ac:dyDescent="0.25">
      <c r="A17" t="s">
        <v>248</v>
      </c>
      <c r="B17" t="s">
        <v>26</v>
      </c>
      <c r="C17" s="1"/>
      <c r="D17" s="1"/>
      <c r="E17" s="1"/>
      <c r="F17" s="1"/>
      <c r="G17" s="1"/>
      <c r="H17" s="1"/>
      <c r="I17" s="1"/>
      <c r="J17" s="1"/>
      <c r="L17" s="12"/>
      <c r="M17" t="s">
        <v>27</v>
      </c>
      <c r="N17" s="12"/>
      <c r="O17" s="12"/>
      <c r="P17" s="12"/>
      <c r="Q17" s="12"/>
      <c r="R17" s="12"/>
      <c r="S17" s="18"/>
    </row>
    <row r="18" spans="1:19" x14ac:dyDescent="0.25">
      <c r="A18" t="s">
        <v>805</v>
      </c>
      <c r="B18" t="s">
        <v>27</v>
      </c>
      <c r="C18" s="1"/>
      <c r="D18" s="1"/>
      <c r="E18" s="1"/>
      <c r="F18" s="1"/>
      <c r="G18" s="1"/>
      <c r="H18" s="1"/>
      <c r="I18" s="1"/>
      <c r="J18" s="1"/>
      <c r="L18" s="12"/>
      <c r="M18" t="s">
        <v>28</v>
      </c>
      <c r="N18" s="12"/>
      <c r="O18" s="12"/>
      <c r="P18" s="12"/>
      <c r="Q18" s="12"/>
      <c r="R18" s="12"/>
      <c r="S18" s="18"/>
    </row>
    <row r="19" spans="1:19" x14ac:dyDescent="0.25">
      <c r="A19" t="s">
        <v>805</v>
      </c>
      <c r="B19" t="s">
        <v>28</v>
      </c>
      <c r="C19" s="1"/>
      <c r="D19" s="1"/>
      <c r="E19" s="1"/>
      <c r="F19" s="1"/>
      <c r="G19" s="1"/>
      <c r="H19" s="1"/>
      <c r="I19" s="1"/>
      <c r="J19" s="1"/>
      <c r="L19" s="12"/>
      <c r="M19" t="s">
        <v>30</v>
      </c>
      <c r="N19" s="12"/>
      <c r="O19" s="12"/>
      <c r="P19" s="12"/>
      <c r="Q19" s="12"/>
      <c r="R19" s="12"/>
      <c r="S19" s="18"/>
    </row>
    <row r="20" spans="1:19" x14ac:dyDescent="0.25">
      <c r="A20" t="s">
        <v>806</v>
      </c>
      <c r="B20" t="s">
        <v>29</v>
      </c>
      <c r="C20" s="1"/>
      <c r="D20" s="1"/>
      <c r="E20" s="1"/>
      <c r="F20" s="1"/>
      <c r="G20" s="1"/>
      <c r="H20" s="1"/>
      <c r="I20" s="1"/>
      <c r="J20" s="1"/>
      <c r="L20" s="12">
        <v>141</v>
      </c>
      <c r="M20" s="12" t="s">
        <v>32</v>
      </c>
      <c r="N20" s="12">
        <v>5605</v>
      </c>
      <c r="O20" s="12">
        <v>0</v>
      </c>
      <c r="P20" s="12">
        <v>0</v>
      </c>
      <c r="Q20" s="12">
        <v>0</v>
      </c>
      <c r="R20" s="12">
        <v>0</v>
      </c>
      <c r="S20" s="18">
        <v>3746</v>
      </c>
    </row>
    <row r="21" spans="1:19" x14ac:dyDescent="0.25">
      <c r="A21" t="s">
        <v>805</v>
      </c>
      <c r="B21" t="s">
        <v>30</v>
      </c>
      <c r="C21" s="1"/>
      <c r="D21" s="1"/>
      <c r="E21" s="1"/>
      <c r="F21" s="1"/>
      <c r="G21" s="1"/>
      <c r="H21" s="1"/>
      <c r="I21" s="1"/>
      <c r="J21" s="1"/>
      <c r="L21" s="10">
        <v>148</v>
      </c>
      <c r="M21" s="10" t="s">
        <v>34</v>
      </c>
      <c r="N21" s="10"/>
      <c r="O21" s="10"/>
      <c r="P21" s="10"/>
      <c r="Q21" s="10"/>
      <c r="R21" s="10"/>
      <c r="S21" s="19"/>
    </row>
    <row r="22" spans="1:19" x14ac:dyDescent="0.25">
      <c r="A22" t="s">
        <v>31</v>
      </c>
      <c r="B22" t="s">
        <v>32</v>
      </c>
      <c r="C22" s="1">
        <f>4797+808</f>
        <v>5605</v>
      </c>
      <c r="D22" s="1">
        <v>0</v>
      </c>
      <c r="E22" s="1">
        <v>0</v>
      </c>
      <c r="F22" s="1">
        <v>0</v>
      </c>
      <c r="G22" s="1">
        <v>0</v>
      </c>
      <c r="H22" s="1">
        <v>3746</v>
      </c>
      <c r="I22" s="1">
        <v>648</v>
      </c>
      <c r="J22" s="1"/>
      <c r="L22" s="12">
        <v>114</v>
      </c>
      <c r="M22" s="12" t="s">
        <v>35</v>
      </c>
      <c r="N22" s="12">
        <v>3300</v>
      </c>
      <c r="O22" s="12">
        <v>0</v>
      </c>
      <c r="P22" s="12">
        <v>0</v>
      </c>
      <c r="Q22" s="12">
        <v>0</v>
      </c>
      <c r="R22" s="12">
        <v>0</v>
      </c>
      <c r="S22" s="18">
        <v>1275</v>
      </c>
    </row>
    <row r="23" spans="1:19" x14ac:dyDescent="0.25">
      <c r="A23" t="s">
        <v>33</v>
      </c>
      <c r="B23" t="s">
        <v>34</v>
      </c>
      <c r="C23" s="1"/>
      <c r="D23" s="1"/>
      <c r="E23" s="1"/>
      <c r="F23" s="1"/>
      <c r="G23" s="1"/>
      <c r="H23" s="1"/>
      <c r="I23" s="1"/>
      <c r="J23" s="1"/>
      <c r="L23" s="10">
        <v>146</v>
      </c>
      <c r="M23" s="10" t="s">
        <v>37</v>
      </c>
      <c r="N23" s="10">
        <v>3630</v>
      </c>
      <c r="O23" s="10">
        <v>10</v>
      </c>
      <c r="P23" s="10">
        <v>0</v>
      </c>
      <c r="Q23" s="10">
        <v>0</v>
      </c>
      <c r="R23" s="10">
        <v>0</v>
      </c>
      <c r="S23" s="19">
        <v>2088</v>
      </c>
    </row>
    <row r="24" spans="1:19" x14ac:dyDescent="0.25">
      <c r="A24" t="s">
        <v>150</v>
      </c>
      <c r="B24" t="s">
        <v>35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/>
      <c r="L24" s="12">
        <v>145</v>
      </c>
      <c r="M24" s="12" t="s">
        <v>39</v>
      </c>
      <c r="N24" s="12">
        <v>1886</v>
      </c>
      <c r="O24" s="12">
        <v>0</v>
      </c>
      <c r="P24" s="12">
        <v>0</v>
      </c>
      <c r="Q24" s="12">
        <v>0</v>
      </c>
      <c r="R24" s="12">
        <v>0</v>
      </c>
      <c r="S24" s="18">
        <v>4626</v>
      </c>
    </row>
    <row r="25" spans="1:19" x14ac:dyDescent="0.25">
      <c r="A25" t="s">
        <v>36</v>
      </c>
      <c r="B25" t="s">
        <v>37</v>
      </c>
      <c r="C25" s="1">
        <f>2896+734</f>
        <v>3630</v>
      </c>
      <c r="D25" s="1">
        <f>8+2</f>
        <v>10</v>
      </c>
      <c r="E25" s="1">
        <v>0</v>
      </c>
      <c r="F25" s="1">
        <v>0</v>
      </c>
      <c r="G25" s="1">
        <v>0</v>
      </c>
      <c r="H25" s="1">
        <v>2088</v>
      </c>
      <c r="I25" s="1">
        <v>617</v>
      </c>
      <c r="J25" s="1"/>
      <c r="L25" s="10">
        <v>125</v>
      </c>
      <c r="M25" s="10" t="s">
        <v>41</v>
      </c>
      <c r="N25" s="10">
        <v>7049</v>
      </c>
      <c r="O25" s="10">
        <v>33</v>
      </c>
      <c r="P25" s="10">
        <v>0</v>
      </c>
      <c r="Q25" s="10">
        <v>0</v>
      </c>
      <c r="R25" s="10">
        <v>0</v>
      </c>
      <c r="S25" s="19">
        <v>1628</v>
      </c>
    </row>
    <row r="26" spans="1:19" x14ac:dyDescent="0.25">
      <c r="A26" t="s">
        <v>38</v>
      </c>
      <c r="B26" t="s">
        <v>39</v>
      </c>
      <c r="C26" s="1">
        <f>749+118+1019</f>
        <v>1886</v>
      </c>
      <c r="D26" s="1">
        <v>0</v>
      </c>
      <c r="E26" s="1">
        <v>0</v>
      </c>
      <c r="F26" s="1">
        <v>0</v>
      </c>
      <c r="G26" s="1">
        <v>0</v>
      </c>
      <c r="H26" s="1">
        <v>4626</v>
      </c>
      <c r="I26" s="1">
        <v>921</v>
      </c>
      <c r="J26" s="1"/>
      <c r="L26" s="12">
        <v>144</v>
      </c>
      <c r="M26" s="12" t="s">
        <v>42</v>
      </c>
      <c r="N26" s="12">
        <v>2092</v>
      </c>
      <c r="O26" s="12">
        <v>5</v>
      </c>
      <c r="P26" s="12">
        <v>0</v>
      </c>
      <c r="Q26" s="12">
        <v>0</v>
      </c>
      <c r="R26" s="12">
        <v>0</v>
      </c>
      <c r="S26" s="18">
        <v>632</v>
      </c>
    </row>
    <row r="27" spans="1:19" x14ac:dyDescent="0.25">
      <c r="A27" t="s">
        <v>40</v>
      </c>
      <c r="B27" t="s">
        <v>41</v>
      </c>
      <c r="C27" s="1">
        <f>4812+14+2223</f>
        <v>7049</v>
      </c>
      <c r="D27" s="1">
        <f>1+2+30</f>
        <v>33</v>
      </c>
      <c r="E27" s="1">
        <v>0</v>
      </c>
      <c r="F27" s="1">
        <v>0</v>
      </c>
      <c r="G27" s="1">
        <v>0</v>
      </c>
      <c r="H27" s="1">
        <v>1628</v>
      </c>
      <c r="I27" s="1">
        <v>1448</v>
      </c>
      <c r="J27" s="1"/>
      <c r="L27" s="10">
        <v>150</v>
      </c>
      <c r="M27" s="10" t="s">
        <v>44</v>
      </c>
      <c r="N27" s="10">
        <v>5706</v>
      </c>
      <c r="O27" s="10">
        <v>9</v>
      </c>
      <c r="P27" s="10">
        <v>0</v>
      </c>
      <c r="Q27" s="10">
        <v>0</v>
      </c>
      <c r="R27" s="10">
        <v>0</v>
      </c>
      <c r="S27" s="19">
        <v>2079</v>
      </c>
    </row>
    <row r="28" spans="1:19" x14ac:dyDescent="0.25">
      <c r="A28" t="s">
        <v>787</v>
      </c>
      <c r="B28" t="s">
        <v>42</v>
      </c>
      <c r="C28" s="1">
        <f>1610+482</f>
        <v>2092</v>
      </c>
      <c r="D28" s="1">
        <v>5</v>
      </c>
      <c r="E28" s="1">
        <v>0</v>
      </c>
      <c r="F28" s="1">
        <v>0</v>
      </c>
      <c r="G28" s="1">
        <v>0</v>
      </c>
      <c r="H28" s="1">
        <v>632</v>
      </c>
      <c r="I28" s="1">
        <v>381</v>
      </c>
      <c r="J28" s="1"/>
      <c r="L28" s="12">
        <v>140</v>
      </c>
      <c r="M28" s="12" t="s">
        <v>46</v>
      </c>
      <c r="N28" s="12">
        <v>1336</v>
      </c>
      <c r="O28" s="12">
        <v>0</v>
      </c>
      <c r="P28" s="12">
        <v>0</v>
      </c>
      <c r="Q28" s="12">
        <v>0</v>
      </c>
      <c r="R28" s="12">
        <v>0</v>
      </c>
      <c r="S28" s="18">
        <v>936</v>
      </c>
    </row>
    <row r="29" spans="1:19" x14ac:dyDescent="0.25">
      <c r="A29" t="s">
        <v>43</v>
      </c>
      <c r="B29" t="s">
        <v>44</v>
      </c>
      <c r="C29" s="1">
        <f>4314+132+6+1235+19</f>
        <v>5706</v>
      </c>
      <c r="D29" s="1">
        <f>1+4+4</f>
        <v>9</v>
      </c>
      <c r="E29" s="1">
        <v>0</v>
      </c>
      <c r="F29" s="1">
        <v>0</v>
      </c>
      <c r="G29" s="1">
        <v>0</v>
      </c>
      <c r="H29" s="1">
        <v>2079</v>
      </c>
      <c r="I29" s="1">
        <v>1005</v>
      </c>
      <c r="J29" s="1"/>
      <c r="L29" s="10">
        <v>151</v>
      </c>
      <c r="M29" s="10" t="s">
        <v>48</v>
      </c>
      <c r="N29" s="10">
        <v>4816</v>
      </c>
      <c r="O29" s="10">
        <v>17</v>
      </c>
      <c r="P29" s="10">
        <v>0</v>
      </c>
      <c r="Q29" s="10">
        <v>0</v>
      </c>
      <c r="R29" s="10">
        <v>0</v>
      </c>
      <c r="S29" s="19">
        <v>2716</v>
      </c>
    </row>
    <row r="30" spans="1:19" x14ac:dyDescent="0.25">
      <c r="A30" t="s">
        <v>45</v>
      </c>
      <c r="B30" t="s">
        <v>46</v>
      </c>
      <c r="C30" s="1">
        <f>1032+304</f>
        <v>1336</v>
      </c>
      <c r="D30" s="1">
        <v>0</v>
      </c>
      <c r="E30" s="1">
        <v>0</v>
      </c>
      <c r="F30" s="1">
        <v>0</v>
      </c>
      <c r="G30" s="1">
        <v>0</v>
      </c>
      <c r="H30" s="1">
        <v>936</v>
      </c>
      <c r="I30" s="1">
        <v>258</v>
      </c>
      <c r="J30" s="1"/>
      <c r="L30" s="12">
        <v>315</v>
      </c>
      <c r="M30" s="12" t="s">
        <v>49</v>
      </c>
      <c r="N30" s="12"/>
      <c r="O30" s="12"/>
      <c r="P30" s="12"/>
      <c r="Q30" s="12"/>
      <c r="R30" s="12"/>
      <c r="S30" s="18"/>
    </row>
    <row r="31" spans="1:19" x14ac:dyDescent="0.25">
      <c r="A31" t="s">
        <v>47</v>
      </c>
      <c r="B31" t="s">
        <v>48</v>
      </c>
      <c r="C31" s="1"/>
      <c r="D31" s="1"/>
      <c r="E31" s="1"/>
      <c r="F31" s="1"/>
      <c r="G31" s="1"/>
      <c r="H31" s="1"/>
      <c r="I31" s="1"/>
      <c r="J31" s="1"/>
      <c r="L31" s="10">
        <v>138</v>
      </c>
      <c r="M31" s="10" t="s">
        <v>51</v>
      </c>
      <c r="N31" s="10">
        <v>901</v>
      </c>
      <c r="O31" s="10">
        <v>0</v>
      </c>
      <c r="P31" s="10">
        <v>0</v>
      </c>
      <c r="Q31" s="10">
        <v>0</v>
      </c>
      <c r="R31" s="10">
        <v>0</v>
      </c>
      <c r="S31" s="19">
        <v>303</v>
      </c>
    </row>
    <row r="32" spans="1:19" x14ac:dyDescent="0.25">
      <c r="A32" t="s">
        <v>807</v>
      </c>
      <c r="B32" t="s">
        <v>49</v>
      </c>
      <c r="C32" s="1"/>
      <c r="D32" s="1"/>
      <c r="E32" s="1"/>
      <c r="F32" s="1"/>
      <c r="G32" s="1"/>
      <c r="H32" s="1"/>
      <c r="I32" s="1"/>
      <c r="J32" s="1"/>
      <c r="L32" s="12">
        <v>149</v>
      </c>
      <c r="M32" s="12" t="s">
        <v>53</v>
      </c>
      <c r="N32" s="12">
        <v>4753</v>
      </c>
      <c r="O32" s="12">
        <v>0</v>
      </c>
      <c r="P32" s="12">
        <v>0</v>
      </c>
      <c r="Q32" s="12">
        <v>0</v>
      </c>
      <c r="R32" s="12">
        <v>0</v>
      </c>
      <c r="S32" s="18">
        <v>2991</v>
      </c>
    </row>
    <row r="33" spans="1:19" x14ac:dyDescent="0.25">
      <c r="A33" t="s">
        <v>50</v>
      </c>
      <c r="B33" t="s">
        <v>51</v>
      </c>
      <c r="C33" s="1"/>
      <c r="D33" s="1"/>
      <c r="E33" s="1"/>
      <c r="F33" s="1"/>
      <c r="G33" s="1"/>
      <c r="H33" s="1"/>
      <c r="I33" s="1"/>
      <c r="J33" s="1"/>
      <c r="L33" s="10">
        <v>142</v>
      </c>
      <c r="M33" s="10" t="s">
        <v>55</v>
      </c>
      <c r="N33" s="10">
        <v>4957</v>
      </c>
      <c r="O33" s="10">
        <v>12</v>
      </c>
      <c r="P33" s="10">
        <v>0</v>
      </c>
      <c r="Q33" s="10">
        <v>0</v>
      </c>
      <c r="R33" s="10">
        <v>0</v>
      </c>
      <c r="S33" s="19">
        <v>4302</v>
      </c>
    </row>
    <row r="34" spans="1:19" x14ac:dyDescent="0.25">
      <c r="A34" t="s">
        <v>52</v>
      </c>
      <c r="B34" t="s">
        <v>53</v>
      </c>
      <c r="C34" s="1"/>
      <c r="D34" s="1"/>
      <c r="E34" s="1"/>
      <c r="F34" s="1"/>
      <c r="G34" s="1"/>
      <c r="H34" s="1"/>
      <c r="I34" s="1"/>
      <c r="J34" s="1"/>
      <c r="L34" s="12">
        <v>610</v>
      </c>
      <c r="M34" s="12" t="s">
        <v>56</v>
      </c>
      <c r="N34" s="12">
        <v>26584</v>
      </c>
      <c r="O34" s="12">
        <v>121</v>
      </c>
      <c r="P34" s="12">
        <v>0</v>
      </c>
      <c r="Q34" s="12">
        <v>0</v>
      </c>
      <c r="R34" s="12">
        <v>0</v>
      </c>
      <c r="S34" s="18">
        <v>4337</v>
      </c>
    </row>
    <row r="35" spans="1:19" x14ac:dyDescent="0.25">
      <c r="A35" t="s">
        <v>54</v>
      </c>
      <c r="B35" t="s">
        <v>55</v>
      </c>
      <c r="C35" s="1">
        <f>2780+2177</f>
        <v>4957</v>
      </c>
      <c r="D35" s="1">
        <v>12</v>
      </c>
      <c r="E35" s="1">
        <v>0</v>
      </c>
      <c r="F35" s="1">
        <v>0</v>
      </c>
      <c r="G35" s="1">
        <v>0</v>
      </c>
      <c r="H35" s="1">
        <v>4302</v>
      </c>
      <c r="I35" s="1">
        <v>1757</v>
      </c>
      <c r="J35" s="1"/>
      <c r="L35" s="10">
        <v>613</v>
      </c>
      <c r="M35" s="10" t="s">
        <v>57</v>
      </c>
      <c r="N35" s="10"/>
      <c r="O35" s="10"/>
      <c r="P35" s="10"/>
      <c r="Q35" s="10"/>
      <c r="R35" s="10"/>
      <c r="S35" s="19"/>
    </row>
    <row r="36" spans="1:19" x14ac:dyDescent="0.25">
      <c r="A36" t="s">
        <v>788</v>
      </c>
      <c r="B36" t="s">
        <v>56</v>
      </c>
      <c r="C36" s="1">
        <f>16320+10264</f>
        <v>26584</v>
      </c>
      <c r="D36" s="1">
        <f>36+84+1</f>
        <v>121</v>
      </c>
      <c r="E36" s="1">
        <v>0</v>
      </c>
      <c r="F36" s="1">
        <v>0</v>
      </c>
      <c r="G36" s="1">
        <v>0</v>
      </c>
      <c r="H36" s="1">
        <v>4337</v>
      </c>
      <c r="I36" s="1">
        <v>4223</v>
      </c>
      <c r="J36" s="1"/>
      <c r="L36" s="12">
        <v>600</v>
      </c>
      <c r="M36" s="12" t="s">
        <v>58</v>
      </c>
      <c r="N36" s="12"/>
      <c r="O36" s="12"/>
      <c r="P36" s="12"/>
      <c r="Q36" s="12"/>
      <c r="R36" s="12"/>
      <c r="S36" s="18"/>
    </row>
    <row r="37" spans="1:19" x14ac:dyDescent="0.25">
      <c r="A37" t="s">
        <v>495</v>
      </c>
      <c r="B37" t="s">
        <v>57</v>
      </c>
      <c r="C37" s="1"/>
      <c r="D37" s="1"/>
      <c r="E37" s="1"/>
      <c r="F37" s="1"/>
      <c r="G37" s="1"/>
      <c r="H37" s="1"/>
      <c r="I37" s="1"/>
      <c r="J37" s="1"/>
      <c r="L37" s="10">
        <v>139</v>
      </c>
      <c r="M37" s="10" t="s">
        <v>60</v>
      </c>
      <c r="N37" s="10">
        <v>1744</v>
      </c>
      <c r="O37" s="10">
        <v>0</v>
      </c>
      <c r="P37" s="10">
        <v>0</v>
      </c>
      <c r="Q37" s="10">
        <v>0</v>
      </c>
      <c r="R37" s="10">
        <v>0</v>
      </c>
      <c r="S37" s="19">
        <v>1531</v>
      </c>
    </row>
    <row r="38" spans="1:19" x14ac:dyDescent="0.25">
      <c r="A38" t="s">
        <v>248</v>
      </c>
      <c r="B38" t="s">
        <v>58</v>
      </c>
      <c r="C38" s="1"/>
      <c r="D38" s="1"/>
      <c r="E38" s="1"/>
      <c r="F38" s="1"/>
      <c r="G38" s="1"/>
      <c r="H38" s="1"/>
      <c r="I38" s="1"/>
      <c r="J38" s="1"/>
      <c r="L38" s="12">
        <v>143</v>
      </c>
      <c r="M38" s="12" t="s">
        <v>62</v>
      </c>
      <c r="N38" s="12">
        <v>3321</v>
      </c>
      <c r="O38" s="12">
        <v>13</v>
      </c>
      <c r="P38" s="12">
        <v>0</v>
      </c>
      <c r="Q38" s="12">
        <v>0</v>
      </c>
      <c r="R38" s="12">
        <v>0</v>
      </c>
      <c r="S38" s="18">
        <v>3349</v>
      </c>
    </row>
    <row r="39" spans="1:19" x14ac:dyDescent="0.25">
      <c r="A39" t="s">
        <v>59</v>
      </c>
      <c r="B39" t="s">
        <v>60</v>
      </c>
      <c r="C39" s="1"/>
      <c r="D39" s="1"/>
      <c r="E39" s="1"/>
      <c r="F39" s="1"/>
      <c r="G39" s="1"/>
      <c r="H39" s="1"/>
      <c r="I39" s="1"/>
      <c r="J39" s="1"/>
      <c r="L39" s="10">
        <v>147</v>
      </c>
      <c r="M39" s="10" t="s">
        <v>63</v>
      </c>
      <c r="N39" s="10">
        <v>10638</v>
      </c>
      <c r="O39" s="10">
        <v>117</v>
      </c>
      <c r="P39" s="10">
        <v>0</v>
      </c>
      <c r="Q39" s="10">
        <v>0</v>
      </c>
      <c r="R39" s="10">
        <v>0</v>
      </c>
      <c r="S39" s="19">
        <v>3982</v>
      </c>
    </row>
    <row r="40" spans="1:19" x14ac:dyDescent="0.25">
      <c r="A40" t="s">
        <v>61</v>
      </c>
      <c r="B40" t="s">
        <v>62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/>
      <c r="L40" s="12">
        <v>152</v>
      </c>
      <c r="M40" s="12" t="s">
        <v>64</v>
      </c>
      <c r="N40" s="12">
        <v>1677</v>
      </c>
      <c r="O40" s="12">
        <v>0</v>
      </c>
      <c r="P40" s="12">
        <v>0</v>
      </c>
      <c r="Q40" s="12">
        <v>0</v>
      </c>
      <c r="R40" s="12">
        <v>0</v>
      </c>
      <c r="S40" s="18">
        <v>3081</v>
      </c>
    </row>
    <row r="41" spans="1:19" x14ac:dyDescent="0.25">
      <c r="A41" t="s">
        <v>789</v>
      </c>
      <c r="B41" t="s">
        <v>63</v>
      </c>
      <c r="C41" s="1">
        <f>6819+1+886+2+22+8+1+2899</f>
        <v>10638</v>
      </c>
      <c r="D41" s="1">
        <f>25+58+18+9+5+2</f>
        <v>117</v>
      </c>
      <c r="E41" s="1">
        <v>0</v>
      </c>
      <c r="F41" s="1">
        <v>0</v>
      </c>
      <c r="G41" s="1">
        <v>0</v>
      </c>
      <c r="H41" s="1">
        <v>3982</v>
      </c>
      <c r="I41" s="1">
        <v>1998</v>
      </c>
      <c r="J41" s="1"/>
      <c r="L41" s="10">
        <v>610</v>
      </c>
      <c r="M41" s="10" t="s">
        <v>65</v>
      </c>
      <c r="N41" s="10">
        <v>4394</v>
      </c>
      <c r="O41" s="10">
        <v>10</v>
      </c>
      <c r="P41" s="10">
        <v>0</v>
      </c>
      <c r="Q41" s="10">
        <v>0</v>
      </c>
      <c r="R41" s="10">
        <v>0</v>
      </c>
      <c r="S41" s="19">
        <v>3823</v>
      </c>
    </row>
    <row r="42" spans="1:19" x14ac:dyDescent="0.25">
      <c r="A42" t="s">
        <v>790</v>
      </c>
      <c r="B42" t="s">
        <v>64</v>
      </c>
      <c r="C42" s="1">
        <f>1131+546</f>
        <v>1677</v>
      </c>
      <c r="D42" s="1">
        <v>0</v>
      </c>
      <c r="E42" s="1">
        <v>0</v>
      </c>
      <c r="F42" s="1">
        <v>0</v>
      </c>
      <c r="G42" s="1">
        <v>0</v>
      </c>
      <c r="H42" s="1">
        <v>3081</v>
      </c>
      <c r="I42" s="1">
        <v>522</v>
      </c>
      <c r="J42" s="1"/>
      <c r="L42" s="12">
        <v>712</v>
      </c>
      <c r="M42" s="12" t="s">
        <v>66</v>
      </c>
      <c r="N42" s="12">
        <v>957</v>
      </c>
      <c r="O42" s="12">
        <v>9</v>
      </c>
      <c r="P42" s="12">
        <v>0</v>
      </c>
      <c r="Q42" s="12">
        <v>0</v>
      </c>
      <c r="R42" s="12">
        <v>0</v>
      </c>
      <c r="S42" s="18">
        <v>173</v>
      </c>
    </row>
    <row r="43" spans="1:19" x14ac:dyDescent="0.25">
      <c r="A43" t="s">
        <v>788</v>
      </c>
      <c r="B43" t="s">
        <v>65</v>
      </c>
      <c r="C43" s="1">
        <f>3428+1+965</f>
        <v>4394</v>
      </c>
      <c r="D43" s="1">
        <f>4+6</f>
        <v>10</v>
      </c>
      <c r="E43" s="1">
        <v>0</v>
      </c>
      <c r="F43" s="1">
        <v>0</v>
      </c>
      <c r="G43" s="1">
        <v>0</v>
      </c>
      <c r="H43" s="1">
        <v>3823</v>
      </c>
      <c r="I43" s="1">
        <v>836</v>
      </c>
      <c r="J43" s="1"/>
      <c r="L43" s="10">
        <v>310</v>
      </c>
      <c r="M43" s="10" t="s">
        <v>68</v>
      </c>
      <c r="N43" s="10"/>
      <c r="O43" s="10"/>
      <c r="P43" s="10"/>
      <c r="Q43" s="10"/>
      <c r="R43" s="10"/>
      <c r="S43" s="19"/>
    </row>
    <row r="44" spans="1:19" x14ac:dyDescent="0.25">
      <c r="A44" t="s">
        <v>76</v>
      </c>
      <c r="B44" t="s">
        <v>66</v>
      </c>
      <c r="C44" s="1">
        <f>554+12+391</f>
        <v>957</v>
      </c>
      <c r="D44" s="1">
        <v>9</v>
      </c>
      <c r="E44" s="1">
        <v>0</v>
      </c>
      <c r="F44" s="1">
        <v>0</v>
      </c>
      <c r="G44" s="1">
        <v>0</v>
      </c>
      <c r="H44" s="1">
        <v>173</v>
      </c>
      <c r="I44" s="1">
        <v>202</v>
      </c>
      <c r="J44" s="1"/>
      <c r="L44" s="12">
        <v>710</v>
      </c>
      <c r="M44" s="12" t="s">
        <v>70</v>
      </c>
      <c r="N44" s="12">
        <v>49682</v>
      </c>
      <c r="O44" s="12">
        <v>58</v>
      </c>
      <c r="P44" s="12">
        <v>0</v>
      </c>
      <c r="Q44" s="12">
        <v>0</v>
      </c>
      <c r="R44" s="12">
        <v>0</v>
      </c>
      <c r="S44" s="18">
        <v>39522</v>
      </c>
    </row>
    <row r="45" spans="1:19" x14ac:dyDescent="0.25">
      <c r="A45" t="s">
        <v>67</v>
      </c>
      <c r="B45" t="s">
        <v>68</v>
      </c>
      <c r="C45" s="1"/>
      <c r="D45" s="1"/>
      <c r="E45" s="1"/>
      <c r="F45" s="1"/>
      <c r="G45" s="1"/>
      <c r="H45" s="1"/>
      <c r="I45" s="1"/>
      <c r="J45" s="1"/>
      <c r="L45" s="10">
        <v>712</v>
      </c>
      <c r="M45" s="10" t="s">
        <v>71</v>
      </c>
      <c r="N45" s="10"/>
      <c r="O45" s="10"/>
      <c r="P45" s="10"/>
      <c r="Q45" s="10"/>
      <c r="R45" s="10"/>
      <c r="S45" s="19"/>
    </row>
    <row r="46" spans="1:19" x14ac:dyDescent="0.25">
      <c r="A46" t="s">
        <v>76</v>
      </c>
      <c r="B46" t="s">
        <v>70</v>
      </c>
      <c r="C46" s="1"/>
      <c r="D46" s="1"/>
      <c r="E46" s="1"/>
      <c r="F46" s="1"/>
      <c r="G46" s="1"/>
      <c r="H46" s="1"/>
      <c r="I46" s="1"/>
      <c r="J46" s="1"/>
      <c r="L46" s="12">
        <v>312</v>
      </c>
      <c r="M46" s="12" t="s">
        <v>73</v>
      </c>
      <c r="N46" s="12">
        <v>5012</v>
      </c>
      <c r="O46" s="12">
        <v>54</v>
      </c>
      <c r="P46" s="12">
        <v>0</v>
      </c>
      <c r="Q46" s="12">
        <v>0</v>
      </c>
      <c r="R46" s="12">
        <v>0</v>
      </c>
      <c r="S46" s="18">
        <v>3042</v>
      </c>
    </row>
    <row r="47" spans="1:19" x14ac:dyDescent="0.25">
      <c r="A47" t="s">
        <v>803</v>
      </c>
      <c r="B47" t="s">
        <v>71</v>
      </c>
      <c r="C47" s="1"/>
      <c r="D47" s="1"/>
      <c r="E47" s="1"/>
      <c r="F47" s="1"/>
      <c r="G47" s="1"/>
      <c r="H47" s="1"/>
      <c r="I47" s="1"/>
      <c r="J47" s="1"/>
      <c r="L47" s="10" t="s">
        <v>808</v>
      </c>
      <c r="M47" s="10" t="s">
        <v>74</v>
      </c>
      <c r="N47" s="10">
        <v>5294</v>
      </c>
      <c r="O47" s="10">
        <v>53</v>
      </c>
      <c r="P47" s="10">
        <v>0</v>
      </c>
      <c r="Q47" s="10">
        <v>0</v>
      </c>
      <c r="R47" s="10">
        <v>0</v>
      </c>
      <c r="S47" s="19">
        <v>5950</v>
      </c>
    </row>
    <row r="48" spans="1:19" x14ac:dyDescent="0.25">
      <c r="A48" t="s">
        <v>72</v>
      </c>
      <c r="B48" t="s">
        <v>73</v>
      </c>
      <c r="C48" s="1">
        <f>4474+13+525</f>
        <v>5012</v>
      </c>
      <c r="D48" s="1">
        <v>54</v>
      </c>
      <c r="E48" s="1">
        <v>0</v>
      </c>
      <c r="F48" s="1">
        <v>0</v>
      </c>
      <c r="G48" s="1">
        <v>0</v>
      </c>
      <c r="H48" s="1">
        <v>3042</v>
      </c>
      <c r="I48" s="1">
        <v>451</v>
      </c>
      <c r="J48" s="1"/>
      <c r="L48" s="12">
        <v>611</v>
      </c>
      <c r="M48" s="12" t="s">
        <v>75</v>
      </c>
      <c r="N48" s="12">
        <v>3640</v>
      </c>
      <c r="O48" s="12">
        <v>2</v>
      </c>
      <c r="P48" s="12">
        <v>0</v>
      </c>
      <c r="Q48" s="12">
        <v>0</v>
      </c>
      <c r="R48" s="12">
        <v>0</v>
      </c>
      <c r="S48" s="18">
        <v>3812</v>
      </c>
    </row>
    <row r="49" spans="1:19" x14ac:dyDescent="0.25">
      <c r="A49" t="s">
        <v>809</v>
      </c>
      <c r="B49" t="s">
        <v>74</v>
      </c>
      <c r="C49" s="1">
        <f>4408+886</f>
        <v>5294</v>
      </c>
      <c r="D49" s="1">
        <f>48+5</f>
        <v>53</v>
      </c>
      <c r="E49" s="1">
        <v>0</v>
      </c>
      <c r="F49" s="1">
        <v>0</v>
      </c>
      <c r="G49" s="1">
        <v>0</v>
      </c>
      <c r="H49" s="1">
        <v>5950</v>
      </c>
      <c r="I49" s="1">
        <v>445</v>
      </c>
      <c r="J49" s="1"/>
      <c r="L49" s="10">
        <v>712</v>
      </c>
      <c r="M49" s="10" t="s">
        <v>77</v>
      </c>
      <c r="N49" s="10">
        <v>5362</v>
      </c>
      <c r="O49" s="10">
        <v>29</v>
      </c>
      <c r="P49" s="10">
        <v>0</v>
      </c>
      <c r="Q49" s="10">
        <v>0</v>
      </c>
      <c r="R49" s="10">
        <v>0</v>
      </c>
      <c r="S49" s="19">
        <v>674</v>
      </c>
    </row>
    <row r="50" spans="1:19" x14ac:dyDescent="0.25">
      <c r="A50" t="s">
        <v>146</v>
      </c>
      <c r="B50" t="s">
        <v>75</v>
      </c>
      <c r="C50" s="1">
        <f>1394+2246</f>
        <v>3640</v>
      </c>
      <c r="D50" s="1">
        <v>2</v>
      </c>
      <c r="E50" s="1">
        <v>0</v>
      </c>
      <c r="F50" s="1">
        <v>0</v>
      </c>
      <c r="G50" s="1">
        <v>0</v>
      </c>
      <c r="H50" s="1">
        <v>3812</v>
      </c>
      <c r="I50" s="1">
        <v>2202</v>
      </c>
      <c r="J50" s="1"/>
      <c r="L50" s="12">
        <v>711</v>
      </c>
      <c r="M50" s="12" t="s">
        <v>78</v>
      </c>
      <c r="N50" s="12">
        <v>11382</v>
      </c>
      <c r="O50" s="12">
        <v>2</v>
      </c>
      <c r="P50" s="12">
        <v>0</v>
      </c>
      <c r="Q50" s="12">
        <v>0</v>
      </c>
      <c r="R50" s="12">
        <v>0</v>
      </c>
      <c r="S50" s="18">
        <v>24386</v>
      </c>
    </row>
    <row r="51" spans="1:19" x14ac:dyDescent="0.25">
      <c r="A51" t="s">
        <v>76</v>
      </c>
      <c r="B51" t="s">
        <v>77</v>
      </c>
      <c r="C51" s="1">
        <f>4166+1196</f>
        <v>5362</v>
      </c>
      <c r="D51" s="1">
        <v>29</v>
      </c>
      <c r="E51" s="1">
        <v>0</v>
      </c>
      <c r="F51" s="1">
        <v>0</v>
      </c>
      <c r="G51" s="1">
        <v>0</v>
      </c>
      <c r="H51" s="1">
        <v>674</v>
      </c>
      <c r="I51" s="1">
        <v>851</v>
      </c>
      <c r="J51" s="1"/>
      <c r="L51" s="10">
        <v>131</v>
      </c>
      <c r="M51" s="10" t="s">
        <v>79</v>
      </c>
      <c r="N51" s="10"/>
      <c r="O51" s="10"/>
      <c r="P51" s="10"/>
      <c r="Q51" s="10"/>
      <c r="R51" s="10"/>
      <c r="S51" s="19"/>
    </row>
    <row r="52" spans="1:19" x14ac:dyDescent="0.25">
      <c r="A52" t="s">
        <v>801</v>
      </c>
      <c r="B52" t="s">
        <v>78</v>
      </c>
      <c r="C52" s="1">
        <f>8447+2+1+1+2931</f>
        <v>11382</v>
      </c>
      <c r="D52" s="1">
        <v>2</v>
      </c>
      <c r="E52" s="1">
        <v>0</v>
      </c>
      <c r="F52" s="1">
        <v>0</v>
      </c>
      <c r="G52" s="1">
        <v>0</v>
      </c>
      <c r="H52" s="1">
        <v>24386</v>
      </c>
      <c r="I52" s="1">
        <v>2767</v>
      </c>
      <c r="J52" s="1"/>
      <c r="L52" s="12">
        <v>300</v>
      </c>
      <c r="M52" s="12" t="s">
        <v>80</v>
      </c>
      <c r="N52" s="12"/>
      <c r="O52" s="12"/>
      <c r="P52" s="12"/>
      <c r="Q52" s="12"/>
      <c r="R52" s="12"/>
      <c r="S52" s="18"/>
    </row>
    <row r="53" spans="1:19" x14ac:dyDescent="0.25">
      <c r="A53" t="s">
        <v>810</v>
      </c>
      <c r="B53" t="s">
        <v>79</v>
      </c>
      <c r="C53" s="1"/>
      <c r="D53" s="1"/>
      <c r="E53" s="1"/>
      <c r="F53" s="1"/>
      <c r="G53" s="1"/>
      <c r="H53" s="1"/>
      <c r="I53" s="1"/>
      <c r="J53" s="1"/>
      <c r="L53" s="10">
        <v>120</v>
      </c>
      <c r="M53" s="10" t="s">
        <v>81</v>
      </c>
      <c r="N53" s="10"/>
      <c r="O53" s="10"/>
      <c r="P53" s="10"/>
      <c r="Q53" s="10"/>
      <c r="R53" s="10"/>
      <c r="S53" s="19"/>
    </row>
    <row r="54" spans="1:19" x14ac:dyDescent="0.25">
      <c r="A54" t="s">
        <v>226</v>
      </c>
      <c r="B54" t="s">
        <v>80</v>
      </c>
      <c r="C54" s="1"/>
      <c r="D54" s="1"/>
      <c r="E54" s="1"/>
      <c r="F54" s="1"/>
      <c r="G54" s="1"/>
      <c r="H54" s="1"/>
      <c r="I54" s="1"/>
      <c r="J54" s="1"/>
      <c r="L54" s="12">
        <v>712</v>
      </c>
      <c r="M54" s="12" t="s">
        <v>82</v>
      </c>
      <c r="N54" s="12">
        <v>11767</v>
      </c>
      <c r="O54" s="12">
        <v>76</v>
      </c>
      <c r="P54" s="12">
        <v>0</v>
      </c>
      <c r="Q54" s="12">
        <v>0</v>
      </c>
      <c r="R54" s="12">
        <v>0</v>
      </c>
      <c r="S54" s="18">
        <v>2178</v>
      </c>
    </row>
    <row r="55" spans="1:19" x14ac:dyDescent="0.25">
      <c r="A55" t="s">
        <v>802</v>
      </c>
      <c r="B55" t="s">
        <v>81</v>
      </c>
      <c r="C55" s="1"/>
      <c r="D55" s="1"/>
      <c r="E55" s="1"/>
      <c r="F55" s="1"/>
      <c r="G55" s="1"/>
      <c r="H55" s="1"/>
      <c r="I55" s="1"/>
      <c r="J55" s="1"/>
      <c r="L55" s="10">
        <v>700</v>
      </c>
      <c r="M55" s="10" t="s">
        <v>84</v>
      </c>
      <c r="N55" s="10">
        <v>10975</v>
      </c>
      <c r="O55" s="10">
        <v>1</v>
      </c>
      <c r="P55" s="10">
        <v>0</v>
      </c>
      <c r="Q55" s="10">
        <v>0</v>
      </c>
      <c r="R55" s="10">
        <v>0</v>
      </c>
      <c r="S55" s="19">
        <v>8519</v>
      </c>
    </row>
    <row r="56" spans="1:19" x14ac:dyDescent="0.25">
      <c r="A56" t="s">
        <v>76</v>
      </c>
      <c r="B56" t="s">
        <v>82</v>
      </c>
      <c r="C56" s="1">
        <f>10132+1+1633+1</f>
        <v>11767</v>
      </c>
      <c r="D56" s="1">
        <f>6+54+16</f>
        <v>76</v>
      </c>
      <c r="E56" s="1">
        <v>0</v>
      </c>
      <c r="F56" s="1">
        <v>0</v>
      </c>
      <c r="G56" s="1">
        <v>0</v>
      </c>
      <c r="H56" s="1">
        <v>2178</v>
      </c>
      <c r="I56" s="1">
        <v>1467</v>
      </c>
      <c r="J56" s="1"/>
      <c r="L56" s="12" t="s">
        <v>808</v>
      </c>
      <c r="M56" s="12" t="s">
        <v>85</v>
      </c>
      <c r="N56" s="12">
        <v>1180</v>
      </c>
      <c r="O56" s="12">
        <v>0</v>
      </c>
      <c r="P56" s="12">
        <v>0</v>
      </c>
      <c r="Q56" s="12">
        <v>0</v>
      </c>
      <c r="R56" s="12">
        <v>0</v>
      </c>
      <c r="S56" s="18">
        <v>1173</v>
      </c>
    </row>
    <row r="57" spans="1:19" x14ac:dyDescent="0.25">
      <c r="A57" t="s">
        <v>83</v>
      </c>
      <c r="B57" t="s">
        <v>84</v>
      </c>
      <c r="C57" s="1">
        <f>2962+8013</f>
        <v>10975</v>
      </c>
      <c r="D57" s="1">
        <v>1</v>
      </c>
      <c r="E57" s="1">
        <v>0</v>
      </c>
      <c r="F57" s="1">
        <v>0</v>
      </c>
      <c r="G57" s="1">
        <v>0</v>
      </c>
      <c r="H57" s="1">
        <v>8519</v>
      </c>
      <c r="I57" s="1">
        <v>7537</v>
      </c>
      <c r="J57" s="1"/>
      <c r="L57" s="12">
        <v>111</v>
      </c>
      <c r="M57" s="12" t="s">
        <v>86</v>
      </c>
      <c r="N57" s="12">
        <v>16832</v>
      </c>
      <c r="O57" s="12">
        <v>1535</v>
      </c>
      <c r="P57" s="12">
        <v>0</v>
      </c>
      <c r="Q57" s="12">
        <v>0</v>
      </c>
      <c r="R57" s="12">
        <v>0</v>
      </c>
      <c r="S57" s="18">
        <v>604</v>
      </c>
    </row>
    <row r="58" spans="1:19" x14ac:dyDescent="0.25">
      <c r="A58" t="s">
        <v>809</v>
      </c>
      <c r="B58" t="s">
        <v>85</v>
      </c>
      <c r="C58" s="1">
        <f>815+5+360</f>
        <v>1180</v>
      </c>
      <c r="D58" s="1">
        <v>0</v>
      </c>
      <c r="E58" s="1">
        <v>0</v>
      </c>
      <c r="F58" s="1">
        <v>0</v>
      </c>
      <c r="G58" s="1">
        <v>0</v>
      </c>
      <c r="H58" s="1">
        <v>1173</v>
      </c>
      <c r="I58" s="1">
        <v>355</v>
      </c>
      <c r="J58" s="1"/>
      <c r="L58" s="10">
        <v>111</v>
      </c>
      <c r="M58" s="10" t="s">
        <v>87</v>
      </c>
      <c r="N58" s="10">
        <v>6264</v>
      </c>
      <c r="O58" s="10">
        <v>1115</v>
      </c>
      <c r="P58" s="10">
        <v>0</v>
      </c>
      <c r="Q58" s="10">
        <v>0</v>
      </c>
      <c r="R58" s="10">
        <v>0</v>
      </c>
      <c r="S58" s="19">
        <v>1405</v>
      </c>
    </row>
    <row r="59" spans="1:19" x14ac:dyDescent="0.25">
      <c r="A59" t="s">
        <v>811</v>
      </c>
      <c r="B59" t="s">
        <v>86</v>
      </c>
      <c r="C59" s="1"/>
      <c r="D59" s="1"/>
      <c r="E59" s="1"/>
      <c r="F59" s="1"/>
      <c r="G59" s="1"/>
      <c r="H59" s="1"/>
      <c r="I59" s="1"/>
      <c r="J59" s="1"/>
      <c r="L59" s="12">
        <v>100</v>
      </c>
      <c r="M59" s="12" t="s">
        <v>88</v>
      </c>
      <c r="N59" s="12">
        <v>4595</v>
      </c>
      <c r="O59" s="12">
        <v>22</v>
      </c>
      <c r="P59" s="12">
        <v>0</v>
      </c>
      <c r="Q59" s="12">
        <v>0</v>
      </c>
      <c r="R59" s="12">
        <v>0</v>
      </c>
      <c r="S59" s="18">
        <v>710</v>
      </c>
    </row>
    <row r="60" spans="1:19" x14ac:dyDescent="0.25">
      <c r="A60" t="s">
        <v>811</v>
      </c>
      <c r="B60" t="s">
        <v>87</v>
      </c>
      <c r="C60" s="1"/>
      <c r="D60" s="1"/>
      <c r="E60" s="1"/>
      <c r="F60" s="1"/>
      <c r="G60" s="1"/>
      <c r="H60" s="1"/>
      <c r="I60" s="1"/>
      <c r="J60" s="1"/>
      <c r="L60" s="10" t="s">
        <v>808</v>
      </c>
      <c r="M60" s="10" t="s">
        <v>89</v>
      </c>
      <c r="N60" s="10">
        <v>15</v>
      </c>
      <c r="O60" s="10">
        <v>0</v>
      </c>
      <c r="P60" s="10">
        <v>0</v>
      </c>
      <c r="Q60" s="10">
        <v>0</v>
      </c>
      <c r="R60" s="10">
        <v>0</v>
      </c>
      <c r="S60" s="19">
        <v>2</v>
      </c>
    </row>
    <row r="61" spans="1:19" x14ac:dyDescent="0.25">
      <c r="A61" t="s">
        <v>791</v>
      </c>
      <c r="B61" t="s">
        <v>88</v>
      </c>
      <c r="C61" s="1"/>
      <c r="D61" s="1"/>
      <c r="E61" s="1"/>
      <c r="F61" s="1"/>
      <c r="G61" s="1"/>
      <c r="H61" s="1"/>
      <c r="I61" s="1"/>
      <c r="J61" s="1"/>
      <c r="L61" s="12">
        <v>161</v>
      </c>
      <c r="M61" s="12" t="s">
        <v>90</v>
      </c>
      <c r="N61" s="12"/>
      <c r="O61" s="12"/>
      <c r="P61" s="12"/>
      <c r="Q61" s="12"/>
      <c r="R61" s="12"/>
      <c r="S61" s="18"/>
    </row>
    <row r="62" spans="1:19" x14ac:dyDescent="0.25">
      <c r="A62" t="s">
        <v>809</v>
      </c>
      <c r="B62" t="s">
        <v>89</v>
      </c>
      <c r="C62" s="1">
        <v>15</v>
      </c>
      <c r="D62" s="1">
        <v>0</v>
      </c>
      <c r="E62" s="1">
        <v>0</v>
      </c>
      <c r="F62" s="1">
        <v>0</v>
      </c>
      <c r="G62" s="1">
        <v>0</v>
      </c>
      <c r="H62" s="1">
        <v>2</v>
      </c>
      <c r="I62" s="1">
        <v>1</v>
      </c>
      <c r="J62" s="1"/>
      <c r="L62" s="10">
        <v>111</v>
      </c>
      <c r="M62" s="10" t="s">
        <v>91</v>
      </c>
      <c r="N62" s="10">
        <v>44531</v>
      </c>
      <c r="O62" s="10">
        <v>652</v>
      </c>
      <c r="P62" s="10">
        <v>0</v>
      </c>
      <c r="Q62" s="10">
        <v>0</v>
      </c>
      <c r="R62" s="10">
        <v>0</v>
      </c>
      <c r="S62" s="19">
        <v>13998</v>
      </c>
    </row>
    <row r="63" spans="1:19" x14ac:dyDescent="0.25">
      <c r="A63" t="s">
        <v>792</v>
      </c>
      <c r="B63" t="s">
        <v>90</v>
      </c>
      <c r="C63" s="1"/>
      <c r="D63" s="1"/>
      <c r="E63" s="1"/>
      <c r="F63" s="1"/>
      <c r="G63" s="1"/>
      <c r="H63" s="1"/>
      <c r="I63" s="1"/>
      <c r="J63" s="1"/>
      <c r="L63" s="12">
        <v>120</v>
      </c>
      <c r="M63" s="12" t="s">
        <v>92</v>
      </c>
      <c r="N63" s="12"/>
      <c r="O63" s="12"/>
      <c r="P63" s="12"/>
      <c r="Q63" s="12"/>
      <c r="R63" s="12"/>
      <c r="S63" s="18"/>
    </row>
    <row r="64" spans="1:19" x14ac:dyDescent="0.25">
      <c r="A64" t="s">
        <v>811</v>
      </c>
      <c r="B64" t="s">
        <v>91</v>
      </c>
      <c r="C64" s="1"/>
      <c r="D64" s="1"/>
      <c r="E64" s="1"/>
      <c r="F64" s="1"/>
      <c r="G64" s="1"/>
      <c r="H64" s="1"/>
      <c r="I64" s="1"/>
      <c r="J64" s="1"/>
      <c r="L64" s="10">
        <v>132</v>
      </c>
      <c r="M64" s="10" t="s">
        <v>93</v>
      </c>
      <c r="N64" s="10">
        <v>38</v>
      </c>
      <c r="O64" s="10">
        <v>0</v>
      </c>
      <c r="P64" s="10">
        <v>0</v>
      </c>
      <c r="Q64" s="10">
        <v>0</v>
      </c>
      <c r="R64" s="10">
        <v>0</v>
      </c>
      <c r="S64" s="19">
        <v>226</v>
      </c>
    </row>
    <row r="65" spans="1:19" x14ac:dyDescent="0.25">
      <c r="A65" t="s">
        <v>802</v>
      </c>
      <c r="B65" t="s">
        <v>92</v>
      </c>
      <c r="C65" s="1"/>
      <c r="D65" s="1"/>
      <c r="E65" s="1"/>
      <c r="F65" s="1"/>
      <c r="G65" s="1"/>
      <c r="H65" s="1"/>
      <c r="I65" s="1"/>
      <c r="J65" s="1"/>
      <c r="L65" s="12">
        <v>100</v>
      </c>
      <c r="M65" s="12" t="s">
        <v>94</v>
      </c>
      <c r="N65" s="12">
        <v>3464</v>
      </c>
      <c r="O65" s="12">
        <v>1</v>
      </c>
      <c r="P65" s="12">
        <v>0</v>
      </c>
      <c r="Q65" s="12">
        <v>0</v>
      </c>
      <c r="R65" s="12">
        <v>0</v>
      </c>
      <c r="S65" s="18">
        <v>1476</v>
      </c>
    </row>
    <row r="66" spans="1:19" x14ac:dyDescent="0.25">
      <c r="A66" t="s">
        <v>812</v>
      </c>
      <c r="B66" t="s">
        <v>93</v>
      </c>
      <c r="C66" s="1"/>
      <c r="D66" s="1"/>
      <c r="E66" s="1"/>
      <c r="F66" s="1"/>
      <c r="G66" s="1"/>
      <c r="H66" s="1"/>
      <c r="I66" s="1"/>
      <c r="J66" s="1"/>
      <c r="L66" s="10">
        <v>161</v>
      </c>
      <c r="M66" s="10" t="s">
        <v>95</v>
      </c>
      <c r="N66" s="10"/>
      <c r="O66" s="10"/>
      <c r="P66" s="10"/>
      <c r="Q66" s="10"/>
      <c r="R66" s="10"/>
      <c r="S66" s="19"/>
    </row>
    <row r="67" spans="1:19" x14ac:dyDescent="0.25">
      <c r="A67" t="s">
        <v>791</v>
      </c>
      <c r="B67" t="s">
        <v>94</v>
      </c>
      <c r="C67" s="1"/>
      <c r="D67" s="1"/>
      <c r="E67" s="1"/>
      <c r="F67" s="1"/>
      <c r="G67" s="1"/>
      <c r="H67" s="1"/>
      <c r="I67" s="1"/>
      <c r="J67" s="1"/>
      <c r="L67" s="12">
        <v>120</v>
      </c>
      <c r="M67" s="12" t="s">
        <v>96</v>
      </c>
      <c r="N67" s="12"/>
      <c r="O67" s="12"/>
      <c r="P67" s="12"/>
      <c r="Q67" s="12"/>
      <c r="R67" s="12"/>
      <c r="S67" s="18"/>
    </row>
    <row r="68" spans="1:19" x14ac:dyDescent="0.25">
      <c r="A68" t="s">
        <v>792</v>
      </c>
      <c r="B68" t="s">
        <v>95</v>
      </c>
      <c r="C68" s="1"/>
      <c r="D68" s="1"/>
      <c r="E68" s="1"/>
      <c r="F68" s="1"/>
      <c r="G68" s="1"/>
      <c r="H68" s="1"/>
      <c r="I68" s="1"/>
      <c r="J68" s="1"/>
      <c r="L68" s="10">
        <v>126</v>
      </c>
      <c r="M68" s="10" t="s">
        <v>98</v>
      </c>
      <c r="N68" s="10">
        <v>2123</v>
      </c>
      <c r="O68" s="10">
        <v>1</v>
      </c>
      <c r="P68" s="10">
        <v>0</v>
      </c>
      <c r="Q68" s="10">
        <v>0</v>
      </c>
      <c r="R68" s="10">
        <v>0</v>
      </c>
      <c r="S68" s="19">
        <v>1210</v>
      </c>
    </row>
    <row r="69" spans="1:19" x14ac:dyDescent="0.25">
      <c r="A69" t="s">
        <v>802</v>
      </c>
      <c r="B69" t="s">
        <v>96</v>
      </c>
      <c r="C69" s="1"/>
      <c r="D69" s="1"/>
      <c r="E69" s="1"/>
      <c r="F69" s="1"/>
      <c r="G69" s="1"/>
      <c r="H69" s="1"/>
      <c r="I69" s="1"/>
      <c r="J69" s="1"/>
      <c r="L69" s="12">
        <v>134</v>
      </c>
      <c r="M69" s="12" t="s">
        <v>100</v>
      </c>
      <c r="N69" s="12"/>
      <c r="O69" s="12"/>
      <c r="P69" s="12"/>
      <c r="Q69" s="12"/>
      <c r="R69" s="12"/>
      <c r="S69" s="18"/>
    </row>
    <row r="70" spans="1:19" x14ac:dyDescent="0.25">
      <c r="A70" t="s">
        <v>97</v>
      </c>
      <c r="B70" t="s">
        <v>98</v>
      </c>
      <c r="C70" s="1">
        <f>1262+861</f>
        <v>2123</v>
      </c>
      <c r="D70" s="1">
        <v>1</v>
      </c>
      <c r="E70" s="1">
        <v>0</v>
      </c>
      <c r="F70" s="1">
        <v>0</v>
      </c>
      <c r="G70" s="1">
        <v>0</v>
      </c>
      <c r="H70" s="1">
        <v>1210</v>
      </c>
      <c r="I70" s="1">
        <v>730</v>
      </c>
      <c r="J70" s="1"/>
      <c r="L70" s="10">
        <v>511</v>
      </c>
      <c r="M70" s="10" t="s">
        <v>102</v>
      </c>
      <c r="N70" s="10">
        <v>9406</v>
      </c>
      <c r="O70" s="10">
        <v>2</v>
      </c>
      <c r="P70" s="10">
        <v>0</v>
      </c>
      <c r="Q70" s="10">
        <v>0</v>
      </c>
      <c r="R70" s="10">
        <v>0</v>
      </c>
      <c r="S70" s="19">
        <v>9815</v>
      </c>
    </row>
    <row r="71" spans="1:19" x14ac:dyDescent="0.25">
      <c r="A71" t="s">
        <v>99</v>
      </c>
      <c r="B71" t="s">
        <v>100</v>
      </c>
      <c r="C71" s="1"/>
      <c r="D71" s="1"/>
      <c r="E71" s="1"/>
      <c r="F71" s="1"/>
      <c r="G71" s="1"/>
      <c r="H71" s="1"/>
      <c r="I71" s="1"/>
      <c r="J71" s="1"/>
      <c r="L71" s="12">
        <v>313</v>
      </c>
      <c r="M71" s="12" t="s">
        <v>103</v>
      </c>
      <c r="N71" s="12">
        <v>1779</v>
      </c>
      <c r="O71" s="12">
        <v>0</v>
      </c>
      <c r="P71" s="12">
        <v>0</v>
      </c>
      <c r="Q71" s="12">
        <v>0</v>
      </c>
      <c r="R71" s="12">
        <v>0</v>
      </c>
      <c r="S71" s="18">
        <v>45</v>
      </c>
    </row>
    <row r="72" spans="1:19" x14ac:dyDescent="0.25">
      <c r="A72" t="s">
        <v>101</v>
      </c>
      <c r="B72" t="s">
        <v>102</v>
      </c>
      <c r="C72" s="1">
        <f>7512+1894</f>
        <v>9406</v>
      </c>
      <c r="D72" s="1">
        <v>2</v>
      </c>
      <c r="E72" s="1">
        <v>0</v>
      </c>
      <c r="F72" s="1">
        <v>0</v>
      </c>
      <c r="G72" s="1">
        <v>0</v>
      </c>
      <c r="H72" s="1">
        <v>9815</v>
      </c>
      <c r="I72" s="1">
        <v>1530</v>
      </c>
      <c r="J72" s="1"/>
      <c r="L72" s="10">
        <v>121</v>
      </c>
      <c r="M72" s="10" t="s">
        <v>105</v>
      </c>
      <c r="N72" s="10">
        <v>3017</v>
      </c>
      <c r="O72" s="10">
        <v>4</v>
      </c>
      <c r="P72" s="10">
        <v>0</v>
      </c>
      <c r="Q72" s="10">
        <v>0</v>
      </c>
      <c r="R72" s="10">
        <v>0</v>
      </c>
      <c r="S72" s="19">
        <v>1704</v>
      </c>
    </row>
    <row r="73" spans="1:19" x14ac:dyDescent="0.25">
      <c r="A73" t="s">
        <v>512</v>
      </c>
      <c r="B73" t="s">
        <v>103</v>
      </c>
      <c r="C73" s="1">
        <f>1769+10</f>
        <v>1779</v>
      </c>
      <c r="D73" s="1">
        <v>0</v>
      </c>
      <c r="E73" s="1">
        <v>0</v>
      </c>
      <c r="F73" s="1">
        <v>0</v>
      </c>
      <c r="G73" s="1">
        <v>0</v>
      </c>
      <c r="H73" s="1">
        <v>45</v>
      </c>
      <c r="I73" s="1">
        <v>20</v>
      </c>
      <c r="J73" s="1"/>
      <c r="L73" s="12">
        <v>133</v>
      </c>
      <c r="M73" s="12" t="s">
        <v>107</v>
      </c>
      <c r="N73" s="12">
        <v>11586</v>
      </c>
      <c r="O73" s="12">
        <v>113</v>
      </c>
      <c r="P73" s="12">
        <v>0</v>
      </c>
      <c r="Q73" s="12">
        <v>0</v>
      </c>
      <c r="R73" s="12">
        <v>0</v>
      </c>
      <c r="S73" s="18">
        <v>3623</v>
      </c>
    </row>
    <row r="74" spans="1:19" x14ac:dyDescent="0.25">
      <c r="A74" t="s">
        <v>104</v>
      </c>
      <c r="B74" t="s">
        <v>105</v>
      </c>
      <c r="C74" s="1">
        <f>2012+1005</f>
        <v>3017</v>
      </c>
      <c r="D74" s="1">
        <f>2+2</f>
        <v>4</v>
      </c>
      <c r="E74" s="1">
        <v>0</v>
      </c>
      <c r="F74" s="1">
        <v>0</v>
      </c>
      <c r="G74" s="1">
        <v>0</v>
      </c>
      <c r="H74" s="1">
        <v>1704</v>
      </c>
      <c r="I74" s="1">
        <v>836</v>
      </c>
      <c r="J74" s="1"/>
      <c r="L74" s="10">
        <v>127</v>
      </c>
      <c r="M74" s="10" t="s">
        <v>109</v>
      </c>
      <c r="N74" s="10">
        <v>4502</v>
      </c>
      <c r="O74" s="10">
        <v>100</v>
      </c>
      <c r="P74" s="10">
        <v>0</v>
      </c>
      <c r="Q74" s="10">
        <v>0</v>
      </c>
      <c r="R74" s="10">
        <v>0</v>
      </c>
      <c r="S74" s="19">
        <v>3368</v>
      </c>
    </row>
    <row r="75" spans="1:19" x14ac:dyDescent="0.25">
      <c r="A75" t="s">
        <v>106</v>
      </c>
      <c r="B75" t="s">
        <v>107</v>
      </c>
      <c r="C75" s="1">
        <f>9629+2+4+1951</f>
        <v>11586</v>
      </c>
      <c r="D75" s="1">
        <f>18+1+94</f>
        <v>113</v>
      </c>
      <c r="E75" s="1">
        <v>0</v>
      </c>
      <c r="F75" s="1">
        <v>0</v>
      </c>
      <c r="G75" s="1">
        <v>0</v>
      </c>
      <c r="H75" s="1">
        <v>3623</v>
      </c>
      <c r="I75" s="1">
        <v>1699</v>
      </c>
      <c r="J75" s="1"/>
      <c r="L75" s="12">
        <v>123</v>
      </c>
      <c r="M75" s="12" t="s">
        <v>111</v>
      </c>
      <c r="N75" s="12">
        <v>2245</v>
      </c>
      <c r="O75" s="12">
        <v>8</v>
      </c>
      <c r="P75" s="12">
        <v>0</v>
      </c>
      <c r="Q75" s="12">
        <v>0</v>
      </c>
      <c r="R75" s="12">
        <v>0</v>
      </c>
      <c r="S75" s="18">
        <v>1919</v>
      </c>
    </row>
    <row r="76" spans="1:19" x14ac:dyDescent="0.25">
      <c r="A76" t="s">
        <v>108</v>
      </c>
      <c r="B76" t="s">
        <v>109</v>
      </c>
      <c r="C76" s="1">
        <f>3176+18+3+27+1276+2</f>
        <v>4502</v>
      </c>
      <c r="D76" s="1">
        <f>28+6+41+25</f>
        <v>100</v>
      </c>
      <c r="E76" s="1">
        <v>0</v>
      </c>
      <c r="F76" s="1">
        <v>0</v>
      </c>
      <c r="G76" s="1">
        <v>0</v>
      </c>
      <c r="H76" s="1">
        <v>3368</v>
      </c>
      <c r="I76" s="1">
        <v>1033</v>
      </c>
      <c r="J76" s="1"/>
      <c r="L76" s="10">
        <v>511</v>
      </c>
      <c r="M76" s="10" t="s">
        <v>112</v>
      </c>
      <c r="N76" s="10">
        <v>5223</v>
      </c>
      <c r="O76" s="10">
        <v>3</v>
      </c>
      <c r="P76" s="10">
        <v>0</v>
      </c>
      <c r="Q76" s="10">
        <v>0</v>
      </c>
      <c r="R76" s="10">
        <v>0</v>
      </c>
      <c r="S76" s="19">
        <v>17642</v>
      </c>
    </row>
    <row r="77" spans="1:19" x14ac:dyDescent="0.25">
      <c r="A77" t="s">
        <v>110</v>
      </c>
      <c r="B77" t="s">
        <v>111</v>
      </c>
      <c r="C77" s="1">
        <f>1591+2+652</f>
        <v>2245</v>
      </c>
      <c r="D77" s="1">
        <f>4+4</f>
        <v>8</v>
      </c>
      <c r="E77" s="1">
        <v>0</v>
      </c>
      <c r="F77" s="1">
        <v>0</v>
      </c>
      <c r="G77" s="1">
        <v>0</v>
      </c>
      <c r="H77" s="1">
        <v>1919</v>
      </c>
      <c r="I77" s="1">
        <v>627</v>
      </c>
      <c r="J77" s="1"/>
      <c r="L77" s="12">
        <v>135</v>
      </c>
      <c r="M77" s="12" t="s">
        <v>114</v>
      </c>
      <c r="N77" s="12">
        <v>1791</v>
      </c>
      <c r="O77" s="12">
        <v>6</v>
      </c>
      <c r="P77" s="12">
        <v>0</v>
      </c>
      <c r="Q77" s="12">
        <v>0</v>
      </c>
      <c r="R77" s="12">
        <v>0</v>
      </c>
      <c r="S77" s="18">
        <v>7731</v>
      </c>
    </row>
    <row r="78" spans="1:19" x14ac:dyDescent="0.25">
      <c r="A78" t="s">
        <v>101</v>
      </c>
      <c r="B78" t="s">
        <v>112</v>
      </c>
      <c r="C78" s="1">
        <f>4824+69+1+329</f>
        <v>5223</v>
      </c>
      <c r="D78" s="1">
        <v>3</v>
      </c>
      <c r="E78" s="1">
        <v>0</v>
      </c>
      <c r="F78" s="1">
        <v>0</v>
      </c>
      <c r="G78" s="1">
        <v>0</v>
      </c>
      <c r="H78" s="1">
        <v>17642</v>
      </c>
      <c r="I78" s="1">
        <v>256</v>
      </c>
      <c r="J78" s="1"/>
      <c r="L78" s="10">
        <v>122</v>
      </c>
      <c r="M78" s="10" t="s">
        <v>116</v>
      </c>
      <c r="N78" s="10">
        <v>4356</v>
      </c>
      <c r="O78" s="10">
        <v>56</v>
      </c>
      <c r="P78" s="10">
        <v>0</v>
      </c>
      <c r="Q78" s="10">
        <v>0</v>
      </c>
      <c r="R78" s="10">
        <v>0</v>
      </c>
      <c r="S78" s="19">
        <v>1079</v>
      </c>
    </row>
    <row r="79" spans="1:19" x14ac:dyDescent="0.25">
      <c r="A79" t="s">
        <v>113</v>
      </c>
      <c r="B79" t="s">
        <v>114</v>
      </c>
      <c r="C79" s="1">
        <f>833+2+6+950</f>
        <v>1791</v>
      </c>
      <c r="D79" s="1">
        <v>6</v>
      </c>
      <c r="E79" s="1">
        <v>0</v>
      </c>
      <c r="F79" s="1">
        <v>0</v>
      </c>
      <c r="G79" s="1">
        <v>0</v>
      </c>
      <c r="H79" s="1">
        <v>7731</v>
      </c>
      <c r="I79" s="1">
        <v>894</v>
      </c>
      <c r="J79" s="1"/>
      <c r="L79" s="12">
        <v>613</v>
      </c>
      <c r="M79" s="12" t="s">
        <v>117</v>
      </c>
      <c r="N79" s="12"/>
      <c r="O79" s="12"/>
      <c r="P79" s="12"/>
      <c r="Q79" s="12"/>
      <c r="R79" s="12"/>
      <c r="S79" s="18"/>
    </row>
    <row r="80" spans="1:19" x14ac:dyDescent="0.25">
      <c r="A80" t="s">
        <v>115</v>
      </c>
      <c r="B80" t="s">
        <v>116</v>
      </c>
      <c r="C80" s="1">
        <f>3267+1089</f>
        <v>4356</v>
      </c>
      <c r="D80" s="1">
        <f>31+20+5</f>
        <v>56</v>
      </c>
      <c r="E80" s="1">
        <v>0</v>
      </c>
      <c r="F80" s="1">
        <v>0</v>
      </c>
      <c r="G80" s="1">
        <v>0</v>
      </c>
      <c r="H80" s="1">
        <v>1079</v>
      </c>
      <c r="I80" s="1">
        <v>977</v>
      </c>
      <c r="J80" s="1"/>
      <c r="L80" s="10">
        <v>137</v>
      </c>
      <c r="M80" s="10" t="s">
        <v>119</v>
      </c>
      <c r="N80" s="10">
        <v>4388</v>
      </c>
      <c r="O80" s="10">
        <v>31</v>
      </c>
      <c r="P80" s="10">
        <v>0</v>
      </c>
      <c r="Q80" s="10">
        <v>0</v>
      </c>
      <c r="R80" s="10">
        <v>0</v>
      </c>
      <c r="S80" s="19">
        <v>2024</v>
      </c>
    </row>
    <row r="81" spans="1:19" x14ac:dyDescent="0.25">
      <c r="A81" t="s">
        <v>823</v>
      </c>
      <c r="B81" t="s">
        <v>117</v>
      </c>
      <c r="C81" s="1"/>
      <c r="D81" s="1"/>
      <c r="E81" s="1"/>
      <c r="F81" s="1"/>
      <c r="G81" s="1"/>
      <c r="H81" s="1"/>
      <c r="I81" s="1"/>
      <c r="J81" s="1"/>
      <c r="L81" s="12">
        <v>311</v>
      </c>
      <c r="M81" s="12" t="s">
        <v>121</v>
      </c>
      <c r="N81" s="12">
        <v>2360</v>
      </c>
      <c r="O81" s="12">
        <v>0</v>
      </c>
      <c r="P81" s="12">
        <v>0</v>
      </c>
      <c r="Q81" s="12">
        <v>0</v>
      </c>
      <c r="R81" s="12">
        <v>0</v>
      </c>
      <c r="S81" s="18">
        <v>4693</v>
      </c>
    </row>
    <row r="82" spans="1:19" x14ac:dyDescent="0.25">
      <c r="A82" t="s">
        <v>118</v>
      </c>
      <c r="B82" t="s">
        <v>119</v>
      </c>
      <c r="C82" s="1"/>
      <c r="D82" s="1"/>
      <c r="E82" s="1"/>
      <c r="F82" s="1"/>
      <c r="G82" s="1"/>
      <c r="H82" s="1"/>
      <c r="I82" s="1"/>
      <c r="J82" s="1"/>
      <c r="L82" s="10">
        <v>130</v>
      </c>
      <c r="M82" s="10" t="s">
        <v>122</v>
      </c>
      <c r="N82" s="10">
        <v>3801</v>
      </c>
      <c r="O82" s="10">
        <v>0</v>
      </c>
      <c r="P82" s="10">
        <v>0</v>
      </c>
      <c r="Q82" s="10">
        <v>0</v>
      </c>
      <c r="R82" s="10">
        <v>0</v>
      </c>
      <c r="S82" s="19">
        <v>1443</v>
      </c>
    </row>
    <row r="83" spans="1:19" x14ac:dyDescent="0.25">
      <c r="A83" t="s">
        <v>120</v>
      </c>
      <c r="B83" t="s">
        <v>121</v>
      </c>
      <c r="C83" s="1"/>
      <c r="D83" s="1"/>
      <c r="E83" s="1"/>
      <c r="F83" s="1"/>
      <c r="G83" s="1"/>
      <c r="H83" s="1"/>
      <c r="I83" s="1"/>
      <c r="J83" s="1"/>
      <c r="L83" s="12">
        <v>124</v>
      </c>
      <c r="M83" s="12" t="s">
        <v>124</v>
      </c>
      <c r="N83" s="12">
        <v>3341</v>
      </c>
      <c r="O83" s="12">
        <v>0</v>
      </c>
      <c r="P83" s="12">
        <v>0</v>
      </c>
      <c r="Q83" s="12">
        <v>0</v>
      </c>
      <c r="R83" s="12">
        <v>0</v>
      </c>
      <c r="S83" s="18">
        <v>2264</v>
      </c>
    </row>
    <row r="84" spans="1:19" x14ac:dyDescent="0.25">
      <c r="A84" t="s">
        <v>793</v>
      </c>
      <c r="B84" t="s">
        <v>122</v>
      </c>
      <c r="C84" s="1">
        <f>2588+1+1212</f>
        <v>3801</v>
      </c>
      <c r="D84" s="1">
        <v>0</v>
      </c>
      <c r="E84" s="1">
        <v>0</v>
      </c>
      <c r="F84" s="1">
        <v>0</v>
      </c>
      <c r="G84" s="1">
        <v>0</v>
      </c>
      <c r="H84" s="1">
        <v>1443</v>
      </c>
      <c r="I84" s="1">
        <v>963</v>
      </c>
      <c r="J84" s="1"/>
      <c r="L84" s="10">
        <v>613</v>
      </c>
      <c r="M84" s="10" t="s">
        <v>125</v>
      </c>
      <c r="N84" s="10"/>
      <c r="O84" s="10"/>
      <c r="P84" s="10"/>
      <c r="Q84" s="10"/>
      <c r="R84" s="10"/>
      <c r="S84" s="19"/>
    </row>
    <row r="85" spans="1:19" x14ac:dyDescent="0.25">
      <c r="A85" t="s">
        <v>123</v>
      </c>
      <c r="B85" t="s">
        <v>124</v>
      </c>
      <c r="C85" s="1">
        <f>2479+862</f>
        <v>3341</v>
      </c>
      <c r="D85" s="1">
        <v>0</v>
      </c>
      <c r="E85" s="1">
        <v>0</v>
      </c>
      <c r="F85" s="1">
        <v>0</v>
      </c>
      <c r="G85" s="1">
        <v>0</v>
      </c>
      <c r="H85" s="1">
        <v>2264</v>
      </c>
      <c r="I85" s="1">
        <v>735</v>
      </c>
      <c r="J85" s="1"/>
      <c r="L85" s="12">
        <v>600</v>
      </c>
      <c r="M85" s="12" t="s">
        <v>126</v>
      </c>
      <c r="N85" s="12">
        <v>5083</v>
      </c>
      <c r="O85" s="12">
        <v>6</v>
      </c>
      <c r="P85" s="12">
        <v>0</v>
      </c>
      <c r="Q85" s="12">
        <v>0</v>
      </c>
      <c r="R85" s="12">
        <v>0</v>
      </c>
      <c r="S85" s="18">
        <v>4817</v>
      </c>
    </row>
    <row r="86" spans="1:19" x14ac:dyDescent="0.25">
      <c r="A86" t="s">
        <v>823</v>
      </c>
      <c r="B86" t="s">
        <v>125</v>
      </c>
      <c r="C86" s="1"/>
      <c r="D86" s="1"/>
      <c r="E86" s="1"/>
      <c r="F86" s="1"/>
      <c r="G86" s="1"/>
      <c r="H86" s="1"/>
      <c r="I86" s="1"/>
      <c r="J86" s="1"/>
      <c r="L86" s="10">
        <v>128</v>
      </c>
      <c r="M86" s="10" t="s">
        <v>127</v>
      </c>
      <c r="N86" s="10">
        <v>2451</v>
      </c>
      <c r="O86" s="10">
        <v>19</v>
      </c>
      <c r="P86" s="10">
        <v>0</v>
      </c>
      <c r="Q86" s="10">
        <v>0</v>
      </c>
      <c r="R86" s="10">
        <v>0</v>
      </c>
      <c r="S86" s="19">
        <v>1967</v>
      </c>
    </row>
    <row r="87" spans="1:19" x14ac:dyDescent="0.25">
      <c r="A87" t="s">
        <v>248</v>
      </c>
      <c r="B87" t="s">
        <v>126</v>
      </c>
      <c r="C87" s="1">
        <f>4116+2+965</f>
        <v>5083</v>
      </c>
      <c r="D87" s="1">
        <v>6</v>
      </c>
      <c r="E87" s="1"/>
      <c r="F87" s="1"/>
      <c r="G87" s="1"/>
      <c r="H87" s="1">
        <v>4817</v>
      </c>
      <c r="I87" s="1">
        <v>838</v>
      </c>
      <c r="J87" s="1"/>
      <c r="L87" s="12">
        <v>136</v>
      </c>
      <c r="M87" s="12" t="s">
        <v>129</v>
      </c>
      <c r="N87" s="12">
        <v>6265</v>
      </c>
      <c r="O87" s="12">
        <v>43</v>
      </c>
      <c r="P87" s="12">
        <v>0</v>
      </c>
      <c r="Q87" s="12">
        <v>0</v>
      </c>
      <c r="R87" s="12">
        <v>0</v>
      </c>
      <c r="S87" s="18">
        <v>1904</v>
      </c>
    </row>
    <row r="88" spans="1:19" x14ac:dyDescent="0.25">
      <c r="A88" t="s">
        <v>813</v>
      </c>
      <c r="B88" t="s">
        <v>127</v>
      </c>
      <c r="C88" s="1"/>
      <c r="D88" s="1"/>
      <c r="E88" s="1"/>
      <c r="F88" s="1"/>
      <c r="G88" s="1"/>
      <c r="H88" s="1"/>
      <c r="I88" s="1"/>
      <c r="J88" s="1"/>
      <c r="L88" s="10" t="s">
        <v>814</v>
      </c>
      <c r="M88" s="10" t="s">
        <v>130</v>
      </c>
      <c r="N88" s="10">
        <v>9757</v>
      </c>
      <c r="O88" s="10">
        <v>69</v>
      </c>
      <c r="P88" s="10">
        <v>0</v>
      </c>
      <c r="Q88" s="10">
        <v>0</v>
      </c>
      <c r="R88" s="10">
        <v>0</v>
      </c>
      <c r="S88" s="19">
        <v>711</v>
      </c>
    </row>
    <row r="89" spans="1:19" x14ac:dyDescent="0.25">
      <c r="A89" t="s">
        <v>128</v>
      </c>
      <c r="B89" t="s">
        <v>129</v>
      </c>
      <c r="C89" s="1"/>
      <c r="D89" s="1"/>
      <c r="E89" s="1"/>
      <c r="F89" s="1"/>
      <c r="G89" s="1"/>
      <c r="H89" s="1"/>
      <c r="I89" s="1"/>
      <c r="J89" s="1"/>
      <c r="L89" s="12">
        <v>211</v>
      </c>
      <c r="M89" s="12" t="s">
        <v>132</v>
      </c>
      <c r="N89" s="12">
        <v>6014</v>
      </c>
      <c r="O89" s="12">
        <v>26</v>
      </c>
      <c r="P89" s="12">
        <v>0</v>
      </c>
      <c r="Q89" s="12">
        <v>0</v>
      </c>
      <c r="R89" s="12">
        <v>0</v>
      </c>
      <c r="S89" s="18">
        <v>13666</v>
      </c>
    </row>
    <row r="90" spans="1:19" x14ac:dyDescent="0.25">
      <c r="A90" t="s">
        <v>794</v>
      </c>
      <c r="B90" t="s">
        <v>130</v>
      </c>
      <c r="C90" s="1">
        <f>8701+448+608</f>
        <v>9757</v>
      </c>
      <c r="D90" s="1">
        <v>69</v>
      </c>
      <c r="E90" s="1">
        <v>0</v>
      </c>
      <c r="F90" s="1">
        <v>0</v>
      </c>
      <c r="G90" s="1">
        <v>0</v>
      </c>
      <c r="H90" s="1">
        <v>711</v>
      </c>
      <c r="I90" s="1">
        <v>524</v>
      </c>
      <c r="J90" s="1"/>
      <c r="L90" s="10">
        <v>313</v>
      </c>
      <c r="M90" s="10" t="s">
        <v>133</v>
      </c>
      <c r="N90" s="10">
        <v>2795</v>
      </c>
      <c r="O90" s="10">
        <v>0</v>
      </c>
      <c r="P90" s="10">
        <v>0</v>
      </c>
      <c r="Q90" s="10">
        <v>0</v>
      </c>
      <c r="R90" s="10">
        <v>0</v>
      </c>
      <c r="S90" s="19">
        <v>132</v>
      </c>
    </row>
    <row r="91" spans="1:19" x14ac:dyDescent="0.25">
      <c r="A91" t="s">
        <v>131</v>
      </c>
      <c r="B91" t="s">
        <v>132</v>
      </c>
      <c r="C91" s="1">
        <f>4900+1114</f>
        <v>6014</v>
      </c>
      <c r="D91" s="1">
        <f>2+24</f>
        <v>26</v>
      </c>
      <c r="E91" s="1">
        <v>0</v>
      </c>
      <c r="F91" s="1">
        <v>0</v>
      </c>
      <c r="G91" s="1">
        <v>0</v>
      </c>
      <c r="H91" s="1">
        <v>13666</v>
      </c>
      <c r="I91" s="1">
        <v>842</v>
      </c>
      <c r="J91" s="1"/>
      <c r="L91" s="12">
        <v>514</v>
      </c>
      <c r="M91" s="12" t="s">
        <v>135</v>
      </c>
      <c r="N91" s="12">
        <v>8997</v>
      </c>
      <c r="O91" s="12">
        <v>7</v>
      </c>
      <c r="P91" s="12">
        <v>0</v>
      </c>
      <c r="Q91" s="12">
        <v>0</v>
      </c>
      <c r="R91" s="12">
        <v>0</v>
      </c>
      <c r="S91" s="18">
        <v>5573</v>
      </c>
    </row>
    <row r="92" spans="1:19" x14ac:dyDescent="0.25">
      <c r="A92" t="s">
        <v>512</v>
      </c>
      <c r="B92" t="s">
        <v>133</v>
      </c>
      <c r="C92" s="1">
        <f>2430+365</f>
        <v>2795</v>
      </c>
      <c r="D92" s="1">
        <v>0</v>
      </c>
      <c r="E92" s="1">
        <v>0</v>
      </c>
      <c r="F92" s="1">
        <v>0</v>
      </c>
      <c r="G92" s="1">
        <v>0</v>
      </c>
      <c r="H92" s="1">
        <v>132</v>
      </c>
      <c r="I92" s="1">
        <v>0</v>
      </c>
      <c r="J92" s="1"/>
      <c r="L92" s="10">
        <v>116</v>
      </c>
      <c r="M92" s="10" t="s">
        <v>136</v>
      </c>
      <c r="N92" s="10">
        <v>3928</v>
      </c>
      <c r="O92" s="10">
        <v>59</v>
      </c>
      <c r="P92" s="10">
        <v>0</v>
      </c>
      <c r="Q92" s="10">
        <v>0</v>
      </c>
      <c r="R92" s="10">
        <v>0</v>
      </c>
      <c r="S92" s="19">
        <v>2045</v>
      </c>
    </row>
    <row r="93" spans="1:19" x14ac:dyDescent="0.25">
      <c r="A93" t="s">
        <v>134</v>
      </c>
      <c r="B93" t="s">
        <v>135</v>
      </c>
      <c r="C93" s="1">
        <f>6303+21+2673</f>
        <v>8997</v>
      </c>
      <c r="D93" s="1">
        <f>4+3</f>
        <v>7</v>
      </c>
      <c r="E93" s="1">
        <v>0</v>
      </c>
      <c r="F93" s="1">
        <v>0</v>
      </c>
      <c r="G93" s="1">
        <v>0</v>
      </c>
      <c r="H93" s="1">
        <v>5573</v>
      </c>
      <c r="I93" s="1">
        <v>2654</v>
      </c>
      <c r="J93" s="1"/>
      <c r="L93" s="12">
        <v>311</v>
      </c>
      <c r="M93" s="12" t="s">
        <v>137</v>
      </c>
      <c r="N93" s="12">
        <v>3648</v>
      </c>
      <c r="O93" s="12">
        <v>0</v>
      </c>
      <c r="P93" s="12">
        <v>0</v>
      </c>
      <c r="Q93" s="12">
        <v>0</v>
      </c>
      <c r="R93" s="12">
        <v>0</v>
      </c>
      <c r="S93" s="18">
        <v>9044</v>
      </c>
    </row>
    <row r="94" spans="1:19" x14ac:dyDescent="0.25">
      <c r="A94" t="s">
        <v>795</v>
      </c>
      <c r="B94" t="s">
        <v>136</v>
      </c>
      <c r="C94" s="1"/>
      <c r="D94" s="1"/>
      <c r="E94" s="1"/>
      <c r="F94" s="1"/>
      <c r="G94" s="1"/>
      <c r="H94" s="1"/>
      <c r="I94" s="1"/>
      <c r="J94" s="1"/>
      <c r="L94" s="12" t="s">
        <v>815</v>
      </c>
      <c r="M94" s="12" t="s">
        <v>139</v>
      </c>
      <c r="N94" s="12">
        <v>4264</v>
      </c>
      <c r="O94" s="12">
        <v>15</v>
      </c>
      <c r="P94" s="12">
        <v>0</v>
      </c>
      <c r="Q94" s="12">
        <v>0</v>
      </c>
      <c r="R94" s="12">
        <v>0</v>
      </c>
      <c r="S94" s="18">
        <v>1495</v>
      </c>
    </row>
    <row r="95" spans="1:19" x14ac:dyDescent="0.25">
      <c r="A95" t="s">
        <v>120</v>
      </c>
      <c r="B95" t="s">
        <v>137</v>
      </c>
      <c r="C95" s="1">
        <f>3374+2+272</f>
        <v>3648</v>
      </c>
      <c r="D95" s="1">
        <v>0</v>
      </c>
      <c r="E95" s="1">
        <v>0</v>
      </c>
      <c r="F95" s="1">
        <v>0</v>
      </c>
      <c r="G95" s="1">
        <v>0</v>
      </c>
      <c r="H95" s="1">
        <v>9044</v>
      </c>
      <c r="I95" s="1">
        <v>239</v>
      </c>
      <c r="J95" s="1"/>
      <c r="L95" s="10">
        <v>200</v>
      </c>
      <c r="M95" s="10" t="s">
        <v>141</v>
      </c>
      <c r="N95" s="10">
        <v>333</v>
      </c>
      <c r="O95" s="10">
        <v>0</v>
      </c>
      <c r="P95" s="10">
        <v>0</v>
      </c>
      <c r="Q95" s="10">
        <v>0</v>
      </c>
      <c r="R95" s="10">
        <v>0</v>
      </c>
      <c r="S95" s="19">
        <v>180</v>
      </c>
    </row>
    <row r="96" spans="1:19" x14ac:dyDescent="0.25">
      <c r="A96" t="s">
        <v>138</v>
      </c>
      <c r="B96" t="s">
        <v>139</v>
      </c>
      <c r="C96" s="1">
        <f>3912+10+4+7+331</f>
        <v>4264</v>
      </c>
      <c r="D96" s="1">
        <v>15</v>
      </c>
      <c r="E96" s="1">
        <v>0</v>
      </c>
      <c r="F96" s="1">
        <v>0</v>
      </c>
      <c r="G96" s="1">
        <v>0</v>
      </c>
      <c r="H96" s="1">
        <v>1495</v>
      </c>
      <c r="I96" s="1">
        <v>367</v>
      </c>
      <c r="J96" s="1"/>
      <c r="L96" s="12">
        <v>310</v>
      </c>
      <c r="M96" s="12" t="s">
        <v>142</v>
      </c>
      <c r="N96" s="12"/>
      <c r="O96" s="12"/>
      <c r="P96" s="12"/>
      <c r="Q96" s="12"/>
      <c r="R96" s="12"/>
      <c r="S96" s="18"/>
    </row>
    <row r="97" spans="1:19" x14ac:dyDescent="0.25">
      <c r="A97" t="s">
        <v>140</v>
      </c>
      <c r="B97" t="s">
        <v>141</v>
      </c>
      <c r="C97" s="1">
        <f>300+33</f>
        <v>333</v>
      </c>
      <c r="D97" s="1">
        <v>0</v>
      </c>
      <c r="E97" s="1">
        <v>0</v>
      </c>
      <c r="F97" s="1">
        <v>0</v>
      </c>
      <c r="G97" s="1">
        <v>0</v>
      </c>
      <c r="H97" s="1">
        <v>180</v>
      </c>
      <c r="I97" s="1">
        <v>33</v>
      </c>
      <c r="J97" s="1"/>
      <c r="L97" s="10">
        <v>613</v>
      </c>
      <c r="M97" s="10" t="s">
        <v>143</v>
      </c>
      <c r="N97" s="10"/>
      <c r="O97" s="10"/>
      <c r="P97" s="10"/>
      <c r="Q97" s="10"/>
      <c r="R97" s="10"/>
      <c r="S97" s="19"/>
    </row>
    <row r="98" spans="1:19" x14ac:dyDescent="0.25">
      <c r="A98" t="s">
        <v>67</v>
      </c>
      <c r="B98" t="s">
        <v>142</v>
      </c>
      <c r="C98" s="1"/>
      <c r="D98" s="1"/>
      <c r="E98" s="1"/>
      <c r="F98" s="1"/>
      <c r="G98" s="1"/>
      <c r="H98" s="1"/>
      <c r="I98" s="1"/>
      <c r="J98" s="1"/>
      <c r="L98" s="12">
        <v>161</v>
      </c>
      <c r="M98" s="12" t="s">
        <v>144</v>
      </c>
      <c r="N98" s="12"/>
      <c r="O98" s="12"/>
      <c r="P98" s="12"/>
      <c r="Q98" s="12"/>
      <c r="R98" s="12"/>
      <c r="S98" s="18"/>
    </row>
    <row r="99" spans="1:19" x14ac:dyDescent="0.25">
      <c r="A99" t="s">
        <v>823</v>
      </c>
      <c r="B99" t="s">
        <v>143</v>
      </c>
      <c r="C99" s="1"/>
      <c r="D99" s="1"/>
      <c r="E99" s="1"/>
      <c r="F99" s="1"/>
      <c r="G99" s="1"/>
      <c r="H99" s="1"/>
      <c r="I99" s="1"/>
      <c r="J99" s="1"/>
      <c r="L99" s="10">
        <v>515</v>
      </c>
      <c r="M99" s="10" t="s">
        <v>145</v>
      </c>
      <c r="N99" s="10"/>
      <c r="O99" s="10"/>
      <c r="P99" s="10"/>
      <c r="Q99" s="10"/>
      <c r="R99" s="10"/>
      <c r="S99" s="19"/>
    </row>
    <row r="100" spans="1:19" x14ac:dyDescent="0.25">
      <c r="A100" t="s">
        <v>792</v>
      </c>
      <c r="B100" t="s">
        <v>144</v>
      </c>
      <c r="C100" s="1"/>
      <c r="D100" s="1"/>
      <c r="E100" s="1"/>
      <c r="F100" s="1"/>
      <c r="G100" s="1"/>
      <c r="H100" s="1"/>
      <c r="I100" s="1"/>
      <c r="J100" s="1"/>
      <c r="L100" s="12">
        <v>611</v>
      </c>
      <c r="M100" s="12" t="s">
        <v>147</v>
      </c>
      <c r="N100" s="12">
        <v>11519</v>
      </c>
      <c r="O100" s="12">
        <v>23</v>
      </c>
      <c r="P100" s="12">
        <v>0</v>
      </c>
      <c r="Q100" s="12">
        <v>0</v>
      </c>
      <c r="R100" s="12">
        <v>0</v>
      </c>
      <c r="S100" s="18">
        <v>9113</v>
      </c>
    </row>
    <row r="101" spans="1:19" x14ac:dyDescent="0.25">
      <c r="A101" t="s">
        <v>816</v>
      </c>
      <c r="B101" t="s">
        <v>145</v>
      </c>
      <c r="C101" s="1"/>
      <c r="D101" s="1"/>
      <c r="E101" s="1"/>
      <c r="F101" s="1"/>
      <c r="G101" s="1"/>
      <c r="H101" s="1"/>
      <c r="I101" s="1"/>
      <c r="J101" s="1"/>
      <c r="L101" s="10">
        <v>710</v>
      </c>
      <c r="M101" s="10" t="s">
        <v>148</v>
      </c>
      <c r="N101" s="10">
        <v>31607</v>
      </c>
      <c r="O101" s="10">
        <v>44</v>
      </c>
      <c r="P101" s="10">
        <v>0</v>
      </c>
      <c r="Q101" s="10">
        <v>0</v>
      </c>
      <c r="R101" s="10">
        <v>0</v>
      </c>
      <c r="S101" s="19">
        <v>45876</v>
      </c>
    </row>
    <row r="102" spans="1:19" x14ac:dyDescent="0.25">
      <c r="A102" t="s">
        <v>146</v>
      </c>
      <c r="B102" t="s">
        <v>147</v>
      </c>
      <c r="C102" s="1">
        <f>8453+3066</f>
        <v>11519</v>
      </c>
      <c r="D102" s="1">
        <f>21+2</f>
        <v>23</v>
      </c>
      <c r="E102" s="1">
        <v>0</v>
      </c>
      <c r="F102" s="1">
        <v>0</v>
      </c>
      <c r="G102" s="1">
        <v>0</v>
      </c>
      <c r="H102" s="1">
        <v>9113</v>
      </c>
      <c r="I102" s="1">
        <v>2619</v>
      </c>
      <c r="J102" s="1"/>
      <c r="L102" s="12">
        <v>616</v>
      </c>
      <c r="M102" s="12" t="s">
        <v>149</v>
      </c>
      <c r="N102" s="12">
        <v>4548</v>
      </c>
      <c r="O102" s="12">
        <v>183</v>
      </c>
      <c r="P102" s="12">
        <v>0</v>
      </c>
      <c r="Q102" s="12">
        <v>0</v>
      </c>
      <c r="R102" s="12">
        <v>0</v>
      </c>
      <c r="S102" s="18">
        <v>9304</v>
      </c>
    </row>
    <row r="103" spans="1:19" x14ac:dyDescent="0.25">
      <c r="A103" t="s">
        <v>804</v>
      </c>
      <c r="B103" t="s">
        <v>148</v>
      </c>
      <c r="C103" s="1"/>
      <c r="D103" s="1"/>
      <c r="E103" s="1"/>
      <c r="F103" s="1"/>
      <c r="G103" s="1"/>
      <c r="H103" s="1"/>
      <c r="I103" s="1"/>
      <c r="J103" s="1"/>
      <c r="L103" s="10">
        <v>114</v>
      </c>
      <c r="M103" s="10" t="s">
        <v>151</v>
      </c>
      <c r="N103" s="10">
        <v>2207</v>
      </c>
      <c r="O103" s="10">
        <v>0</v>
      </c>
      <c r="P103" s="10">
        <v>0</v>
      </c>
      <c r="Q103" s="10">
        <v>0</v>
      </c>
      <c r="R103" s="10">
        <v>0</v>
      </c>
      <c r="S103" s="19">
        <v>124</v>
      </c>
    </row>
    <row r="104" spans="1:19" x14ac:dyDescent="0.25">
      <c r="A104" t="s">
        <v>817</v>
      </c>
      <c r="B104" t="s">
        <v>149</v>
      </c>
      <c r="C104" s="1">
        <f>2504+1+2041+2</f>
        <v>4548</v>
      </c>
      <c r="D104" s="1">
        <f>148+11+22+2</f>
        <v>183</v>
      </c>
      <c r="E104" s="1">
        <v>0</v>
      </c>
      <c r="F104" s="1">
        <v>0</v>
      </c>
      <c r="G104" s="1">
        <v>0</v>
      </c>
      <c r="H104" s="1">
        <v>9304</v>
      </c>
      <c r="I104" s="1">
        <v>1861</v>
      </c>
      <c r="J104" s="1"/>
      <c r="L104" s="12">
        <v>611</v>
      </c>
      <c r="M104" s="12" t="s">
        <v>152</v>
      </c>
      <c r="N104" s="12">
        <v>3253</v>
      </c>
      <c r="O104" s="12">
        <v>6</v>
      </c>
      <c r="P104" s="12">
        <v>0</v>
      </c>
      <c r="Q104" s="12">
        <v>0</v>
      </c>
      <c r="R104" s="12">
        <v>0</v>
      </c>
      <c r="S104" s="18">
        <v>1430</v>
      </c>
    </row>
    <row r="105" spans="1:19" x14ac:dyDescent="0.25">
      <c r="A105" t="s">
        <v>150</v>
      </c>
      <c r="B105" t="s">
        <v>151</v>
      </c>
      <c r="C105" s="1">
        <f>1884+323</f>
        <v>2207</v>
      </c>
      <c r="D105" s="1">
        <v>0</v>
      </c>
      <c r="E105" s="1">
        <v>0</v>
      </c>
      <c r="F105" s="1">
        <v>0</v>
      </c>
      <c r="G105" s="1">
        <v>0</v>
      </c>
      <c r="H105" s="1">
        <v>124</v>
      </c>
      <c r="I105" s="1">
        <v>125</v>
      </c>
      <c r="J105" s="1"/>
      <c r="L105" s="10">
        <v>613</v>
      </c>
      <c r="M105" s="10" t="s">
        <v>153</v>
      </c>
      <c r="N105" s="10">
        <v>1922</v>
      </c>
      <c r="O105" s="10">
        <v>0</v>
      </c>
      <c r="P105" s="10">
        <v>0</v>
      </c>
      <c r="Q105" s="10">
        <v>0</v>
      </c>
      <c r="R105" s="10">
        <v>0</v>
      </c>
      <c r="S105" s="19">
        <v>61</v>
      </c>
    </row>
    <row r="106" spans="1:19" x14ac:dyDescent="0.25">
      <c r="A106" t="s">
        <v>146</v>
      </c>
      <c r="B106" t="s">
        <v>152</v>
      </c>
      <c r="C106" s="1">
        <f>1627+2+1624</f>
        <v>3253</v>
      </c>
      <c r="D106" s="1">
        <v>6</v>
      </c>
      <c r="E106" s="1">
        <v>0</v>
      </c>
      <c r="F106" s="1">
        <v>0</v>
      </c>
      <c r="G106" s="1">
        <v>0</v>
      </c>
      <c r="H106" s="1">
        <v>1430</v>
      </c>
      <c r="I106" s="1">
        <v>1250</v>
      </c>
      <c r="J106" s="1"/>
      <c r="L106" s="12">
        <v>712</v>
      </c>
      <c r="M106" s="12" t="s">
        <v>154</v>
      </c>
      <c r="N106" s="12">
        <v>6043</v>
      </c>
      <c r="O106" s="12">
        <v>1</v>
      </c>
      <c r="P106" s="12">
        <v>0</v>
      </c>
      <c r="Q106" s="12">
        <v>0</v>
      </c>
      <c r="R106" s="12">
        <v>0</v>
      </c>
      <c r="S106" s="18">
        <v>1757</v>
      </c>
    </row>
    <row r="107" spans="1:19" x14ac:dyDescent="0.25">
      <c r="A107" t="s">
        <v>495</v>
      </c>
      <c r="B107" t="s">
        <v>153</v>
      </c>
      <c r="C107" s="1">
        <f>1794+128</f>
        <v>1922</v>
      </c>
      <c r="D107" s="1">
        <v>0</v>
      </c>
      <c r="E107" s="1">
        <v>0</v>
      </c>
      <c r="F107" s="1">
        <v>0</v>
      </c>
      <c r="G107" s="1">
        <v>0</v>
      </c>
      <c r="H107" s="1">
        <v>61</v>
      </c>
      <c r="I107" s="1">
        <v>121</v>
      </c>
      <c r="J107" s="1"/>
      <c r="L107" s="10">
        <v>700</v>
      </c>
      <c r="M107" s="10" t="s">
        <v>155</v>
      </c>
      <c r="N107" s="10">
        <v>3744</v>
      </c>
      <c r="O107" s="10">
        <v>0</v>
      </c>
      <c r="P107" s="10">
        <v>0</v>
      </c>
      <c r="Q107" s="10">
        <v>0</v>
      </c>
      <c r="R107" s="10">
        <v>0</v>
      </c>
      <c r="S107" s="19">
        <v>14957</v>
      </c>
    </row>
    <row r="108" spans="1:19" x14ac:dyDescent="0.25">
      <c r="A108" t="s">
        <v>76</v>
      </c>
      <c r="B108" t="s">
        <v>154</v>
      </c>
      <c r="C108" s="1">
        <f>4032+2011</f>
        <v>6043</v>
      </c>
      <c r="D108" s="1">
        <v>1</v>
      </c>
      <c r="E108" s="1">
        <v>0</v>
      </c>
      <c r="F108" s="1">
        <v>0</v>
      </c>
      <c r="G108" s="1">
        <v>0</v>
      </c>
      <c r="H108" s="1">
        <v>1757</v>
      </c>
      <c r="I108" s="1">
        <v>1712</v>
      </c>
      <c r="J108" s="1"/>
      <c r="L108" s="12" t="s">
        <v>815</v>
      </c>
      <c r="M108" s="12" t="s">
        <v>156</v>
      </c>
      <c r="N108" s="12">
        <v>5836</v>
      </c>
      <c r="O108" s="12">
        <v>4</v>
      </c>
      <c r="P108" s="12">
        <v>0</v>
      </c>
      <c r="Q108" s="12">
        <v>0</v>
      </c>
      <c r="R108" s="12">
        <v>0</v>
      </c>
      <c r="S108" s="18">
        <v>3306</v>
      </c>
    </row>
    <row r="109" spans="1:19" x14ac:dyDescent="0.25">
      <c r="A109" t="s">
        <v>83</v>
      </c>
      <c r="B109" t="s">
        <v>155</v>
      </c>
      <c r="C109" s="1">
        <f>3077+667</f>
        <v>3744</v>
      </c>
      <c r="D109" s="1">
        <v>0</v>
      </c>
      <c r="E109" s="1">
        <v>0</v>
      </c>
      <c r="F109" s="1">
        <v>0</v>
      </c>
      <c r="G109" s="1">
        <v>0</v>
      </c>
      <c r="H109" s="1">
        <v>14957</v>
      </c>
      <c r="I109" s="1">
        <v>543</v>
      </c>
      <c r="J109" s="1"/>
      <c r="L109" s="10">
        <v>114</v>
      </c>
      <c r="M109" s="10" t="s">
        <v>157</v>
      </c>
      <c r="N109" s="10">
        <v>3987</v>
      </c>
      <c r="O109" s="10">
        <v>0</v>
      </c>
      <c r="P109" s="10">
        <v>0</v>
      </c>
      <c r="Q109" s="10">
        <v>0</v>
      </c>
      <c r="R109" s="10">
        <v>0</v>
      </c>
      <c r="S109" s="19">
        <v>2708</v>
      </c>
    </row>
    <row r="110" spans="1:19" x14ac:dyDescent="0.25">
      <c r="A110" t="s">
        <v>138</v>
      </c>
      <c r="B110" t="s">
        <v>156</v>
      </c>
      <c r="C110" s="1">
        <f>4258+1578</f>
        <v>5836</v>
      </c>
      <c r="D110" s="1">
        <f>1+3</f>
        <v>4</v>
      </c>
      <c r="E110" s="1">
        <v>0</v>
      </c>
      <c r="F110" s="1">
        <v>0</v>
      </c>
      <c r="G110" s="1">
        <v>0</v>
      </c>
      <c r="H110" s="1">
        <v>3306</v>
      </c>
      <c r="I110" s="1">
        <v>1146</v>
      </c>
      <c r="J110" s="1"/>
      <c r="L110" s="12">
        <v>715</v>
      </c>
      <c r="M110" s="12" t="s">
        <v>158</v>
      </c>
      <c r="N110" s="12">
        <v>4998</v>
      </c>
      <c r="O110" s="12">
        <v>0</v>
      </c>
      <c r="P110" s="12">
        <v>0</v>
      </c>
      <c r="Q110" s="12">
        <v>0</v>
      </c>
      <c r="R110" s="12">
        <v>0</v>
      </c>
      <c r="S110" s="18">
        <v>3122</v>
      </c>
    </row>
    <row r="111" spans="1:19" x14ac:dyDescent="0.25">
      <c r="A111" t="s">
        <v>150</v>
      </c>
      <c r="B111" t="s">
        <v>157</v>
      </c>
      <c r="C111" s="1">
        <f>2794+7+1186</f>
        <v>3987</v>
      </c>
      <c r="D111" s="1">
        <v>0</v>
      </c>
      <c r="E111" s="1">
        <v>0</v>
      </c>
      <c r="F111" s="1">
        <v>0</v>
      </c>
      <c r="G111" s="1">
        <v>0</v>
      </c>
      <c r="H111" s="1">
        <v>2708</v>
      </c>
      <c r="I111" s="1">
        <v>1147</v>
      </c>
      <c r="J111" s="1"/>
      <c r="L111" s="10">
        <v>514</v>
      </c>
      <c r="M111" s="10" t="s">
        <v>159</v>
      </c>
      <c r="N111" s="10">
        <v>505</v>
      </c>
      <c r="O111" s="10">
        <v>0</v>
      </c>
      <c r="P111" s="10">
        <v>0</v>
      </c>
      <c r="Q111" s="10">
        <v>0</v>
      </c>
      <c r="R111" s="10">
        <v>0</v>
      </c>
      <c r="S111" s="19">
        <v>910</v>
      </c>
    </row>
    <row r="112" spans="1:19" x14ac:dyDescent="0.25">
      <c r="A112" t="s">
        <v>805</v>
      </c>
      <c r="B112" t="s">
        <v>158</v>
      </c>
      <c r="C112" s="1"/>
      <c r="D112" s="1"/>
      <c r="E112" s="1"/>
      <c r="F112" s="1"/>
      <c r="G112" s="1"/>
      <c r="H112" s="1"/>
      <c r="I112" s="1"/>
      <c r="J112" s="1"/>
      <c r="L112" s="12">
        <v>116</v>
      </c>
      <c r="M112" s="12" t="s">
        <v>160</v>
      </c>
      <c r="N112" s="12">
        <v>10106</v>
      </c>
      <c r="O112" s="12">
        <v>400</v>
      </c>
      <c r="P112" s="12">
        <v>0</v>
      </c>
      <c r="Q112" s="12">
        <v>0</v>
      </c>
      <c r="R112" s="12">
        <v>0</v>
      </c>
      <c r="S112" s="18">
        <v>338</v>
      </c>
    </row>
    <row r="113" spans="1:19" x14ac:dyDescent="0.25">
      <c r="A113" t="s">
        <v>134</v>
      </c>
      <c r="B113" t="s">
        <v>159</v>
      </c>
      <c r="C113" s="1">
        <f>489+16</f>
        <v>505</v>
      </c>
      <c r="D113" s="1">
        <v>0</v>
      </c>
      <c r="E113" s="1">
        <v>0</v>
      </c>
      <c r="F113" s="1">
        <v>0</v>
      </c>
      <c r="G113" s="1">
        <v>0</v>
      </c>
      <c r="H113" s="1">
        <v>910</v>
      </c>
      <c r="I113" s="1">
        <v>17</v>
      </c>
      <c r="J113" s="1"/>
      <c r="L113" s="12"/>
      <c r="M113" t="s">
        <v>161</v>
      </c>
      <c r="N113" s="12"/>
      <c r="O113" s="12"/>
      <c r="P113" s="12"/>
      <c r="Q113" s="12"/>
      <c r="R113" s="12"/>
      <c r="S113" s="18"/>
    </row>
    <row r="114" spans="1:19" x14ac:dyDescent="0.25">
      <c r="A114" t="s">
        <v>795</v>
      </c>
      <c r="B114" t="s">
        <v>160</v>
      </c>
      <c r="C114" s="1"/>
      <c r="D114" s="1"/>
      <c r="E114" s="1"/>
      <c r="F114" s="1"/>
      <c r="G114" s="1"/>
      <c r="H114" s="1"/>
      <c r="I114" s="1"/>
      <c r="J114" s="1"/>
      <c r="L114" s="10">
        <v>100</v>
      </c>
      <c r="M114" s="10" t="s">
        <v>162</v>
      </c>
      <c r="N114" s="10">
        <v>1951</v>
      </c>
      <c r="O114" s="10">
        <v>0</v>
      </c>
      <c r="P114" s="10">
        <v>0</v>
      </c>
      <c r="Q114" s="10">
        <v>0</v>
      </c>
      <c r="R114" s="10">
        <v>0</v>
      </c>
      <c r="S114" s="19">
        <v>831</v>
      </c>
    </row>
    <row r="115" spans="1:19" x14ac:dyDescent="0.25">
      <c r="A115" t="s">
        <v>226</v>
      </c>
      <c r="B115" t="s">
        <v>161</v>
      </c>
      <c r="C115" s="1"/>
      <c r="D115" s="1"/>
      <c r="E115" s="1"/>
      <c r="F115" s="1"/>
      <c r="G115" s="1"/>
      <c r="H115" s="1"/>
      <c r="I115" s="1"/>
      <c r="J115" s="1"/>
      <c r="L115" s="12">
        <v>111</v>
      </c>
      <c r="M115" s="12" t="s">
        <v>163</v>
      </c>
      <c r="N115" s="12">
        <v>12897</v>
      </c>
      <c r="O115" s="12">
        <v>410</v>
      </c>
      <c r="P115" s="12">
        <v>0</v>
      </c>
      <c r="Q115" s="12">
        <v>0</v>
      </c>
      <c r="R115" s="12">
        <v>0</v>
      </c>
      <c r="S115" s="18">
        <v>10820</v>
      </c>
    </row>
    <row r="116" spans="1:19" x14ac:dyDescent="0.25">
      <c r="A116" t="s">
        <v>791</v>
      </c>
      <c r="B116" t="s">
        <v>162</v>
      </c>
      <c r="C116" s="1"/>
      <c r="D116" s="1"/>
      <c r="E116" s="1"/>
      <c r="F116" s="1"/>
      <c r="G116" s="1"/>
      <c r="H116" s="1"/>
      <c r="I116" s="1"/>
      <c r="J116" s="1"/>
      <c r="L116" s="12" t="s">
        <v>815</v>
      </c>
      <c r="M116" s="12" t="s">
        <v>164</v>
      </c>
      <c r="N116" s="12">
        <v>10033</v>
      </c>
      <c r="O116" s="12">
        <v>38</v>
      </c>
      <c r="P116" s="12">
        <v>0</v>
      </c>
      <c r="Q116" s="12">
        <v>0</v>
      </c>
      <c r="R116" s="12">
        <v>0</v>
      </c>
      <c r="S116" s="18">
        <v>4050</v>
      </c>
    </row>
    <row r="117" spans="1:19" x14ac:dyDescent="0.25">
      <c r="A117" t="s">
        <v>811</v>
      </c>
      <c r="B117" t="s">
        <v>163</v>
      </c>
      <c r="C117" s="1"/>
      <c r="D117" s="1"/>
      <c r="E117" s="1"/>
      <c r="F117" s="1"/>
      <c r="G117" s="1"/>
      <c r="H117" s="1"/>
      <c r="I117" s="1"/>
      <c r="J117" s="1"/>
      <c r="L117" s="10">
        <v>700</v>
      </c>
      <c r="M117" s="10" t="s">
        <v>165</v>
      </c>
      <c r="N117" s="10">
        <v>3090</v>
      </c>
      <c r="O117" s="10">
        <v>123</v>
      </c>
      <c r="P117" s="10">
        <v>0</v>
      </c>
      <c r="Q117" s="10">
        <v>0</v>
      </c>
      <c r="R117" s="10">
        <v>0</v>
      </c>
      <c r="S117" s="19">
        <v>306</v>
      </c>
    </row>
    <row r="118" spans="1:19" x14ac:dyDescent="0.25">
      <c r="A118" t="s">
        <v>138</v>
      </c>
      <c r="B118" t="s">
        <v>164</v>
      </c>
      <c r="C118" s="1">
        <f>8514+5+1514</f>
        <v>10033</v>
      </c>
      <c r="D118" s="1">
        <f>36+2</f>
        <v>38</v>
      </c>
      <c r="E118" s="1">
        <v>0</v>
      </c>
      <c r="F118" s="1">
        <v>0</v>
      </c>
      <c r="G118" s="1">
        <v>0</v>
      </c>
      <c r="H118" s="1">
        <v>4050</v>
      </c>
      <c r="I118" s="1">
        <v>1365</v>
      </c>
      <c r="J118" s="1"/>
      <c r="L118" s="12">
        <v>715</v>
      </c>
      <c r="M118" s="12" t="s">
        <v>166</v>
      </c>
      <c r="N118" s="12">
        <v>245</v>
      </c>
      <c r="O118" s="12">
        <v>0</v>
      </c>
      <c r="P118" s="12">
        <v>0</v>
      </c>
      <c r="Q118" s="12">
        <v>0</v>
      </c>
      <c r="R118" s="12">
        <v>0</v>
      </c>
      <c r="S118" s="18">
        <v>2</v>
      </c>
    </row>
    <row r="119" spans="1:19" x14ac:dyDescent="0.25">
      <c r="A119" t="s">
        <v>83</v>
      </c>
      <c r="B119" t="s">
        <v>165</v>
      </c>
      <c r="C119" s="1">
        <f>1853+1237</f>
        <v>3090</v>
      </c>
      <c r="D119" s="1">
        <f>99+24</f>
        <v>123</v>
      </c>
      <c r="E119" s="1">
        <v>0</v>
      </c>
      <c r="F119" s="1">
        <v>0</v>
      </c>
      <c r="G119" s="1">
        <v>0</v>
      </c>
      <c r="H119" s="1">
        <v>306</v>
      </c>
      <c r="I119" s="1">
        <v>1272</v>
      </c>
      <c r="J119" s="1"/>
      <c r="L119" s="10">
        <v>711</v>
      </c>
      <c r="M119" s="10" t="s">
        <v>167</v>
      </c>
      <c r="N119" s="10">
        <v>10512</v>
      </c>
      <c r="O119" s="10">
        <v>3</v>
      </c>
      <c r="P119" s="10">
        <v>0</v>
      </c>
      <c r="Q119" s="10">
        <v>0</v>
      </c>
      <c r="R119" s="10">
        <v>0</v>
      </c>
      <c r="S119" s="19">
        <v>5156</v>
      </c>
    </row>
    <row r="120" spans="1:19" x14ac:dyDescent="0.25">
      <c r="A120" t="s">
        <v>805</v>
      </c>
      <c r="B120" t="s">
        <v>166</v>
      </c>
      <c r="C120" s="1"/>
      <c r="D120" s="1"/>
      <c r="E120" s="1"/>
      <c r="F120" s="1"/>
      <c r="G120" s="1"/>
      <c r="H120" s="1"/>
      <c r="I120" s="1"/>
      <c r="J120" s="1"/>
      <c r="L120" s="12">
        <v>120</v>
      </c>
      <c r="M120" s="12" t="s">
        <v>168</v>
      </c>
      <c r="N120" s="12"/>
      <c r="O120" s="12"/>
      <c r="P120" s="12"/>
      <c r="Q120" s="12"/>
      <c r="R120" s="12"/>
      <c r="S120" s="18"/>
    </row>
    <row r="121" spans="1:19" x14ac:dyDescent="0.25">
      <c r="A121" t="s">
        <v>801</v>
      </c>
      <c r="B121" t="s">
        <v>167</v>
      </c>
      <c r="C121" s="1">
        <f>9865+14+2+631</f>
        <v>10512</v>
      </c>
      <c r="D121" s="1">
        <v>3</v>
      </c>
      <c r="E121" s="1">
        <v>0</v>
      </c>
      <c r="F121" s="1">
        <v>0</v>
      </c>
      <c r="G121" s="1">
        <v>0</v>
      </c>
      <c r="H121" s="1">
        <v>5156</v>
      </c>
      <c r="I121" s="1">
        <v>617</v>
      </c>
      <c r="J121" s="1"/>
      <c r="L121" s="10">
        <v>161</v>
      </c>
      <c r="M121" s="10" t="s">
        <v>169</v>
      </c>
      <c r="N121" s="10"/>
      <c r="O121" s="10"/>
      <c r="P121" s="10"/>
      <c r="Q121" s="10"/>
      <c r="R121" s="10"/>
      <c r="S121" s="19"/>
    </row>
    <row r="122" spans="1:19" x14ac:dyDescent="0.25">
      <c r="A122" t="s">
        <v>802</v>
      </c>
      <c r="B122" t="s">
        <v>168</v>
      </c>
      <c r="C122" s="1"/>
      <c r="D122" s="1"/>
      <c r="E122" s="1"/>
      <c r="F122" s="1"/>
      <c r="G122" s="1"/>
      <c r="H122" s="1"/>
      <c r="I122" s="1"/>
      <c r="J122" s="1"/>
      <c r="L122" s="12">
        <v>111</v>
      </c>
      <c r="M122" s="12" t="s">
        <v>170</v>
      </c>
      <c r="N122" s="12">
        <v>5009</v>
      </c>
      <c r="O122" s="12">
        <v>8</v>
      </c>
      <c r="P122" s="12">
        <v>0</v>
      </c>
      <c r="Q122" s="12">
        <v>0</v>
      </c>
      <c r="R122" s="12">
        <v>0</v>
      </c>
      <c r="S122" s="18">
        <v>2684</v>
      </c>
    </row>
    <row r="123" spans="1:19" x14ac:dyDescent="0.25">
      <c r="A123" t="s">
        <v>792</v>
      </c>
      <c r="B123" t="s">
        <v>169</v>
      </c>
      <c r="C123" s="1"/>
      <c r="D123" s="1"/>
      <c r="E123" s="1"/>
      <c r="F123" s="1"/>
      <c r="G123" s="1"/>
      <c r="H123" s="1"/>
      <c r="I123" s="1"/>
      <c r="J123" s="1"/>
      <c r="L123" s="10">
        <v>313</v>
      </c>
      <c r="M123" s="10" t="s">
        <v>171</v>
      </c>
      <c r="N123" s="10">
        <v>872</v>
      </c>
      <c r="O123" s="10">
        <v>0</v>
      </c>
      <c r="P123" s="10">
        <v>0</v>
      </c>
      <c r="Q123" s="10">
        <v>0</v>
      </c>
      <c r="R123" s="10">
        <v>0</v>
      </c>
      <c r="S123" s="19">
        <v>1071</v>
      </c>
    </row>
    <row r="124" spans="1:19" x14ac:dyDescent="0.25">
      <c r="A124" t="s">
        <v>811</v>
      </c>
      <c r="B124" t="s">
        <v>170</v>
      </c>
      <c r="C124" s="1"/>
      <c r="D124" s="1"/>
      <c r="E124" s="1"/>
      <c r="F124" s="1"/>
      <c r="G124" s="1"/>
      <c r="H124" s="1"/>
      <c r="I124" s="1"/>
      <c r="J124" s="1"/>
      <c r="L124" s="12">
        <v>161</v>
      </c>
      <c r="M124" s="12" t="s">
        <v>172</v>
      </c>
      <c r="N124" s="12"/>
      <c r="O124" s="12"/>
      <c r="P124" s="12"/>
      <c r="Q124" s="12"/>
      <c r="R124" s="12"/>
      <c r="S124" s="18"/>
    </row>
    <row r="125" spans="1:19" x14ac:dyDescent="0.25">
      <c r="A125" t="s">
        <v>512</v>
      </c>
      <c r="B125" t="s">
        <v>171</v>
      </c>
      <c r="C125" s="1">
        <f>602+270</f>
        <v>872</v>
      </c>
      <c r="D125" s="1">
        <v>0</v>
      </c>
      <c r="E125" s="1">
        <v>0</v>
      </c>
      <c r="F125" s="1">
        <v>0</v>
      </c>
      <c r="G125" s="1">
        <v>0</v>
      </c>
      <c r="H125" s="1">
        <v>1071</v>
      </c>
      <c r="I125" s="1">
        <v>126</v>
      </c>
      <c r="J125" s="1"/>
      <c r="L125" s="10">
        <v>711</v>
      </c>
      <c r="M125" s="10" t="s">
        <v>173</v>
      </c>
      <c r="N125" s="10">
        <v>11686</v>
      </c>
      <c r="O125" s="10">
        <v>80</v>
      </c>
      <c r="P125" s="10">
        <v>0</v>
      </c>
      <c r="Q125" s="10">
        <v>0</v>
      </c>
      <c r="R125" s="10">
        <v>0</v>
      </c>
      <c r="S125" s="19">
        <v>13264</v>
      </c>
    </row>
    <row r="126" spans="1:19" x14ac:dyDescent="0.25">
      <c r="A126" t="s">
        <v>792</v>
      </c>
      <c r="B126" t="s">
        <v>172</v>
      </c>
      <c r="C126" s="1"/>
      <c r="D126" s="1"/>
      <c r="E126" s="1"/>
      <c r="F126" s="1"/>
      <c r="G126" s="1"/>
      <c r="H126" s="1"/>
      <c r="I126" s="1"/>
      <c r="J126" s="1"/>
      <c r="L126" s="12">
        <v>211</v>
      </c>
      <c r="M126" s="12" t="s">
        <v>174</v>
      </c>
      <c r="N126" s="12">
        <v>1291</v>
      </c>
      <c r="O126" s="12">
        <v>2</v>
      </c>
      <c r="P126" s="12">
        <v>0</v>
      </c>
      <c r="Q126" s="12">
        <v>0</v>
      </c>
      <c r="R126" s="12">
        <v>0</v>
      </c>
      <c r="S126" s="18">
        <v>1091</v>
      </c>
    </row>
    <row r="127" spans="1:19" x14ac:dyDescent="0.25">
      <c r="A127" t="s">
        <v>801</v>
      </c>
      <c r="B127" t="s">
        <v>173</v>
      </c>
      <c r="C127" s="1">
        <f>7702+1+608+6+3369</f>
        <v>11686</v>
      </c>
      <c r="D127" s="1">
        <f>50+30</f>
        <v>80</v>
      </c>
      <c r="E127" s="1">
        <v>0</v>
      </c>
      <c r="F127" s="1">
        <v>0</v>
      </c>
      <c r="G127" s="1">
        <v>0</v>
      </c>
      <c r="H127" s="1">
        <v>13264</v>
      </c>
      <c r="I127" s="1">
        <v>3242</v>
      </c>
      <c r="J127" s="1"/>
      <c r="L127" s="10">
        <v>300</v>
      </c>
      <c r="M127" s="10" t="s">
        <v>175</v>
      </c>
      <c r="N127" s="10"/>
      <c r="O127" s="10"/>
      <c r="P127" s="10"/>
      <c r="Q127" s="10"/>
      <c r="R127" s="10"/>
      <c r="S127" s="19"/>
    </row>
    <row r="128" spans="1:19" x14ac:dyDescent="0.25">
      <c r="A128" t="s">
        <v>131</v>
      </c>
      <c r="B128" t="s">
        <v>174</v>
      </c>
      <c r="C128" s="1">
        <f>996+295</f>
        <v>1291</v>
      </c>
      <c r="D128" s="1">
        <v>2</v>
      </c>
      <c r="E128" s="1">
        <v>0</v>
      </c>
      <c r="F128" s="1">
        <v>0</v>
      </c>
      <c r="G128" s="1">
        <v>0</v>
      </c>
      <c r="H128" s="1">
        <v>1091</v>
      </c>
      <c r="I128" s="1">
        <v>296</v>
      </c>
      <c r="J128" s="1"/>
      <c r="L128" s="12" t="s">
        <v>814</v>
      </c>
      <c r="M128" s="12" t="s">
        <v>176</v>
      </c>
      <c r="N128" s="12">
        <v>22485</v>
      </c>
      <c r="O128" s="12">
        <v>0</v>
      </c>
      <c r="P128" s="12">
        <v>0</v>
      </c>
      <c r="Q128" s="12">
        <v>0</v>
      </c>
      <c r="R128" s="12">
        <v>0</v>
      </c>
      <c r="S128" s="18">
        <v>877</v>
      </c>
    </row>
    <row r="129" spans="1:19" x14ac:dyDescent="0.25">
      <c r="A129" t="s">
        <v>226</v>
      </c>
      <c r="B129" t="s">
        <v>175</v>
      </c>
      <c r="C129" s="1"/>
      <c r="D129" s="1"/>
      <c r="E129" s="1"/>
      <c r="F129" s="1"/>
      <c r="G129" s="1"/>
      <c r="H129" s="1"/>
      <c r="I129" s="1"/>
      <c r="J129" s="1"/>
      <c r="L129" s="10">
        <v>600</v>
      </c>
      <c r="M129" s="10" t="s">
        <v>177</v>
      </c>
      <c r="N129" s="10">
        <v>3497</v>
      </c>
      <c r="O129" s="10">
        <v>0</v>
      </c>
      <c r="P129" s="10">
        <v>0</v>
      </c>
      <c r="Q129" s="10">
        <v>0</v>
      </c>
      <c r="R129" s="10">
        <v>0</v>
      </c>
      <c r="S129" s="19">
        <v>1708</v>
      </c>
    </row>
    <row r="130" spans="1:19" x14ac:dyDescent="0.25">
      <c r="A130" t="s">
        <v>794</v>
      </c>
      <c r="B130" t="s">
        <v>176</v>
      </c>
      <c r="C130" s="1">
        <f>21767+718</f>
        <v>22485</v>
      </c>
      <c r="D130" s="1">
        <v>0</v>
      </c>
      <c r="E130" s="1">
        <v>0</v>
      </c>
      <c r="F130" s="1">
        <v>0</v>
      </c>
      <c r="G130" s="1">
        <v>0</v>
      </c>
      <c r="H130" s="1">
        <v>877</v>
      </c>
      <c r="I130" s="1">
        <v>493</v>
      </c>
      <c r="J130" s="1"/>
      <c r="L130" s="12">
        <v>700</v>
      </c>
      <c r="M130" s="12" t="s">
        <v>178</v>
      </c>
      <c r="N130" s="12">
        <v>10707</v>
      </c>
      <c r="O130" s="12">
        <v>33</v>
      </c>
      <c r="P130" s="12">
        <v>0</v>
      </c>
      <c r="Q130" s="12">
        <v>0</v>
      </c>
      <c r="R130" s="12">
        <v>0</v>
      </c>
      <c r="S130" s="18">
        <v>13384</v>
      </c>
    </row>
    <row r="131" spans="1:19" x14ac:dyDescent="0.25">
      <c r="A131" t="s">
        <v>248</v>
      </c>
      <c r="B131" t="s">
        <v>177</v>
      </c>
      <c r="C131" s="1">
        <f>2820+3+12+2+4+15+641</f>
        <v>3497</v>
      </c>
      <c r="D131" s="1">
        <v>0</v>
      </c>
      <c r="E131" s="1">
        <v>0</v>
      </c>
      <c r="F131" s="1">
        <v>0</v>
      </c>
      <c r="G131" s="1">
        <v>0</v>
      </c>
      <c r="H131" s="1">
        <v>1708</v>
      </c>
      <c r="I131" s="1">
        <v>466</v>
      </c>
      <c r="J131" s="1"/>
      <c r="L131" s="10">
        <v>713</v>
      </c>
      <c r="M131" s="10" t="s">
        <v>179</v>
      </c>
      <c r="N131" s="10">
        <v>4328</v>
      </c>
      <c r="O131" s="10">
        <v>5</v>
      </c>
      <c r="P131" s="10">
        <v>0</v>
      </c>
      <c r="Q131" s="10">
        <v>0</v>
      </c>
      <c r="R131" s="10">
        <v>0</v>
      </c>
      <c r="S131" s="19">
        <v>10206</v>
      </c>
    </row>
    <row r="132" spans="1:19" x14ac:dyDescent="0.25">
      <c r="A132" t="s">
        <v>83</v>
      </c>
      <c r="B132" t="s">
        <v>178</v>
      </c>
      <c r="C132" s="1">
        <f>8735+5+1967</f>
        <v>10707</v>
      </c>
      <c r="D132" s="1">
        <f>21+12</f>
        <v>33</v>
      </c>
      <c r="E132" s="1">
        <v>0</v>
      </c>
      <c r="F132" s="1">
        <v>0</v>
      </c>
      <c r="G132" s="1">
        <v>0</v>
      </c>
      <c r="H132" s="1">
        <v>13384</v>
      </c>
      <c r="I132" s="1">
        <v>1970</v>
      </c>
      <c r="J132" s="1"/>
      <c r="L132" s="12">
        <v>116</v>
      </c>
      <c r="M132" s="12" t="s">
        <v>180</v>
      </c>
      <c r="N132" s="12">
        <v>23090</v>
      </c>
      <c r="O132" s="12">
        <v>23</v>
      </c>
      <c r="P132" s="12">
        <v>0</v>
      </c>
      <c r="Q132" s="12">
        <v>0</v>
      </c>
      <c r="R132" s="12">
        <v>0</v>
      </c>
      <c r="S132" s="18">
        <v>6303</v>
      </c>
    </row>
    <row r="133" spans="1:19" x14ac:dyDescent="0.25">
      <c r="A133" t="s">
        <v>796</v>
      </c>
      <c r="B133" t="s">
        <v>179</v>
      </c>
      <c r="C133" s="1">
        <f>2913+1415</f>
        <v>4328</v>
      </c>
      <c r="D133" s="1">
        <f>1+4</f>
        <v>5</v>
      </c>
      <c r="E133" s="1">
        <v>0</v>
      </c>
      <c r="F133" s="1">
        <v>0</v>
      </c>
      <c r="G133" s="1">
        <v>0</v>
      </c>
      <c r="H133" s="1">
        <v>10206</v>
      </c>
      <c r="I133" s="1">
        <v>1310</v>
      </c>
      <c r="J133" s="1"/>
      <c r="L133" s="10">
        <v>100</v>
      </c>
      <c r="M133" s="10" t="s">
        <v>181</v>
      </c>
      <c r="N133" s="10">
        <v>1392</v>
      </c>
      <c r="O133" s="10">
        <v>0</v>
      </c>
      <c r="P133" s="10">
        <v>0</v>
      </c>
      <c r="Q133" s="10">
        <v>0</v>
      </c>
      <c r="R133" s="10">
        <v>0</v>
      </c>
      <c r="S133" s="19">
        <v>471</v>
      </c>
    </row>
    <row r="134" spans="1:19" x14ac:dyDescent="0.25">
      <c r="A134" t="s">
        <v>795</v>
      </c>
      <c r="B134" t="s">
        <v>180</v>
      </c>
      <c r="C134" s="1"/>
      <c r="D134" s="1"/>
      <c r="E134" s="1"/>
      <c r="F134" s="1"/>
      <c r="G134" s="1"/>
      <c r="H134" s="1"/>
      <c r="I134" s="1"/>
      <c r="J134" s="1"/>
      <c r="L134" s="12">
        <v>700</v>
      </c>
      <c r="M134" s="12" t="s">
        <v>182</v>
      </c>
      <c r="N134" s="12">
        <v>7874</v>
      </c>
      <c r="O134" s="12">
        <v>75</v>
      </c>
      <c r="P134" s="12">
        <v>0</v>
      </c>
      <c r="Q134" s="12">
        <v>0</v>
      </c>
      <c r="R134" s="12">
        <v>0</v>
      </c>
      <c r="S134" s="18">
        <v>1233</v>
      </c>
    </row>
    <row r="135" spans="1:19" x14ac:dyDescent="0.25">
      <c r="A135" t="s">
        <v>791</v>
      </c>
      <c r="B135" t="s">
        <v>181</v>
      </c>
      <c r="C135" s="1"/>
      <c r="D135" s="1"/>
      <c r="E135" s="1"/>
      <c r="F135" s="1"/>
      <c r="G135" s="1"/>
      <c r="H135" s="1"/>
      <c r="I135" s="1"/>
      <c r="J135" s="1"/>
      <c r="L135" s="10">
        <v>161</v>
      </c>
      <c r="M135" s="10" t="s">
        <v>183</v>
      </c>
      <c r="N135" s="10">
        <v>420</v>
      </c>
      <c r="O135" s="10">
        <v>0</v>
      </c>
      <c r="P135" s="10">
        <v>0</v>
      </c>
      <c r="Q135" s="10">
        <v>0</v>
      </c>
      <c r="R135" s="10">
        <v>0</v>
      </c>
      <c r="S135" s="19">
        <v>377</v>
      </c>
    </row>
    <row r="136" spans="1:19" x14ac:dyDescent="0.25">
      <c r="A136" t="s">
        <v>83</v>
      </c>
      <c r="B136" t="s">
        <v>182</v>
      </c>
      <c r="C136" s="1">
        <f>6649+1225</f>
        <v>7874</v>
      </c>
      <c r="D136" s="1">
        <v>75</v>
      </c>
      <c r="E136" s="1">
        <v>0</v>
      </c>
      <c r="F136" s="1">
        <v>0</v>
      </c>
      <c r="G136" s="1">
        <v>0</v>
      </c>
      <c r="H136" s="1">
        <v>1233</v>
      </c>
      <c r="I136" s="1">
        <v>1146</v>
      </c>
      <c r="J136" s="1"/>
      <c r="L136" s="12">
        <v>310</v>
      </c>
      <c r="M136" s="12" t="s">
        <v>184</v>
      </c>
      <c r="N136" s="12"/>
      <c r="O136" s="12"/>
      <c r="P136" s="12"/>
      <c r="Q136" s="12"/>
      <c r="R136" s="12"/>
      <c r="S136" s="18"/>
    </row>
    <row r="137" spans="1:19" x14ac:dyDescent="0.25">
      <c r="A137" t="s">
        <v>817</v>
      </c>
      <c r="B137" t="s">
        <v>183</v>
      </c>
      <c r="C137" s="1">
        <f>5+415</f>
        <v>420</v>
      </c>
      <c r="D137" s="1">
        <v>0</v>
      </c>
      <c r="E137" s="1">
        <v>0</v>
      </c>
      <c r="F137" s="1">
        <v>0</v>
      </c>
      <c r="G137" s="1">
        <v>0</v>
      </c>
      <c r="H137" s="1">
        <v>377</v>
      </c>
      <c r="I137" s="1">
        <v>337</v>
      </c>
      <c r="J137" s="1"/>
      <c r="L137" s="10">
        <v>210</v>
      </c>
      <c r="M137" s="10" t="s">
        <v>186</v>
      </c>
      <c r="N137" s="10">
        <v>3084</v>
      </c>
      <c r="O137" s="10">
        <v>0</v>
      </c>
      <c r="P137" s="10">
        <v>0</v>
      </c>
      <c r="Q137" s="10">
        <v>0</v>
      </c>
      <c r="R137" s="10">
        <v>0</v>
      </c>
      <c r="S137" s="19">
        <v>2749</v>
      </c>
    </row>
    <row r="138" spans="1:19" x14ac:dyDescent="0.25">
      <c r="A138" t="s">
        <v>67</v>
      </c>
      <c r="B138" t="s">
        <v>184</v>
      </c>
      <c r="C138" s="1"/>
      <c r="D138" s="1"/>
      <c r="E138" s="1"/>
      <c r="F138" s="1"/>
      <c r="G138" s="1"/>
      <c r="H138" s="1"/>
      <c r="I138" s="1"/>
      <c r="J138" s="1"/>
      <c r="L138" s="12">
        <v>313</v>
      </c>
      <c r="M138" s="12" t="s">
        <v>187</v>
      </c>
      <c r="N138" s="12">
        <v>4086</v>
      </c>
      <c r="O138" s="12">
        <v>0</v>
      </c>
      <c r="P138" s="12">
        <v>0</v>
      </c>
      <c r="Q138" s="12">
        <v>0</v>
      </c>
      <c r="R138" s="12">
        <v>0</v>
      </c>
      <c r="S138" s="18">
        <v>2451</v>
      </c>
    </row>
    <row r="139" spans="1:19" x14ac:dyDescent="0.25">
      <c r="A139" t="s">
        <v>185</v>
      </c>
      <c r="B139" t="s">
        <v>186</v>
      </c>
      <c r="C139" s="1">
        <f>2288+796</f>
        <v>3084</v>
      </c>
      <c r="D139" s="1">
        <v>0</v>
      </c>
      <c r="E139" s="1">
        <v>0</v>
      </c>
      <c r="F139" s="1">
        <v>0</v>
      </c>
      <c r="G139" s="1">
        <v>0</v>
      </c>
      <c r="H139" s="1">
        <v>2749</v>
      </c>
      <c r="I139" s="1">
        <v>389</v>
      </c>
      <c r="J139" s="1"/>
      <c r="L139" s="10">
        <v>118</v>
      </c>
      <c r="M139" s="10" t="s">
        <v>189</v>
      </c>
      <c r="N139" s="10">
        <v>13086</v>
      </c>
      <c r="O139" s="10">
        <v>1</v>
      </c>
      <c r="P139" s="10">
        <v>0</v>
      </c>
      <c r="Q139" s="10">
        <v>0</v>
      </c>
      <c r="R139" s="10">
        <v>0</v>
      </c>
      <c r="S139" s="19">
        <v>1232</v>
      </c>
    </row>
    <row r="140" spans="1:19" x14ac:dyDescent="0.25">
      <c r="A140" t="s">
        <v>512</v>
      </c>
      <c r="B140" t="s">
        <v>187</v>
      </c>
      <c r="C140" s="1">
        <f>2920+112+29+20+1005</f>
        <v>4086</v>
      </c>
      <c r="D140" s="1">
        <v>0</v>
      </c>
      <c r="E140" s="1">
        <v>0</v>
      </c>
      <c r="F140" s="1">
        <v>0</v>
      </c>
      <c r="G140" s="1">
        <v>0</v>
      </c>
      <c r="H140" s="1">
        <v>2451</v>
      </c>
      <c r="I140" s="1">
        <v>770</v>
      </c>
      <c r="J140" s="1"/>
      <c r="L140" s="12">
        <v>700</v>
      </c>
      <c r="M140" s="12" t="s">
        <v>190</v>
      </c>
      <c r="N140" s="12">
        <v>13045</v>
      </c>
      <c r="O140" s="12">
        <v>1</v>
      </c>
      <c r="P140" s="12">
        <v>0</v>
      </c>
      <c r="Q140" s="12">
        <v>0</v>
      </c>
      <c r="R140" s="12">
        <v>0</v>
      </c>
      <c r="S140" s="18">
        <v>1035</v>
      </c>
    </row>
    <row r="141" spans="1:19" x14ac:dyDescent="0.25">
      <c r="A141" t="s">
        <v>188</v>
      </c>
      <c r="B141" t="s">
        <v>189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/>
      <c r="L141" s="10">
        <v>712</v>
      </c>
      <c r="M141" s="10" t="s">
        <v>191</v>
      </c>
      <c r="N141" s="10">
        <v>14439</v>
      </c>
      <c r="O141" s="10">
        <v>0</v>
      </c>
      <c r="P141" s="10">
        <v>0</v>
      </c>
      <c r="Q141" s="10">
        <v>0</v>
      </c>
      <c r="R141" s="10">
        <v>0</v>
      </c>
      <c r="S141" s="19">
        <v>181</v>
      </c>
    </row>
    <row r="142" spans="1:19" x14ac:dyDescent="0.25">
      <c r="A142" t="s">
        <v>83</v>
      </c>
      <c r="B142" t="s">
        <v>190</v>
      </c>
      <c r="C142" s="1">
        <f>12642+81+1+321</f>
        <v>13045</v>
      </c>
      <c r="D142" s="1">
        <v>1</v>
      </c>
      <c r="E142" s="1">
        <v>0</v>
      </c>
      <c r="F142" s="1">
        <v>0</v>
      </c>
      <c r="G142" s="1">
        <v>0</v>
      </c>
      <c r="H142" s="1">
        <v>1035</v>
      </c>
      <c r="I142" s="1">
        <v>400</v>
      </c>
      <c r="J142" s="1"/>
      <c r="L142" s="12">
        <v>511</v>
      </c>
      <c r="M142" s="12" t="s">
        <v>192</v>
      </c>
      <c r="N142" s="12">
        <v>14978</v>
      </c>
      <c r="O142" s="12">
        <v>38</v>
      </c>
      <c r="P142" s="12">
        <v>0</v>
      </c>
      <c r="Q142" s="12">
        <v>0</v>
      </c>
      <c r="R142" s="12">
        <v>0</v>
      </c>
      <c r="S142" s="18">
        <v>8773</v>
      </c>
    </row>
    <row r="143" spans="1:19" x14ac:dyDescent="0.25">
      <c r="A143" t="s">
        <v>76</v>
      </c>
      <c r="B143" t="s">
        <v>191</v>
      </c>
      <c r="C143" s="1">
        <f>8045+6394</f>
        <v>14439</v>
      </c>
      <c r="D143" s="1">
        <v>0</v>
      </c>
      <c r="E143" s="1">
        <v>0</v>
      </c>
      <c r="F143" s="1">
        <v>0</v>
      </c>
      <c r="G143" s="1">
        <v>0</v>
      </c>
      <c r="H143" s="1">
        <v>181</v>
      </c>
      <c r="I143" s="1">
        <v>3615</v>
      </c>
      <c r="J143" s="1"/>
      <c r="L143" s="10">
        <v>114</v>
      </c>
      <c r="M143" s="10" t="s">
        <v>193</v>
      </c>
      <c r="N143" s="10">
        <v>1084</v>
      </c>
      <c r="O143" s="10">
        <v>0</v>
      </c>
      <c r="P143" s="10">
        <v>0</v>
      </c>
      <c r="Q143" s="10">
        <v>0</v>
      </c>
      <c r="R143" s="10">
        <v>0</v>
      </c>
      <c r="S143" s="19">
        <v>174</v>
      </c>
    </row>
    <row r="144" spans="1:19" x14ac:dyDescent="0.25">
      <c r="A144" t="s">
        <v>101</v>
      </c>
      <c r="B144" t="s">
        <v>192</v>
      </c>
      <c r="C144" s="1">
        <f>13258+7+1713</f>
        <v>14978</v>
      </c>
      <c r="D144" s="1">
        <v>38</v>
      </c>
      <c r="E144" s="1">
        <v>0</v>
      </c>
      <c r="F144" s="1">
        <v>0</v>
      </c>
      <c r="G144" s="1">
        <v>0</v>
      </c>
      <c r="H144" s="1">
        <v>8773</v>
      </c>
      <c r="I144" s="1">
        <v>1606</v>
      </c>
      <c r="J144" s="1"/>
      <c r="L144" s="12">
        <v>111</v>
      </c>
      <c r="M144" s="12" t="s">
        <v>194</v>
      </c>
      <c r="N144" s="12">
        <v>16045</v>
      </c>
      <c r="O144" s="12">
        <v>150</v>
      </c>
      <c r="P144" s="12">
        <v>0</v>
      </c>
      <c r="Q144" s="12">
        <v>0</v>
      </c>
      <c r="R144" s="12">
        <v>0</v>
      </c>
      <c r="S144" s="18">
        <v>302</v>
      </c>
    </row>
    <row r="145" spans="1:19" x14ac:dyDescent="0.25">
      <c r="A145" t="s">
        <v>150</v>
      </c>
      <c r="B145" t="s">
        <v>193</v>
      </c>
      <c r="C145" s="1">
        <f>958+126</f>
        <v>1084</v>
      </c>
      <c r="D145" s="1">
        <v>0</v>
      </c>
      <c r="E145" s="1">
        <v>0</v>
      </c>
      <c r="F145" s="1">
        <v>0</v>
      </c>
      <c r="G145" s="1">
        <v>0</v>
      </c>
      <c r="H145" s="1">
        <v>174</v>
      </c>
      <c r="I145" s="1">
        <v>109</v>
      </c>
      <c r="J145" s="1"/>
      <c r="L145" s="10">
        <v>712</v>
      </c>
      <c r="M145" s="10" t="s">
        <v>195</v>
      </c>
      <c r="N145" s="10">
        <v>17418</v>
      </c>
      <c r="O145" s="10">
        <v>18</v>
      </c>
      <c r="P145" s="10">
        <v>0</v>
      </c>
      <c r="Q145" s="10">
        <v>0</v>
      </c>
      <c r="R145" s="10">
        <v>0</v>
      </c>
      <c r="S145" s="19">
        <v>9134</v>
      </c>
    </row>
    <row r="146" spans="1:19" x14ac:dyDescent="0.25">
      <c r="A146" t="s">
        <v>811</v>
      </c>
      <c r="B146" t="s">
        <v>194</v>
      </c>
      <c r="C146" s="1"/>
      <c r="D146" s="1"/>
      <c r="E146" s="1"/>
      <c r="F146" s="1"/>
      <c r="G146" s="1"/>
      <c r="H146" s="1"/>
      <c r="I146" s="1"/>
      <c r="J146" s="1"/>
      <c r="L146" s="12">
        <v>610</v>
      </c>
      <c r="M146" s="12" t="s">
        <v>196</v>
      </c>
      <c r="N146" s="12">
        <v>9626</v>
      </c>
      <c r="O146" s="12">
        <v>110</v>
      </c>
      <c r="P146" s="12">
        <v>0</v>
      </c>
      <c r="Q146" s="12">
        <v>0</v>
      </c>
      <c r="R146" s="12">
        <v>0</v>
      </c>
      <c r="S146" s="18">
        <v>10020</v>
      </c>
    </row>
    <row r="147" spans="1:19" x14ac:dyDescent="0.25">
      <c r="A147" t="s">
        <v>76</v>
      </c>
      <c r="B147" t="s">
        <v>195</v>
      </c>
      <c r="C147" s="1">
        <f>15447+56+1915</f>
        <v>17418</v>
      </c>
      <c r="D147" s="1">
        <f>14+4</f>
        <v>18</v>
      </c>
      <c r="E147" s="1">
        <v>0</v>
      </c>
      <c r="F147" s="1">
        <v>0</v>
      </c>
      <c r="G147" s="1">
        <v>0</v>
      </c>
      <c r="H147" s="1">
        <v>9134</v>
      </c>
      <c r="I147" s="1">
        <v>1687</v>
      </c>
      <c r="J147" s="1"/>
      <c r="L147" s="10">
        <v>616</v>
      </c>
      <c r="M147" s="10" t="s">
        <v>197</v>
      </c>
      <c r="N147" s="10">
        <v>6245</v>
      </c>
      <c r="O147" s="10">
        <v>58</v>
      </c>
      <c r="P147" s="10">
        <v>0</v>
      </c>
      <c r="Q147" s="10">
        <v>0</v>
      </c>
      <c r="R147" s="10">
        <v>0</v>
      </c>
      <c r="S147" s="19">
        <v>7832</v>
      </c>
    </row>
    <row r="148" spans="1:19" x14ac:dyDescent="0.25">
      <c r="A148" t="s">
        <v>788</v>
      </c>
      <c r="B148" t="s">
        <v>196</v>
      </c>
      <c r="C148" s="1">
        <f>5701+4+3921</f>
        <v>9626</v>
      </c>
      <c r="D148" s="1">
        <f>2+108</f>
        <v>110</v>
      </c>
      <c r="E148" s="1">
        <v>0</v>
      </c>
      <c r="F148" s="1">
        <v>0</v>
      </c>
      <c r="G148" s="1">
        <v>0</v>
      </c>
      <c r="H148" s="1">
        <v>10020</v>
      </c>
      <c r="I148" s="1">
        <v>3358</v>
      </c>
      <c r="J148" s="1"/>
      <c r="L148" s="12">
        <v>616</v>
      </c>
      <c r="M148" s="12" t="s">
        <v>198</v>
      </c>
      <c r="N148" s="12">
        <v>4699</v>
      </c>
      <c r="O148" s="12">
        <v>48</v>
      </c>
      <c r="P148" s="12">
        <v>0</v>
      </c>
      <c r="Q148" s="12">
        <v>0</v>
      </c>
      <c r="R148" s="12">
        <v>0</v>
      </c>
      <c r="S148" s="18">
        <v>7446</v>
      </c>
    </row>
    <row r="149" spans="1:19" x14ac:dyDescent="0.25">
      <c r="A149" t="s">
        <v>817</v>
      </c>
      <c r="B149" t="s">
        <v>197</v>
      </c>
      <c r="C149" s="1">
        <f>1668+20+4557</f>
        <v>6245</v>
      </c>
      <c r="D149" s="1">
        <f>3+55</f>
        <v>58</v>
      </c>
      <c r="E149" s="1">
        <v>0</v>
      </c>
      <c r="F149" s="1">
        <v>0</v>
      </c>
      <c r="G149" s="1">
        <v>0</v>
      </c>
      <c r="H149" s="1">
        <v>7832</v>
      </c>
      <c r="I149" s="1">
        <v>3933</v>
      </c>
      <c r="J149" s="1"/>
      <c r="L149" s="10">
        <v>710</v>
      </c>
      <c r="M149" s="10" t="s">
        <v>199</v>
      </c>
      <c r="N149" s="10">
        <v>8698</v>
      </c>
      <c r="O149" s="10">
        <v>7</v>
      </c>
      <c r="P149" s="10">
        <v>0</v>
      </c>
      <c r="Q149" s="10">
        <v>0</v>
      </c>
      <c r="R149" s="10">
        <v>0</v>
      </c>
      <c r="S149" s="19">
        <v>53748</v>
      </c>
    </row>
    <row r="150" spans="1:19" x14ac:dyDescent="0.25">
      <c r="A150" t="s">
        <v>817</v>
      </c>
      <c r="B150" t="s">
        <v>198</v>
      </c>
      <c r="C150" s="1">
        <f>1591+3108</f>
        <v>4699</v>
      </c>
      <c r="D150" s="1">
        <f>24+24</f>
        <v>48</v>
      </c>
      <c r="E150" s="1">
        <v>0</v>
      </c>
      <c r="F150" s="1">
        <v>0</v>
      </c>
      <c r="G150" s="1">
        <v>0</v>
      </c>
      <c r="H150" s="1">
        <v>7446</v>
      </c>
      <c r="I150" s="1">
        <v>3138</v>
      </c>
      <c r="J150" s="1"/>
      <c r="L150" s="12">
        <v>712</v>
      </c>
      <c r="M150" s="12" t="s">
        <v>200</v>
      </c>
      <c r="N150" s="12">
        <v>10264</v>
      </c>
      <c r="O150" s="12">
        <v>92</v>
      </c>
      <c r="P150" s="12">
        <v>0</v>
      </c>
      <c r="Q150" s="12">
        <v>0</v>
      </c>
      <c r="R150" s="12">
        <v>0</v>
      </c>
      <c r="S150" s="18">
        <v>5956</v>
      </c>
    </row>
    <row r="151" spans="1:19" x14ac:dyDescent="0.25">
      <c r="A151" t="s">
        <v>69</v>
      </c>
      <c r="B151" t="s">
        <v>199</v>
      </c>
      <c r="C151" s="1">
        <f>6106+2592</f>
        <v>8698</v>
      </c>
      <c r="D151" s="1">
        <v>7</v>
      </c>
      <c r="E151" s="1">
        <v>0</v>
      </c>
      <c r="F151" s="1">
        <v>0</v>
      </c>
      <c r="G151" s="1">
        <v>0</v>
      </c>
      <c r="H151" s="1">
        <v>53748</v>
      </c>
      <c r="I151" s="1">
        <v>2270</v>
      </c>
      <c r="J151" s="1"/>
      <c r="L151" s="10">
        <v>311</v>
      </c>
      <c r="M151" s="10" t="s">
        <v>201</v>
      </c>
      <c r="N151" s="10">
        <v>9304</v>
      </c>
      <c r="O151" s="10">
        <v>133</v>
      </c>
      <c r="P151" s="10">
        <v>0</v>
      </c>
      <c r="Q151" s="10">
        <v>0</v>
      </c>
      <c r="R151" s="10">
        <v>0</v>
      </c>
      <c r="S151" s="19">
        <v>2295</v>
      </c>
    </row>
    <row r="152" spans="1:19" x14ac:dyDescent="0.25">
      <c r="A152" t="s">
        <v>76</v>
      </c>
      <c r="B152" t="s">
        <v>200</v>
      </c>
      <c r="C152" s="1">
        <f>7504+23+2+68+27+2640</f>
        <v>10264</v>
      </c>
      <c r="D152" s="1">
        <f>53+4+24+11</f>
        <v>92</v>
      </c>
      <c r="E152" s="1">
        <v>0</v>
      </c>
      <c r="F152" s="1">
        <v>0</v>
      </c>
      <c r="G152" s="1">
        <v>0</v>
      </c>
      <c r="H152" s="1">
        <v>5956</v>
      </c>
      <c r="I152" s="1">
        <v>2402</v>
      </c>
      <c r="J152" s="1"/>
      <c r="L152" s="12">
        <v>613</v>
      </c>
      <c r="M152" s="12" t="s">
        <v>202</v>
      </c>
      <c r="N152" s="12">
        <v>106</v>
      </c>
      <c r="O152" s="12">
        <v>0</v>
      </c>
      <c r="P152" s="12">
        <v>0</v>
      </c>
      <c r="Q152" s="12">
        <v>0</v>
      </c>
      <c r="R152" s="12">
        <v>0</v>
      </c>
      <c r="S152" s="18">
        <v>67</v>
      </c>
    </row>
    <row r="153" spans="1:19" x14ac:dyDescent="0.25">
      <c r="A153" t="s">
        <v>120</v>
      </c>
      <c r="B153" t="s">
        <v>201</v>
      </c>
      <c r="C153" s="1">
        <f>7260+2044</f>
        <v>9304</v>
      </c>
      <c r="D153" s="1">
        <f>13+120</f>
        <v>133</v>
      </c>
      <c r="E153" s="1">
        <v>0</v>
      </c>
      <c r="F153" s="1">
        <v>0</v>
      </c>
      <c r="G153" s="1">
        <v>0</v>
      </c>
      <c r="H153" s="1">
        <v>2295</v>
      </c>
      <c r="I153" s="1">
        <v>1343</v>
      </c>
      <c r="J153" s="1"/>
      <c r="L153" s="10">
        <v>610</v>
      </c>
      <c r="M153" s="10" t="s">
        <v>203</v>
      </c>
      <c r="N153" s="10">
        <v>23650</v>
      </c>
      <c r="O153" s="10">
        <v>1</v>
      </c>
      <c r="P153" s="10">
        <v>0</v>
      </c>
      <c r="Q153" s="10">
        <v>0</v>
      </c>
      <c r="R153" s="10">
        <v>0</v>
      </c>
      <c r="S153" s="19">
        <v>1196</v>
      </c>
    </row>
    <row r="154" spans="1:19" x14ac:dyDescent="0.25">
      <c r="A154" t="s">
        <v>495</v>
      </c>
      <c r="B154" t="s">
        <v>202</v>
      </c>
      <c r="C154" s="1">
        <f>62+44</f>
        <v>106</v>
      </c>
      <c r="D154" s="1">
        <v>0</v>
      </c>
      <c r="E154" s="1">
        <v>0</v>
      </c>
      <c r="F154" s="1">
        <v>0</v>
      </c>
      <c r="G154" s="1">
        <v>0</v>
      </c>
      <c r="H154" s="1">
        <v>67</v>
      </c>
      <c r="I154" s="1">
        <v>42</v>
      </c>
      <c r="J154" s="1"/>
      <c r="L154" s="12">
        <v>312</v>
      </c>
      <c r="M154" s="12" t="s">
        <v>204</v>
      </c>
      <c r="N154" s="12">
        <v>5443</v>
      </c>
      <c r="O154" s="12">
        <v>0</v>
      </c>
      <c r="P154" s="12">
        <v>0</v>
      </c>
      <c r="Q154" s="12">
        <v>0</v>
      </c>
      <c r="R154" s="12">
        <v>0</v>
      </c>
      <c r="S154" s="18">
        <v>1329</v>
      </c>
    </row>
    <row r="155" spans="1:19" x14ac:dyDescent="0.25">
      <c r="A155" t="s">
        <v>788</v>
      </c>
      <c r="B155" t="s">
        <v>203</v>
      </c>
      <c r="C155" s="1">
        <f>13447+10203</f>
        <v>23650</v>
      </c>
      <c r="D155" s="1">
        <v>1</v>
      </c>
      <c r="E155" s="1">
        <v>0</v>
      </c>
      <c r="F155" s="1">
        <v>0</v>
      </c>
      <c r="G155" s="1">
        <v>0</v>
      </c>
      <c r="H155" s="1">
        <v>1196</v>
      </c>
      <c r="I155" s="1">
        <v>1132</v>
      </c>
      <c r="J155" s="1"/>
      <c r="L155" s="10">
        <v>712</v>
      </c>
      <c r="M155" s="10" t="s">
        <v>205</v>
      </c>
      <c r="N155" s="10">
        <v>6843</v>
      </c>
      <c r="O155" s="10">
        <v>185</v>
      </c>
      <c r="P155" s="10">
        <v>0</v>
      </c>
      <c r="Q155" s="10">
        <v>0</v>
      </c>
      <c r="R155" s="10">
        <v>0</v>
      </c>
      <c r="S155" s="19">
        <v>3120</v>
      </c>
    </row>
    <row r="156" spans="1:19" x14ac:dyDescent="0.25">
      <c r="A156" t="s">
        <v>72</v>
      </c>
      <c r="B156" t="s">
        <v>204</v>
      </c>
      <c r="C156" s="1">
        <f>4972+471</f>
        <v>5443</v>
      </c>
      <c r="D156" s="1">
        <v>0</v>
      </c>
      <c r="E156" s="1">
        <v>0</v>
      </c>
      <c r="F156" s="1">
        <v>0</v>
      </c>
      <c r="G156" s="1">
        <v>0</v>
      </c>
      <c r="H156" s="1">
        <v>1329</v>
      </c>
      <c r="I156" s="1">
        <v>473</v>
      </c>
      <c r="J156" s="1"/>
      <c r="L156" s="12">
        <v>211</v>
      </c>
      <c r="M156" s="12" t="s">
        <v>206</v>
      </c>
      <c r="N156" s="12">
        <v>2323</v>
      </c>
      <c r="O156" s="12">
        <v>0</v>
      </c>
      <c r="P156" s="12">
        <v>0</v>
      </c>
      <c r="Q156" s="12">
        <v>0</v>
      </c>
      <c r="R156" s="12">
        <v>0</v>
      </c>
      <c r="S156" s="18">
        <v>7159</v>
      </c>
    </row>
    <row r="157" spans="1:19" x14ac:dyDescent="0.25">
      <c r="A157" t="s">
        <v>76</v>
      </c>
      <c r="B157" t="s">
        <v>205</v>
      </c>
      <c r="C157" s="1">
        <f>2764+4079</f>
        <v>6843</v>
      </c>
      <c r="D157" s="1">
        <f>22+163</f>
        <v>185</v>
      </c>
      <c r="E157" s="1">
        <v>0</v>
      </c>
      <c r="F157" s="1">
        <v>0</v>
      </c>
      <c r="G157" s="1">
        <v>0</v>
      </c>
      <c r="H157" s="1">
        <v>3120</v>
      </c>
      <c r="I157" s="1">
        <v>2905</v>
      </c>
      <c r="J157" s="1"/>
      <c r="L157" s="10">
        <v>712</v>
      </c>
      <c r="M157" s="10" t="s">
        <v>207</v>
      </c>
      <c r="N157" s="10">
        <v>16458</v>
      </c>
      <c r="O157" s="10">
        <v>29</v>
      </c>
      <c r="P157" s="10">
        <v>0</v>
      </c>
      <c r="Q157" s="10">
        <v>0</v>
      </c>
      <c r="R157" s="10">
        <v>0</v>
      </c>
      <c r="S157" s="19">
        <v>3725</v>
      </c>
    </row>
    <row r="158" spans="1:19" x14ac:dyDescent="0.25">
      <c r="A158" t="s">
        <v>131</v>
      </c>
      <c r="B158" t="s">
        <v>206</v>
      </c>
      <c r="C158" s="1">
        <f>1581+742</f>
        <v>2323</v>
      </c>
      <c r="D158" s="1">
        <v>0</v>
      </c>
      <c r="E158" s="1">
        <v>0</v>
      </c>
      <c r="F158" s="1">
        <v>0</v>
      </c>
      <c r="G158" s="1">
        <v>0</v>
      </c>
      <c r="H158" s="1">
        <v>7159</v>
      </c>
      <c r="I158" s="1">
        <v>755</v>
      </c>
      <c r="J158" s="1"/>
      <c r="L158" s="12" t="s">
        <v>820</v>
      </c>
      <c r="M158" s="12" t="s">
        <v>208</v>
      </c>
      <c r="N158" s="12">
        <v>2443</v>
      </c>
      <c r="O158" s="12">
        <v>0</v>
      </c>
      <c r="P158" s="12">
        <v>0</v>
      </c>
      <c r="Q158" s="12">
        <v>0</v>
      </c>
      <c r="R158" s="12">
        <v>0</v>
      </c>
      <c r="S158" s="18">
        <v>6004</v>
      </c>
    </row>
    <row r="159" spans="1:19" x14ac:dyDescent="0.25">
      <c r="A159" t="s">
        <v>76</v>
      </c>
      <c r="B159" t="s">
        <v>207</v>
      </c>
      <c r="C159" s="1">
        <f>8515+7943</f>
        <v>16458</v>
      </c>
      <c r="D159" s="1">
        <f>5+24</f>
        <v>29</v>
      </c>
      <c r="E159" s="1">
        <v>0</v>
      </c>
      <c r="F159" s="1">
        <v>0</v>
      </c>
      <c r="G159" s="1">
        <v>0</v>
      </c>
      <c r="H159" s="1">
        <v>3725</v>
      </c>
      <c r="I159" s="1">
        <v>7010</v>
      </c>
      <c r="J159" s="1"/>
      <c r="L159" s="10">
        <v>711</v>
      </c>
      <c r="M159" s="10" t="s">
        <v>209</v>
      </c>
      <c r="N159" s="10">
        <v>9659</v>
      </c>
      <c r="O159" s="10">
        <v>114</v>
      </c>
      <c r="P159" s="10">
        <v>0</v>
      </c>
      <c r="Q159" s="10">
        <v>0</v>
      </c>
      <c r="R159" s="10">
        <v>0</v>
      </c>
      <c r="S159" s="19">
        <v>18101</v>
      </c>
    </row>
    <row r="160" spans="1:19" x14ac:dyDescent="0.25">
      <c r="A160" t="s">
        <v>265</v>
      </c>
      <c r="B160" t="s">
        <v>208</v>
      </c>
      <c r="C160" s="1">
        <f>2075+368</f>
        <v>2443</v>
      </c>
      <c r="D160" s="1">
        <v>0</v>
      </c>
      <c r="E160" s="1">
        <v>0</v>
      </c>
      <c r="F160" s="1">
        <v>0</v>
      </c>
      <c r="G160" s="1">
        <v>0</v>
      </c>
      <c r="H160" s="1">
        <v>6004</v>
      </c>
      <c r="I160" s="1">
        <v>364</v>
      </c>
      <c r="J160" s="1"/>
      <c r="L160" s="12">
        <v>312</v>
      </c>
      <c r="M160" s="12" t="s">
        <v>210</v>
      </c>
      <c r="N160" s="12">
        <v>8042</v>
      </c>
      <c r="O160" s="12">
        <v>24</v>
      </c>
      <c r="P160" s="12">
        <v>0</v>
      </c>
      <c r="Q160" s="12">
        <v>0</v>
      </c>
      <c r="R160" s="12">
        <v>0</v>
      </c>
      <c r="S160" s="18">
        <v>6918</v>
      </c>
    </row>
    <row r="161" spans="1:19" x14ac:dyDescent="0.25">
      <c r="A161" t="s">
        <v>801</v>
      </c>
      <c r="B161" t="s">
        <v>209</v>
      </c>
      <c r="C161" s="1">
        <f>5524+16+14+4103+2</f>
        <v>9659</v>
      </c>
      <c r="D161" s="1">
        <f>8+106</f>
        <v>114</v>
      </c>
      <c r="E161" s="1">
        <v>0</v>
      </c>
      <c r="F161" s="1">
        <v>0</v>
      </c>
      <c r="G161" s="1">
        <v>0</v>
      </c>
      <c r="H161" s="1">
        <v>18101</v>
      </c>
      <c r="I161" s="1">
        <v>3981</v>
      </c>
      <c r="J161" s="1"/>
      <c r="L161" s="10">
        <v>616</v>
      </c>
      <c r="M161" s="10" t="s">
        <v>211</v>
      </c>
      <c r="N161" s="10">
        <v>20427</v>
      </c>
      <c r="O161" s="10">
        <v>39</v>
      </c>
      <c r="P161" s="10">
        <v>0</v>
      </c>
      <c r="Q161" s="10">
        <v>0</v>
      </c>
      <c r="R161" s="10">
        <v>0</v>
      </c>
      <c r="S161" s="19">
        <v>12839</v>
      </c>
    </row>
    <row r="162" spans="1:19" x14ac:dyDescent="0.25">
      <c r="A162" t="s">
        <v>72</v>
      </c>
      <c r="B162" t="s">
        <v>210</v>
      </c>
      <c r="C162" s="1">
        <f>4708+40+1+3293</f>
        <v>8042</v>
      </c>
      <c r="D162" s="1">
        <f>20+3+1</f>
        <v>24</v>
      </c>
      <c r="E162" s="1">
        <v>0</v>
      </c>
      <c r="F162" s="1">
        <v>0</v>
      </c>
      <c r="G162" s="1">
        <v>0</v>
      </c>
      <c r="H162" s="1">
        <v>6918</v>
      </c>
      <c r="I162" s="1">
        <v>2929</v>
      </c>
      <c r="J162" s="1"/>
      <c r="L162" s="12">
        <v>312</v>
      </c>
      <c r="M162" s="12" t="s">
        <v>212</v>
      </c>
      <c r="N162" s="12">
        <v>5978</v>
      </c>
      <c r="O162" s="12">
        <v>1</v>
      </c>
      <c r="P162" s="12">
        <v>0</v>
      </c>
      <c r="Q162" s="12">
        <v>0</v>
      </c>
      <c r="R162" s="12">
        <v>0</v>
      </c>
      <c r="S162" s="18">
        <v>911</v>
      </c>
    </row>
    <row r="163" spans="1:19" x14ac:dyDescent="0.25">
      <c r="A163" t="s">
        <v>817</v>
      </c>
      <c r="B163" t="s">
        <v>211</v>
      </c>
      <c r="C163" s="1">
        <f>1739+35+4+18649</f>
        <v>20427</v>
      </c>
      <c r="D163" s="1">
        <f>3+36</f>
        <v>39</v>
      </c>
      <c r="E163" s="1">
        <v>0</v>
      </c>
      <c r="F163" s="1">
        <v>0</v>
      </c>
      <c r="G163" s="1">
        <v>0</v>
      </c>
      <c r="H163" s="1">
        <v>12839</v>
      </c>
      <c r="I163" s="1">
        <v>16011</v>
      </c>
      <c r="J163" s="1"/>
      <c r="L163" s="10">
        <v>514</v>
      </c>
      <c r="M163" s="10" t="s">
        <v>213</v>
      </c>
      <c r="N163" s="10">
        <v>810</v>
      </c>
      <c r="O163" s="10">
        <v>0</v>
      </c>
      <c r="P163" s="10">
        <v>0</v>
      </c>
      <c r="Q163" s="10">
        <v>0</v>
      </c>
      <c r="R163" s="10">
        <v>0</v>
      </c>
      <c r="S163" s="19">
        <v>1579</v>
      </c>
    </row>
    <row r="164" spans="1:19" x14ac:dyDescent="0.25">
      <c r="A164" t="s">
        <v>72</v>
      </c>
      <c r="B164" t="s">
        <v>212</v>
      </c>
      <c r="C164" s="1">
        <f>5240+738</f>
        <v>5978</v>
      </c>
      <c r="D164" s="1">
        <v>1</v>
      </c>
      <c r="E164" s="1">
        <v>0</v>
      </c>
      <c r="F164" s="1">
        <v>0</v>
      </c>
      <c r="G164" s="1">
        <v>0</v>
      </c>
      <c r="H164" s="1">
        <v>911</v>
      </c>
      <c r="I164" s="1">
        <v>737</v>
      </c>
      <c r="J164" s="1"/>
      <c r="L164" s="12">
        <v>613</v>
      </c>
      <c r="M164" s="12" t="s">
        <v>214</v>
      </c>
      <c r="N164" s="12">
        <v>10384</v>
      </c>
      <c r="O164" s="12">
        <v>53</v>
      </c>
      <c r="P164" s="12">
        <v>0</v>
      </c>
      <c r="Q164" s="12">
        <v>0</v>
      </c>
      <c r="R164" s="12">
        <v>0</v>
      </c>
      <c r="S164" s="18">
        <v>5884</v>
      </c>
    </row>
    <row r="165" spans="1:19" x14ac:dyDescent="0.25">
      <c r="A165" t="s">
        <v>134</v>
      </c>
      <c r="B165" t="s">
        <v>213</v>
      </c>
      <c r="C165" s="1">
        <f>785+25</f>
        <v>810</v>
      </c>
      <c r="D165" s="1">
        <v>0</v>
      </c>
      <c r="E165" s="1">
        <v>0</v>
      </c>
      <c r="F165" s="1">
        <v>0</v>
      </c>
      <c r="G165" s="1">
        <v>0</v>
      </c>
      <c r="H165" s="1">
        <v>1579</v>
      </c>
      <c r="I165" s="1">
        <v>27</v>
      </c>
      <c r="J165" s="1"/>
      <c r="L165" s="10">
        <v>611</v>
      </c>
      <c r="M165" s="10" t="s">
        <v>215</v>
      </c>
      <c r="N165" s="10">
        <v>12420</v>
      </c>
      <c r="O165" s="10">
        <v>0</v>
      </c>
      <c r="P165" s="10">
        <v>0</v>
      </c>
      <c r="Q165" s="10">
        <v>0</v>
      </c>
      <c r="R165" s="10">
        <v>0</v>
      </c>
      <c r="S165" s="19">
        <v>12384</v>
      </c>
    </row>
    <row r="166" spans="1:19" x14ac:dyDescent="0.25">
      <c r="A166" t="s">
        <v>495</v>
      </c>
      <c r="B166" t="s">
        <v>214</v>
      </c>
      <c r="C166" s="1">
        <f>8036+11+12+2325</f>
        <v>10384</v>
      </c>
      <c r="D166" s="1">
        <f>52+1</f>
        <v>53</v>
      </c>
      <c r="E166" s="1">
        <v>0</v>
      </c>
      <c r="F166" s="1">
        <v>0</v>
      </c>
      <c r="G166" s="1">
        <v>0</v>
      </c>
      <c r="H166" s="1">
        <v>5884</v>
      </c>
      <c r="I166" s="1">
        <v>1967</v>
      </c>
      <c r="J166" s="1"/>
      <c r="L166" s="12" t="s">
        <v>815</v>
      </c>
      <c r="M166" s="12" t="s">
        <v>216</v>
      </c>
      <c r="N166" s="12">
        <v>3532</v>
      </c>
      <c r="O166" s="12">
        <v>0</v>
      </c>
      <c r="P166" s="12">
        <v>0</v>
      </c>
      <c r="Q166" s="12">
        <v>0</v>
      </c>
      <c r="R166" s="12">
        <v>0</v>
      </c>
      <c r="S166" s="18">
        <v>167</v>
      </c>
    </row>
    <row r="167" spans="1:19" x14ac:dyDescent="0.25">
      <c r="A167" t="s">
        <v>146</v>
      </c>
      <c r="B167" t="s">
        <v>215</v>
      </c>
      <c r="C167" s="1">
        <f>8152+4268</f>
        <v>12420</v>
      </c>
      <c r="D167" s="1">
        <v>0</v>
      </c>
      <c r="E167" s="1">
        <v>0</v>
      </c>
      <c r="F167" s="1">
        <v>0</v>
      </c>
      <c r="G167" s="1">
        <v>0</v>
      </c>
      <c r="H167" s="1">
        <v>12384</v>
      </c>
      <c r="I167" s="1">
        <v>3988</v>
      </c>
      <c r="J167" s="1"/>
      <c r="L167" s="10" t="s">
        <v>814</v>
      </c>
      <c r="M167" s="10" t="s">
        <v>217</v>
      </c>
      <c r="N167" s="10">
        <v>1486</v>
      </c>
      <c r="O167" s="10">
        <v>0</v>
      </c>
      <c r="P167" s="10">
        <v>0</v>
      </c>
      <c r="Q167" s="10">
        <v>0</v>
      </c>
      <c r="R167" s="10">
        <v>0</v>
      </c>
      <c r="S167" s="19">
        <v>2084</v>
      </c>
    </row>
    <row r="168" spans="1:19" x14ac:dyDescent="0.25">
      <c r="A168" t="s">
        <v>138</v>
      </c>
      <c r="B168" t="s">
        <v>216</v>
      </c>
      <c r="C168" s="1">
        <f>3415+1+116</f>
        <v>3532</v>
      </c>
      <c r="D168" s="1">
        <v>0</v>
      </c>
      <c r="E168" s="1">
        <v>0</v>
      </c>
      <c r="F168" s="1">
        <v>0</v>
      </c>
      <c r="G168" s="1">
        <v>0</v>
      </c>
      <c r="H168" s="1">
        <v>167</v>
      </c>
      <c r="I168" s="1">
        <v>80</v>
      </c>
      <c r="J168" s="1"/>
      <c r="L168" s="12" t="s">
        <v>820</v>
      </c>
      <c r="M168" s="12" t="s">
        <v>218</v>
      </c>
      <c r="N168" s="12">
        <v>993</v>
      </c>
      <c r="O168" s="12">
        <v>0</v>
      </c>
      <c r="P168" s="12">
        <v>0</v>
      </c>
      <c r="Q168" s="12">
        <v>0</v>
      </c>
      <c r="R168" s="12">
        <v>0</v>
      </c>
      <c r="S168" s="18">
        <v>4861</v>
      </c>
    </row>
    <row r="169" spans="1:19" x14ac:dyDescent="0.25">
      <c r="A169" t="s">
        <v>794</v>
      </c>
      <c r="B169" t="s">
        <v>217</v>
      </c>
      <c r="C169" s="1">
        <f>917+1+568</f>
        <v>1486</v>
      </c>
      <c r="D169" s="1">
        <v>0</v>
      </c>
      <c r="E169" s="1">
        <v>0</v>
      </c>
      <c r="F169" s="1">
        <v>0</v>
      </c>
      <c r="G169" s="1">
        <v>0</v>
      </c>
      <c r="H169" s="1">
        <v>2084</v>
      </c>
      <c r="I169" s="1">
        <v>394</v>
      </c>
      <c r="J169" s="1"/>
      <c r="L169" s="10">
        <v>711</v>
      </c>
      <c r="M169" s="10" t="s">
        <v>219</v>
      </c>
      <c r="N169" s="10">
        <v>27969</v>
      </c>
      <c r="O169" s="10">
        <v>46</v>
      </c>
      <c r="P169" s="10">
        <v>0</v>
      </c>
      <c r="Q169" s="10">
        <v>0</v>
      </c>
      <c r="R169" s="10">
        <v>0</v>
      </c>
      <c r="S169" s="19">
        <v>11415</v>
      </c>
    </row>
    <row r="170" spans="1:19" x14ac:dyDescent="0.25">
      <c r="A170" t="s">
        <v>265</v>
      </c>
      <c r="B170" t="s">
        <v>218</v>
      </c>
      <c r="C170" s="1">
        <f>573+2+5+3+4+1+405</f>
        <v>993</v>
      </c>
      <c r="D170" s="1">
        <v>0</v>
      </c>
      <c r="E170" s="1">
        <v>0</v>
      </c>
      <c r="F170" s="1">
        <v>0</v>
      </c>
      <c r="G170" s="1">
        <v>0</v>
      </c>
      <c r="H170" s="1">
        <v>4861</v>
      </c>
      <c r="I170" s="1">
        <v>317</v>
      </c>
      <c r="J170" s="1"/>
      <c r="L170" s="12">
        <v>114</v>
      </c>
      <c r="M170" s="12" t="s">
        <v>220</v>
      </c>
      <c r="N170" s="12">
        <v>534</v>
      </c>
      <c r="O170" s="12">
        <v>0</v>
      </c>
      <c r="P170" s="12">
        <v>0</v>
      </c>
      <c r="Q170" s="12">
        <v>0</v>
      </c>
      <c r="R170" s="12">
        <v>0</v>
      </c>
      <c r="S170" s="18">
        <v>1167</v>
      </c>
    </row>
    <row r="171" spans="1:19" x14ac:dyDescent="0.25">
      <c r="A171" t="s">
        <v>801</v>
      </c>
      <c r="B171" t="s">
        <v>219</v>
      </c>
      <c r="C171" s="1">
        <f>26854+2+43+1070</f>
        <v>27969</v>
      </c>
      <c r="D171" s="1">
        <f>41+5</f>
        <v>46</v>
      </c>
      <c r="E171" s="1">
        <v>0</v>
      </c>
      <c r="F171" s="1">
        <v>0</v>
      </c>
      <c r="G171" s="1">
        <v>0</v>
      </c>
      <c r="H171" s="1">
        <v>11415</v>
      </c>
      <c r="I171" s="1">
        <v>714</v>
      </c>
      <c r="J171" s="1"/>
      <c r="L171" s="10" t="s">
        <v>814</v>
      </c>
      <c r="M171" s="10" t="s">
        <v>221</v>
      </c>
      <c r="N171" s="10">
        <v>5340</v>
      </c>
      <c r="O171" s="10">
        <v>2</v>
      </c>
      <c r="P171" s="10">
        <v>0</v>
      </c>
      <c r="Q171" s="10">
        <v>0</v>
      </c>
      <c r="R171" s="10">
        <v>0</v>
      </c>
      <c r="S171" s="19">
        <v>1346</v>
      </c>
    </row>
    <row r="172" spans="1:19" x14ac:dyDescent="0.25">
      <c r="A172" t="s">
        <v>150</v>
      </c>
      <c r="B172" t="s">
        <v>220</v>
      </c>
      <c r="C172" s="1">
        <f>408+126</f>
        <v>534</v>
      </c>
      <c r="D172" s="1">
        <v>0</v>
      </c>
      <c r="E172" s="1">
        <v>0</v>
      </c>
      <c r="F172" s="1">
        <v>0</v>
      </c>
      <c r="G172" s="1">
        <v>0</v>
      </c>
      <c r="H172" s="1">
        <v>1167</v>
      </c>
      <c r="I172" s="1">
        <v>132</v>
      </c>
      <c r="J172" s="1"/>
      <c r="L172" s="12">
        <v>311</v>
      </c>
      <c r="M172" s="12" t="s">
        <v>222</v>
      </c>
      <c r="N172" s="12">
        <v>3749</v>
      </c>
      <c r="O172" s="12">
        <v>0</v>
      </c>
      <c r="P172" s="12">
        <v>0</v>
      </c>
      <c r="Q172" s="12">
        <v>0</v>
      </c>
      <c r="R172" s="12">
        <v>0</v>
      </c>
      <c r="S172" s="18">
        <v>425</v>
      </c>
    </row>
    <row r="173" spans="1:19" x14ac:dyDescent="0.25">
      <c r="A173" t="s">
        <v>794</v>
      </c>
      <c r="B173" t="s">
        <v>221</v>
      </c>
      <c r="C173" s="1">
        <f>3006+2332+2</f>
        <v>5340</v>
      </c>
      <c r="D173" s="1">
        <v>2</v>
      </c>
      <c r="E173" s="1">
        <v>0</v>
      </c>
      <c r="F173" s="1">
        <v>0</v>
      </c>
      <c r="G173" s="1">
        <v>0</v>
      </c>
      <c r="H173" s="1">
        <v>1346</v>
      </c>
      <c r="I173" s="1">
        <v>1643</v>
      </c>
      <c r="J173" s="1"/>
      <c r="L173" s="10">
        <v>161</v>
      </c>
      <c r="M173" s="10" t="s">
        <v>223</v>
      </c>
      <c r="N173" s="10"/>
      <c r="O173" s="10"/>
      <c r="P173" s="10"/>
      <c r="Q173" s="10"/>
      <c r="R173" s="10"/>
      <c r="S173" s="19"/>
    </row>
    <row r="174" spans="1:19" x14ac:dyDescent="0.25">
      <c r="A174" t="s">
        <v>120</v>
      </c>
      <c r="B174" t="s">
        <v>222</v>
      </c>
      <c r="C174" s="1">
        <f>3598+151</f>
        <v>3749</v>
      </c>
      <c r="D174" s="1">
        <v>0</v>
      </c>
      <c r="E174" s="1">
        <v>0</v>
      </c>
      <c r="F174" s="1">
        <v>0</v>
      </c>
      <c r="G174" s="1">
        <v>0</v>
      </c>
      <c r="H174" s="1">
        <v>425</v>
      </c>
      <c r="I174" s="1">
        <v>143</v>
      </c>
      <c r="J174" s="1"/>
      <c r="L174" s="12">
        <v>153</v>
      </c>
      <c r="M174" s="12" t="s">
        <v>224</v>
      </c>
      <c r="N174" s="12">
        <v>1232</v>
      </c>
      <c r="O174" s="12">
        <v>10</v>
      </c>
      <c r="P174" s="12">
        <v>0</v>
      </c>
      <c r="Q174" s="12">
        <v>0</v>
      </c>
      <c r="R174" s="12">
        <v>0</v>
      </c>
      <c r="S174" s="18">
        <v>2326</v>
      </c>
    </row>
    <row r="175" spans="1:19" x14ac:dyDescent="0.25">
      <c r="A175" t="s">
        <v>792</v>
      </c>
      <c r="B175" t="s">
        <v>223</v>
      </c>
      <c r="C175" s="1"/>
      <c r="D175" s="1"/>
      <c r="E175" s="1"/>
      <c r="F175" s="1"/>
      <c r="G175" s="1"/>
      <c r="H175" s="1"/>
      <c r="I175" s="1"/>
      <c r="J175" s="1"/>
      <c r="L175" s="10">
        <v>710</v>
      </c>
      <c r="M175" s="10" t="s">
        <v>225</v>
      </c>
      <c r="N175" s="10">
        <v>11621</v>
      </c>
      <c r="O175" s="10">
        <v>35</v>
      </c>
      <c r="P175" s="10">
        <v>0</v>
      </c>
      <c r="Q175" s="10">
        <v>0</v>
      </c>
      <c r="R175" s="10">
        <v>0</v>
      </c>
      <c r="S175" s="19">
        <v>38498</v>
      </c>
    </row>
    <row r="176" spans="1:19" x14ac:dyDescent="0.25">
      <c r="A176" t="s">
        <v>825</v>
      </c>
      <c r="B176" t="s">
        <v>224</v>
      </c>
      <c r="C176" s="1">
        <f>809+4+419</f>
        <v>1232</v>
      </c>
      <c r="D176" s="1">
        <v>10</v>
      </c>
      <c r="E176" s="1">
        <v>0</v>
      </c>
      <c r="F176" s="1">
        <v>0</v>
      </c>
      <c r="G176" s="1">
        <v>0</v>
      </c>
      <c r="H176" s="1">
        <v>2326</v>
      </c>
      <c r="I176" s="1">
        <v>411</v>
      </c>
      <c r="J176" s="1"/>
      <c r="L176" s="12">
        <v>300</v>
      </c>
      <c r="M176" s="12" t="s">
        <v>227</v>
      </c>
      <c r="N176" s="12"/>
      <c r="O176" s="12"/>
      <c r="P176" s="12"/>
      <c r="Q176" s="12"/>
      <c r="R176" s="12"/>
      <c r="S176" s="18"/>
    </row>
    <row r="177" spans="1:19" x14ac:dyDescent="0.25">
      <c r="A177" t="s">
        <v>805</v>
      </c>
      <c r="B177" t="s">
        <v>225</v>
      </c>
      <c r="C177" s="1"/>
      <c r="D177" s="1"/>
      <c r="E177" s="1"/>
      <c r="F177" s="1"/>
      <c r="G177" s="1"/>
      <c r="H177" s="1"/>
      <c r="I177" s="1"/>
      <c r="J177" s="1"/>
      <c r="L177" s="10">
        <v>300</v>
      </c>
      <c r="M177" s="10" t="s">
        <v>228</v>
      </c>
      <c r="N177" s="10"/>
      <c r="O177" s="10"/>
      <c r="P177" s="10"/>
      <c r="Q177" s="10"/>
      <c r="R177" s="10"/>
      <c r="S177" s="19"/>
    </row>
    <row r="178" spans="1:19" x14ac:dyDescent="0.25">
      <c r="A178" t="s">
        <v>226</v>
      </c>
      <c r="B178" t="s">
        <v>227</v>
      </c>
      <c r="C178" s="1"/>
      <c r="D178" s="1"/>
      <c r="E178" s="1"/>
      <c r="F178" s="1"/>
      <c r="G178" s="1"/>
      <c r="H178" s="1"/>
      <c r="I178" s="1"/>
      <c r="J178" s="1"/>
      <c r="L178" s="12">
        <v>314</v>
      </c>
      <c r="M178" s="12" t="s">
        <v>230</v>
      </c>
      <c r="N178" s="12">
        <v>1525</v>
      </c>
      <c r="O178" s="12">
        <v>10</v>
      </c>
      <c r="P178" s="12">
        <v>0</v>
      </c>
      <c r="Q178" s="12">
        <v>0</v>
      </c>
      <c r="R178" s="12">
        <v>0</v>
      </c>
      <c r="S178" s="18">
        <v>197</v>
      </c>
    </row>
    <row r="179" spans="1:19" x14ac:dyDescent="0.25">
      <c r="A179" t="s">
        <v>226</v>
      </c>
      <c r="B179" t="s">
        <v>228</v>
      </c>
      <c r="C179" s="1"/>
      <c r="D179" s="1"/>
      <c r="E179" s="1"/>
      <c r="F179" s="1"/>
      <c r="G179" s="1"/>
      <c r="H179" s="1"/>
      <c r="I179" s="1"/>
      <c r="J179" s="1"/>
      <c r="L179" s="10">
        <v>118</v>
      </c>
      <c r="M179" s="10" t="s">
        <v>232</v>
      </c>
      <c r="N179" s="10">
        <v>2485</v>
      </c>
      <c r="O179" s="10">
        <v>0</v>
      </c>
      <c r="P179" s="10">
        <v>0</v>
      </c>
      <c r="Q179" s="10">
        <v>0</v>
      </c>
      <c r="R179" s="10">
        <v>0</v>
      </c>
      <c r="S179" s="19">
        <v>149</v>
      </c>
    </row>
    <row r="180" spans="1:19" x14ac:dyDescent="0.25">
      <c r="A180" t="s">
        <v>305</v>
      </c>
      <c r="B180" t="s">
        <v>230</v>
      </c>
      <c r="C180" s="1">
        <f>1309+216</f>
        <v>1525</v>
      </c>
      <c r="D180" s="1">
        <v>10</v>
      </c>
      <c r="E180" s="1">
        <v>0</v>
      </c>
      <c r="F180" s="1">
        <v>0</v>
      </c>
      <c r="G180" s="1">
        <v>0</v>
      </c>
      <c r="H180" s="1">
        <v>197</v>
      </c>
      <c r="I180" s="1">
        <v>169</v>
      </c>
      <c r="J180" s="1"/>
      <c r="L180" s="12">
        <v>600</v>
      </c>
      <c r="M180" s="12" t="s">
        <v>233</v>
      </c>
      <c r="N180" s="12">
        <v>3713</v>
      </c>
      <c r="O180" s="12">
        <v>16</v>
      </c>
      <c r="P180" s="12">
        <v>0</v>
      </c>
      <c r="Q180" s="12">
        <v>0</v>
      </c>
      <c r="R180" s="12">
        <v>0</v>
      </c>
      <c r="S180" s="18">
        <v>4127</v>
      </c>
    </row>
    <row r="181" spans="1:19" x14ac:dyDescent="0.25">
      <c r="A181" t="s">
        <v>188</v>
      </c>
      <c r="B181" t="s">
        <v>232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/>
      <c r="L181" s="10">
        <v>710</v>
      </c>
      <c r="M181" s="10" t="s">
        <v>234</v>
      </c>
      <c r="N181" s="10">
        <v>51090</v>
      </c>
      <c r="O181" s="10">
        <v>61</v>
      </c>
      <c r="P181" s="10">
        <v>0</v>
      </c>
      <c r="Q181" s="10">
        <v>0</v>
      </c>
      <c r="R181" s="10">
        <v>0</v>
      </c>
      <c r="S181" s="19">
        <v>44820</v>
      </c>
    </row>
    <row r="182" spans="1:19" x14ac:dyDescent="0.25">
      <c r="A182" t="s">
        <v>248</v>
      </c>
      <c r="B182" t="s">
        <v>233</v>
      </c>
      <c r="C182" s="1">
        <f>2881+2+1+5+824</f>
        <v>3713</v>
      </c>
      <c r="D182" s="1">
        <v>16</v>
      </c>
      <c r="E182" s="1">
        <v>0</v>
      </c>
      <c r="F182" s="1">
        <v>0</v>
      </c>
      <c r="G182" s="1">
        <v>0</v>
      </c>
      <c r="H182" s="1">
        <v>4127</v>
      </c>
      <c r="I182" s="1">
        <v>641</v>
      </c>
      <c r="J182" s="1"/>
      <c r="L182" s="12">
        <v>116</v>
      </c>
      <c r="M182" s="12" t="s">
        <v>235</v>
      </c>
      <c r="N182" s="12">
        <v>10586</v>
      </c>
      <c r="O182" s="12">
        <v>30</v>
      </c>
      <c r="P182" s="12">
        <v>0</v>
      </c>
      <c r="Q182" s="12">
        <v>0</v>
      </c>
      <c r="R182" s="12">
        <v>0</v>
      </c>
      <c r="S182" s="18">
        <v>451</v>
      </c>
    </row>
    <row r="183" spans="1:19" x14ac:dyDescent="0.25">
      <c r="A183" t="s">
        <v>69</v>
      </c>
      <c r="B183" t="s">
        <v>234</v>
      </c>
      <c r="C183" s="1">
        <f>42383+82+293+8332</f>
        <v>51090</v>
      </c>
      <c r="D183" s="1">
        <f>10+11+39+1</f>
        <v>61</v>
      </c>
      <c r="E183" s="1">
        <v>0</v>
      </c>
      <c r="F183" s="1">
        <v>0</v>
      </c>
      <c r="G183" s="1">
        <v>0</v>
      </c>
      <c r="H183" s="1">
        <v>44820</v>
      </c>
      <c r="I183" s="1">
        <v>6999</v>
      </c>
      <c r="J183" s="1"/>
      <c r="L183" s="10">
        <v>116</v>
      </c>
      <c r="M183" s="10" t="s">
        <v>236</v>
      </c>
      <c r="N183" s="10">
        <v>6855</v>
      </c>
      <c r="O183" s="10">
        <v>41</v>
      </c>
      <c r="P183" s="10">
        <v>0</v>
      </c>
      <c r="Q183" s="10">
        <v>0</v>
      </c>
      <c r="R183" s="10">
        <v>0</v>
      </c>
      <c r="S183" s="19">
        <v>5321</v>
      </c>
    </row>
    <row r="184" spans="1:19" x14ac:dyDescent="0.25">
      <c r="A184" t="s">
        <v>795</v>
      </c>
      <c r="B184" t="s">
        <v>235</v>
      </c>
      <c r="C184" s="1"/>
      <c r="D184" s="1"/>
      <c r="E184" s="1"/>
      <c r="F184" s="1"/>
      <c r="G184" s="1"/>
      <c r="H184" s="1"/>
      <c r="I184" s="1"/>
      <c r="J184" s="1"/>
      <c r="L184" s="12">
        <v>711</v>
      </c>
      <c r="M184" s="12" t="s">
        <v>237</v>
      </c>
      <c r="N184" s="12">
        <v>9706</v>
      </c>
      <c r="O184" s="12">
        <v>94</v>
      </c>
      <c r="P184" s="12">
        <v>0</v>
      </c>
      <c r="Q184" s="12">
        <v>0</v>
      </c>
      <c r="R184" s="12">
        <v>0</v>
      </c>
      <c r="S184" s="18">
        <v>7000</v>
      </c>
    </row>
    <row r="185" spans="1:19" x14ac:dyDescent="0.25">
      <c r="A185" t="s">
        <v>795</v>
      </c>
      <c r="B185" t="s">
        <v>236</v>
      </c>
      <c r="C185" s="1"/>
      <c r="D185" s="1"/>
      <c r="E185" s="1"/>
      <c r="F185" s="1"/>
      <c r="G185" s="1"/>
      <c r="H185" s="1"/>
      <c r="I185" s="1"/>
      <c r="J185" s="1"/>
      <c r="L185" s="10">
        <v>610</v>
      </c>
      <c r="M185" s="10" t="s">
        <v>238</v>
      </c>
      <c r="N185" s="10"/>
      <c r="O185" s="10"/>
      <c r="P185" s="10"/>
      <c r="Q185" s="10"/>
      <c r="R185" s="10"/>
      <c r="S185" s="19"/>
    </row>
    <row r="186" spans="1:19" x14ac:dyDescent="0.25">
      <c r="A186" t="s">
        <v>801</v>
      </c>
      <c r="B186" t="s">
        <v>237</v>
      </c>
      <c r="C186" s="1">
        <f>8934+772</f>
        <v>9706</v>
      </c>
      <c r="D186" s="1">
        <f>92+2</f>
        <v>94</v>
      </c>
      <c r="E186" s="1">
        <v>0</v>
      </c>
      <c r="F186" s="1">
        <v>0</v>
      </c>
      <c r="G186" s="1">
        <v>0</v>
      </c>
      <c r="H186" s="1">
        <v>7000</v>
      </c>
      <c r="I186" s="1">
        <v>648</v>
      </c>
      <c r="J186" s="1"/>
      <c r="L186" s="12">
        <v>100</v>
      </c>
      <c r="M186" s="12" t="s">
        <v>239</v>
      </c>
      <c r="N186" s="12">
        <v>1872</v>
      </c>
      <c r="O186" s="12">
        <v>0</v>
      </c>
      <c r="P186" s="12">
        <v>0</v>
      </c>
      <c r="Q186" s="12">
        <v>0</v>
      </c>
      <c r="R186" s="12">
        <v>0</v>
      </c>
      <c r="S186" s="18">
        <v>75</v>
      </c>
    </row>
    <row r="187" spans="1:19" x14ac:dyDescent="0.25">
      <c r="A187" t="s">
        <v>788</v>
      </c>
      <c r="B187" t="s">
        <v>238</v>
      </c>
      <c r="C187" s="1"/>
      <c r="D187" s="1"/>
      <c r="E187" s="1"/>
      <c r="F187" s="1"/>
      <c r="G187" s="1"/>
      <c r="H187" s="1"/>
      <c r="I187" s="1"/>
      <c r="J187" s="1"/>
      <c r="L187" s="10">
        <v>711</v>
      </c>
      <c r="M187" s="10" t="s">
        <v>240</v>
      </c>
      <c r="N187" s="10">
        <v>3735</v>
      </c>
      <c r="O187" s="10">
        <v>77</v>
      </c>
      <c r="P187" s="10">
        <v>0</v>
      </c>
      <c r="Q187" s="10">
        <v>0</v>
      </c>
      <c r="R187" s="10">
        <v>0</v>
      </c>
      <c r="S187" s="19">
        <v>2662</v>
      </c>
    </row>
    <row r="188" spans="1:19" x14ac:dyDescent="0.25">
      <c r="A188" t="s">
        <v>791</v>
      </c>
      <c r="B188" t="s">
        <v>239</v>
      </c>
      <c r="C188" s="1"/>
      <c r="D188" s="1"/>
      <c r="E188" s="1"/>
      <c r="F188" s="1"/>
      <c r="G188" s="1"/>
      <c r="H188" s="1"/>
      <c r="I188" s="1"/>
      <c r="J188" s="1"/>
      <c r="L188" s="12">
        <v>610</v>
      </c>
      <c r="M188" s="12" t="s">
        <v>241</v>
      </c>
      <c r="N188" s="12">
        <v>8574</v>
      </c>
      <c r="O188" s="12">
        <v>10</v>
      </c>
      <c r="P188" s="12">
        <v>0</v>
      </c>
      <c r="Q188" s="12">
        <v>0</v>
      </c>
      <c r="R188" s="12">
        <v>0</v>
      </c>
      <c r="S188" s="18">
        <v>2095</v>
      </c>
    </row>
    <row r="189" spans="1:19" x14ac:dyDescent="0.25">
      <c r="A189" t="s">
        <v>801</v>
      </c>
      <c r="B189" t="s">
        <v>240</v>
      </c>
      <c r="C189" s="1">
        <f>3348+387</f>
        <v>3735</v>
      </c>
      <c r="D189" s="1">
        <v>77</v>
      </c>
      <c r="E189" s="1">
        <v>0</v>
      </c>
      <c r="F189" s="1">
        <v>0</v>
      </c>
      <c r="G189" s="1">
        <v>0</v>
      </c>
      <c r="H189" s="1">
        <v>2662</v>
      </c>
      <c r="I189" s="1">
        <v>391</v>
      </c>
      <c r="J189" s="1"/>
      <c r="L189" s="10" t="s">
        <v>815</v>
      </c>
      <c r="M189" s="10" t="s">
        <v>242</v>
      </c>
      <c r="N189" s="10">
        <v>13325</v>
      </c>
      <c r="O189" s="10">
        <v>9</v>
      </c>
      <c r="P189" s="10">
        <v>0</v>
      </c>
      <c r="Q189" s="10">
        <v>0</v>
      </c>
      <c r="R189" s="10">
        <v>0</v>
      </c>
      <c r="S189" s="19">
        <v>5969</v>
      </c>
    </row>
    <row r="190" spans="1:19" x14ac:dyDescent="0.25">
      <c r="A190" t="s">
        <v>788</v>
      </c>
      <c r="B190" t="s">
        <v>241</v>
      </c>
      <c r="C190" s="1">
        <f>5286+3+3285</f>
        <v>8574</v>
      </c>
      <c r="D190" s="1">
        <v>10</v>
      </c>
      <c r="E190" s="1">
        <v>0</v>
      </c>
      <c r="F190" s="1">
        <v>0</v>
      </c>
      <c r="G190" s="1">
        <v>0</v>
      </c>
      <c r="H190" s="1">
        <v>2095</v>
      </c>
      <c r="I190" s="1">
        <v>3059</v>
      </c>
      <c r="J190" s="1"/>
      <c r="L190" s="12">
        <v>313</v>
      </c>
      <c r="M190" s="12" t="s">
        <v>243</v>
      </c>
      <c r="N190" s="12">
        <v>1135</v>
      </c>
      <c r="O190" s="12">
        <v>0</v>
      </c>
      <c r="P190" s="12">
        <v>0</v>
      </c>
      <c r="Q190" s="12">
        <v>0</v>
      </c>
      <c r="R190" s="12">
        <v>0</v>
      </c>
      <c r="S190" s="18">
        <v>53</v>
      </c>
    </row>
    <row r="191" spans="1:19" x14ac:dyDescent="0.25">
      <c r="A191" t="s">
        <v>138</v>
      </c>
      <c r="B191" t="s">
        <v>242</v>
      </c>
      <c r="C191" s="1">
        <f>11195+10+13+60+7+2040</f>
        <v>13325</v>
      </c>
      <c r="D191" s="1">
        <f>4+2+3</f>
        <v>9</v>
      </c>
      <c r="E191" s="1">
        <v>0</v>
      </c>
      <c r="F191" s="1">
        <v>0</v>
      </c>
      <c r="G191" s="1">
        <v>0</v>
      </c>
      <c r="H191" s="1">
        <v>5969</v>
      </c>
      <c r="I191" s="1">
        <v>1526</v>
      </c>
      <c r="J191" s="1"/>
      <c r="L191" s="10">
        <v>713</v>
      </c>
      <c r="M191" s="10" t="s">
        <v>244</v>
      </c>
      <c r="N191" s="10">
        <v>17188</v>
      </c>
      <c r="O191" s="10">
        <v>16</v>
      </c>
      <c r="P191" s="10">
        <v>0</v>
      </c>
      <c r="Q191" s="10">
        <v>0</v>
      </c>
      <c r="R191" s="10">
        <v>0</v>
      </c>
      <c r="S191" s="19">
        <v>17264</v>
      </c>
    </row>
    <row r="192" spans="1:19" x14ac:dyDescent="0.25">
      <c r="A192" t="s">
        <v>512</v>
      </c>
      <c r="B192" t="s">
        <v>243</v>
      </c>
      <c r="C192" s="1">
        <f>1056+1+78</f>
        <v>1135</v>
      </c>
      <c r="D192" s="1">
        <v>0</v>
      </c>
      <c r="E192" s="1">
        <v>0</v>
      </c>
      <c r="F192" s="1">
        <v>0</v>
      </c>
      <c r="G192" s="1">
        <v>0</v>
      </c>
      <c r="H192" s="1">
        <v>53</v>
      </c>
      <c r="I192" s="1">
        <v>75</v>
      </c>
      <c r="J192" s="1"/>
      <c r="L192" s="12">
        <v>611</v>
      </c>
      <c r="M192" s="12" t="s">
        <v>245</v>
      </c>
      <c r="N192" s="12">
        <v>2411</v>
      </c>
      <c r="O192" s="12">
        <v>1</v>
      </c>
      <c r="P192" s="12">
        <v>0</v>
      </c>
      <c r="Q192" s="12">
        <v>0</v>
      </c>
      <c r="R192" s="12">
        <v>0</v>
      </c>
      <c r="S192" s="18">
        <v>4024</v>
      </c>
    </row>
    <row r="193" spans="1:19" x14ac:dyDescent="0.25">
      <c r="A193" t="s">
        <v>796</v>
      </c>
      <c r="B193" t="s">
        <v>244</v>
      </c>
      <c r="C193" s="1">
        <f>13789+9+3390</f>
        <v>17188</v>
      </c>
      <c r="D193" s="1">
        <f>2+4+8+2</f>
        <v>16</v>
      </c>
      <c r="E193" s="1">
        <v>0</v>
      </c>
      <c r="F193" s="1">
        <v>0</v>
      </c>
      <c r="G193" s="1">
        <v>0</v>
      </c>
      <c r="H193" s="1">
        <v>17264</v>
      </c>
      <c r="I193" s="1">
        <v>3523</v>
      </c>
      <c r="J193" s="1"/>
      <c r="L193" s="10">
        <v>114</v>
      </c>
      <c r="M193" s="10" t="s">
        <v>246</v>
      </c>
      <c r="N193" s="10">
        <v>1541</v>
      </c>
      <c r="O193" s="10">
        <v>8</v>
      </c>
      <c r="P193" s="10">
        <v>0</v>
      </c>
      <c r="Q193" s="10">
        <v>0</v>
      </c>
      <c r="R193" s="10">
        <v>0</v>
      </c>
      <c r="S193" s="19">
        <v>193</v>
      </c>
    </row>
    <row r="194" spans="1:19" x14ac:dyDescent="0.25">
      <c r="A194" t="s">
        <v>146</v>
      </c>
      <c r="B194" t="s">
        <v>245</v>
      </c>
      <c r="C194" s="1">
        <f>2016+395</f>
        <v>2411</v>
      </c>
      <c r="D194" s="1">
        <v>1</v>
      </c>
      <c r="E194" s="1">
        <v>0</v>
      </c>
      <c r="F194" s="1">
        <v>0</v>
      </c>
      <c r="G194" s="1">
        <v>0</v>
      </c>
      <c r="H194" s="1">
        <v>4024</v>
      </c>
      <c r="I194" s="1">
        <v>379</v>
      </c>
      <c r="J194" s="1"/>
      <c r="L194" s="12">
        <v>100</v>
      </c>
      <c r="M194" s="12" t="s">
        <v>247</v>
      </c>
      <c r="N194" s="12">
        <v>1368</v>
      </c>
      <c r="O194" s="12">
        <v>3</v>
      </c>
      <c r="P194" s="12">
        <v>0</v>
      </c>
      <c r="Q194" s="12">
        <v>0</v>
      </c>
      <c r="R194" s="12">
        <v>0</v>
      </c>
      <c r="S194" s="18">
        <v>253</v>
      </c>
    </row>
    <row r="195" spans="1:19" x14ac:dyDescent="0.25">
      <c r="A195" t="s">
        <v>150</v>
      </c>
      <c r="B195" t="s">
        <v>246</v>
      </c>
      <c r="C195" s="1">
        <f>1225+316</f>
        <v>1541</v>
      </c>
      <c r="D195" s="1">
        <v>8</v>
      </c>
      <c r="E195" s="1">
        <v>0</v>
      </c>
      <c r="F195" s="1">
        <v>0</v>
      </c>
      <c r="G195" s="1">
        <v>0</v>
      </c>
      <c r="H195" s="1">
        <v>193</v>
      </c>
      <c r="I195" s="1">
        <v>130</v>
      </c>
      <c r="J195" s="1"/>
      <c r="L195" s="10">
        <v>600</v>
      </c>
      <c r="M195" s="10" t="s">
        <v>249</v>
      </c>
      <c r="N195" s="10">
        <v>10292</v>
      </c>
      <c r="O195" s="10">
        <v>11</v>
      </c>
      <c r="P195" s="10">
        <v>0</v>
      </c>
      <c r="Q195" s="10">
        <v>0</v>
      </c>
      <c r="R195" s="10">
        <v>0</v>
      </c>
      <c r="S195" s="19">
        <v>10034</v>
      </c>
    </row>
    <row r="196" spans="1:19" x14ac:dyDescent="0.25">
      <c r="A196" t="s">
        <v>791</v>
      </c>
      <c r="B196" t="s">
        <v>247</v>
      </c>
      <c r="C196" s="1"/>
      <c r="D196" s="1"/>
      <c r="E196" s="1"/>
      <c r="F196" s="1"/>
      <c r="G196" s="1"/>
      <c r="H196" s="1"/>
      <c r="I196" s="1"/>
      <c r="J196" s="1"/>
      <c r="L196" s="12">
        <v>210</v>
      </c>
      <c r="M196" s="12" t="s">
        <v>250</v>
      </c>
      <c r="N196" s="12">
        <v>1053</v>
      </c>
      <c r="O196" s="12">
        <v>0</v>
      </c>
      <c r="P196" s="12">
        <v>0</v>
      </c>
      <c r="Q196" s="12">
        <v>0</v>
      </c>
      <c r="R196" s="12">
        <v>0</v>
      </c>
      <c r="S196" s="18">
        <v>297</v>
      </c>
    </row>
    <row r="197" spans="1:19" x14ac:dyDescent="0.25">
      <c r="A197" t="s">
        <v>248</v>
      </c>
      <c r="B197" t="s">
        <v>249</v>
      </c>
      <c r="C197" s="1">
        <f>9035+4+1253</f>
        <v>10292</v>
      </c>
      <c r="D197" s="1">
        <v>11</v>
      </c>
      <c r="E197" s="1">
        <v>0</v>
      </c>
      <c r="F197" s="1">
        <v>0</v>
      </c>
      <c r="G197" s="1">
        <v>0</v>
      </c>
      <c r="H197" s="1">
        <v>10034</v>
      </c>
      <c r="I197" s="1">
        <v>1131</v>
      </c>
      <c r="J197" s="1"/>
      <c r="L197" s="10">
        <v>600</v>
      </c>
      <c r="M197" s="10" t="s">
        <v>251</v>
      </c>
      <c r="N197" s="10">
        <v>6587</v>
      </c>
      <c r="O197" s="10">
        <v>316</v>
      </c>
      <c r="P197" s="10">
        <v>0</v>
      </c>
      <c r="Q197" s="10">
        <v>0</v>
      </c>
      <c r="R197" s="10">
        <v>0</v>
      </c>
      <c r="S197" s="19">
        <v>1248</v>
      </c>
    </row>
    <row r="198" spans="1:19" x14ac:dyDescent="0.25">
      <c r="A198" t="s">
        <v>185</v>
      </c>
      <c r="B198" t="s">
        <v>250</v>
      </c>
      <c r="C198" s="1">
        <f>939+114</f>
        <v>1053</v>
      </c>
      <c r="D198" s="1">
        <v>0</v>
      </c>
      <c r="E198" s="1">
        <v>0</v>
      </c>
      <c r="F198" s="1">
        <v>0</v>
      </c>
      <c r="G198" s="1">
        <v>0</v>
      </c>
      <c r="H198" s="1">
        <v>297</v>
      </c>
      <c r="I198" s="1">
        <v>126</v>
      </c>
      <c r="J198" s="1"/>
      <c r="L198" s="12">
        <v>116</v>
      </c>
      <c r="M198" s="12" t="s">
        <v>252</v>
      </c>
      <c r="N198" s="12">
        <v>7221</v>
      </c>
      <c r="O198" s="12">
        <v>9</v>
      </c>
      <c r="P198" s="12">
        <v>0</v>
      </c>
      <c r="Q198" s="12">
        <v>0</v>
      </c>
      <c r="R198" s="12">
        <v>0</v>
      </c>
      <c r="S198" s="18">
        <v>3729</v>
      </c>
    </row>
    <row r="199" spans="1:19" x14ac:dyDescent="0.25">
      <c r="A199" t="s">
        <v>248</v>
      </c>
      <c r="B199" t="s">
        <v>251</v>
      </c>
      <c r="C199" s="1">
        <f>5346+1241</f>
        <v>6587</v>
      </c>
      <c r="D199" s="1">
        <f>173+140+3</f>
        <v>316</v>
      </c>
      <c r="E199" s="1">
        <v>0</v>
      </c>
      <c r="F199" s="1">
        <v>0</v>
      </c>
      <c r="G199" s="1">
        <v>0</v>
      </c>
      <c r="H199" s="1">
        <v>1248</v>
      </c>
      <c r="I199" s="1">
        <v>1163</v>
      </c>
      <c r="J199" s="1"/>
      <c r="L199" s="10">
        <v>600</v>
      </c>
      <c r="M199" s="10" t="s">
        <v>253</v>
      </c>
      <c r="N199" s="10">
        <v>7874</v>
      </c>
      <c r="O199" s="10">
        <v>42</v>
      </c>
      <c r="P199" s="10">
        <v>0</v>
      </c>
      <c r="Q199" s="10">
        <v>0</v>
      </c>
      <c r="R199" s="10">
        <v>0</v>
      </c>
      <c r="S199" s="19">
        <v>1198</v>
      </c>
    </row>
    <row r="200" spans="1:19" x14ac:dyDescent="0.25">
      <c r="A200" t="s">
        <v>795</v>
      </c>
      <c r="B200" t="s">
        <v>252</v>
      </c>
      <c r="C200" s="1"/>
      <c r="D200" s="1"/>
      <c r="E200" s="1"/>
      <c r="F200" s="1"/>
      <c r="G200" s="1"/>
      <c r="H200" s="1"/>
      <c r="I200" s="1"/>
      <c r="J200" s="1"/>
      <c r="L200" s="12" t="s">
        <v>820</v>
      </c>
      <c r="M200" s="12" t="s">
        <v>254</v>
      </c>
      <c r="N200" s="12"/>
      <c r="O200" s="12"/>
      <c r="P200" s="12"/>
      <c r="Q200" s="12"/>
      <c r="R200" s="12"/>
      <c r="S200" s="18"/>
    </row>
    <row r="201" spans="1:19" x14ac:dyDescent="0.25">
      <c r="A201" t="s">
        <v>248</v>
      </c>
      <c r="B201" t="s">
        <v>253</v>
      </c>
      <c r="C201" s="1">
        <f>6867+15+3+989</f>
        <v>7874</v>
      </c>
      <c r="D201" s="1">
        <v>42</v>
      </c>
      <c r="E201" s="1">
        <v>0</v>
      </c>
      <c r="F201" s="1">
        <v>0</v>
      </c>
      <c r="G201" s="1">
        <v>0</v>
      </c>
      <c r="H201" s="1">
        <v>1198</v>
      </c>
      <c r="I201" s="1">
        <v>890</v>
      </c>
      <c r="J201" s="1"/>
      <c r="L201" s="10">
        <v>310</v>
      </c>
      <c r="M201" s="10" t="s">
        <v>255</v>
      </c>
      <c r="N201" s="10"/>
      <c r="O201" s="10"/>
      <c r="P201" s="10"/>
      <c r="Q201" s="10"/>
      <c r="R201" s="10"/>
      <c r="S201" s="19"/>
    </row>
    <row r="202" spans="1:19" x14ac:dyDescent="0.25">
      <c r="A202" t="s">
        <v>823</v>
      </c>
      <c r="B202" t="s">
        <v>254</v>
      </c>
      <c r="C202" s="1"/>
      <c r="D202" s="1"/>
      <c r="E202" s="1"/>
      <c r="F202" s="1"/>
      <c r="G202" s="1"/>
      <c r="H202" s="1"/>
      <c r="I202" s="1"/>
      <c r="J202" s="1"/>
      <c r="L202" s="12">
        <v>312</v>
      </c>
      <c r="M202" s="12" t="s">
        <v>256</v>
      </c>
      <c r="N202" s="12">
        <v>4444</v>
      </c>
      <c r="O202" s="12">
        <v>0</v>
      </c>
      <c r="P202" s="12">
        <v>0</v>
      </c>
      <c r="Q202" s="12">
        <v>0</v>
      </c>
      <c r="R202" s="12">
        <v>0</v>
      </c>
      <c r="S202" s="18">
        <v>1210</v>
      </c>
    </row>
    <row r="203" spans="1:19" x14ac:dyDescent="0.25">
      <c r="A203" t="s">
        <v>67</v>
      </c>
      <c r="B203" t="s">
        <v>255</v>
      </c>
      <c r="C203" s="1"/>
      <c r="D203" s="1"/>
      <c r="E203" s="1"/>
      <c r="F203" s="1"/>
      <c r="G203" s="1"/>
      <c r="H203" s="1"/>
      <c r="I203" s="1"/>
      <c r="J203" s="1"/>
      <c r="L203" s="10" t="s">
        <v>815</v>
      </c>
      <c r="M203" s="10" t="s">
        <v>257</v>
      </c>
      <c r="N203" s="10">
        <v>9393</v>
      </c>
      <c r="O203" s="10">
        <v>80</v>
      </c>
      <c r="P203" s="10">
        <v>0</v>
      </c>
      <c r="Q203" s="10">
        <v>0</v>
      </c>
      <c r="R203" s="10">
        <v>0</v>
      </c>
      <c r="S203" s="19">
        <v>1326</v>
      </c>
    </row>
    <row r="204" spans="1:19" x14ac:dyDescent="0.25">
      <c r="A204" t="s">
        <v>72</v>
      </c>
      <c r="B204" t="s">
        <v>256</v>
      </c>
      <c r="C204" s="1">
        <f>3967+477</f>
        <v>4444</v>
      </c>
      <c r="D204" s="1">
        <v>0</v>
      </c>
      <c r="E204" s="1">
        <v>0</v>
      </c>
      <c r="F204" s="1">
        <v>0</v>
      </c>
      <c r="G204" s="1">
        <v>0</v>
      </c>
      <c r="H204" s="1">
        <v>1210</v>
      </c>
      <c r="I204" s="1">
        <v>446</v>
      </c>
      <c r="J204" s="1"/>
      <c r="L204" s="12">
        <v>616</v>
      </c>
      <c r="M204" s="12" t="s">
        <v>258</v>
      </c>
      <c r="N204" s="12">
        <v>6388</v>
      </c>
      <c r="O204" s="12">
        <v>68</v>
      </c>
      <c r="P204" s="12">
        <v>0</v>
      </c>
      <c r="Q204" s="12">
        <v>0</v>
      </c>
      <c r="R204" s="12">
        <v>0</v>
      </c>
      <c r="S204" s="18">
        <v>57326</v>
      </c>
    </row>
    <row r="205" spans="1:19" x14ac:dyDescent="0.25">
      <c r="A205" t="s">
        <v>138</v>
      </c>
      <c r="B205" t="s">
        <v>257</v>
      </c>
      <c r="C205" s="1">
        <f>8306+1087</f>
        <v>9393</v>
      </c>
      <c r="D205" s="1">
        <f>65+15</f>
        <v>80</v>
      </c>
      <c r="E205" s="1">
        <v>0</v>
      </c>
      <c r="F205" s="1">
        <v>0</v>
      </c>
      <c r="G205" s="1">
        <v>0</v>
      </c>
      <c r="H205" s="1">
        <v>1326</v>
      </c>
      <c r="I205" s="1">
        <v>1017</v>
      </c>
      <c r="J205" s="1"/>
      <c r="L205" s="10">
        <v>116</v>
      </c>
      <c r="M205" s="10" t="s">
        <v>259</v>
      </c>
      <c r="N205" s="10">
        <v>31342</v>
      </c>
      <c r="O205" s="10">
        <v>208</v>
      </c>
      <c r="P205" s="10">
        <v>0</v>
      </c>
      <c r="Q205" s="10">
        <v>0</v>
      </c>
      <c r="R205" s="10">
        <v>0</v>
      </c>
      <c r="S205" s="19">
        <v>5834</v>
      </c>
    </row>
    <row r="206" spans="1:19" x14ac:dyDescent="0.25">
      <c r="A206" t="s">
        <v>817</v>
      </c>
      <c r="B206" t="s">
        <v>258</v>
      </c>
      <c r="C206" s="1">
        <f>4141+42+5+2199+1</f>
        <v>6388</v>
      </c>
      <c r="D206" s="1">
        <v>68</v>
      </c>
      <c r="E206" s="1">
        <v>0</v>
      </c>
      <c r="F206" s="1">
        <v>0</v>
      </c>
      <c r="G206" s="1">
        <v>0</v>
      </c>
      <c r="H206" s="1">
        <v>57326</v>
      </c>
      <c r="I206" s="1">
        <v>1878</v>
      </c>
      <c r="J206" s="1"/>
      <c r="L206" s="12">
        <v>211</v>
      </c>
      <c r="M206" s="12" t="s">
        <v>260</v>
      </c>
      <c r="N206" s="12">
        <v>6149</v>
      </c>
      <c r="O206" s="12">
        <v>24</v>
      </c>
      <c r="P206" s="12">
        <v>0</v>
      </c>
      <c r="Q206" s="12">
        <v>0</v>
      </c>
      <c r="R206" s="12">
        <v>0</v>
      </c>
      <c r="S206" s="18">
        <v>2952</v>
      </c>
    </row>
    <row r="207" spans="1:19" x14ac:dyDescent="0.25">
      <c r="A207" t="s">
        <v>795</v>
      </c>
      <c r="B207" t="s">
        <v>259</v>
      </c>
      <c r="C207" s="1"/>
      <c r="D207" s="1"/>
      <c r="E207" s="1"/>
      <c r="F207" s="1"/>
      <c r="G207" s="1"/>
      <c r="H207" s="1"/>
      <c r="I207" s="1"/>
      <c r="J207" s="1"/>
      <c r="L207" s="10">
        <v>120</v>
      </c>
      <c r="M207" s="10" t="s">
        <v>261</v>
      </c>
      <c r="N207" s="10"/>
      <c r="O207" s="10"/>
      <c r="P207" s="10"/>
      <c r="Q207" s="10"/>
      <c r="R207" s="10"/>
      <c r="S207" s="19"/>
    </row>
    <row r="208" spans="1:19" x14ac:dyDescent="0.25">
      <c r="A208" t="s">
        <v>131</v>
      </c>
      <c r="B208" t="s">
        <v>260</v>
      </c>
      <c r="C208" s="1">
        <f>3008+23+4+3114</f>
        <v>6149</v>
      </c>
      <c r="D208" s="1">
        <f>8+8+8</f>
        <v>24</v>
      </c>
      <c r="E208" s="1">
        <v>0</v>
      </c>
      <c r="F208" s="1">
        <v>0</v>
      </c>
      <c r="G208" s="1">
        <v>0</v>
      </c>
      <c r="H208" s="1">
        <v>2952</v>
      </c>
      <c r="I208" s="1">
        <v>2450</v>
      </c>
      <c r="J208" s="1"/>
      <c r="L208" s="12">
        <v>711</v>
      </c>
      <c r="M208" s="12" t="s">
        <v>262</v>
      </c>
      <c r="N208" s="12">
        <v>19659</v>
      </c>
      <c r="O208" s="12">
        <v>197</v>
      </c>
      <c r="P208" s="12">
        <v>0</v>
      </c>
      <c r="Q208" s="12">
        <v>0</v>
      </c>
      <c r="R208" s="12">
        <v>0</v>
      </c>
      <c r="S208" s="18">
        <v>10820</v>
      </c>
    </row>
    <row r="209" spans="1:19" x14ac:dyDescent="0.25">
      <c r="A209" t="s">
        <v>802</v>
      </c>
      <c r="B209" t="s">
        <v>261</v>
      </c>
      <c r="C209" s="1"/>
      <c r="D209" s="1"/>
      <c r="E209" s="1"/>
      <c r="F209" s="1"/>
      <c r="G209" s="1"/>
      <c r="H209" s="1"/>
      <c r="I209" s="1"/>
      <c r="J209" s="1"/>
      <c r="L209" s="10">
        <v>311</v>
      </c>
      <c r="M209" s="10" t="s">
        <v>263</v>
      </c>
      <c r="N209" s="10">
        <v>1165</v>
      </c>
      <c r="O209" s="10">
        <v>0</v>
      </c>
      <c r="P209" s="10">
        <v>0</v>
      </c>
      <c r="Q209" s="10">
        <v>0</v>
      </c>
      <c r="R209" s="10">
        <v>0</v>
      </c>
      <c r="S209" s="19">
        <v>13</v>
      </c>
    </row>
    <row r="210" spans="1:19" x14ac:dyDescent="0.25">
      <c r="A210" t="s">
        <v>801</v>
      </c>
      <c r="B210" t="s">
        <v>262</v>
      </c>
      <c r="C210" s="1">
        <f>13305+1+2+513+1+25+15+1+1+5795</f>
        <v>19659</v>
      </c>
      <c r="D210" s="1">
        <f>34+6+78+62+15+2</f>
        <v>197</v>
      </c>
      <c r="E210" s="1">
        <v>0</v>
      </c>
      <c r="F210" s="1">
        <v>0</v>
      </c>
      <c r="G210" s="1">
        <v>0</v>
      </c>
      <c r="H210" s="1">
        <v>16544</v>
      </c>
      <c r="I210" s="1">
        <v>4645</v>
      </c>
      <c r="J210" s="1"/>
      <c r="L210" s="12">
        <v>200</v>
      </c>
      <c r="M210" s="12" t="s">
        <v>264</v>
      </c>
      <c r="N210" s="12">
        <v>2786</v>
      </c>
      <c r="O210" s="12">
        <v>0</v>
      </c>
      <c r="P210" s="12">
        <v>0</v>
      </c>
      <c r="Q210" s="12">
        <v>0</v>
      </c>
      <c r="R210" s="12">
        <v>0</v>
      </c>
      <c r="S210" s="18">
        <v>321</v>
      </c>
    </row>
    <row r="211" spans="1:19" x14ac:dyDescent="0.25">
      <c r="A211" t="s">
        <v>120</v>
      </c>
      <c r="B211" t="s">
        <v>263</v>
      </c>
      <c r="C211" s="1">
        <f>1087+14+64</f>
        <v>1165</v>
      </c>
      <c r="D211" s="1">
        <v>0</v>
      </c>
      <c r="E211" s="1">
        <v>0</v>
      </c>
      <c r="F211" s="1">
        <v>0</v>
      </c>
      <c r="G211" s="1">
        <v>0</v>
      </c>
      <c r="H211" s="1">
        <v>13</v>
      </c>
      <c r="I211" s="1">
        <v>56</v>
      </c>
      <c r="J211" s="1"/>
      <c r="L211" s="10" t="s">
        <v>820</v>
      </c>
      <c r="M211" s="10" t="s">
        <v>266</v>
      </c>
      <c r="N211" s="10">
        <v>18919</v>
      </c>
      <c r="O211" s="10">
        <v>124</v>
      </c>
      <c r="P211" s="10">
        <v>0</v>
      </c>
      <c r="Q211" s="10">
        <v>0</v>
      </c>
      <c r="R211" s="10">
        <v>0</v>
      </c>
      <c r="S211" s="19">
        <v>6652</v>
      </c>
    </row>
    <row r="212" spans="1:19" x14ac:dyDescent="0.25">
      <c r="A212" t="s">
        <v>140</v>
      </c>
      <c r="B212" t="s">
        <v>264</v>
      </c>
      <c r="C212" s="1">
        <f>1995+6+125+660</f>
        <v>2786</v>
      </c>
      <c r="D212" s="1">
        <v>0</v>
      </c>
      <c r="E212" s="1">
        <v>0</v>
      </c>
      <c r="F212" s="1">
        <v>0</v>
      </c>
      <c r="G212" s="1">
        <v>0</v>
      </c>
      <c r="H212" s="1">
        <v>321</v>
      </c>
      <c r="I212" s="1">
        <v>373</v>
      </c>
      <c r="J212" s="1"/>
      <c r="L212" s="12" t="s">
        <v>822</v>
      </c>
      <c r="M212" s="12" t="s">
        <v>267</v>
      </c>
      <c r="N212" s="12"/>
      <c r="O212" s="12"/>
      <c r="P212" s="12"/>
      <c r="Q212" s="12"/>
      <c r="R212" s="12"/>
      <c r="S212" s="18"/>
    </row>
    <row r="213" spans="1:19" x14ac:dyDescent="0.25">
      <c r="A213" t="s">
        <v>265</v>
      </c>
      <c r="B213" t="s">
        <v>266</v>
      </c>
      <c r="C213" s="1">
        <f>12931+5988</f>
        <v>18919</v>
      </c>
      <c r="D213" s="1">
        <f>47+77</f>
        <v>124</v>
      </c>
      <c r="E213" s="1">
        <v>0</v>
      </c>
      <c r="F213" s="1">
        <v>0</v>
      </c>
      <c r="G213" s="1">
        <v>0</v>
      </c>
      <c r="H213" s="1">
        <v>6652</v>
      </c>
      <c r="I213" s="1">
        <v>5392</v>
      </c>
      <c r="J213" s="1"/>
      <c r="L213" s="10">
        <v>114</v>
      </c>
      <c r="M213" s="10" t="s">
        <v>268</v>
      </c>
      <c r="N213" s="10">
        <v>5038</v>
      </c>
      <c r="O213" s="10">
        <v>112</v>
      </c>
      <c r="P213" s="10">
        <v>0</v>
      </c>
      <c r="Q213" s="10">
        <v>0</v>
      </c>
      <c r="R213" s="10">
        <v>0</v>
      </c>
      <c r="S213" s="19">
        <v>795</v>
      </c>
    </row>
    <row r="214" spans="1:19" x14ac:dyDescent="0.25">
      <c r="A214" t="s">
        <v>797</v>
      </c>
      <c r="B214" t="s">
        <v>267</v>
      </c>
      <c r="C214" s="1"/>
      <c r="D214" s="1"/>
      <c r="E214" s="1"/>
      <c r="F214" s="1"/>
      <c r="G214" s="1"/>
      <c r="H214" s="1"/>
      <c r="I214" s="1"/>
      <c r="J214" s="1"/>
      <c r="L214" s="12" t="s">
        <v>814</v>
      </c>
      <c r="M214" s="12" t="s">
        <v>269</v>
      </c>
      <c r="N214" s="12">
        <v>966</v>
      </c>
      <c r="O214" s="12">
        <v>44</v>
      </c>
      <c r="P214" s="12">
        <v>0</v>
      </c>
      <c r="Q214" s="12">
        <v>0</v>
      </c>
      <c r="R214" s="12">
        <v>0</v>
      </c>
      <c r="S214" s="18">
        <v>135</v>
      </c>
    </row>
    <row r="215" spans="1:19" x14ac:dyDescent="0.25">
      <c r="A215" t="s">
        <v>150</v>
      </c>
      <c r="B215" t="s">
        <v>268</v>
      </c>
      <c r="C215" s="1">
        <f>4234+804</f>
        <v>5038</v>
      </c>
      <c r="D215" s="1">
        <f>106+6</f>
        <v>112</v>
      </c>
      <c r="E215" s="1">
        <v>0</v>
      </c>
      <c r="F215" s="1">
        <v>0</v>
      </c>
      <c r="G215" s="1">
        <v>0</v>
      </c>
      <c r="H215" s="1">
        <v>795</v>
      </c>
      <c r="I215" s="1">
        <v>778</v>
      </c>
      <c r="J215" s="1"/>
      <c r="L215" s="10" t="s">
        <v>808</v>
      </c>
      <c r="M215" s="10" t="s">
        <v>270</v>
      </c>
      <c r="N215" s="10">
        <v>4363</v>
      </c>
      <c r="O215" s="10">
        <v>4</v>
      </c>
      <c r="P215" s="10">
        <v>0</v>
      </c>
      <c r="Q215" s="10">
        <v>0</v>
      </c>
      <c r="R215" s="10">
        <v>0</v>
      </c>
      <c r="S215" s="19">
        <v>6584</v>
      </c>
    </row>
    <row r="216" spans="1:19" x14ac:dyDescent="0.25">
      <c r="A216" t="s">
        <v>794</v>
      </c>
      <c r="B216" t="s">
        <v>269</v>
      </c>
      <c r="C216" s="1">
        <f>947+19</f>
        <v>966</v>
      </c>
      <c r="D216" s="1">
        <v>44</v>
      </c>
      <c r="E216" s="1">
        <v>0</v>
      </c>
      <c r="F216" s="1">
        <v>0</v>
      </c>
      <c r="G216" s="1">
        <v>0</v>
      </c>
      <c r="H216" s="1">
        <v>135</v>
      </c>
      <c r="I216" s="1">
        <v>23</v>
      </c>
      <c r="J216" s="1"/>
      <c r="L216" s="12">
        <v>600</v>
      </c>
      <c r="M216" s="12" t="s">
        <v>271</v>
      </c>
      <c r="N216" s="12">
        <v>13535</v>
      </c>
      <c r="O216" s="12">
        <v>535</v>
      </c>
      <c r="P216" s="12">
        <v>0</v>
      </c>
      <c r="Q216" s="12">
        <v>0</v>
      </c>
      <c r="R216" s="12">
        <v>0</v>
      </c>
      <c r="S216" s="18">
        <v>19843</v>
      </c>
    </row>
    <row r="217" spans="1:19" x14ac:dyDescent="0.25">
      <c r="A217" t="s">
        <v>809</v>
      </c>
      <c r="B217" t="s">
        <v>270</v>
      </c>
      <c r="C217" s="1">
        <f>2633+1+6+1723</f>
        <v>4363</v>
      </c>
      <c r="D217" s="1">
        <v>4</v>
      </c>
      <c r="E217" s="1">
        <v>0</v>
      </c>
      <c r="F217" s="1">
        <v>0</v>
      </c>
      <c r="G217" s="1">
        <v>0</v>
      </c>
      <c r="H217" s="1">
        <v>6584</v>
      </c>
      <c r="I217" s="1">
        <v>329</v>
      </c>
      <c r="J217" s="1"/>
      <c r="L217" s="10">
        <v>613</v>
      </c>
      <c r="M217" s="10" t="s">
        <v>272</v>
      </c>
      <c r="N217" s="10"/>
      <c r="O217" s="10"/>
      <c r="P217" s="10"/>
      <c r="Q217" s="10"/>
      <c r="R217" s="10"/>
      <c r="S217" s="19"/>
    </row>
    <row r="218" spans="1:19" x14ac:dyDescent="0.25">
      <c r="A218" t="s">
        <v>248</v>
      </c>
      <c r="B218" t="s">
        <v>271</v>
      </c>
      <c r="C218" s="1">
        <f>10227+21+3287</f>
        <v>13535</v>
      </c>
      <c r="D218" s="1">
        <v>535</v>
      </c>
      <c r="E218" s="1">
        <v>0</v>
      </c>
      <c r="F218" s="1">
        <v>0</v>
      </c>
      <c r="G218" s="1">
        <v>0</v>
      </c>
      <c r="H218" s="1">
        <v>19843</v>
      </c>
      <c r="I218" s="1">
        <v>2571</v>
      </c>
      <c r="J218" s="1"/>
      <c r="L218" s="12">
        <v>611</v>
      </c>
      <c r="M218" s="12" t="s">
        <v>273</v>
      </c>
      <c r="N218" s="12">
        <v>3317</v>
      </c>
      <c r="O218" s="12">
        <v>37</v>
      </c>
      <c r="P218" s="12">
        <v>0</v>
      </c>
      <c r="Q218" s="12">
        <v>0</v>
      </c>
      <c r="R218" s="12">
        <v>0</v>
      </c>
      <c r="S218" s="18">
        <v>3775</v>
      </c>
    </row>
    <row r="219" spans="1:19" x14ac:dyDescent="0.25">
      <c r="A219" t="s">
        <v>823</v>
      </c>
      <c r="B219" t="s">
        <v>272</v>
      </c>
      <c r="C219" s="1"/>
      <c r="D219" s="1"/>
      <c r="E219" s="1"/>
      <c r="F219" s="1"/>
      <c r="G219" s="1"/>
      <c r="H219" s="1"/>
      <c r="I219" s="1"/>
      <c r="J219" s="1"/>
      <c r="L219" s="10">
        <v>610</v>
      </c>
      <c r="M219" s="10" t="s">
        <v>274</v>
      </c>
      <c r="N219" s="10">
        <v>3790</v>
      </c>
      <c r="O219" s="10">
        <v>1</v>
      </c>
      <c r="P219" s="10">
        <v>0</v>
      </c>
      <c r="Q219" s="10">
        <v>0</v>
      </c>
      <c r="R219" s="10">
        <v>0</v>
      </c>
      <c r="S219" s="19">
        <v>2144</v>
      </c>
    </row>
    <row r="220" spans="1:19" x14ac:dyDescent="0.25">
      <c r="A220" t="s">
        <v>146</v>
      </c>
      <c r="B220" t="s">
        <v>273</v>
      </c>
      <c r="C220" s="1">
        <f>1540+1+55+1721</f>
        <v>3317</v>
      </c>
      <c r="D220" s="1">
        <f>2+33+2</f>
        <v>37</v>
      </c>
      <c r="E220" s="1">
        <v>0</v>
      </c>
      <c r="F220" s="1">
        <v>0</v>
      </c>
      <c r="G220" s="1">
        <v>0</v>
      </c>
      <c r="H220" s="1">
        <v>3775</v>
      </c>
      <c r="I220" s="1">
        <v>1688</v>
      </c>
      <c r="J220" s="1"/>
      <c r="L220" s="12"/>
      <c r="M220" t="s">
        <v>275</v>
      </c>
      <c r="N220" s="12"/>
      <c r="O220" s="12"/>
      <c r="P220" s="12"/>
      <c r="Q220" s="12"/>
      <c r="R220" s="12"/>
      <c r="S220" s="18"/>
    </row>
    <row r="221" spans="1:19" x14ac:dyDescent="0.25">
      <c r="A221" t="s">
        <v>788</v>
      </c>
      <c r="B221" t="s">
        <v>274</v>
      </c>
      <c r="C221" s="1">
        <f>2507+1283</f>
        <v>3790</v>
      </c>
      <c r="D221" s="1">
        <v>1</v>
      </c>
      <c r="E221" s="1">
        <v>0</v>
      </c>
      <c r="F221" s="1">
        <v>0</v>
      </c>
      <c r="G221" s="1">
        <v>0</v>
      </c>
      <c r="H221" s="1">
        <v>2144</v>
      </c>
      <c r="I221" s="1">
        <v>973</v>
      </c>
      <c r="J221" s="1"/>
      <c r="L221" s="12"/>
      <c r="M221" s="1" t="s">
        <v>276</v>
      </c>
      <c r="N221" s="12"/>
      <c r="O221" s="12"/>
      <c r="P221" s="12"/>
      <c r="Q221" s="12"/>
      <c r="R221" s="12"/>
      <c r="S221" s="18"/>
    </row>
    <row r="222" spans="1:19" x14ac:dyDescent="0.25">
      <c r="A222" t="s">
        <v>805</v>
      </c>
      <c r="B222" t="s">
        <v>275</v>
      </c>
      <c r="C222" s="1"/>
      <c r="D222" s="1"/>
      <c r="E222" s="1"/>
      <c r="F222" s="1"/>
      <c r="G222" s="1"/>
      <c r="H222" s="1"/>
      <c r="I222" s="1"/>
      <c r="J222" s="1"/>
      <c r="L222" s="12">
        <v>712</v>
      </c>
      <c r="M222" s="12" t="s">
        <v>277</v>
      </c>
      <c r="N222" s="12">
        <v>20484</v>
      </c>
      <c r="O222" s="12">
        <v>335</v>
      </c>
      <c r="P222" s="12">
        <v>0</v>
      </c>
      <c r="Q222" s="12">
        <v>0</v>
      </c>
      <c r="R222" s="12">
        <v>0</v>
      </c>
      <c r="S222" s="18">
        <v>0</v>
      </c>
    </row>
    <row r="223" spans="1:19" x14ac:dyDescent="0.25">
      <c r="A223" t="s">
        <v>805</v>
      </c>
      <c r="B223" s="1" t="s">
        <v>276</v>
      </c>
      <c r="C223" s="1"/>
      <c r="D223" s="1"/>
      <c r="E223" s="1"/>
      <c r="F223" s="1"/>
      <c r="G223" s="1"/>
      <c r="H223" s="1"/>
      <c r="I223" s="1"/>
      <c r="J223" s="1"/>
      <c r="L223" s="12"/>
      <c r="M223" t="s">
        <v>278</v>
      </c>
      <c r="N223" s="12"/>
      <c r="O223" s="12"/>
      <c r="P223" s="12"/>
      <c r="Q223" s="12"/>
      <c r="R223" s="12"/>
      <c r="S223" s="18"/>
    </row>
    <row r="224" spans="1:19" x14ac:dyDescent="0.25">
      <c r="A224" t="s">
        <v>76</v>
      </c>
      <c r="B224" t="s">
        <v>277</v>
      </c>
      <c r="C224" s="1">
        <f>18914+1+27+1542</f>
        <v>20484</v>
      </c>
      <c r="D224" s="1">
        <v>335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/>
      <c r="L224" s="12"/>
      <c r="M224" t="s">
        <v>279</v>
      </c>
      <c r="N224" s="12"/>
      <c r="O224" s="12"/>
      <c r="P224" s="12"/>
      <c r="Q224" s="12"/>
      <c r="R224" s="12"/>
      <c r="S224" s="18"/>
    </row>
    <row r="225" spans="1:19" x14ac:dyDescent="0.25">
      <c r="A225" t="s">
        <v>823</v>
      </c>
      <c r="B225" t="s">
        <v>278</v>
      </c>
      <c r="C225" s="1"/>
      <c r="D225" s="1"/>
      <c r="E225" s="1"/>
      <c r="F225" s="1"/>
      <c r="G225" s="1"/>
      <c r="H225" s="1"/>
      <c r="I225" s="1"/>
      <c r="J225" s="1"/>
      <c r="L225" s="10">
        <v>613</v>
      </c>
      <c r="M225" s="10" t="s">
        <v>280</v>
      </c>
      <c r="N225" s="10"/>
      <c r="O225" s="10"/>
      <c r="P225" s="10"/>
      <c r="Q225" s="10"/>
      <c r="R225" s="10"/>
      <c r="S225" s="19"/>
    </row>
    <row r="226" spans="1:19" x14ac:dyDescent="0.25">
      <c r="A226" t="s">
        <v>120</v>
      </c>
      <c r="B226" t="s">
        <v>279</v>
      </c>
      <c r="C226" s="1"/>
      <c r="D226" s="1"/>
      <c r="E226" s="1"/>
      <c r="F226" s="1"/>
      <c r="G226" s="1"/>
      <c r="H226" s="1"/>
      <c r="I226" s="1"/>
      <c r="J226" s="1"/>
      <c r="L226" s="12">
        <v>100</v>
      </c>
      <c r="M226" s="12" t="s">
        <v>281</v>
      </c>
      <c r="N226" s="12">
        <v>738</v>
      </c>
      <c r="O226" s="12">
        <v>0</v>
      </c>
      <c r="P226" s="12">
        <v>0</v>
      </c>
      <c r="Q226" s="12">
        <v>0</v>
      </c>
      <c r="R226" s="12">
        <v>0</v>
      </c>
      <c r="S226" s="18">
        <v>0</v>
      </c>
    </row>
    <row r="227" spans="1:19" x14ac:dyDescent="0.25">
      <c r="A227" t="s">
        <v>495</v>
      </c>
      <c r="B227" t="s">
        <v>280</v>
      </c>
      <c r="C227" s="1"/>
      <c r="D227" s="1"/>
      <c r="E227" s="1"/>
      <c r="F227" s="1"/>
      <c r="G227" s="1"/>
      <c r="H227" s="1"/>
      <c r="I227" s="1"/>
      <c r="J227" s="1"/>
      <c r="L227" s="10">
        <v>711</v>
      </c>
      <c r="M227" s="10" t="s">
        <v>282</v>
      </c>
      <c r="N227" s="10">
        <v>7181</v>
      </c>
      <c r="O227" s="10">
        <v>20</v>
      </c>
      <c r="P227" s="10">
        <v>0</v>
      </c>
      <c r="Q227" s="10">
        <v>0</v>
      </c>
      <c r="R227" s="10">
        <v>0</v>
      </c>
      <c r="S227" s="19">
        <v>0</v>
      </c>
    </row>
    <row r="228" spans="1:19" x14ac:dyDescent="0.25">
      <c r="A228" t="s">
        <v>791</v>
      </c>
      <c r="B228" t="s">
        <v>281</v>
      </c>
      <c r="C228" s="1"/>
      <c r="D228" s="1"/>
      <c r="E228" s="1"/>
      <c r="F228" s="1"/>
      <c r="G228" s="1"/>
      <c r="H228" s="1"/>
      <c r="I228" s="1"/>
      <c r="J228" s="1"/>
      <c r="L228" s="12">
        <v>116</v>
      </c>
      <c r="M228" s="12" t="s">
        <v>283</v>
      </c>
      <c r="N228" s="12">
        <v>68694</v>
      </c>
      <c r="O228" s="12">
        <v>0</v>
      </c>
      <c r="P228" s="12">
        <v>0</v>
      </c>
      <c r="Q228" s="12">
        <v>0</v>
      </c>
      <c r="R228" s="12">
        <v>0</v>
      </c>
      <c r="S228" s="18">
        <v>0</v>
      </c>
    </row>
    <row r="229" spans="1:19" x14ac:dyDescent="0.25">
      <c r="A229" t="s">
        <v>801</v>
      </c>
      <c r="B229" t="s">
        <v>282</v>
      </c>
      <c r="C229" s="1">
        <f>7163+18</f>
        <v>7181</v>
      </c>
      <c r="D229" s="1">
        <v>20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/>
      <c r="L229" s="10">
        <v>111</v>
      </c>
      <c r="M229" s="10" t="s">
        <v>284</v>
      </c>
      <c r="N229" s="10">
        <v>19806</v>
      </c>
      <c r="O229" s="10">
        <v>513</v>
      </c>
      <c r="P229" s="10">
        <v>0</v>
      </c>
      <c r="Q229" s="10">
        <v>0</v>
      </c>
      <c r="R229" s="10">
        <v>0</v>
      </c>
      <c r="S229" s="19">
        <v>0</v>
      </c>
    </row>
    <row r="230" spans="1:19" x14ac:dyDescent="0.25">
      <c r="A230" t="s">
        <v>795</v>
      </c>
      <c r="B230" t="s">
        <v>283</v>
      </c>
      <c r="C230" s="1"/>
      <c r="D230" s="1"/>
      <c r="E230" s="1"/>
      <c r="F230" s="1"/>
      <c r="G230" s="1"/>
      <c r="H230" s="1"/>
      <c r="I230" s="1"/>
      <c r="J230" s="1"/>
      <c r="L230" s="12">
        <v>311</v>
      </c>
      <c r="M230" s="12" t="s">
        <v>285</v>
      </c>
      <c r="N230" s="12">
        <v>7245</v>
      </c>
      <c r="O230" s="12">
        <v>8</v>
      </c>
      <c r="P230" s="12">
        <v>0</v>
      </c>
      <c r="Q230" s="12">
        <v>0</v>
      </c>
      <c r="R230" s="12">
        <v>0</v>
      </c>
      <c r="S230" s="18">
        <v>0</v>
      </c>
    </row>
    <row r="231" spans="1:19" x14ac:dyDescent="0.25">
      <c r="A231" t="s">
        <v>811</v>
      </c>
      <c r="B231" t="s">
        <v>284</v>
      </c>
      <c r="C231" s="1"/>
      <c r="D231" s="1"/>
      <c r="E231" s="1"/>
      <c r="F231" s="1"/>
      <c r="G231" s="1"/>
      <c r="H231" s="1"/>
      <c r="I231" s="1"/>
      <c r="J231" s="1"/>
      <c r="L231" s="10">
        <v>511</v>
      </c>
      <c r="M231" s="10" t="s">
        <v>286</v>
      </c>
      <c r="N231" s="10">
        <v>8824</v>
      </c>
      <c r="O231" s="10">
        <v>35</v>
      </c>
      <c r="P231" s="10">
        <v>0</v>
      </c>
      <c r="Q231" s="10">
        <v>0</v>
      </c>
      <c r="R231" s="10">
        <v>0</v>
      </c>
      <c r="S231" s="19">
        <v>0</v>
      </c>
    </row>
    <row r="232" spans="1:19" x14ac:dyDescent="0.25">
      <c r="A232" t="s">
        <v>120</v>
      </c>
      <c r="B232" t="s">
        <v>285</v>
      </c>
      <c r="C232" s="1">
        <f>7243+2</f>
        <v>7245</v>
      </c>
      <c r="D232" s="1">
        <v>8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/>
      <c r="L232" s="12">
        <v>300</v>
      </c>
      <c r="M232" t="s">
        <v>287</v>
      </c>
      <c r="N232" s="12"/>
      <c r="O232" s="12"/>
      <c r="P232" s="12"/>
      <c r="Q232" s="12"/>
      <c r="R232" s="12"/>
      <c r="S232" s="18"/>
    </row>
    <row r="233" spans="1:19" x14ac:dyDescent="0.25">
      <c r="A233" t="s">
        <v>101</v>
      </c>
      <c r="B233" t="s">
        <v>286</v>
      </c>
      <c r="C233" s="1">
        <f>8814+10</f>
        <v>8824</v>
      </c>
      <c r="D233" s="1">
        <v>35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/>
      <c r="L233" s="10">
        <v>311</v>
      </c>
      <c r="M233" s="10" t="s">
        <v>288</v>
      </c>
      <c r="N233" s="10">
        <v>989</v>
      </c>
      <c r="O233" s="10">
        <v>0</v>
      </c>
      <c r="P233" s="10">
        <v>0</v>
      </c>
      <c r="Q233" s="10">
        <v>8005</v>
      </c>
      <c r="R233" s="10">
        <v>0</v>
      </c>
      <c r="S233" s="19">
        <v>0</v>
      </c>
    </row>
    <row r="234" spans="1:19" x14ac:dyDescent="0.25">
      <c r="A234" t="s">
        <v>226</v>
      </c>
      <c r="B234" t="s">
        <v>287</v>
      </c>
      <c r="C234" s="1"/>
      <c r="D234" s="1"/>
      <c r="E234" s="1"/>
      <c r="F234" s="1"/>
      <c r="G234" s="1"/>
      <c r="H234" s="1"/>
      <c r="I234" s="1"/>
      <c r="J234" s="1"/>
      <c r="L234" s="12"/>
      <c r="M234" t="s">
        <v>289</v>
      </c>
      <c r="N234" s="12"/>
      <c r="O234" s="12"/>
      <c r="P234" s="12"/>
      <c r="Q234" s="12"/>
      <c r="R234" s="12"/>
      <c r="S234" s="18"/>
    </row>
    <row r="235" spans="1:19" x14ac:dyDescent="0.25">
      <c r="A235" t="s">
        <v>120</v>
      </c>
      <c r="B235" t="s">
        <v>288</v>
      </c>
      <c r="C235" s="1">
        <v>989</v>
      </c>
      <c r="D235" s="1">
        <v>0</v>
      </c>
      <c r="E235" s="1">
        <v>0</v>
      </c>
      <c r="F235" s="1">
        <v>8005</v>
      </c>
      <c r="G235" s="1">
        <v>0</v>
      </c>
      <c r="H235" s="1">
        <v>0</v>
      </c>
      <c r="I235" s="1">
        <v>0</v>
      </c>
      <c r="J235" s="1"/>
      <c r="L235" s="12">
        <v>100</v>
      </c>
      <c r="M235" s="12" t="s">
        <v>290</v>
      </c>
      <c r="N235" s="12">
        <v>1013</v>
      </c>
      <c r="O235" s="12">
        <v>4</v>
      </c>
      <c r="P235" s="12">
        <v>0</v>
      </c>
      <c r="Q235" s="12">
        <v>3968</v>
      </c>
      <c r="R235" s="12">
        <v>27</v>
      </c>
      <c r="S235" s="18">
        <v>0</v>
      </c>
    </row>
    <row r="236" spans="1:19" x14ac:dyDescent="0.25">
      <c r="A236" t="s">
        <v>802</v>
      </c>
      <c r="B236" t="s">
        <v>289</v>
      </c>
      <c r="C236" s="1"/>
      <c r="D236" s="1"/>
      <c r="E236" s="1"/>
      <c r="F236" s="1"/>
      <c r="G236" s="1"/>
      <c r="H236" s="1"/>
      <c r="I236" s="1"/>
      <c r="J236" s="1"/>
      <c r="L236" s="12"/>
      <c r="M236" t="s">
        <v>291</v>
      </c>
      <c r="N236" s="12"/>
      <c r="O236" s="12"/>
      <c r="P236" s="12"/>
      <c r="Q236" s="12"/>
      <c r="R236" s="12"/>
      <c r="S236" s="18"/>
    </row>
    <row r="237" spans="1:19" x14ac:dyDescent="0.25">
      <c r="A237" t="s">
        <v>791</v>
      </c>
      <c r="B237" t="s">
        <v>290</v>
      </c>
      <c r="C237" s="1"/>
      <c r="D237" s="1"/>
      <c r="E237" s="1"/>
      <c r="F237" s="1"/>
      <c r="G237" s="1"/>
      <c r="H237" s="1"/>
      <c r="I237" s="1"/>
      <c r="J237" s="1"/>
      <c r="L237" s="10">
        <v>300</v>
      </c>
      <c r="M237" t="s">
        <v>292</v>
      </c>
      <c r="N237" s="10"/>
      <c r="O237" s="10"/>
      <c r="P237" s="10"/>
      <c r="Q237" s="10"/>
      <c r="R237" s="10"/>
      <c r="S237" s="19"/>
    </row>
    <row r="238" spans="1:19" x14ac:dyDescent="0.25">
      <c r="A238" t="s">
        <v>802</v>
      </c>
      <c r="B238" t="s">
        <v>291</v>
      </c>
      <c r="C238" s="1"/>
      <c r="D238" s="1"/>
      <c r="E238" s="1"/>
      <c r="F238" s="1"/>
      <c r="G238" s="1"/>
      <c r="H238" s="1"/>
      <c r="I238" s="1"/>
      <c r="J238" s="1"/>
      <c r="L238" s="12">
        <v>613</v>
      </c>
      <c r="M238" s="12" t="s">
        <v>293</v>
      </c>
      <c r="N238" s="12"/>
      <c r="O238" s="12"/>
      <c r="P238" s="12"/>
      <c r="Q238" s="12"/>
      <c r="R238" s="12"/>
      <c r="S238" s="18"/>
    </row>
    <row r="239" spans="1:19" x14ac:dyDescent="0.25">
      <c r="A239" t="s">
        <v>226</v>
      </c>
      <c r="B239" t="s">
        <v>292</v>
      </c>
      <c r="C239" s="1"/>
      <c r="D239" s="1"/>
      <c r="E239" s="1"/>
      <c r="F239" s="1"/>
      <c r="G239" s="1"/>
      <c r="H239" s="1"/>
      <c r="I239" s="1"/>
      <c r="J239" s="1"/>
      <c r="L239" s="10">
        <v>114</v>
      </c>
      <c r="M239" s="10" t="s">
        <v>294</v>
      </c>
      <c r="N239" s="10">
        <v>44</v>
      </c>
      <c r="O239" s="10">
        <v>0</v>
      </c>
      <c r="P239" s="10">
        <v>0</v>
      </c>
      <c r="Q239" s="10">
        <v>751</v>
      </c>
      <c r="R239" s="10">
        <v>0</v>
      </c>
      <c r="S239" s="19">
        <v>0</v>
      </c>
    </row>
    <row r="240" spans="1:19" x14ac:dyDescent="0.25">
      <c r="A240" t="s">
        <v>495</v>
      </c>
      <c r="B240" t="s">
        <v>293</v>
      </c>
      <c r="C240" s="1"/>
      <c r="D240" s="1"/>
      <c r="E240" s="1"/>
      <c r="F240" s="1"/>
      <c r="G240" s="1"/>
      <c r="H240" s="1"/>
      <c r="I240" s="1"/>
      <c r="J240" s="1"/>
      <c r="L240" s="12">
        <v>210</v>
      </c>
      <c r="M240" s="12" t="s">
        <v>295</v>
      </c>
      <c r="N240" s="12">
        <v>49</v>
      </c>
      <c r="O240" s="12">
        <v>0</v>
      </c>
      <c r="P240" s="12">
        <v>0</v>
      </c>
      <c r="Q240" s="12">
        <v>3731</v>
      </c>
      <c r="R240" s="12">
        <v>0</v>
      </c>
      <c r="S240" s="18">
        <v>0</v>
      </c>
    </row>
    <row r="241" spans="1:19" x14ac:dyDescent="0.25">
      <c r="A241" t="s">
        <v>248</v>
      </c>
      <c r="B241" t="s">
        <v>294</v>
      </c>
      <c r="C241" s="1">
        <v>44</v>
      </c>
      <c r="D241" s="1">
        <v>0</v>
      </c>
      <c r="E241" s="1">
        <v>0</v>
      </c>
      <c r="F241" s="1">
        <f>742+7+2</f>
        <v>751</v>
      </c>
      <c r="G241" s="1">
        <v>0</v>
      </c>
      <c r="H241" s="1">
        <v>0</v>
      </c>
      <c r="I241" s="1">
        <v>0</v>
      </c>
      <c r="J241" s="1"/>
      <c r="L241" s="10">
        <v>114</v>
      </c>
      <c r="M241" s="10" t="s">
        <v>296</v>
      </c>
      <c r="N241" s="10">
        <v>178</v>
      </c>
      <c r="O241" s="10">
        <v>0</v>
      </c>
      <c r="P241" s="10">
        <v>0</v>
      </c>
      <c r="Q241" s="10">
        <v>4035</v>
      </c>
      <c r="R241" s="10">
        <v>2</v>
      </c>
      <c r="S241" s="19">
        <v>0</v>
      </c>
    </row>
    <row r="242" spans="1:19" x14ac:dyDescent="0.25">
      <c r="A242" t="s">
        <v>185</v>
      </c>
      <c r="B242" t="s">
        <v>295</v>
      </c>
      <c r="C242" s="1">
        <v>49</v>
      </c>
      <c r="D242" s="1">
        <v>0</v>
      </c>
      <c r="E242" s="1">
        <v>0</v>
      </c>
      <c r="F242" s="1">
        <f>3720+3+3+5</f>
        <v>3731</v>
      </c>
      <c r="G242" s="1">
        <v>0</v>
      </c>
      <c r="H242" s="1">
        <v>0</v>
      </c>
      <c r="I242" s="1">
        <v>0</v>
      </c>
      <c r="J242" s="1"/>
      <c r="L242" s="12">
        <v>715</v>
      </c>
      <c r="M242" s="12" t="s">
        <v>297</v>
      </c>
      <c r="N242" s="12">
        <v>729</v>
      </c>
      <c r="O242" s="12">
        <v>0</v>
      </c>
      <c r="P242" s="12">
        <v>0</v>
      </c>
      <c r="Q242" s="12">
        <v>1375</v>
      </c>
      <c r="R242" s="12">
        <v>1</v>
      </c>
      <c r="S242" s="18">
        <v>0</v>
      </c>
    </row>
    <row r="243" spans="1:19" x14ac:dyDescent="0.25">
      <c r="A243" t="s">
        <v>150</v>
      </c>
      <c r="B243" t="s">
        <v>296</v>
      </c>
      <c r="C243" s="1">
        <v>178</v>
      </c>
      <c r="D243" s="1">
        <v>0</v>
      </c>
      <c r="E243" s="1">
        <v>0</v>
      </c>
      <c r="F243" s="1">
        <f>3821+6+57+151</f>
        <v>4035</v>
      </c>
      <c r="G243" s="1">
        <v>2</v>
      </c>
      <c r="H243" s="1">
        <v>0</v>
      </c>
      <c r="I243" s="1">
        <v>0</v>
      </c>
      <c r="J243" s="1"/>
      <c r="L243" s="10">
        <v>111</v>
      </c>
      <c r="M243" s="10" t="s">
        <v>298</v>
      </c>
      <c r="N243" s="10">
        <v>1851</v>
      </c>
      <c r="O243" s="10">
        <v>28</v>
      </c>
      <c r="P243" s="10">
        <v>0</v>
      </c>
      <c r="Q243" s="10">
        <v>4184</v>
      </c>
      <c r="R243" s="10">
        <v>7</v>
      </c>
      <c r="S243" s="19">
        <v>0</v>
      </c>
    </row>
    <row r="244" spans="1:19" x14ac:dyDescent="0.25">
      <c r="A244" t="s">
        <v>805</v>
      </c>
      <c r="B244" t="s">
        <v>297</v>
      </c>
      <c r="C244" s="1"/>
      <c r="D244" s="1"/>
      <c r="E244" s="1"/>
      <c r="F244" s="1"/>
      <c r="G244" s="1"/>
      <c r="H244" s="1"/>
      <c r="I244" s="1"/>
      <c r="J244" s="1"/>
      <c r="L244" s="12">
        <v>312</v>
      </c>
      <c r="M244" s="12" t="s">
        <v>299</v>
      </c>
      <c r="N244" s="12">
        <v>142</v>
      </c>
      <c r="O244" s="12">
        <v>0</v>
      </c>
      <c r="P244" s="12">
        <v>0</v>
      </c>
      <c r="Q244" s="12">
        <v>3080</v>
      </c>
      <c r="R244" s="12">
        <v>19</v>
      </c>
      <c r="S244" s="18">
        <v>0</v>
      </c>
    </row>
    <row r="245" spans="1:19" x14ac:dyDescent="0.25">
      <c r="A245" t="s">
        <v>811</v>
      </c>
      <c r="B245" t="s">
        <v>298</v>
      </c>
      <c r="C245" s="1"/>
      <c r="D245" s="1"/>
      <c r="E245" s="1"/>
      <c r="F245" s="1"/>
      <c r="G245" s="1"/>
      <c r="H245" s="1"/>
      <c r="I245" s="1"/>
      <c r="J245" s="1"/>
      <c r="L245" s="12"/>
      <c r="M245" t="s">
        <v>300</v>
      </c>
      <c r="N245" s="12"/>
      <c r="O245" s="12"/>
      <c r="P245" s="12"/>
      <c r="Q245" s="12"/>
      <c r="R245" s="12"/>
      <c r="S245" s="18"/>
    </row>
    <row r="246" spans="1:19" x14ac:dyDescent="0.25">
      <c r="A246" t="s">
        <v>72</v>
      </c>
      <c r="B246" t="s">
        <v>299</v>
      </c>
      <c r="C246" s="1">
        <v>142</v>
      </c>
      <c r="D246" s="1">
        <v>0</v>
      </c>
      <c r="E246" s="1">
        <v>0</v>
      </c>
      <c r="F246" s="1">
        <f>3067+3+10</f>
        <v>3080</v>
      </c>
      <c r="G246" s="1">
        <v>19</v>
      </c>
      <c r="H246" s="1">
        <v>0</v>
      </c>
      <c r="I246" s="1">
        <v>0</v>
      </c>
      <c r="J246" s="1"/>
      <c r="L246" s="10" t="s">
        <v>822</v>
      </c>
      <c r="M246" s="10" t="s">
        <v>301</v>
      </c>
      <c r="N246" s="10"/>
      <c r="O246" s="10"/>
      <c r="P246" s="10"/>
      <c r="Q246" s="10"/>
      <c r="R246" s="10"/>
      <c r="S246" s="19"/>
    </row>
    <row r="247" spans="1:19" x14ac:dyDescent="0.25">
      <c r="A247" t="s">
        <v>67</v>
      </c>
      <c r="B247" t="s">
        <v>300</v>
      </c>
      <c r="C247" s="1"/>
      <c r="D247" s="1"/>
      <c r="E247" s="1"/>
      <c r="F247" s="1"/>
      <c r="G247" s="1"/>
      <c r="H247" s="1"/>
      <c r="I247" s="1"/>
      <c r="J247" s="1"/>
      <c r="L247" s="12">
        <v>500</v>
      </c>
      <c r="M247" s="12" t="s">
        <v>302</v>
      </c>
      <c r="N247" s="12"/>
      <c r="O247" s="12"/>
      <c r="P247" s="12"/>
      <c r="Q247" s="12"/>
      <c r="R247" s="12"/>
      <c r="S247" s="18"/>
    </row>
    <row r="248" spans="1:19" x14ac:dyDescent="0.25">
      <c r="A248" t="s">
        <v>798</v>
      </c>
      <c r="B248" t="s">
        <v>301</v>
      </c>
      <c r="C248" s="1"/>
      <c r="D248" s="1"/>
      <c r="E248" s="1"/>
      <c r="F248" s="1"/>
      <c r="G248" s="1"/>
      <c r="H248" s="1"/>
      <c r="I248" s="1"/>
      <c r="J248" s="1"/>
      <c r="L248" s="10">
        <v>610</v>
      </c>
      <c r="M248" s="10" t="s">
        <v>303</v>
      </c>
      <c r="N248" s="10">
        <v>265</v>
      </c>
      <c r="O248" s="10">
        <v>0</v>
      </c>
      <c r="P248" s="10">
        <v>0</v>
      </c>
      <c r="Q248" s="10">
        <v>1121</v>
      </c>
      <c r="R248" s="10">
        <v>0</v>
      </c>
      <c r="S248" s="19">
        <v>0</v>
      </c>
    </row>
    <row r="249" spans="1:19" x14ac:dyDescent="0.25">
      <c r="A249" t="s">
        <v>824</v>
      </c>
      <c r="B249" t="s">
        <v>302</v>
      </c>
      <c r="C249" s="1"/>
      <c r="D249" s="1"/>
      <c r="E249" s="1"/>
      <c r="F249" s="1"/>
      <c r="G249" s="1"/>
      <c r="H249" s="1"/>
      <c r="I249" s="1"/>
      <c r="J249" s="1"/>
      <c r="L249" s="12">
        <v>300</v>
      </c>
      <c r="M249" s="12" t="s">
        <v>304</v>
      </c>
      <c r="N249" s="12"/>
      <c r="O249" s="12"/>
      <c r="P249" s="12"/>
      <c r="Q249" s="12"/>
      <c r="R249" s="12"/>
      <c r="S249" s="18"/>
    </row>
    <row r="250" spans="1:19" x14ac:dyDescent="0.25">
      <c r="A250" t="s">
        <v>788</v>
      </c>
      <c r="B250" t="s">
        <v>303</v>
      </c>
      <c r="C250" s="1">
        <v>265</v>
      </c>
      <c r="D250" s="1">
        <v>0</v>
      </c>
      <c r="E250" s="1">
        <v>0</v>
      </c>
      <c r="F250" s="1">
        <v>1121</v>
      </c>
      <c r="G250" s="1">
        <v>0</v>
      </c>
      <c r="H250" s="1">
        <v>0</v>
      </c>
      <c r="I250" s="1">
        <v>0</v>
      </c>
      <c r="J250" s="1"/>
      <c r="L250" s="10">
        <v>314</v>
      </c>
      <c r="M250" s="10" t="s">
        <v>306</v>
      </c>
      <c r="N250" s="10">
        <v>327</v>
      </c>
      <c r="O250" s="10">
        <v>0</v>
      </c>
      <c r="P250" s="10">
        <v>0</v>
      </c>
      <c r="Q250" s="10">
        <v>231</v>
      </c>
      <c r="R250" s="10">
        <v>0</v>
      </c>
      <c r="S250" s="19">
        <v>0</v>
      </c>
    </row>
    <row r="251" spans="1:19" x14ac:dyDescent="0.25">
      <c r="A251" t="s">
        <v>120</v>
      </c>
      <c r="B251" t="s">
        <v>304</v>
      </c>
      <c r="C251" s="1"/>
      <c r="D251" s="1"/>
      <c r="E251" s="1"/>
      <c r="F251" s="1"/>
      <c r="G251" s="1"/>
      <c r="H251" s="1"/>
      <c r="I251" s="1"/>
      <c r="J251" s="1"/>
      <c r="L251" s="12">
        <v>313</v>
      </c>
      <c r="M251" s="12" t="s">
        <v>307</v>
      </c>
      <c r="N251" s="12">
        <v>153</v>
      </c>
      <c r="O251" s="12">
        <v>0</v>
      </c>
      <c r="P251" s="12">
        <v>0</v>
      </c>
      <c r="Q251" s="12">
        <v>1306</v>
      </c>
      <c r="R251" s="12">
        <v>0</v>
      </c>
      <c r="S251" s="18">
        <v>0</v>
      </c>
    </row>
    <row r="252" spans="1:19" x14ac:dyDescent="0.25">
      <c r="A252" t="s">
        <v>305</v>
      </c>
      <c r="B252" t="s">
        <v>306</v>
      </c>
      <c r="C252" s="1">
        <v>327</v>
      </c>
      <c r="D252" s="1">
        <v>0</v>
      </c>
      <c r="E252" s="1">
        <v>0</v>
      </c>
      <c r="F252" s="1">
        <v>231</v>
      </c>
      <c r="G252" s="1">
        <v>0</v>
      </c>
      <c r="H252" s="1">
        <v>0</v>
      </c>
      <c r="I252" s="1">
        <v>0</v>
      </c>
      <c r="J252" s="1"/>
      <c r="L252" s="10">
        <v>100</v>
      </c>
      <c r="M252" s="10" t="s">
        <v>308</v>
      </c>
      <c r="N252" s="10">
        <v>136</v>
      </c>
      <c r="O252" s="10">
        <v>0</v>
      </c>
      <c r="P252" s="10">
        <v>0</v>
      </c>
      <c r="Q252" s="10">
        <v>1041</v>
      </c>
      <c r="R252" s="10">
        <v>0</v>
      </c>
      <c r="S252" s="19">
        <v>0</v>
      </c>
    </row>
    <row r="253" spans="1:19" x14ac:dyDescent="0.25">
      <c r="A253" t="s">
        <v>512</v>
      </c>
      <c r="B253" t="s">
        <v>307</v>
      </c>
      <c r="C253" s="1">
        <v>153</v>
      </c>
      <c r="D253" s="1">
        <v>0</v>
      </c>
      <c r="E253" s="1">
        <v>0</v>
      </c>
      <c r="F253" s="1">
        <v>1306</v>
      </c>
      <c r="G253" s="1">
        <v>0</v>
      </c>
      <c r="H253" s="1">
        <v>0</v>
      </c>
      <c r="I253" s="1">
        <v>0</v>
      </c>
      <c r="J253" s="1"/>
      <c r="L253" s="12">
        <v>149</v>
      </c>
      <c r="M253" s="12" t="s">
        <v>309</v>
      </c>
      <c r="N253" s="12">
        <v>764</v>
      </c>
      <c r="O253" s="12">
        <v>0</v>
      </c>
      <c r="P253" s="12">
        <v>0</v>
      </c>
      <c r="Q253" s="12">
        <v>8498</v>
      </c>
      <c r="R253" s="12">
        <v>0</v>
      </c>
      <c r="S253" s="18">
        <v>0</v>
      </c>
    </row>
    <row r="254" spans="1:19" x14ac:dyDescent="0.25">
      <c r="A254" t="s">
        <v>791</v>
      </c>
      <c r="B254" t="s">
        <v>308</v>
      </c>
      <c r="C254" s="1"/>
      <c r="D254" s="1"/>
      <c r="E254" s="1"/>
      <c r="F254" s="1"/>
      <c r="G254" s="1"/>
      <c r="H254" s="1"/>
      <c r="I254" s="1"/>
      <c r="J254" s="1"/>
      <c r="L254" s="10">
        <v>114</v>
      </c>
      <c r="M254" s="10" t="s">
        <v>310</v>
      </c>
      <c r="N254" s="10">
        <v>87</v>
      </c>
      <c r="O254" s="10">
        <v>0</v>
      </c>
      <c r="P254" s="10">
        <v>0</v>
      </c>
      <c r="Q254" s="10">
        <v>710</v>
      </c>
      <c r="R254" s="10">
        <v>0</v>
      </c>
      <c r="S254" s="19">
        <v>0</v>
      </c>
    </row>
    <row r="255" spans="1:19" x14ac:dyDescent="0.25">
      <c r="A255" t="s">
        <v>52</v>
      </c>
      <c r="B255" t="s">
        <v>309</v>
      </c>
      <c r="C255" s="1"/>
      <c r="D255" s="1"/>
      <c r="E255" s="1"/>
      <c r="F255" s="1"/>
      <c r="G255" s="1"/>
      <c r="H255" s="1"/>
      <c r="I255" s="1"/>
      <c r="J255" s="1"/>
      <c r="L255" s="12">
        <v>211</v>
      </c>
      <c r="M255" s="12" t="s">
        <v>311</v>
      </c>
      <c r="N255" s="12">
        <v>136</v>
      </c>
      <c r="O255" s="12">
        <v>0</v>
      </c>
      <c r="P255" s="12">
        <v>0</v>
      </c>
      <c r="Q255" s="12">
        <v>1036</v>
      </c>
      <c r="R255" s="12">
        <v>0</v>
      </c>
      <c r="S255" s="18">
        <v>0</v>
      </c>
    </row>
    <row r="256" spans="1:19" x14ac:dyDescent="0.25">
      <c r="A256" t="s">
        <v>150</v>
      </c>
      <c r="B256" t="s">
        <v>310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/>
      <c r="L256" s="10">
        <v>151</v>
      </c>
      <c r="M256" s="10" t="s">
        <v>312</v>
      </c>
      <c r="N256" s="10">
        <v>3211</v>
      </c>
      <c r="O256" s="10">
        <v>3</v>
      </c>
      <c r="P256" s="10">
        <v>0</v>
      </c>
      <c r="Q256" s="10">
        <v>330</v>
      </c>
      <c r="R256" s="10">
        <v>0</v>
      </c>
      <c r="S256" s="19">
        <v>0</v>
      </c>
    </row>
    <row r="257" spans="1:19" x14ac:dyDescent="0.25">
      <c r="A257" t="s">
        <v>131</v>
      </c>
      <c r="B257" t="s">
        <v>311</v>
      </c>
      <c r="C257" s="1">
        <f>124+12</f>
        <v>136</v>
      </c>
      <c r="D257" s="1">
        <v>0</v>
      </c>
      <c r="E257" s="1">
        <v>0</v>
      </c>
      <c r="F257" s="1">
        <f>1016+2+18</f>
        <v>1036</v>
      </c>
      <c r="G257" s="1">
        <v>0</v>
      </c>
      <c r="H257" s="1">
        <v>0</v>
      </c>
      <c r="I257" s="1">
        <v>0</v>
      </c>
      <c r="J257" s="1"/>
      <c r="L257" s="12" t="s">
        <v>814</v>
      </c>
      <c r="M257" s="12" t="s">
        <v>313</v>
      </c>
      <c r="N257" s="12">
        <v>347</v>
      </c>
      <c r="O257" s="12">
        <v>0</v>
      </c>
      <c r="P257" s="12">
        <v>0</v>
      </c>
      <c r="Q257" s="12">
        <v>1303</v>
      </c>
      <c r="R257" s="12">
        <v>0</v>
      </c>
      <c r="S257" s="18">
        <v>0</v>
      </c>
    </row>
    <row r="258" spans="1:19" x14ac:dyDescent="0.25">
      <c r="A258" t="s">
        <v>47</v>
      </c>
      <c r="B258" t="s">
        <v>312</v>
      </c>
      <c r="C258" s="1"/>
      <c r="D258" s="1"/>
      <c r="E258" s="1"/>
      <c r="F258" s="1"/>
      <c r="G258" s="1"/>
      <c r="H258" s="1"/>
      <c r="I258" s="1"/>
      <c r="J258" s="1"/>
      <c r="L258" s="10">
        <v>148</v>
      </c>
      <c r="M258" s="10" t="s">
        <v>314</v>
      </c>
      <c r="N258" s="10"/>
      <c r="O258" s="10"/>
      <c r="P258" s="10"/>
      <c r="Q258" s="10"/>
      <c r="R258" s="10"/>
      <c r="S258" s="19"/>
    </row>
    <row r="259" spans="1:19" x14ac:dyDescent="0.25">
      <c r="A259" t="s">
        <v>794</v>
      </c>
      <c r="B259" t="s">
        <v>313</v>
      </c>
      <c r="C259" s="1">
        <v>347</v>
      </c>
      <c r="D259" s="1">
        <v>0</v>
      </c>
      <c r="E259" s="1">
        <v>0</v>
      </c>
      <c r="F259" s="1">
        <f>1281+22</f>
        <v>1303</v>
      </c>
      <c r="G259" s="1">
        <v>0</v>
      </c>
      <c r="H259" s="1">
        <v>0</v>
      </c>
      <c r="I259" s="1">
        <v>0</v>
      </c>
      <c r="J259" s="1"/>
      <c r="L259" s="12">
        <v>143</v>
      </c>
      <c r="M259" s="12" t="s">
        <v>315</v>
      </c>
      <c r="N259" s="12">
        <v>28</v>
      </c>
      <c r="O259" s="12">
        <v>0</v>
      </c>
      <c r="P259" s="12">
        <v>0</v>
      </c>
      <c r="Q259" s="12">
        <v>198</v>
      </c>
      <c r="R259" s="12">
        <v>0</v>
      </c>
      <c r="S259" s="18">
        <v>0</v>
      </c>
    </row>
    <row r="260" spans="1:19" x14ac:dyDescent="0.25">
      <c r="A260" t="s">
        <v>33</v>
      </c>
      <c r="B260" t="s">
        <v>314</v>
      </c>
      <c r="C260" s="1"/>
      <c r="D260" s="1"/>
      <c r="E260" s="1"/>
      <c r="F260" s="1"/>
      <c r="G260" s="1"/>
      <c r="H260" s="1"/>
      <c r="I260" s="1"/>
      <c r="J260" s="1"/>
      <c r="L260" s="10">
        <v>150</v>
      </c>
      <c r="M260" s="10" t="s">
        <v>316</v>
      </c>
      <c r="N260" s="10">
        <v>81</v>
      </c>
      <c r="O260" s="10">
        <v>0</v>
      </c>
      <c r="P260" s="10">
        <v>0</v>
      </c>
      <c r="Q260" s="10">
        <v>383</v>
      </c>
      <c r="R260" s="10">
        <v>0</v>
      </c>
      <c r="S260" s="19">
        <v>0</v>
      </c>
    </row>
    <row r="261" spans="1:19" x14ac:dyDescent="0.25">
      <c r="A261" t="s">
        <v>61</v>
      </c>
      <c r="B261" t="s">
        <v>315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/>
      <c r="L261" s="12">
        <v>147</v>
      </c>
      <c r="M261" s="12" t="s">
        <v>317</v>
      </c>
      <c r="N261" s="12">
        <v>691</v>
      </c>
      <c r="O261" s="12">
        <v>0</v>
      </c>
      <c r="P261" s="12">
        <v>0</v>
      </c>
      <c r="Q261" s="12">
        <v>1193</v>
      </c>
      <c r="R261" s="12">
        <v>6</v>
      </c>
      <c r="S261" s="18">
        <v>0</v>
      </c>
    </row>
    <row r="262" spans="1:19" x14ac:dyDescent="0.25">
      <c r="A262" t="s">
        <v>43</v>
      </c>
      <c r="B262" t="s">
        <v>316</v>
      </c>
      <c r="C262" s="1">
        <v>81</v>
      </c>
      <c r="D262" s="1">
        <v>0</v>
      </c>
      <c r="E262" s="1">
        <v>0</v>
      </c>
      <c r="F262" s="1">
        <v>383</v>
      </c>
      <c r="G262" s="1">
        <v>0</v>
      </c>
      <c r="H262" s="1">
        <v>0</v>
      </c>
      <c r="I262" s="1">
        <v>0</v>
      </c>
      <c r="J262" s="1"/>
      <c r="L262" s="10">
        <v>152</v>
      </c>
      <c r="M262" s="10" t="s">
        <v>318</v>
      </c>
      <c r="N262" s="10">
        <v>67</v>
      </c>
      <c r="O262" s="10">
        <v>13</v>
      </c>
      <c r="P262" s="10">
        <v>0</v>
      </c>
      <c r="Q262" s="10">
        <v>536</v>
      </c>
      <c r="R262" s="10">
        <v>4</v>
      </c>
      <c r="S262" s="19">
        <v>0</v>
      </c>
    </row>
    <row r="263" spans="1:19" x14ac:dyDescent="0.25">
      <c r="A263" t="s">
        <v>789</v>
      </c>
      <c r="B263" t="s">
        <v>317</v>
      </c>
      <c r="C263" s="1">
        <f>569+1+119+2</f>
        <v>691</v>
      </c>
      <c r="D263" s="1">
        <v>0</v>
      </c>
      <c r="E263" s="1">
        <v>0</v>
      </c>
      <c r="F263" s="1">
        <f>1037+146+10</f>
        <v>1193</v>
      </c>
      <c r="G263" s="1">
        <f>2+4</f>
        <v>6</v>
      </c>
      <c r="H263" s="1">
        <v>0</v>
      </c>
      <c r="I263" s="1">
        <v>0</v>
      </c>
      <c r="J263" s="1"/>
      <c r="L263" s="12">
        <v>212</v>
      </c>
      <c r="M263" s="12" t="s">
        <v>319</v>
      </c>
      <c r="N263" s="12"/>
      <c r="O263" s="12"/>
      <c r="P263" s="12"/>
      <c r="Q263" s="12"/>
      <c r="R263" s="12"/>
      <c r="S263" s="18"/>
    </row>
    <row r="264" spans="1:19" x14ac:dyDescent="0.25">
      <c r="A264" t="s">
        <v>790</v>
      </c>
      <c r="B264" t="s">
        <v>318</v>
      </c>
      <c r="C264" s="1">
        <v>67</v>
      </c>
      <c r="D264" s="1">
        <v>13</v>
      </c>
      <c r="E264" s="1">
        <v>0</v>
      </c>
      <c r="F264" s="1">
        <v>536</v>
      </c>
      <c r="G264" s="1">
        <v>4</v>
      </c>
      <c r="H264" s="1">
        <v>0</v>
      </c>
      <c r="I264" s="1">
        <v>0</v>
      </c>
      <c r="J264" s="1"/>
      <c r="L264" s="10">
        <v>713</v>
      </c>
      <c r="M264" s="10" t="s">
        <v>320</v>
      </c>
      <c r="N264" s="10">
        <v>8320</v>
      </c>
      <c r="O264" s="10">
        <v>0</v>
      </c>
      <c r="P264" s="10">
        <v>0</v>
      </c>
      <c r="Q264" s="10">
        <v>1394</v>
      </c>
      <c r="R264" s="10">
        <v>0</v>
      </c>
      <c r="S264" s="19">
        <v>0</v>
      </c>
    </row>
    <row r="265" spans="1:19" x14ac:dyDescent="0.25">
      <c r="A265" t="s">
        <v>804</v>
      </c>
      <c r="B265" t="s">
        <v>319</v>
      </c>
      <c r="C265" s="1"/>
      <c r="D265" s="1"/>
      <c r="E265" s="1"/>
      <c r="F265" s="1"/>
      <c r="G265" s="1"/>
      <c r="H265" s="1"/>
      <c r="I265" s="1"/>
      <c r="J265" s="1"/>
      <c r="L265" s="12">
        <v>711</v>
      </c>
      <c r="M265" s="12" t="s">
        <v>321</v>
      </c>
      <c r="N265" s="12">
        <v>2423</v>
      </c>
      <c r="O265" s="12">
        <v>10</v>
      </c>
      <c r="P265" s="12">
        <v>0</v>
      </c>
      <c r="Q265" s="12">
        <v>4673</v>
      </c>
      <c r="R265" s="12">
        <v>77</v>
      </c>
      <c r="S265" s="18">
        <v>0</v>
      </c>
    </row>
    <row r="266" spans="1:19" x14ac:dyDescent="0.25">
      <c r="A266" t="s">
        <v>796</v>
      </c>
      <c r="B266" t="s">
        <v>320</v>
      </c>
      <c r="C266" s="1">
        <v>8320</v>
      </c>
      <c r="D266" s="1">
        <v>0</v>
      </c>
      <c r="E266" s="1">
        <v>0</v>
      </c>
      <c r="F266" s="1">
        <f>1393+1</f>
        <v>1394</v>
      </c>
      <c r="G266" s="1">
        <v>0</v>
      </c>
      <c r="H266" s="1">
        <v>0</v>
      </c>
      <c r="I266" s="1">
        <v>0</v>
      </c>
      <c r="J266" s="1"/>
      <c r="L266" s="10" t="s">
        <v>815</v>
      </c>
      <c r="M266" s="10" t="s">
        <v>322</v>
      </c>
      <c r="N266" s="10">
        <v>1901</v>
      </c>
      <c r="O266" s="10">
        <v>14</v>
      </c>
      <c r="P266" s="10">
        <v>0</v>
      </c>
      <c r="Q266" s="10">
        <v>16683</v>
      </c>
      <c r="R266" s="10">
        <v>24</v>
      </c>
      <c r="S266" s="19">
        <v>0</v>
      </c>
    </row>
    <row r="267" spans="1:19" x14ac:dyDescent="0.25">
      <c r="A267" t="s">
        <v>801</v>
      </c>
      <c r="B267" t="s">
        <v>321</v>
      </c>
      <c r="C267" s="1">
        <f>2417+5+1</f>
        <v>2423</v>
      </c>
      <c r="D267" s="1">
        <v>10</v>
      </c>
      <c r="E267" s="1">
        <v>0</v>
      </c>
      <c r="F267" s="1">
        <f>4651+1+11+4+6</f>
        <v>4673</v>
      </c>
      <c r="G267" s="1">
        <v>77</v>
      </c>
      <c r="H267" s="1">
        <v>0</v>
      </c>
      <c r="I267" s="1">
        <v>0</v>
      </c>
      <c r="J267" s="1"/>
      <c r="L267" s="12">
        <v>713</v>
      </c>
      <c r="M267" s="12" t="s">
        <v>323</v>
      </c>
      <c r="N267" s="12">
        <v>492</v>
      </c>
      <c r="O267" s="12">
        <v>2</v>
      </c>
      <c r="P267" s="12">
        <v>0</v>
      </c>
      <c r="Q267" s="12">
        <v>1739</v>
      </c>
      <c r="R267" s="12">
        <v>13</v>
      </c>
      <c r="S267" s="18">
        <v>0</v>
      </c>
    </row>
    <row r="268" spans="1:19" x14ac:dyDescent="0.25">
      <c r="A268" t="s">
        <v>138</v>
      </c>
      <c r="B268" t="s">
        <v>322</v>
      </c>
      <c r="C268" s="1">
        <v>1901</v>
      </c>
      <c r="D268" s="1">
        <v>14</v>
      </c>
      <c r="E268" s="1">
        <v>0</v>
      </c>
      <c r="F268" s="1">
        <f>16671+3+5+1+1+2</f>
        <v>16683</v>
      </c>
      <c r="G268" s="1">
        <v>24</v>
      </c>
      <c r="H268" s="1">
        <v>0</v>
      </c>
      <c r="I268" s="1">
        <v>0</v>
      </c>
      <c r="J268" s="1"/>
      <c r="L268" s="10">
        <v>153</v>
      </c>
      <c r="M268" s="10" t="s">
        <v>324</v>
      </c>
      <c r="N268" s="10">
        <v>905</v>
      </c>
      <c r="O268" s="10">
        <v>1</v>
      </c>
      <c r="P268" s="10">
        <v>0</v>
      </c>
      <c r="Q268" s="10">
        <v>1306</v>
      </c>
      <c r="R268" s="10">
        <v>0</v>
      </c>
      <c r="S268" s="19">
        <v>0</v>
      </c>
    </row>
    <row r="269" spans="1:19" x14ac:dyDescent="0.25">
      <c r="A269" t="s">
        <v>796</v>
      </c>
      <c r="B269" t="s">
        <v>323</v>
      </c>
      <c r="C269" s="1">
        <f>490+2</f>
        <v>492</v>
      </c>
      <c r="D269" s="1">
        <v>2</v>
      </c>
      <c r="E269" s="1">
        <v>0</v>
      </c>
      <c r="F269" s="1">
        <f>1651+1+87</f>
        <v>1739</v>
      </c>
      <c r="G269" s="1">
        <f>8+3+2</f>
        <v>13</v>
      </c>
      <c r="H269" s="1">
        <v>0</v>
      </c>
      <c r="I269" s="1">
        <v>0</v>
      </c>
      <c r="J269" s="1"/>
      <c r="L269" s="12">
        <v>600</v>
      </c>
      <c r="M269" s="12" t="s">
        <v>325</v>
      </c>
      <c r="N269" s="12"/>
      <c r="O269" s="12"/>
      <c r="P269" s="12"/>
      <c r="Q269" s="12"/>
      <c r="R269" s="12"/>
      <c r="S269" s="18"/>
    </row>
    <row r="270" spans="1:19" x14ac:dyDescent="0.25">
      <c r="A270" t="s">
        <v>825</v>
      </c>
      <c r="B270" t="s">
        <v>324</v>
      </c>
      <c r="C270" s="1">
        <v>905</v>
      </c>
      <c r="D270" s="1">
        <v>1</v>
      </c>
      <c r="E270" s="1">
        <v>0</v>
      </c>
      <c r="F270" s="1">
        <f>1297+3+1+5</f>
        <v>1306</v>
      </c>
      <c r="G270" s="1">
        <v>0</v>
      </c>
      <c r="H270" s="1">
        <v>0</v>
      </c>
      <c r="I270" s="1">
        <v>0</v>
      </c>
      <c r="J270" s="1"/>
      <c r="L270" s="10">
        <v>700</v>
      </c>
      <c r="M270" s="10" t="s">
        <v>326</v>
      </c>
      <c r="N270" s="10"/>
      <c r="O270" s="10"/>
      <c r="P270" s="10"/>
      <c r="Q270" s="10"/>
      <c r="R270" s="10"/>
      <c r="S270" s="19"/>
    </row>
    <row r="271" spans="1:19" x14ac:dyDescent="0.25">
      <c r="A271" t="s">
        <v>248</v>
      </c>
      <c r="B271" t="s">
        <v>325</v>
      </c>
      <c r="C271" s="1"/>
      <c r="D271" s="1"/>
      <c r="E271" s="1"/>
      <c r="F271" s="1"/>
      <c r="G271" s="1"/>
      <c r="H271" s="1"/>
      <c r="I271" s="1"/>
      <c r="J271" s="1"/>
      <c r="L271" s="12">
        <v>116</v>
      </c>
      <c r="M271" s="12" t="s">
        <v>327</v>
      </c>
      <c r="N271" s="12">
        <v>17</v>
      </c>
      <c r="O271" s="12">
        <v>0</v>
      </c>
      <c r="P271" s="12">
        <v>0</v>
      </c>
      <c r="Q271" s="12">
        <v>254</v>
      </c>
      <c r="R271" s="12">
        <v>12</v>
      </c>
      <c r="S271" s="18">
        <v>0</v>
      </c>
    </row>
    <row r="272" spans="1:19" x14ac:dyDescent="0.25">
      <c r="A272" t="s">
        <v>83</v>
      </c>
      <c r="B272" t="s">
        <v>326</v>
      </c>
      <c r="C272" s="1"/>
      <c r="D272" s="1"/>
      <c r="E272" s="1"/>
      <c r="F272" s="1"/>
      <c r="G272" s="1"/>
      <c r="H272" s="1"/>
      <c r="I272" s="1"/>
      <c r="J272" s="1"/>
      <c r="L272" s="10">
        <v>712</v>
      </c>
      <c r="M272" s="10" t="s">
        <v>329</v>
      </c>
      <c r="N272" s="10">
        <v>1788</v>
      </c>
      <c r="O272" s="10">
        <v>19</v>
      </c>
      <c r="P272" s="10">
        <v>0</v>
      </c>
      <c r="Q272" s="10">
        <v>6046</v>
      </c>
      <c r="R272" s="10">
        <v>40</v>
      </c>
      <c r="S272" s="19">
        <v>0</v>
      </c>
    </row>
    <row r="273" spans="1:19" x14ac:dyDescent="0.25">
      <c r="A273" t="s">
        <v>795</v>
      </c>
      <c r="B273" t="s">
        <v>327</v>
      </c>
      <c r="C273" s="1"/>
      <c r="D273" s="1"/>
      <c r="E273" s="1"/>
      <c r="F273" s="1"/>
      <c r="G273" s="1"/>
      <c r="H273" s="1"/>
      <c r="I273" s="1"/>
      <c r="J273" s="1"/>
      <c r="L273" s="12" t="s">
        <v>808</v>
      </c>
      <c r="M273" s="12" t="s">
        <v>330</v>
      </c>
      <c r="N273" s="12">
        <v>746</v>
      </c>
      <c r="O273" s="12">
        <v>0</v>
      </c>
      <c r="P273" s="12">
        <v>0</v>
      </c>
      <c r="Q273" s="12">
        <v>2217</v>
      </c>
      <c r="R273" s="12">
        <v>0</v>
      </c>
      <c r="S273" s="18">
        <v>0</v>
      </c>
    </row>
    <row r="274" spans="1:19" x14ac:dyDescent="0.25">
      <c r="A274" t="s">
        <v>76</v>
      </c>
      <c r="B274" t="s">
        <v>329</v>
      </c>
      <c r="C274" s="1">
        <v>1788</v>
      </c>
      <c r="D274" s="1">
        <v>19</v>
      </c>
      <c r="E274" s="1">
        <v>0</v>
      </c>
      <c r="F274" s="1">
        <f>5822+1+2+221</f>
        <v>6046</v>
      </c>
      <c r="G274" s="1">
        <f>22+18</f>
        <v>40</v>
      </c>
      <c r="H274" s="1">
        <v>0</v>
      </c>
      <c r="I274" s="1">
        <v>0</v>
      </c>
      <c r="J274" s="1"/>
      <c r="L274" s="10">
        <v>315</v>
      </c>
      <c r="M274" s="10" t="s">
        <v>331</v>
      </c>
      <c r="N274" s="10"/>
      <c r="O274" s="10"/>
      <c r="P274" s="10"/>
      <c r="Q274" s="10"/>
      <c r="R274" s="10"/>
      <c r="S274" s="19"/>
    </row>
    <row r="275" spans="1:19" x14ac:dyDescent="0.25">
      <c r="A275" t="s">
        <v>809</v>
      </c>
      <c r="B275" t="s">
        <v>330</v>
      </c>
      <c r="C275" s="1">
        <v>746</v>
      </c>
      <c r="D275" s="1">
        <v>0</v>
      </c>
      <c r="E275" s="1">
        <v>0</v>
      </c>
      <c r="F275" s="1">
        <v>2217</v>
      </c>
      <c r="G275" s="1">
        <v>0</v>
      </c>
      <c r="H275" s="1">
        <v>0</v>
      </c>
      <c r="I275" s="1">
        <v>0</v>
      </c>
      <c r="J275" s="1"/>
      <c r="L275" s="12">
        <v>600</v>
      </c>
      <c r="M275" s="12" t="s">
        <v>332</v>
      </c>
      <c r="N275" s="12"/>
      <c r="O275" s="12"/>
      <c r="P275" s="12"/>
      <c r="Q275" s="12"/>
      <c r="R275" s="12"/>
      <c r="S275" s="18"/>
    </row>
    <row r="276" spans="1:19" x14ac:dyDescent="0.25">
      <c r="A276" t="s">
        <v>807</v>
      </c>
      <c r="B276" t="s">
        <v>331</v>
      </c>
      <c r="C276" s="1"/>
      <c r="D276" s="1"/>
      <c r="E276" s="1"/>
      <c r="F276" s="1"/>
      <c r="G276" s="1"/>
      <c r="H276" s="1"/>
      <c r="I276" s="1"/>
      <c r="J276" s="1"/>
      <c r="L276" s="10">
        <v>128</v>
      </c>
      <c r="M276" s="10" t="s">
        <v>333</v>
      </c>
      <c r="N276" s="10">
        <v>21</v>
      </c>
      <c r="O276" s="10">
        <v>0</v>
      </c>
      <c r="P276" s="10">
        <v>0</v>
      </c>
      <c r="Q276" s="10">
        <v>407</v>
      </c>
      <c r="R276" s="10">
        <v>0</v>
      </c>
      <c r="S276" s="19">
        <v>0</v>
      </c>
    </row>
    <row r="277" spans="1:19" x14ac:dyDescent="0.25">
      <c r="A277" t="s">
        <v>248</v>
      </c>
      <c r="B277" t="s">
        <v>332</v>
      </c>
      <c r="C277" s="1"/>
      <c r="D277" s="1"/>
      <c r="E277" s="1"/>
      <c r="F277" s="1"/>
      <c r="G277" s="1"/>
      <c r="H277" s="1"/>
      <c r="I277" s="1"/>
      <c r="J277" s="1"/>
      <c r="L277" s="12">
        <v>122</v>
      </c>
      <c r="M277" s="12" t="s">
        <v>334</v>
      </c>
      <c r="N277" s="12">
        <v>246</v>
      </c>
      <c r="O277" s="12">
        <v>0</v>
      </c>
      <c r="P277" s="12">
        <v>0</v>
      </c>
      <c r="Q277" s="12">
        <v>510</v>
      </c>
      <c r="R277" s="12">
        <v>0</v>
      </c>
      <c r="S277" s="18">
        <v>0</v>
      </c>
    </row>
    <row r="278" spans="1:19" x14ac:dyDescent="0.25">
      <c r="A278" t="s">
        <v>813</v>
      </c>
      <c r="B278" t="s">
        <v>333</v>
      </c>
      <c r="C278" s="1"/>
      <c r="D278" s="1"/>
      <c r="E278" s="1"/>
      <c r="F278" s="1"/>
      <c r="G278" s="1"/>
      <c r="H278" s="1"/>
      <c r="I278" s="1"/>
      <c r="J278" s="1"/>
      <c r="L278" s="10" t="s">
        <v>820</v>
      </c>
      <c r="M278" s="10" t="s">
        <v>335</v>
      </c>
      <c r="N278" s="10">
        <v>615</v>
      </c>
      <c r="O278" s="10">
        <v>0</v>
      </c>
      <c r="P278" s="10">
        <v>0</v>
      </c>
      <c r="Q278" s="10">
        <v>1631</v>
      </c>
      <c r="R278" s="10">
        <v>0</v>
      </c>
      <c r="S278" s="19">
        <v>0</v>
      </c>
    </row>
    <row r="279" spans="1:19" x14ac:dyDescent="0.25">
      <c r="A279" t="s">
        <v>115</v>
      </c>
      <c r="B279" t="s">
        <v>334</v>
      </c>
      <c r="C279" s="1">
        <v>246</v>
      </c>
      <c r="D279" s="1">
        <v>0</v>
      </c>
      <c r="E279" s="1">
        <v>0</v>
      </c>
      <c r="F279" s="1">
        <v>510</v>
      </c>
      <c r="G279" s="1">
        <v>0</v>
      </c>
      <c r="H279" s="1">
        <v>0</v>
      </c>
      <c r="I279" s="1">
        <v>0</v>
      </c>
      <c r="J279" s="1"/>
      <c r="L279" s="12">
        <v>123</v>
      </c>
      <c r="M279" s="12" t="s">
        <v>336</v>
      </c>
      <c r="N279" s="12">
        <v>512</v>
      </c>
      <c r="O279" s="12">
        <v>0</v>
      </c>
      <c r="P279" s="12">
        <v>0</v>
      </c>
      <c r="Q279" s="12">
        <v>1379</v>
      </c>
      <c r="R279" s="12">
        <v>0</v>
      </c>
      <c r="S279" s="18">
        <v>0</v>
      </c>
    </row>
    <row r="280" spans="1:19" x14ac:dyDescent="0.25">
      <c r="A280" t="s">
        <v>265</v>
      </c>
      <c r="B280" t="s">
        <v>335</v>
      </c>
      <c r="C280" s="1">
        <v>615</v>
      </c>
      <c r="D280" s="1">
        <v>0</v>
      </c>
      <c r="E280" s="1">
        <v>0</v>
      </c>
      <c r="F280" s="1">
        <v>1631</v>
      </c>
      <c r="G280" s="1">
        <v>0</v>
      </c>
      <c r="H280" s="1">
        <v>0</v>
      </c>
      <c r="I280" s="1">
        <v>0</v>
      </c>
      <c r="J280" s="1"/>
      <c r="L280" s="10">
        <v>200</v>
      </c>
      <c r="M280" s="10" t="s">
        <v>337</v>
      </c>
      <c r="N280" s="10">
        <v>1446</v>
      </c>
      <c r="O280" s="10">
        <v>10</v>
      </c>
      <c r="P280" s="10">
        <v>0</v>
      </c>
      <c r="Q280" s="10">
        <v>5276</v>
      </c>
      <c r="R280" s="10">
        <v>15</v>
      </c>
      <c r="S280" s="19">
        <v>0</v>
      </c>
    </row>
    <row r="281" spans="1:19" x14ac:dyDescent="0.25">
      <c r="A281" t="s">
        <v>110</v>
      </c>
      <c r="B281" t="s">
        <v>336</v>
      </c>
      <c r="C281" s="1">
        <v>512</v>
      </c>
      <c r="D281" s="1">
        <v>0</v>
      </c>
      <c r="E281" s="1">
        <v>0</v>
      </c>
      <c r="F281" s="1">
        <v>1379</v>
      </c>
      <c r="G281" s="1">
        <v>0</v>
      </c>
      <c r="H281" s="1">
        <v>0</v>
      </c>
      <c r="I281" s="1">
        <v>0</v>
      </c>
      <c r="J281" s="1"/>
      <c r="L281" s="12">
        <v>121</v>
      </c>
      <c r="M281" s="12" t="s">
        <v>338</v>
      </c>
      <c r="N281" s="12">
        <v>87</v>
      </c>
      <c r="O281" s="12">
        <v>0</v>
      </c>
      <c r="P281" s="12">
        <v>0</v>
      </c>
      <c r="Q281" s="12">
        <v>1021</v>
      </c>
      <c r="R281" s="12">
        <v>8</v>
      </c>
      <c r="S281" s="18">
        <v>0</v>
      </c>
    </row>
    <row r="282" spans="1:19" x14ac:dyDescent="0.25">
      <c r="A282" t="s">
        <v>140</v>
      </c>
      <c r="B282" t="s">
        <v>337</v>
      </c>
      <c r="C282" s="1">
        <f>1406+21+19</f>
        <v>1446</v>
      </c>
      <c r="D282" s="1">
        <v>10</v>
      </c>
      <c r="E282" s="1">
        <v>0</v>
      </c>
      <c r="F282" s="1">
        <f>5266+2+2+3+2+1</f>
        <v>5276</v>
      </c>
      <c r="G282" s="1">
        <v>15</v>
      </c>
      <c r="H282" s="1">
        <v>0</v>
      </c>
      <c r="I282" s="1">
        <v>0</v>
      </c>
      <c r="J282" s="1"/>
      <c r="L282" s="10">
        <v>130</v>
      </c>
      <c r="M282" s="10" t="s">
        <v>339</v>
      </c>
      <c r="N282" s="10">
        <v>401</v>
      </c>
      <c r="O282" s="10">
        <v>0</v>
      </c>
      <c r="P282" s="10">
        <v>0</v>
      </c>
      <c r="Q282" s="10">
        <v>793</v>
      </c>
      <c r="R282" s="10">
        <v>0</v>
      </c>
      <c r="S282" s="19">
        <v>0</v>
      </c>
    </row>
    <row r="283" spans="1:19" x14ac:dyDescent="0.25">
      <c r="A283" t="s">
        <v>104</v>
      </c>
      <c r="B283" t="s">
        <v>338</v>
      </c>
      <c r="C283" s="1">
        <v>87</v>
      </c>
      <c r="D283" s="1">
        <v>0</v>
      </c>
      <c r="E283" s="1">
        <v>0</v>
      </c>
      <c r="F283" s="1">
        <v>1021</v>
      </c>
      <c r="G283" s="1">
        <v>8</v>
      </c>
      <c r="H283" s="1">
        <v>0</v>
      </c>
      <c r="I283" s="1">
        <v>0</v>
      </c>
      <c r="J283" s="1"/>
      <c r="L283" s="12">
        <v>124</v>
      </c>
      <c r="M283" s="12" t="s">
        <v>340</v>
      </c>
      <c r="N283" s="12">
        <v>56</v>
      </c>
      <c r="O283" s="12">
        <v>0</v>
      </c>
      <c r="P283" s="12">
        <v>0</v>
      </c>
      <c r="Q283" s="12">
        <v>219</v>
      </c>
      <c r="R283" s="12">
        <v>1</v>
      </c>
      <c r="S283" s="18">
        <v>0</v>
      </c>
    </row>
    <row r="284" spans="1:19" x14ac:dyDescent="0.25">
      <c r="A284" t="s">
        <v>793</v>
      </c>
      <c r="B284" t="s">
        <v>339</v>
      </c>
      <c r="C284" s="1">
        <f>392+9</f>
        <v>401</v>
      </c>
      <c r="D284" s="1">
        <v>0</v>
      </c>
      <c r="E284" s="1">
        <v>0</v>
      </c>
      <c r="F284" s="1">
        <f>788+2+3</f>
        <v>793</v>
      </c>
      <c r="G284" s="1">
        <v>0</v>
      </c>
      <c r="H284" s="1">
        <v>0</v>
      </c>
      <c r="I284" s="1">
        <v>0</v>
      </c>
      <c r="J284" s="1"/>
      <c r="L284" s="10">
        <v>125</v>
      </c>
      <c r="M284" s="10" t="s">
        <v>341</v>
      </c>
      <c r="N284" s="10">
        <v>162</v>
      </c>
      <c r="O284" s="10">
        <v>0</v>
      </c>
      <c r="P284" s="10">
        <v>0</v>
      </c>
      <c r="Q284" s="10">
        <v>1218</v>
      </c>
      <c r="R284" s="10">
        <v>0</v>
      </c>
      <c r="S284" s="19">
        <v>0</v>
      </c>
    </row>
    <row r="285" spans="1:19" x14ac:dyDescent="0.25">
      <c r="A285" t="s">
        <v>123</v>
      </c>
      <c r="B285" t="s">
        <v>340</v>
      </c>
      <c r="C285" s="1">
        <v>56</v>
      </c>
      <c r="D285" s="1">
        <v>0</v>
      </c>
      <c r="E285" s="1">
        <v>0</v>
      </c>
      <c r="F285" s="1">
        <v>219</v>
      </c>
      <c r="G285" s="1">
        <v>1</v>
      </c>
      <c r="H285" s="1">
        <v>0</v>
      </c>
      <c r="I285" s="1">
        <v>0</v>
      </c>
      <c r="J285" s="1"/>
      <c r="L285" s="12">
        <v>126</v>
      </c>
      <c r="M285" s="12" t="s">
        <v>342</v>
      </c>
      <c r="N285" s="12">
        <v>44</v>
      </c>
      <c r="O285" s="12">
        <v>7</v>
      </c>
      <c r="P285" s="12">
        <v>0</v>
      </c>
      <c r="Q285" s="12">
        <v>288</v>
      </c>
      <c r="R285" s="12">
        <v>0</v>
      </c>
      <c r="S285" s="18">
        <v>0</v>
      </c>
    </row>
    <row r="286" spans="1:19" x14ac:dyDescent="0.25">
      <c r="A286" t="s">
        <v>40</v>
      </c>
      <c r="B286" t="s">
        <v>341</v>
      </c>
      <c r="C286" s="1">
        <v>162</v>
      </c>
      <c r="D286" s="1">
        <v>0</v>
      </c>
      <c r="E286" s="1">
        <v>0</v>
      </c>
      <c r="F286" s="1">
        <v>1218</v>
      </c>
      <c r="G286" s="1">
        <v>0</v>
      </c>
      <c r="H286" s="1">
        <v>0</v>
      </c>
      <c r="I286" s="1">
        <v>0</v>
      </c>
      <c r="J286" s="1"/>
      <c r="L286" s="10">
        <v>711</v>
      </c>
      <c r="M286" s="10" t="s">
        <v>343</v>
      </c>
      <c r="N286" s="10">
        <v>102</v>
      </c>
      <c r="O286" s="10">
        <v>0</v>
      </c>
      <c r="P286" s="10">
        <v>0</v>
      </c>
      <c r="Q286" s="10">
        <v>749</v>
      </c>
      <c r="R286" s="10">
        <v>1</v>
      </c>
      <c r="S286" s="19">
        <v>0</v>
      </c>
    </row>
    <row r="287" spans="1:19" x14ac:dyDescent="0.25">
      <c r="A287" t="s">
        <v>97</v>
      </c>
      <c r="B287" t="s">
        <v>342</v>
      </c>
      <c r="C287" s="1">
        <v>44</v>
      </c>
      <c r="D287" s="1">
        <v>7</v>
      </c>
      <c r="E287" s="1">
        <v>0</v>
      </c>
      <c r="F287" s="1">
        <v>288</v>
      </c>
      <c r="G287" s="1">
        <v>0</v>
      </c>
      <c r="H287" s="1">
        <v>0</v>
      </c>
      <c r="I287" s="1">
        <v>0</v>
      </c>
      <c r="J287" s="1"/>
      <c r="L287" s="12" t="s">
        <v>815</v>
      </c>
      <c r="M287" s="12" t="s">
        <v>344</v>
      </c>
      <c r="N287" s="12">
        <v>256</v>
      </c>
      <c r="O287" s="12">
        <v>0</v>
      </c>
      <c r="P287" s="12">
        <v>0</v>
      </c>
      <c r="Q287" s="12">
        <v>3936</v>
      </c>
      <c r="R287" s="12">
        <v>0</v>
      </c>
      <c r="S287" s="18">
        <v>0</v>
      </c>
    </row>
    <row r="288" spans="1:19" x14ac:dyDescent="0.25">
      <c r="A288" t="s">
        <v>801</v>
      </c>
      <c r="B288" t="s">
        <v>343</v>
      </c>
      <c r="C288" s="1">
        <v>102</v>
      </c>
      <c r="D288" s="1">
        <v>0</v>
      </c>
      <c r="E288" s="1">
        <v>0</v>
      </c>
      <c r="F288" s="1">
        <v>749</v>
      </c>
      <c r="G288" s="1">
        <v>1</v>
      </c>
      <c r="H288" s="1">
        <v>0</v>
      </c>
      <c r="I288" s="1">
        <v>0</v>
      </c>
      <c r="J288" s="1"/>
      <c r="L288" s="10">
        <v>200</v>
      </c>
      <c r="M288" s="10" t="s">
        <v>345</v>
      </c>
      <c r="N288" s="10">
        <v>239</v>
      </c>
      <c r="O288" s="10">
        <v>0</v>
      </c>
      <c r="P288" s="10">
        <v>0</v>
      </c>
      <c r="Q288" s="10">
        <v>2030</v>
      </c>
      <c r="R288" s="10">
        <v>0</v>
      </c>
      <c r="S288" s="19">
        <v>0</v>
      </c>
    </row>
    <row r="289" spans="1:19" x14ac:dyDescent="0.25">
      <c r="A289" t="s">
        <v>138</v>
      </c>
      <c r="B289" t="s">
        <v>344</v>
      </c>
      <c r="C289" s="1">
        <f>253+3</f>
        <v>256</v>
      </c>
      <c r="D289" s="1">
        <v>0</v>
      </c>
      <c r="E289" s="1">
        <v>0</v>
      </c>
      <c r="F289" s="1">
        <f>3911+13+12</f>
        <v>3936</v>
      </c>
      <c r="G289" s="1">
        <v>0</v>
      </c>
      <c r="H289" s="1">
        <v>0</v>
      </c>
      <c r="I289" s="1">
        <v>0</v>
      </c>
      <c r="J289" s="1"/>
      <c r="L289" s="12">
        <v>710</v>
      </c>
      <c r="M289" s="12" t="s">
        <v>346</v>
      </c>
      <c r="N289" s="12">
        <v>1065</v>
      </c>
      <c r="O289" s="12">
        <v>0</v>
      </c>
      <c r="P289" s="12">
        <v>0</v>
      </c>
      <c r="Q289" s="12">
        <v>8365</v>
      </c>
      <c r="R289" s="12">
        <v>0</v>
      </c>
      <c r="S289" s="18">
        <v>0</v>
      </c>
    </row>
    <row r="290" spans="1:19" x14ac:dyDescent="0.25">
      <c r="A290" t="s">
        <v>140</v>
      </c>
      <c r="B290" t="s">
        <v>345</v>
      </c>
      <c r="C290" s="1">
        <v>239</v>
      </c>
      <c r="D290" s="1">
        <v>0</v>
      </c>
      <c r="E290" s="1">
        <v>0</v>
      </c>
      <c r="F290" s="1">
        <f>2023+3+4</f>
        <v>2030</v>
      </c>
      <c r="G290" s="1">
        <v>0</v>
      </c>
      <c r="H290" s="1">
        <v>0</v>
      </c>
      <c r="I290" s="1">
        <v>0</v>
      </c>
      <c r="J290" s="1"/>
      <c r="L290" s="10">
        <v>700</v>
      </c>
      <c r="M290" s="10" t="s">
        <v>347</v>
      </c>
      <c r="N290" s="10">
        <v>16</v>
      </c>
      <c r="O290" s="10">
        <v>0</v>
      </c>
      <c r="P290" s="10">
        <v>0</v>
      </c>
      <c r="Q290" s="10">
        <v>6</v>
      </c>
      <c r="R290" s="10">
        <v>0</v>
      </c>
      <c r="S290" s="19">
        <v>0</v>
      </c>
    </row>
    <row r="291" spans="1:19" x14ac:dyDescent="0.25">
      <c r="A291" t="s">
        <v>69</v>
      </c>
      <c r="B291" t="s">
        <v>346</v>
      </c>
      <c r="C291" s="1">
        <f>1051+14</f>
        <v>1065</v>
      </c>
      <c r="D291" s="1">
        <v>0</v>
      </c>
      <c r="E291" s="1">
        <v>0</v>
      </c>
      <c r="F291" s="1">
        <f>8363+2</f>
        <v>8365</v>
      </c>
      <c r="G291" s="1">
        <v>0</v>
      </c>
      <c r="H291" s="1">
        <v>0</v>
      </c>
      <c r="I291" s="1">
        <v>0</v>
      </c>
      <c r="J291" s="1"/>
      <c r="L291" s="12">
        <v>511</v>
      </c>
      <c r="M291" s="12" t="s">
        <v>348</v>
      </c>
      <c r="N291" s="12">
        <v>727</v>
      </c>
      <c r="O291" s="12">
        <v>0</v>
      </c>
      <c r="P291" s="12">
        <v>0</v>
      </c>
      <c r="Q291" s="12">
        <v>4732</v>
      </c>
      <c r="R291" s="12">
        <v>0</v>
      </c>
      <c r="S291" s="18">
        <v>0</v>
      </c>
    </row>
    <row r="292" spans="1:19" x14ac:dyDescent="0.25">
      <c r="A292" t="s">
        <v>83</v>
      </c>
      <c r="B292" t="s">
        <v>347</v>
      </c>
      <c r="C292" s="1">
        <v>16</v>
      </c>
      <c r="D292" s="1">
        <v>0</v>
      </c>
      <c r="E292" s="1">
        <v>0</v>
      </c>
      <c r="F292" s="1">
        <v>6</v>
      </c>
      <c r="G292" s="1">
        <v>0</v>
      </c>
      <c r="H292" s="1">
        <v>0</v>
      </c>
      <c r="I292" s="1">
        <v>0</v>
      </c>
      <c r="J292" s="1"/>
      <c r="L292" s="10">
        <v>110</v>
      </c>
      <c r="M292" s="10" t="s">
        <v>349</v>
      </c>
      <c r="N292" s="10">
        <v>146</v>
      </c>
      <c r="O292" s="10">
        <v>0</v>
      </c>
      <c r="P292" s="10">
        <v>0</v>
      </c>
      <c r="Q292" s="10">
        <v>1776</v>
      </c>
      <c r="R292" s="10">
        <v>0</v>
      </c>
      <c r="S292" s="19">
        <v>0</v>
      </c>
    </row>
    <row r="293" spans="1:19" x14ac:dyDescent="0.25">
      <c r="A293" t="s">
        <v>101</v>
      </c>
      <c r="B293" t="s">
        <v>348</v>
      </c>
      <c r="C293" s="1">
        <v>727</v>
      </c>
      <c r="D293" s="1">
        <v>0</v>
      </c>
      <c r="E293" s="1">
        <v>0</v>
      </c>
      <c r="F293" s="1">
        <f>4728+4</f>
        <v>4732</v>
      </c>
      <c r="G293" s="1">
        <v>0</v>
      </c>
      <c r="H293" s="1">
        <v>0</v>
      </c>
      <c r="I293" s="1">
        <v>0</v>
      </c>
      <c r="J293" s="1"/>
      <c r="L293" s="12">
        <v>111</v>
      </c>
      <c r="M293" s="12" t="s">
        <v>350</v>
      </c>
      <c r="N293" s="12">
        <v>353</v>
      </c>
      <c r="O293" s="12">
        <v>1</v>
      </c>
      <c r="P293" s="12">
        <v>0</v>
      </c>
      <c r="Q293" s="12">
        <v>5654</v>
      </c>
      <c r="R293" s="12">
        <v>6</v>
      </c>
      <c r="S293" s="18">
        <v>0</v>
      </c>
    </row>
    <row r="294" spans="1:19" x14ac:dyDescent="0.25">
      <c r="A294" t="s">
        <v>797</v>
      </c>
      <c r="B294" t="s">
        <v>349</v>
      </c>
      <c r="C294" s="1"/>
      <c r="D294" s="1"/>
      <c r="E294" s="1"/>
      <c r="F294" s="1"/>
      <c r="G294" s="1"/>
      <c r="H294" s="1"/>
      <c r="I294" s="1"/>
      <c r="J294" s="1"/>
      <c r="L294" s="10">
        <v>140</v>
      </c>
      <c r="M294" s="10" t="s">
        <v>351</v>
      </c>
      <c r="N294" s="10">
        <v>194</v>
      </c>
      <c r="O294" s="10">
        <v>0</v>
      </c>
      <c r="P294" s="10">
        <v>0</v>
      </c>
      <c r="Q294" s="10">
        <v>408</v>
      </c>
      <c r="R294" s="10">
        <v>0</v>
      </c>
      <c r="S294" s="19">
        <v>0</v>
      </c>
    </row>
    <row r="295" spans="1:19" x14ac:dyDescent="0.25">
      <c r="A295" t="s">
        <v>811</v>
      </c>
      <c r="B295" t="s">
        <v>350</v>
      </c>
      <c r="C295" s="1"/>
      <c r="D295" s="1"/>
      <c r="E295" s="1"/>
      <c r="F295" s="1"/>
      <c r="G295" s="1"/>
      <c r="H295" s="1"/>
      <c r="I295" s="1"/>
      <c r="J295" s="1"/>
      <c r="L295" s="12">
        <v>500</v>
      </c>
      <c r="M295" s="12" t="s">
        <v>352</v>
      </c>
      <c r="N295" s="12">
        <v>334</v>
      </c>
      <c r="O295" s="12">
        <v>0</v>
      </c>
      <c r="P295" s="12">
        <v>0</v>
      </c>
      <c r="Q295" s="12">
        <v>916</v>
      </c>
      <c r="R295" s="12">
        <v>0</v>
      </c>
      <c r="S295" s="18">
        <v>0</v>
      </c>
    </row>
    <row r="296" spans="1:19" x14ac:dyDescent="0.25">
      <c r="A296" t="s">
        <v>45</v>
      </c>
      <c r="B296" t="s">
        <v>351</v>
      </c>
      <c r="C296" s="1">
        <v>194</v>
      </c>
      <c r="D296" s="1">
        <v>0</v>
      </c>
      <c r="E296" s="1">
        <v>0</v>
      </c>
      <c r="F296" s="1">
        <f>405+3</f>
        <v>408</v>
      </c>
      <c r="G296" s="1">
        <v>0</v>
      </c>
      <c r="H296" s="1">
        <v>0</v>
      </c>
      <c r="I296" s="1"/>
      <c r="J296" s="1"/>
      <c r="L296" s="10">
        <v>141</v>
      </c>
      <c r="M296" s="10" t="s">
        <v>353</v>
      </c>
      <c r="N296" s="10">
        <v>4761</v>
      </c>
      <c r="O296" s="10">
        <v>0</v>
      </c>
      <c r="P296" s="10">
        <v>0</v>
      </c>
      <c r="Q296" s="10">
        <v>1765</v>
      </c>
      <c r="R296" s="10">
        <v>1</v>
      </c>
      <c r="S296" s="19">
        <v>0</v>
      </c>
    </row>
    <row r="297" spans="1:19" x14ac:dyDescent="0.25">
      <c r="A297" t="s">
        <v>824</v>
      </c>
      <c r="B297" t="s">
        <v>352</v>
      </c>
      <c r="C297" s="1">
        <f>331+3</f>
        <v>334</v>
      </c>
      <c r="D297" s="1">
        <v>0</v>
      </c>
      <c r="E297" s="1">
        <v>0</v>
      </c>
      <c r="F297" s="1">
        <f>863+30+23</f>
        <v>916</v>
      </c>
      <c r="G297" s="1">
        <v>0</v>
      </c>
      <c r="H297" s="1">
        <v>0</v>
      </c>
      <c r="I297" s="1">
        <v>0</v>
      </c>
      <c r="J297" s="1"/>
      <c r="L297" s="12">
        <v>146</v>
      </c>
      <c r="M297" s="12" t="s">
        <v>354</v>
      </c>
      <c r="N297" s="12">
        <v>51</v>
      </c>
      <c r="O297" s="12">
        <v>0</v>
      </c>
      <c r="P297" s="12">
        <v>0</v>
      </c>
      <c r="Q297" s="12">
        <v>388</v>
      </c>
      <c r="R297" s="12">
        <v>4</v>
      </c>
      <c r="S297" s="18">
        <v>0</v>
      </c>
    </row>
    <row r="298" spans="1:19" x14ac:dyDescent="0.25">
      <c r="A298" t="s">
        <v>31</v>
      </c>
      <c r="B298" t="s">
        <v>353</v>
      </c>
      <c r="C298" s="1">
        <f>4751+10</f>
        <v>4761</v>
      </c>
      <c r="D298" s="1">
        <v>0</v>
      </c>
      <c r="E298" s="1">
        <v>0</v>
      </c>
      <c r="F298" s="1">
        <f>1744+21</f>
        <v>1765</v>
      </c>
      <c r="G298" s="1">
        <v>1</v>
      </c>
      <c r="H298" s="1">
        <v>0</v>
      </c>
      <c r="I298" s="1"/>
      <c r="J298" s="1"/>
      <c r="L298" s="10">
        <v>145</v>
      </c>
      <c r="M298" s="10" t="s">
        <v>355</v>
      </c>
      <c r="N298" s="10">
        <v>137</v>
      </c>
      <c r="O298" s="10">
        <v>0</v>
      </c>
      <c r="P298" s="10">
        <v>0</v>
      </c>
      <c r="Q298" s="10">
        <v>379</v>
      </c>
      <c r="R298" s="10">
        <v>0</v>
      </c>
      <c r="S298" s="19">
        <v>0</v>
      </c>
    </row>
    <row r="299" spans="1:19" x14ac:dyDescent="0.25">
      <c r="A299" t="s">
        <v>36</v>
      </c>
      <c r="B299" t="s">
        <v>354</v>
      </c>
      <c r="C299" s="1">
        <v>51</v>
      </c>
      <c r="D299" s="1">
        <v>0</v>
      </c>
      <c r="E299" s="1">
        <v>0</v>
      </c>
      <c r="F299" s="1">
        <v>388</v>
      </c>
      <c r="G299" s="1">
        <f>2+2</f>
        <v>4</v>
      </c>
      <c r="H299" s="1">
        <v>0</v>
      </c>
      <c r="I299" s="1">
        <v>0</v>
      </c>
      <c r="J299" s="1"/>
      <c r="L299" s="12">
        <v>138</v>
      </c>
      <c r="M299" s="12" t="s">
        <v>356</v>
      </c>
      <c r="N299" s="12">
        <v>448</v>
      </c>
      <c r="O299" s="12">
        <v>0</v>
      </c>
      <c r="P299" s="12">
        <v>0</v>
      </c>
      <c r="Q299" s="12">
        <v>1945</v>
      </c>
      <c r="R299" s="12">
        <v>0</v>
      </c>
      <c r="S299" s="18">
        <v>0</v>
      </c>
    </row>
    <row r="300" spans="1:19" x14ac:dyDescent="0.25">
      <c r="A300" t="s">
        <v>38</v>
      </c>
      <c r="B300" t="s">
        <v>355</v>
      </c>
      <c r="C300" s="1">
        <v>137</v>
      </c>
      <c r="D300" s="1">
        <v>0</v>
      </c>
      <c r="E300" s="1">
        <v>0</v>
      </c>
      <c r="F300" s="1">
        <v>379</v>
      </c>
      <c r="G300" s="1">
        <v>0</v>
      </c>
      <c r="H300" s="1">
        <v>0</v>
      </c>
      <c r="I300" s="1">
        <v>0</v>
      </c>
      <c r="J300" s="1"/>
      <c r="L300" s="10">
        <v>139</v>
      </c>
      <c r="M300" s="10" t="s">
        <v>357</v>
      </c>
      <c r="N300" s="10">
        <v>264</v>
      </c>
      <c r="O300" s="10">
        <v>0</v>
      </c>
      <c r="P300" s="10">
        <v>0</v>
      </c>
      <c r="Q300" s="10">
        <v>1116</v>
      </c>
      <c r="R300" s="10">
        <v>0</v>
      </c>
      <c r="S300" s="19">
        <v>0</v>
      </c>
    </row>
    <row r="301" spans="1:19" x14ac:dyDescent="0.25">
      <c r="A301" t="s">
        <v>50</v>
      </c>
      <c r="B301" t="s">
        <v>356</v>
      </c>
      <c r="C301" s="1"/>
      <c r="D301" s="1"/>
      <c r="E301" s="1"/>
      <c r="F301" s="1"/>
      <c r="G301" s="1"/>
      <c r="H301" s="1"/>
      <c r="I301" s="1"/>
      <c r="J301" s="1"/>
      <c r="L301" s="12">
        <v>100</v>
      </c>
      <c r="M301" s="12" t="s">
        <v>358</v>
      </c>
      <c r="N301" s="12">
        <v>4426</v>
      </c>
      <c r="O301" s="12">
        <v>0</v>
      </c>
      <c r="P301" s="12">
        <v>0</v>
      </c>
      <c r="Q301" s="12">
        <v>2057</v>
      </c>
      <c r="R301" s="12">
        <v>16</v>
      </c>
      <c r="S301" s="18">
        <v>0</v>
      </c>
    </row>
    <row r="302" spans="1:19" x14ac:dyDescent="0.25">
      <c r="A302" t="s">
        <v>59</v>
      </c>
      <c r="B302" t="s">
        <v>357</v>
      </c>
      <c r="C302" s="1"/>
      <c r="D302" s="1"/>
      <c r="E302" s="1"/>
      <c r="F302" s="1"/>
      <c r="G302" s="1"/>
      <c r="H302" s="1"/>
      <c r="I302" s="1"/>
      <c r="J302" s="1"/>
      <c r="L302" s="10">
        <v>142</v>
      </c>
      <c r="M302" s="10" t="s">
        <v>359</v>
      </c>
      <c r="N302" s="10">
        <v>1022</v>
      </c>
      <c r="O302" s="10">
        <v>0</v>
      </c>
      <c r="P302" s="10">
        <v>0</v>
      </c>
      <c r="Q302" s="10">
        <v>1754</v>
      </c>
      <c r="R302" s="10">
        <v>0</v>
      </c>
      <c r="S302" s="19">
        <v>0</v>
      </c>
    </row>
    <row r="303" spans="1:19" x14ac:dyDescent="0.25">
      <c r="A303" t="s">
        <v>791</v>
      </c>
      <c r="B303" t="s">
        <v>358</v>
      </c>
      <c r="C303" s="1"/>
      <c r="D303" s="1"/>
      <c r="E303" s="1"/>
      <c r="F303" s="1"/>
      <c r="G303" s="1"/>
      <c r="H303" s="1"/>
      <c r="I303" s="1"/>
      <c r="J303" s="1"/>
      <c r="L303" s="12">
        <v>144</v>
      </c>
      <c r="M303" s="12" t="s">
        <v>360</v>
      </c>
      <c r="N303" s="12">
        <v>227</v>
      </c>
      <c r="O303" s="12">
        <v>0</v>
      </c>
      <c r="P303" s="12">
        <v>0</v>
      </c>
      <c r="Q303" s="12">
        <v>1957</v>
      </c>
      <c r="R303" s="12">
        <v>15</v>
      </c>
      <c r="S303" s="18">
        <v>0</v>
      </c>
    </row>
    <row r="304" spans="1:19" x14ac:dyDescent="0.25">
      <c r="A304" t="s">
        <v>54</v>
      </c>
      <c r="B304" t="s">
        <v>359</v>
      </c>
      <c r="C304" s="1">
        <v>1022</v>
      </c>
      <c r="D304" s="1">
        <v>0</v>
      </c>
      <c r="E304" s="1">
        <v>0</v>
      </c>
      <c r="F304" s="1">
        <v>1754</v>
      </c>
      <c r="G304" s="1">
        <v>0</v>
      </c>
      <c r="H304" s="1">
        <v>0</v>
      </c>
      <c r="I304" s="1">
        <v>0</v>
      </c>
      <c r="J304" s="1"/>
      <c r="L304" s="10">
        <v>120</v>
      </c>
      <c r="M304" s="10" t="s">
        <v>361</v>
      </c>
      <c r="N304" s="10"/>
      <c r="O304" s="10"/>
      <c r="P304" s="10"/>
      <c r="Q304" s="10"/>
      <c r="R304" s="10"/>
      <c r="S304" s="19"/>
    </row>
    <row r="305" spans="1:19" x14ac:dyDescent="0.25">
      <c r="A305" t="s">
        <v>787</v>
      </c>
      <c r="B305" t="s">
        <v>360</v>
      </c>
      <c r="C305" s="1">
        <v>227</v>
      </c>
      <c r="D305" s="1">
        <v>0</v>
      </c>
      <c r="E305" s="1">
        <v>0</v>
      </c>
      <c r="F305" s="1">
        <f>1955+2</f>
        <v>1957</v>
      </c>
      <c r="G305" s="1">
        <v>15</v>
      </c>
      <c r="H305" s="1">
        <v>0</v>
      </c>
      <c r="I305" s="1">
        <v>0</v>
      </c>
      <c r="J305" s="1"/>
      <c r="L305" s="12">
        <v>310</v>
      </c>
      <c r="M305" s="12" t="s">
        <v>362</v>
      </c>
      <c r="N305" s="12"/>
      <c r="O305" s="12"/>
      <c r="P305" s="12"/>
      <c r="Q305" s="12"/>
      <c r="R305" s="12"/>
      <c r="S305" s="18"/>
    </row>
    <row r="306" spans="1:19" x14ac:dyDescent="0.25">
      <c r="A306" t="s">
        <v>802</v>
      </c>
      <c r="B306" t="s">
        <v>361</v>
      </c>
      <c r="C306" s="1"/>
      <c r="D306" s="1"/>
      <c r="E306" s="1"/>
      <c r="F306" s="1"/>
      <c r="G306" s="1"/>
      <c r="H306" s="1"/>
      <c r="I306" s="1"/>
      <c r="J306" s="1"/>
      <c r="L306" s="10">
        <v>114</v>
      </c>
      <c r="M306" s="10" t="s">
        <v>363</v>
      </c>
      <c r="N306" s="10">
        <v>79</v>
      </c>
      <c r="O306" s="10">
        <v>0</v>
      </c>
      <c r="P306" s="10">
        <v>0</v>
      </c>
      <c r="Q306" s="10">
        <v>1421</v>
      </c>
      <c r="R306" s="10">
        <v>0</v>
      </c>
      <c r="S306" s="19">
        <v>0</v>
      </c>
    </row>
    <row r="307" spans="1:19" x14ac:dyDescent="0.25">
      <c r="A307" t="s">
        <v>67</v>
      </c>
      <c r="B307" t="s">
        <v>362</v>
      </c>
      <c r="C307" s="1"/>
      <c r="D307" s="1"/>
      <c r="E307" s="1"/>
      <c r="F307" s="1"/>
      <c r="G307" s="1"/>
      <c r="H307" s="1"/>
      <c r="I307" s="1"/>
      <c r="J307" s="1"/>
      <c r="L307" s="12">
        <v>600</v>
      </c>
      <c r="M307" s="12" t="s">
        <v>364</v>
      </c>
      <c r="N307" s="12">
        <v>118</v>
      </c>
      <c r="O307" s="12">
        <v>0</v>
      </c>
      <c r="P307" s="12">
        <v>0</v>
      </c>
      <c r="Q307" s="12">
        <v>801</v>
      </c>
      <c r="R307" s="12">
        <v>0</v>
      </c>
      <c r="S307" s="18">
        <v>0</v>
      </c>
    </row>
    <row r="308" spans="1:19" x14ac:dyDescent="0.25">
      <c r="A308" t="s">
        <v>150</v>
      </c>
      <c r="B308" t="s">
        <v>363</v>
      </c>
      <c r="C308" s="1">
        <v>79</v>
      </c>
      <c r="D308" s="1">
        <v>0</v>
      </c>
      <c r="E308" s="1">
        <v>0</v>
      </c>
      <c r="F308" s="1">
        <v>1421</v>
      </c>
      <c r="G308" s="1">
        <v>0</v>
      </c>
      <c r="H308" s="1">
        <v>0</v>
      </c>
      <c r="I308" s="1">
        <v>0</v>
      </c>
      <c r="J308" s="1"/>
      <c r="L308" s="10">
        <v>100</v>
      </c>
      <c r="M308" s="10" t="s">
        <v>365</v>
      </c>
      <c r="N308" s="10">
        <v>1714</v>
      </c>
      <c r="O308" s="10">
        <v>58</v>
      </c>
      <c r="P308" s="10">
        <v>0</v>
      </c>
      <c r="Q308" s="10">
        <v>1309</v>
      </c>
      <c r="R308" s="10">
        <v>196</v>
      </c>
      <c r="S308" s="19">
        <v>0</v>
      </c>
    </row>
    <row r="309" spans="1:19" x14ac:dyDescent="0.25">
      <c r="A309" t="s">
        <v>248</v>
      </c>
      <c r="B309" t="s">
        <v>364</v>
      </c>
      <c r="C309" s="1">
        <v>118</v>
      </c>
      <c r="D309" s="1">
        <v>0</v>
      </c>
      <c r="E309" s="1">
        <v>0</v>
      </c>
      <c r="F309" s="1">
        <v>801</v>
      </c>
      <c r="G309" s="1">
        <v>0</v>
      </c>
      <c r="H309" s="1">
        <v>0</v>
      </c>
      <c r="I309" s="1">
        <v>0</v>
      </c>
      <c r="J309" s="1"/>
      <c r="L309" s="12">
        <v>110</v>
      </c>
      <c r="M309" s="12" t="s">
        <v>366</v>
      </c>
      <c r="N309" s="12">
        <v>57</v>
      </c>
      <c r="O309" s="12">
        <v>0</v>
      </c>
      <c r="P309" s="12">
        <v>0</v>
      </c>
      <c r="Q309" s="12">
        <v>391</v>
      </c>
      <c r="R309" s="12">
        <v>38</v>
      </c>
      <c r="S309" s="18">
        <v>0</v>
      </c>
    </row>
    <row r="310" spans="1:19" x14ac:dyDescent="0.25">
      <c r="A310" t="s">
        <v>791</v>
      </c>
      <c r="B310" t="s">
        <v>365</v>
      </c>
      <c r="C310" s="1"/>
      <c r="D310" s="1"/>
      <c r="E310" s="1"/>
      <c r="F310" s="1"/>
      <c r="G310" s="1"/>
      <c r="H310" s="1"/>
      <c r="I310" s="1"/>
      <c r="J310" s="1"/>
      <c r="L310" s="10">
        <v>311</v>
      </c>
      <c r="M310" s="10" t="s">
        <v>367</v>
      </c>
      <c r="N310" s="10">
        <v>555</v>
      </c>
      <c r="O310" s="10">
        <v>0</v>
      </c>
      <c r="P310" s="10">
        <v>0</v>
      </c>
      <c r="Q310" s="10">
        <v>7864</v>
      </c>
      <c r="R310" s="10">
        <v>123</v>
      </c>
      <c r="S310" s="19">
        <v>0</v>
      </c>
    </row>
    <row r="311" spans="1:19" x14ac:dyDescent="0.25">
      <c r="A311" t="s">
        <v>797</v>
      </c>
      <c r="B311" t="s">
        <v>366</v>
      </c>
      <c r="C311" s="1"/>
      <c r="D311" s="1"/>
      <c r="E311" s="1"/>
      <c r="F311" s="1"/>
      <c r="G311" s="1"/>
      <c r="H311" s="1"/>
      <c r="I311" s="1"/>
      <c r="J311" s="1"/>
      <c r="L311" s="12">
        <v>118</v>
      </c>
      <c r="M311" s="12" t="s">
        <v>368</v>
      </c>
      <c r="N311" s="12">
        <v>1011</v>
      </c>
      <c r="O311" s="12">
        <v>0</v>
      </c>
      <c r="P311" s="12">
        <v>0</v>
      </c>
      <c r="Q311" s="12">
        <v>3280</v>
      </c>
      <c r="R311" s="12">
        <v>0</v>
      </c>
      <c r="S311" s="18">
        <v>0</v>
      </c>
    </row>
    <row r="312" spans="1:19" x14ac:dyDescent="0.25">
      <c r="A312" t="s">
        <v>120</v>
      </c>
      <c r="B312" t="s">
        <v>367</v>
      </c>
      <c r="C312" s="1">
        <v>555</v>
      </c>
      <c r="D312" s="1">
        <v>0</v>
      </c>
      <c r="E312" s="1">
        <v>0</v>
      </c>
      <c r="F312" s="1">
        <v>7864</v>
      </c>
      <c r="G312" s="1">
        <f>12+111</f>
        <v>123</v>
      </c>
      <c r="H312" s="1">
        <v>0</v>
      </c>
      <c r="I312" s="1">
        <v>0</v>
      </c>
      <c r="J312" s="1"/>
      <c r="L312" s="10" t="s">
        <v>808</v>
      </c>
      <c r="M312" s="10" t="s">
        <v>369</v>
      </c>
      <c r="N312" s="10">
        <v>1446</v>
      </c>
      <c r="O312" s="10">
        <v>0</v>
      </c>
      <c r="P312" s="10">
        <v>0</v>
      </c>
      <c r="Q312" s="10">
        <v>6690</v>
      </c>
      <c r="R312" s="10">
        <v>1</v>
      </c>
      <c r="S312" s="19">
        <v>0</v>
      </c>
    </row>
    <row r="313" spans="1:19" x14ac:dyDescent="0.25">
      <c r="A313" t="s">
        <v>188</v>
      </c>
      <c r="B313" t="s">
        <v>368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/>
      <c r="L313" s="12">
        <v>161</v>
      </c>
      <c r="M313" s="12" t="s">
        <v>370</v>
      </c>
      <c r="N313" s="12"/>
      <c r="O313" s="12"/>
      <c r="P313" s="12"/>
      <c r="Q313" s="12"/>
      <c r="R313" s="12"/>
      <c r="S313" s="18"/>
    </row>
    <row r="314" spans="1:19" x14ac:dyDescent="0.25">
      <c r="A314" t="s">
        <v>809</v>
      </c>
      <c r="B314" t="s">
        <v>369</v>
      </c>
      <c r="C314" s="1">
        <f>1309+1+136</f>
        <v>1446</v>
      </c>
      <c r="D314" s="1">
        <v>0</v>
      </c>
      <c r="E314" s="1">
        <v>0</v>
      </c>
      <c r="F314" s="1">
        <f>6673+2+15</f>
        <v>6690</v>
      </c>
      <c r="G314" s="1">
        <v>1</v>
      </c>
      <c r="H314" s="1">
        <v>0</v>
      </c>
      <c r="I314" s="1">
        <v>0</v>
      </c>
      <c r="J314" s="1"/>
      <c r="L314" s="10">
        <v>300</v>
      </c>
      <c r="M314" s="10" t="s">
        <v>371</v>
      </c>
      <c r="N314" s="10"/>
      <c r="O314" s="10"/>
      <c r="P314" s="10"/>
      <c r="Q314" s="10"/>
      <c r="R314" s="10"/>
      <c r="S314" s="19"/>
    </row>
    <row r="315" spans="1:19" x14ac:dyDescent="0.25">
      <c r="A315" t="s">
        <v>792</v>
      </c>
      <c r="B315" t="s">
        <v>370</v>
      </c>
      <c r="C315" s="1"/>
      <c r="D315" s="1"/>
      <c r="E315" s="1"/>
      <c r="F315" s="1"/>
      <c r="G315" s="1"/>
      <c r="H315" s="1"/>
      <c r="I315" s="1"/>
      <c r="J315" s="1"/>
      <c r="L315" s="12">
        <v>110</v>
      </c>
      <c r="M315" s="12" t="s">
        <v>372</v>
      </c>
      <c r="N315" s="12">
        <v>403</v>
      </c>
      <c r="O315" s="12">
        <v>8</v>
      </c>
      <c r="P315" s="12">
        <v>0</v>
      </c>
      <c r="Q315" s="12">
        <v>3175</v>
      </c>
      <c r="R315" s="12">
        <v>40</v>
      </c>
      <c r="S315" s="18">
        <v>0</v>
      </c>
    </row>
    <row r="316" spans="1:19" x14ac:dyDescent="0.25">
      <c r="A316" t="s">
        <v>226</v>
      </c>
      <c r="B316" t="s">
        <v>371</v>
      </c>
      <c r="C316" s="1"/>
      <c r="D316" s="1"/>
      <c r="E316" s="1"/>
      <c r="F316" s="1"/>
      <c r="G316" s="1"/>
      <c r="H316" s="1"/>
      <c r="I316" s="1"/>
      <c r="J316" s="1"/>
      <c r="L316" s="10">
        <v>100</v>
      </c>
      <c r="M316" s="10" t="s">
        <v>373</v>
      </c>
      <c r="N316" s="10">
        <v>1341</v>
      </c>
      <c r="O316" s="10">
        <v>0</v>
      </c>
      <c r="P316" s="10">
        <v>0</v>
      </c>
      <c r="Q316" s="10">
        <v>2916</v>
      </c>
      <c r="R316" s="10">
        <v>3</v>
      </c>
      <c r="S316" s="19">
        <v>0</v>
      </c>
    </row>
    <row r="317" spans="1:19" x14ac:dyDescent="0.25">
      <c r="A317" t="s">
        <v>797</v>
      </c>
      <c r="B317" t="s">
        <v>372</v>
      </c>
      <c r="C317" s="1"/>
      <c r="D317" s="1"/>
      <c r="E317" s="1"/>
      <c r="F317" s="1"/>
      <c r="G317" s="1"/>
      <c r="H317" s="1"/>
      <c r="I317" s="1"/>
      <c r="J317" s="1"/>
      <c r="L317" s="12">
        <v>120</v>
      </c>
      <c r="M317" s="12" t="s">
        <v>374</v>
      </c>
      <c r="N317" s="12"/>
      <c r="O317" s="12"/>
      <c r="P317" s="12"/>
      <c r="Q317" s="12"/>
      <c r="R317" s="12"/>
      <c r="S317" s="18"/>
    </row>
    <row r="318" spans="1:19" x14ac:dyDescent="0.25">
      <c r="A318" t="s">
        <v>791</v>
      </c>
      <c r="B318" t="s">
        <v>373</v>
      </c>
      <c r="C318" s="1"/>
      <c r="D318" s="1"/>
      <c r="E318" s="1"/>
      <c r="F318" s="1"/>
      <c r="G318" s="1"/>
      <c r="H318" s="1"/>
      <c r="I318" s="1"/>
      <c r="J318" s="1"/>
      <c r="L318" s="10">
        <v>313</v>
      </c>
      <c r="M318" s="10" t="s">
        <v>375</v>
      </c>
      <c r="N318" s="10">
        <v>79</v>
      </c>
      <c r="O318" s="10">
        <v>0</v>
      </c>
      <c r="P318" s="10">
        <v>0</v>
      </c>
      <c r="Q318" s="10">
        <v>518</v>
      </c>
      <c r="R318" s="10">
        <v>51</v>
      </c>
      <c r="S318" s="19">
        <v>0</v>
      </c>
    </row>
    <row r="319" spans="1:19" x14ac:dyDescent="0.25">
      <c r="A319" t="s">
        <v>802</v>
      </c>
      <c r="B319" t="s">
        <v>374</v>
      </c>
      <c r="C319" s="1"/>
      <c r="D319" s="1"/>
      <c r="E319" s="1"/>
      <c r="F319" s="1"/>
      <c r="G319" s="1"/>
      <c r="H319" s="1"/>
      <c r="I319" s="1"/>
      <c r="J319" s="1"/>
      <c r="L319" s="12">
        <v>616</v>
      </c>
      <c r="M319" s="12" t="s">
        <v>376</v>
      </c>
      <c r="N319" s="12">
        <v>65</v>
      </c>
      <c r="O319" s="12">
        <v>0</v>
      </c>
      <c r="P319" s="12">
        <v>0</v>
      </c>
      <c r="Q319" s="12">
        <v>493</v>
      </c>
      <c r="R319" s="12">
        <v>0</v>
      </c>
      <c r="S319" s="18">
        <v>0</v>
      </c>
    </row>
    <row r="320" spans="1:19" x14ac:dyDescent="0.25">
      <c r="A320" t="s">
        <v>512</v>
      </c>
      <c r="B320" t="s">
        <v>375</v>
      </c>
      <c r="C320" s="1">
        <v>79</v>
      </c>
      <c r="D320" s="1">
        <v>0</v>
      </c>
      <c r="E320" s="1">
        <v>0</v>
      </c>
      <c r="F320" s="1">
        <f>517+1</f>
        <v>518</v>
      </c>
      <c r="G320" s="1">
        <v>51</v>
      </c>
      <c r="H320" s="1">
        <v>0</v>
      </c>
      <c r="I320" s="1">
        <v>0</v>
      </c>
      <c r="J320" s="1"/>
      <c r="L320" s="10">
        <v>700</v>
      </c>
      <c r="M320" s="10" t="s">
        <v>377</v>
      </c>
      <c r="N320" s="10">
        <v>653</v>
      </c>
      <c r="O320" s="10">
        <v>158</v>
      </c>
      <c r="P320" s="10">
        <v>0</v>
      </c>
      <c r="Q320" s="10">
        <v>3754</v>
      </c>
      <c r="R320" s="10">
        <v>34</v>
      </c>
      <c r="S320" s="19">
        <v>0</v>
      </c>
    </row>
    <row r="321" spans="1:19" x14ac:dyDescent="0.25">
      <c r="A321" t="s">
        <v>817</v>
      </c>
      <c r="B321" t="s">
        <v>376</v>
      </c>
      <c r="C321" s="1">
        <v>65</v>
      </c>
      <c r="D321" s="1">
        <v>0</v>
      </c>
      <c r="E321" s="1">
        <v>0</v>
      </c>
      <c r="F321" s="1">
        <f>488+5</f>
        <v>493</v>
      </c>
      <c r="G321" s="1">
        <v>0</v>
      </c>
      <c r="H321" s="1">
        <v>0</v>
      </c>
      <c r="I321" s="1">
        <v>0</v>
      </c>
      <c r="J321" s="1"/>
      <c r="L321" s="12">
        <v>116</v>
      </c>
      <c r="M321" s="12" t="s">
        <v>378</v>
      </c>
      <c r="N321" s="12">
        <v>349</v>
      </c>
      <c r="O321" s="12">
        <v>0</v>
      </c>
      <c r="P321" s="12">
        <v>0</v>
      </c>
      <c r="Q321" s="12">
        <v>2499</v>
      </c>
      <c r="R321" s="12">
        <v>0</v>
      </c>
      <c r="S321" s="18">
        <v>0</v>
      </c>
    </row>
    <row r="322" spans="1:19" x14ac:dyDescent="0.25">
      <c r="A322" t="s">
        <v>83</v>
      </c>
      <c r="B322" t="s">
        <v>377</v>
      </c>
      <c r="C322" s="1">
        <f>627+26</f>
        <v>653</v>
      </c>
      <c r="D322" s="1">
        <v>158</v>
      </c>
      <c r="E322" s="1">
        <v>0</v>
      </c>
      <c r="F322" s="1">
        <f>3594+1+159</f>
        <v>3754</v>
      </c>
      <c r="G322" s="1">
        <v>34</v>
      </c>
      <c r="H322" s="1">
        <v>0</v>
      </c>
      <c r="I322" s="1">
        <v>0</v>
      </c>
      <c r="J322" s="1"/>
      <c r="L322" s="10">
        <v>137</v>
      </c>
      <c r="M322" s="10" t="s">
        <v>379</v>
      </c>
      <c r="N322" s="10">
        <v>288</v>
      </c>
      <c r="O322" s="10">
        <v>0</v>
      </c>
      <c r="P322" s="10">
        <v>0</v>
      </c>
      <c r="Q322" s="10">
        <v>307</v>
      </c>
      <c r="R322" s="10">
        <v>0</v>
      </c>
      <c r="S322" s="19">
        <v>0</v>
      </c>
    </row>
    <row r="323" spans="1:19" x14ac:dyDescent="0.25">
      <c r="A323" t="s">
        <v>795</v>
      </c>
      <c r="B323" t="s">
        <v>378</v>
      </c>
      <c r="C323" s="1"/>
      <c r="D323" s="1"/>
      <c r="E323" s="1"/>
      <c r="F323" s="1"/>
      <c r="G323" s="1"/>
      <c r="H323" s="1"/>
      <c r="I323" s="1"/>
      <c r="J323" s="1"/>
      <c r="L323" s="12">
        <v>161</v>
      </c>
      <c r="M323" s="12" t="s">
        <v>380</v>
      </c>
      <c r="N323" s="12"/>
      <c r="O323" s="12"/>
      <c r="P323" s="12"/>
      <c r="Q323" s="12"/>
      <c r="R323" s="12"/>
      <c r="S323" s="18"/>
    </row>
    <row r="324" spans="1:19" x14ac:dyDescent="0.25">
      <c r="A324" t="s">
        <v>118</v>
      </c>
      <c r="B324" t="s">
        <v>379</v>
      </c>
      <c r="C324" s="1"/>
      <c r="D324" s="1"/>
      <c r="E324" s="1"/>
      <c r="F324" s="1"/>
      <c r="G324" s="1"/>
      <c r="H324" s="1"/>
      <c r="I324" s="1"/>
      <c r="J324" s="1"/>
      <c r="L324" s="10">
        <v>136</v>
      </c>
      <c r="M324" s="10" t="s">
        <v>381</v>
      </c>
      <c r="N324" s="10">
        <v>391</v>
      </c>
      <c r="O324" s="10">
        <v>0</v>
      </c>
      <c r="P324" s="10">
        <v>0</v>
      </c>
      <c r="Q324" s="10">
        <v>1614</v>
      </c>
      <c r="R324" s="10">
        <v>0</v>
      </c>
      <c r="S324" s="19">
        <v>0</v>
      </c>
    </row>
    <row r="325" spans="1:19" x14ac:dyDescent="0.25">
      <c r="A325" t="s">
        <v>792</v>
      </c>
      <c r="B325" t="s">
        <v>380</v>
      </c>
      <c r="C325" s="1"/>
      <c r="D325" s="1"/>
      <c r="E325" s="1"/>
      <c r="F325" s="1"/>
      <c r="G325" s="1"/>
      <c r="H325" s="1"/>
      <c r="I325" s="1"/>
      <c r="J325" s="1"/>
      <c r="L325" s="12">
        <v>127</v>
      </c>
      <c r="M325" s="12" t="s">
        <v>382</v>
      </c>
      <c r="N325" s="12">
        <v>1483</v>
      </c>
      <c r="O325" s="12">
        <v>15</v>
      </c>
      <c r="P325" s="12">
        <v>0</v>
      </c>
      <c r="Q325" s="12">
        <v>1467</v>
      </c>
      <c r="R325" s="12">
        <v>4</v>
      </c>
      <c r="S325" s="18">
        <v>0</v>
      </c>
    </row>
    <row r="326" spans="1:19" x14ac:dyDescent="0.25">
      <c r="A326" t="s">
        <v>128</v>
      </c>
      <c r="B326" t="s">
        <v>381</v>
      </c>
      <c r="C326" s="1"/>
      <c r="D326" s="1"/>
      <c r="E326" s="1"/>
      <c r="F326" s="1"/>
      <c r="G326" s="1"/>
      <c r="H326" s="1"/>
      <c r="I326" s="1"/>
      <c r="J326" s="1"/>
      <c r="L326" s="10">
        <v>133</v>
      </c>
      <c r="M326" s="10" t="s">
        <v>383</v>
      </c>
      <c r="N326" s="10">
        <v>1791</v>
      </c>
      <c r="O326" s="10">
        <v>23</v>
      </c>
      <c r="P326" s="10">
        <v>0</v>
      </c>
      <c r="Q326" s="10">
        <v>8817</v>
      </c>
      <c r="R326" s="10">
        <v>73</v>
      </c>
      <c r="S326" s="19">
        <v>0</v>
      </c>
    </row>
    <row r="327" spans="1:19" x14ac:dyDescent="0.25">
      <c r="A327" t="s">
        <v>108</v>
      </c>
      <c r="B327" t="s">
        <v>382</v>
      </c>
      <c r="C327" s="1">
        <f>1477+6</f>
        <v>1483</v>
      </c>
      <c r="D327" s="1">
        <v>15</v>
      </c>
      <c r="E327" s="1">
        <v>0</v>
      </c>
      <c r="F327" s="1">
        <f>1326+30+111</f>
        <v>1467</v>
      </c>
      <c r="G327" s="1">
        <v>4</v>
      </c>
      <c r="H327" s="1">
        <v>0</v>
      </c>
      <c r="I327" s="1">
        <v>0</v>
      </c>
      <c r="J327" s="1"/>
      <c r="L327" s="12">
        <v>134</v>
      </c>
      <c r="M327" s="12" t="s">
        <v>384</v>
      </c>
      <c r="N327" s="12"/>
      <c r="O327" s="12"/>
      <c r="P327" s="12"/>
      <c r="Q327" s="12"/>
      <c r="R327" s="12"/>
      <c r="S327" s="18"/>
    </row>
    <row r="328" spans="1:19" x14ac:dyDescent="0.25">
      <c r="A328" t="s">
        <v>106</v>
      </c>
      <c r="B328" t="s">
        <v>383</v>
      </c>
      <c r="C328" s="1">
        <f>1786+5</f>
        <v>1791</v>
      </c>
      <c r="D328" s="1">
        <v>23</v>
      </c>
      <c r="E328" s="1">
        <v>0</v>
      </c>
      <c r="F328" s="1">
        <f>8686+1+48+1+81</f>
        <v>8817</v>
      </c>
      <c r="G328" s="1">
        <f>54+2+1+16</f>
        <v>73</v>
      </c>
      <c r="H328" s="1">
        <v>0</v>
      </c>
      <c r="I328" s="1">
        <v>0</v>
      </c>
      <c r="J328" s="1"/>
      <c r="L328" s="10">
        <v>135</v>
      </c>
      <c r="M328" s="10" t="s">
        <v>385</v>
      </c>
      <c r="N328" s="10">
        <v>1006</v>
      </c>
      <c r="O328" s="10">
        <v>0</v>
      </c>
      <c r="P328" s="10">
        <v>0</v>
      </c>
      <c r="Q328" s="10">
        <v>553</v>
      </c>
      <c r="R328" s="10">
        <v>0</v>
      </c>
      <c r="S328" s="19">
        <v>0</v>
      </c>
    </row>
    <row r="329" spans="1:19" x14ac:dyDescent="0.25">
      <c r="A329" t="s">
        <v>99</v>
      </c>
      <c r="B329" t="s">
        <v>384</v>
      </c>
      <c r="C329" s="1"/>
      <c r="D329" s="1"/>
      <c r="E329" s="1"/>
      <c r="F329" s="1"/>
      <c r="G329" s="1"/>
      <c r="H329" s="1"/>
      <c r="I329" s="1"/>
      <c r="J329" s="1"/>
      <c r="L329" s="12">
        <v>131</v>
      </c>
      <c r="M329" s="12" t="s">
        <v>386</v>
      </c>
      <c r="N329" s="12"/>
      <c r="O329" s="12"/>
      <c r="P329" s="12"/>
      <c r="Q329" s="12"/>
      <c r="R329" s="12"/>
      <c r="S329" s="18"/>
    </row>
    <row r="330" spans="1:19" x14ac:dyDescent="0.25">
      <c r="A330" t="s">
        <v>113</v>
      </c>
      <c r="B330" t="s">
        <v>385</v>
      </c>
      <c r="C330" s="1">
        <f>1002+4</f>
        <v>1006</v>
      </c>
      <c r="D330" s="1">
        <v>0</v>
      </c>
      <c r="E330" s="1">
        <v>0</v>
      </c>
      <c r="F330" s="1">
        <v>553</v>
      </c>
      <c r="G330" s="1">
        <v>0</v>
      </c>
      <c r="H330" s="1">
        <v>0</v>
      </c>
      <c r="I330" s="1">
        <v>0</v>
      </c>
      <c r="J330" s="1"/>
      <c r="L330" s="10">
        <v>132</v>
      </c>
      <c r="M330" s="10" t="s">
        <v>387</v>
      </c>
      <c r="N330" s="10">
        <v>3</v>
      </c>
      <c r="O330" s="10">
        <v>0</v>
      </c>
      <c r="P330" s="10">
        <v>0</v>
      </c>
      <c r="Q330" s="10">
        <v>0</v>
      </c>
      <c r="R330" s="10">
        <v>0</v>
      </c>
      <c r="S330" s="19">
        <v>0</v>
      </c>
    </row>
    <row r="331" spans="1:19" x14ac:dyDescent="0.25">
      <c r="A331" t="s">
        <v>810</v>
      </c>
      <c r="B331" t="s">
        <v>386</v>
      </c>
      <c r="C331" s="1"/>
      <c r="D331" s="1"/>
      <c r="E331" s="1"/>
      <c r="F331" s="1"/>
      <c r="G331" s="1"/>
      <c r="H331" s="1"/>
      <c r="I331" s="1"/>
      <c r="J331" s="1"/>
      <c r="L331" s="12"/>
      <c r="M331" t="s">
        <v>388</v>
      </c>
      <c r="N331" s="12"/>
      <c r="O331" s="12"/>
      <c r="P331" s="12"/>
      <c r="Q331" s="12"/>
      <c r="R331" s="12"/>
      <c r="S331" s="18"/>
    </row>
    <row r="332" spans="1:19" x14ac:dyDescent="0.25">
      <c r="A332" t="s">
        <v>812</v>
      </c>
      <c r="B332" t="s">
        <v>387</v>
      </c>
      <c r="C332" s="1"/>
      <c r="D332" s="1"/>
      <c r="E332" s="1"/>
      <c r="F332" s="1"/>
      <c r="G332" s="1"/>
      <c r="H332" s="1"/>
      <c r="I332" s="1"/>
      <c r="J332" s="1"/>
      <c r="L332" s="12"/>
      <c r="M332" t="s">
        <v>391</v>
      </c>
      <c r="N332" s="12"/>
      <c r="O332" s="12"/>
      <c r="P332" s="12"/>
      <c r="Q332" s="12"/>
      <c r="R332" s="12"/>
      <c r="S332" s="18"/>
    </row>
    <row r="333" spans="1:19" x14ac:dyDescent="0.25">
      <c r="A333" t="s">
        <v>794</v>
      </c>
      <c r="B333" t="s">
        <v>388</v>
      </c>
      <c r="C333" s="1"/>
      <c r="D333" s="1"/>
      <c r="E333" s="1"/>
      <c r="F333" s="1"/>
      <c r="G333" s="1"/>
      <c r="H333" s="1"/>
      <c r="I333" s="1"/>
      <c r="J333" s="1"/>
      <c r="L333" s="12"/>
      <c r="M333" t="s">
        <v>392</v>
      </c>
      <c r="N333" s="12"/>
      <c r="O333" s="12"/>
      <c r="P333" s="12"/>
      <c r="Q333" s="12"/>
      <c r="R333" s="12"/>
      <c r="S333" s="18"/>
    </row>
    <row r="334" spans="1:19" x14ac:dyDescent="0.25">
      <c r="A334" t="s">
        <v>805</v>
      </c>
      <c r="B334" t="s">
        <v>389</v>
      </c>
      <c r="C334" s="1"/>
      <c r="D334" s="1"/>
      <c r="E334" s="1"/>
      <c r="F334" s="1"/>
      <c r="G334" s="1"/>
      <c r="H334" s="1"/>
      <c r="I334" s="1"/>
      <c r="J334" s="1"/>
      <c r="L334" s="12"/>
      <c r="M334" t="s">
        <v>395</v>
      </c>
      <c r="N334" s="12"/>
      <c r="O334" s="12"/>
      <c r="P334" s="12"/>
      <c r="Q334" s="12"/>
      <c r="R334" s="12"/>
      <c r="S334" s="18"/>
    </row>
    <row r="335" spans="1:19" x14ac:dyDescent="0.25">
      <c r="A335" t="s">
        <v>10</v>
      </c>
      <c r="B335" s="1" t="s">
        <v>390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/>
      <c r="L335" s="12"/>
      <c r="M335" t="s">
        <v>397</v>
      </c>
      <c r="N335" s="12"/>
      <c r="O335" s="12"/>
      <c r="P335" s="12"/>
      <c r="Q335" s="12"/>
      <c r="R335" s="12"/>
      <c r="S335" s="18"/>
    </row>
    <row r="336" spans="1:19" x14ac:dyDescent="0.25">
      <c r="A336" t="s">
        <v>226</v>
      </c>
      <c r="B336" t="s">
        <v>391</v>
      </c>
      <c r="C336" s="1"/>
      <c r="D336" s="1"/>
      <c r="E336" s="1"/>
      <c r="F336" s="1"/>
      <c r="G336" s="1"/>
      <c r="H336" s="1"/>
      <c r="I336" s="1"/>
      <c r="J336" s="1"/>
      <c r="L336" s="12"/>
      <c r="M336" t="s">
        <v>398</v>
      </c>
      <c r="N336" s="12"/>
      <c r="O336" s="12"/>
      <c r="P336" s="12"/>
      <c r="Q336" s="12"/>
      <c r="R336" s="12"/>
      <c r="S336" s="18"/>
    </row>
    <row r="337" spans="1:19" x14ac:dyDescent="0.25">
      <c r="A337" t="s">
        <v>798</v>
      </c>
      <c r="B337" t="s">
        <v>392</v>
      </c>
      <c r="C337" s="1"/>
      <c r="D337" s="1"/>
      <c r="E337" s="1"/>
      <c r="F337" s="1"/>
      <c r="G337" s="1"/>
      <c r="H337" s="1"/>
      <c r="I337" s="1"/>
      <c r="J337" s="1"/>
      <c r="L337" s="12"/>
      <c r="M337" t="s">
        <v>400</v>
      </c>
      <c r="N337" s="12"/>
      <c r="O337" s="12"/>
      <c r="P337" s="12"/>
      <c r="Q337" s="12"/>
      <c r="R337" s="12"/>
      <c r="S337" s="18"/>
    </row>
    <row r="338" spans="1:19" x14ac:dyDescent="0.25">
      <c r="A338" t="s">
        <v>10</v>
      </c>
      <c r="B338" s="1" t="s">
        <v>393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/>
      <c r="L338" s="12"/>
      <c r="M338" t="s">
        <v>402</v>
      </c>
      <c r="N338" s="12"/>
      <c r="O338" s="12"/>
      <c r="P338" s="12"/>
      <c r="Q338" s="12"/>
      <c r="R338" s="12"/>
      <c r="S338" s="18"/>
    </row>
    <row r="339" spans="1:19" x14ac:dyDescent="0.25">
      <c r="A339" t="s">
        <v>10</v>
      </c>
      <c r="B339" s="1" t="s">
        <v>394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/>
      <c r="L339" s="12"/>
      <c r="M339" t="s">
        <v>404</v>
      </c>
      <c r="N339" s="12"/>
      <c r="O339" s="12"/>
      <c r="P339" s="12"/>
      <c r="Q339" s="12"/>
      <c r="R339" s="12"/>
      <c r="S339" s="18"/>
    </row>
    <row r="340" spans="1:19" x14ac:dyDescent="0.25">
      <c r="A340" s="27" t="s">
        <v>10</v>
      </c>
      <c r="B340" s="32" t="s">
        <v>778</v>
      </c>
      <c r="C340" s="1"/>
      <c r="D340" s="1"/>
      <c r="E340" s="1"/>
      <c r="F340" s="1"/>
      <c r="G340" s="1"/>
      <c r="H340" s="1"/>
      <c r="I340" s="1"/>
      <c r="J340" s="1"/>
      <c r="L340" s="10">
        <v>700</v>
      </c>
      <c r="M340" s="10" t="s">
        <v>405</v>
      </c>
      <c r="N340" s="10"/>
      <c r="O340" s="10"/>
      <c r="P340" s="10"/>
      <c r="Q340" s="10"/>
      <c r="R340" s="10"/>
      <c r="S340" s="19"/>
    </row>
    <row r="341" spans="1:19" x14ac:dyDescent="0.25">
      <c r="A341" t="s">
        <v>69</v>
      </c>
      <c r="B341" t="s">
        <v>395</v>
      </c>
      <c r="C341" s="1"/>
      <c r="D341" s="1"/>
      <c r="E341" s="1"/>
      <c r="F341" s="1"/>
      <c r="G341" s="1"/>
      <c r="H341" s="1"/>
      <c r="I341" s="1"/>
      <c r="J341" s="1"/>
      <c r="L341" s="12">
        <v>600</v>
      </c>
      <c r="M341" s="12" t="s">
        <v>406</v>
      </c>
      <c r="N341" s="12">
        <v>11428</v>
      </c>
      <c r="O341" s="12">
        <v>302</v>
      </c>
      <c r="P341" s="12">
        <v>0</v>
      </c>
      <c r="Q341" s="12">
        <v>0</v>
      </c>
      <c r="R341" s="12">
        <v>0</v>
      </c>
      <c r="S341" s="18">
        <v>14404</v>
      </c>
    </row>
    <row r="342" spans="1:19" x14ac:dyDescent="0.25">
      <c r="A342" t="s">
        <v>796</v>
      </c>
      <c r="B342" s="1" t="s">
        <v>396</v>
      </c>
      <c r="C342" s="1"/>
      <c r="D342" s="1"/>
      <c r="E342" s="1"/>
      <c r="F342" s="1"/>
      <c r="G342" s="1"/>
      <c r="H342" s="1"/>
      <c r="I342" s="1"/>
      <c r="J342" s="1"/>
      <c r="L342" s="10">
        <v>161</v>
      </c>
      <c r="M342" s="10" t="s">
        <v>407</v>
      </c>
      <c r="N342" s="10"/>
      <c r="O342" s="10"/>
      <c r="P342" s="10"/>
      <c r="Q342" s="10"/>
      <c r="R342" s="10"/>
      <c r="S342" s="19"/>
    </row>
    <row r="343" spans="1:19" x14ac:dyDescent="0.25">
      <c r="A343" t="s">
        <v>512</v>
      </c>
      <c r="B343" t="s">
        <v>397</v>
      </c>
      <c r="C343" s="1"/>
      <c r="D343" s="1"/>
      <c r="E343" s="1"/>
      <c r="F343" s="1"/>
      <c r="G343" s="1"/>
      <c r="H343" s="1"/>
      <c r="I343" s="1"/>
      <c r="J343" s="1"/>
      <c r="L343" s="12">
        <v>711</v>
      </c>
      <c r="M343" s="12" t="s">
        <v>408</v>
      </c>
      <c r="N343" s="12">
        <v>17065</v>
      </c>
      <c r="O343" s="12">
        <v>61</v>
      </c>
      <c r="P343" s="12">
        <v>0</v>
      </c>
      <c r="Q343" s="12">
        <v>0</v>
      </c>
      <c r="R343" s="12">
        <v>0</v>
      </c>
      <c r="S343" s="18">
        <v>17764</v>
      </c>
    </row>
    <row r="344" spans="1:19" x14ac:dyDescent="0.25">
      <c r="A344" t="s">
        <v>805</v>
      </c>
      <c r="B344" t="s">
        <v>398</v>
      </c>
      <c r="C344" s="1"/>
      <c r="D344" s="1"/>
      <c r="E344" s="1"/>
      <c r="F344" s="1"/>
      <c r="G344" s="1"/>
      <c r="H344" s="1"/>
      <c r="I344" s="1"/>
      <c r="J344" s="1"/>
      <c r="L344" s="10">
        <v>111</v>
      </c>
      <c r="M344" s="10" t="s">
        <v>409</v>
      </c>
      <c r="N344" s="10">
        <v>24189</v>
      </c>
      <c r="O344" s="10">
        <v>147</v>
      </c>
      <c r="P344" s="10">
        <v>0</v>
      </c>
      <c r="Q344" s="10">
        <v>0</v>
      </c>
      <c r="R344" s="10">
        <v>0</v>
      </c>
      <c r="S344" s="19">
        <v>8500</v>
      </c>
    </row>
    <row r="345" spans="1:19" x14ac:dyDescent="0.25">
      <c r="A345" t="s">
        <v>10</v>
      </c>
      <c r="B345" s="1" t="s">
        <v>399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/>
      <c r="L345" s="12">
        <v>700</v>
      </c>
      <c r="M345" s="12" t="s">
        <v>410</v>
      </c>
      <c r="N345" s="12">
        <v>947</v>
      </c>
      <c r="O345" s="12">
        <v>16</v>
      </c>
      <c r="P345" s="12">
        <v>0</v>
      </c>
      <c r="Q345" s="12">
        <v>0</v>
      </c>
      <c r="R345" s="12">
        <v>0</v>
      </c>
      <c r="S345" s="18">
        <v>4354</v>
      </c>
    </row>
    <row r="346" spans="1:19" x14ac:dyDescent="0.25">
      <c r="A346" t="s">
        <v>805</v>
      </c>
      <c r="B346" t="s">
        <v>400</v>
      </c>
      <c r="C346" s="1"/>
      <c r="D346" s="1"/>
      <c r="E346" s="1"/>
      <c r="F346" s="1"/>
      <c r="G346" s="1"/>
      <c r="H346" s="1"/>
      <c r="I346" s="1"/>
      <c r="J346" s="1"/>
      <c r="L346" s="10">
        <v>311</v>
      </c>
      <c r="M346" s="10" t="s">
        <v>411</v>
      </c>
      <c r="N346" s="10">
        <v>13066</v>
      </c>
      <c r="O346" s="10">
        <v>12</v>
      </c>
      <c r="P346" s="10">
        <v>0</v>
      </c>
      <c r="Q346" s="10">
        <v>0</v>
      </c>
      <c r="R346" s="10">
        <v>0</v>
      </c>
      <c r="S346" s="19">
        <v>5637</v>
      </c>
    </row>
    <row r="347" spans="1:19" x14ac:dyDescent="0.25">
      <c r="A347" t="s">
        <v>10</v>
      </c>
      <c r="B347" s="1" t="s">
        <v>401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/>
      <c r="L347" s="12">
        <v>514</v>
      </c>
      <c r="M347" s="12" t="s">
        <v>412</v>
      </c>
      <c r="N347" s="12">
        <v>1990</v>
      </c>
      <c r="O347" s="12">
        <v>11</v>
      </c>
      <c r="P347" s="12">
        <v>0</v>
      </c>
      <c r="Q347" s="12">
        <v>0</v>
      </c>
      <c r="R347" s="12">
        <v>0</v>
      </c>
      <c r="S347" s="18">
        <v>1071</v>
      </c>
    </row>
    <row r="348" spans="1:19" x14ac:dyDescent="0.25">
      <c r="A348" t="s">
        <v>805</v>
      </c>
      <c r="B348" t="s">
        <v>402</v>
      </c>
      <c r="C348" s="1"/>
      <c r="D348" s="1"/>
      <c r="E348" s="1"/>
      <c r="F348" s="1"/>
      <c r="G348" s="1"/>
      <c r="H348" s="1"/>
      <c r="I348" s="1"/>
      <c r="J348" s="1"/>
      <c r="L348" s="10">
        <v>311</v>
      </c>
      <c r="M348" s="10" t="s">
        <v>413</v>
      </c>
      <c r="N348" s="10">
        <v>3929</v>
      </c>
      <c r="O348" s="10">
        <v>10</v>
      </c>
      <c r="P348" s="10">
        <v>0</v>
      </c>
      <c r="Q348" s="10">
        <v>0</v>
      </c>
      <c r="R348" s="10">
        <v>0</v>
      </c>
      <c r="S348" s="19">
        <v>153</v>
      </c>
    </row>
    <row r="349" spans="1:19" x14ac:dyDescent="0.25">
      <c r="A349" t="s">
        <v>10</v>
      </c>
      <c r="B349" s="1" t="s">
        <v>403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/>
      <c r="L349" s="12" t="s">
        <v>815</v>
      </c>
      <c r="M349" s="12" t="s">
        <v>414</v>
      </c>
      <c r="N349" s="12">
        <v>8382</v>
      </c>
      <c r="O349" s="12">
        <v>0</v>
      </c>
      <c r="P349" s="12">
        <v>0</v>
      </c>
      <c r="Q349" s="12">
        <v>0</v>
      </c>
      <c r="R349" s="12">
        <v>0</v>
      </c>
      <c r="S349" s="18">
        <v>2155</v>
      </c>
    </row>
    <row r="350" spans="1:19" x14ac:dyDescent="0.25">
      <c r="A350" t="s">
        <v>797</v>
      </c>
      <c r="B350" t="s">
        <v>404</v>
      </c>
      <c r="C350" s="1"/>
      <c r="D350" s="1"/>
      <c r="E350" s="1"/>
      <c r="F350" s="1"/>
      <c r="G350" s="1"/>
      <c r="H350" s="1"/>
      <c r="I350" s="1"/>
      <c r="J350" s="1"/>
      <c r="L350" s="10">
        <v>711</v>
      </c>
      <c r="M350" s="10" t="s">
        <v>415</v>
      </c>
      <c r="N350" s="10"/>
      <c r="O350" s="10"/>
      <c r="P350" s="10"/>
      <c r="Q350" s="10"/>
      <c r="R350" s="10"/>
      <c r="S350" s="19"/>
    </row>
    <row r="351" spans="1:19" x14ac:dyDescent="0.25">
      <c r="A351" t="s">
        <v>83</v>
      </c>
      <c r="B351" t="s">
        <v>405</v>
      </c>
      <c r="C351" s="1"/>
      <c r="D351" s="1"/>
      <c r="E351" s="1"/>
      <c r="F351" s="1"/>
      <c r="G351" s="1"/>
      <c r="H351" s="1"/>
      <c r="I351" s="1"/>
      <c r="J351" s="1"/>
      <c r="L351" s="12">
        <v>300</v>
      </c>
      <c r="M351" s="12" t="s">
        <v>416</v>
      </c>
      <c r="N351" s="12"/>
      <c r="O351" s="12"/>
      <c r="P351" s="12"/>
      <c r="Q351" s="12"/>
      <c r="R351" s="12"/>
      <c r="S351" s="18"/>
    </row>
    <row r="352" spans="1:19" x14ac:dyDescent="0.25">
      <c r="A352" t="s">
        <v>248</v>
      </c>
      <c r="B352" t="s">
        <v>406</v>
      </c>
      <c r="C352" s="1">
        <f>8420+2+23+29+7+46+2901</f>
        <v>11428</v>
      </c>
      <c r="D352" s="1">
        <f>199+21+82</f>
        <v>302</v>
      </c>
      <c r="E352" s="1">
        <v>0</v>
      </c>
      <c r="F352" s="1">
        <v>0</v>
      </c>
      <c r="G352" s="1">
        <v>0</v>
      </c>
      <c r="H352" s="1">
        <v>14404</v>
      </c>
      <c r="I352" s="1">
        <v>1674</v>
      </c>
      <c r="J352" s="1"/>
      <c r="L352" s="10" t="s">
        <v>815</v>
      </c>
      <c r="M352" s="10" t="s">
        <v>417</v>
      </c>
      <c r="N352" s="10">
        <v>13530</v>
      </c>
      <c r="O352" s="10">
        <v>301</v>
      </c>
      <c r="P352" s="10">
        <v>0</v>
      </c>
      <c r="Q352" s="10">
        <v>0</v>
      </c>
      <c r="R352" s="10">
        <v>0</v>
      </c>
      <c r="S352" s="19">
        <v>9161</v>
      </c>
    </row>
    <row r="353" spans="1:19" x14ac:dyDescent="0.25">
      <c r="A353" s="27" t="s">
        <v>10</v>
      </c>
      <c r="B353" s="32" t="s">
        <v>779</v>
      </c>
      <c r="C353" s="1"/>
      <c r="D353" s="1"/>
      <c r="E353" s="1"/>
      <c r="F353" s="1"/>
      <c r="G353" s="1"/>
      <c r="H353" s="1"/>
      <c r="I353" s="1"/>
      <c r="J353" s="1"/>
      <c r="L353" s="12" t="s">
        <v>815</v>
      </c>
      <c r="M353" s="12" t="s">
        <v>418</v>
      </c>
      <c r="N353" s="12">
        <v>8879</v>
      </c>
      <c r="O353" s="12">
        <v>366</v>
      </c>
      <c r="P353" s="12">
        <v>0</v>
      </c>
      <c r="Q353" s="12">
        <v>0</v>
      </c>
      <c r="R353" s="12">
        <v>0</v>
      </c>
      <c r="S353" s="18">
        <v>1524</v>
      </c>
    </row>
    <row r="354" spans="1:19" x14ac:dyDescent="0.25">
      <c r="A354" t="s">
        <v>792</v>
      </c>
      <c r="B354" t="s">
        <v>407</v>
      </c>
      <c r="C354" s="1"/>
      <c r="D354" s="1"/>
      <c r="E354" s="1"/>
      <c r="F354" s="1"/>
      <c r="G354" s="1"/>
      <c r="H354" s="1"/>
      <c r="I354" s="1"/>
      <c r="J354" s="1"/>
      <c r="L354" s="10">
        <v>713</v>
      </c>
      <c r="M354" s="10" t="s">
        <v>419</v>
      </c>
      <c r="N354" s="10">
        <v>12397</v>
      </c>
      <c r="O354" s="10">
        <v>502</v>
      </c>
      <c r="P354" s="10">
        <v>0</v>
      </c>
      <c r="Q354" s="10">
        <v>0</v>
      </c>
      <c r="R354" s="10">
        <v>0</v>
      </c>
      <c r="S354" s="19">
        <v>14607</v>
      </c>
    </row>
    <row r="355" spans="1:19" x14ac:dyDescent="0.25">
      <c r="A355" t="s">
        <v>801</v>
      </c>
      <c r="B355" t="s">
        <v>408</v>
      </c>
      <c r="C355" s="1">
        <f>11623+2+2+1+1+730+4306+400</f>
        <v>17065</v>
      </c>
      <c r="D355" s="1">
        <f>40+3+1+10+7</f>
        <v>61</v>
      </c>
      <c r="E355" s="1">
        <v>0</v>
      </c>
      <c r="F355" s="1">
        <v>0</v>
      </c>
      <c r="G355" s="1">
        <v>0</v>
      </c>
      <c r="H355" s="1">
        <v>17764</v>
      </c>
      <c r="I355" s="1">
        <v>4635</v>
      </c>
      <c r="J355" s="1"/>
      <c r="L355" s="12">
        <v>114</v>
      </c>
      <c r="M355" s="12" t="s">
        <v>420</v>
      </c>
      <c r="N355" s="12">
        <v>8174</v>
      </c>
      <c r="O355" s="12">
        <v>24</v>
      </c>
      <c r="P355" s="12">
        <v>0</v>
      </c>
      <c r="Q355" s="12">
        <v>0</v>
      </c>
      <c r="R355" s="12">
        <v>0</v>
      </c>
      <c r="S355" s="18">
        <v>8158</v>
      </c>
    </row>
    <row r="356" spans="1:19" x14ac:dyDescent="0.25">
      <c r="A356" t="s">
        <v>811</v>
      </c>
      <c r="B356" t="s">
        <v>409</v>
      </c>
      <c r="C356" s="1"/>
      <c r="D356" s="1"/>
      <c r="E356" s="1"/>
      <c r="F356" s="1"/>
      <c r="G356" s="1"/>
      <c r="H356" s="1"/>
      <c r="I356" s="1"/>
      <c r="J356" s="1"/>
      <c r="L356" s="10">
        <v>710</v>
      </c>
      <c r="M356" s="10" t="s">
        <v>421</v>
      </c>
      <c r="N356" s="10">
        <v>7688</v>
      </c>
      <c r="O356" s="10">
        <v>22</v>
      </c>
      <c r="P356" s="10">
        <v>0</v>
      </c>
      <c r="Q356" s="10">
        <v>0</v>
      </c>
      <c r="R356" s="10">
        <v>0</v>
      </c>
      <c r="S356" s="19">
        <v>2796</v>
      </c>
    </row>
    <row r="357" spans="1:19" x14ac:dyDescent="0.25">
      <c r="A357" t="s">
        <v>83</v>
      </c>
      <c r="B357" t="s">
        <v>410</v>
      </c>
      <c r="C357" s="1">
        <f>598+349</f>
        <v>947</v>
      </c>
      <c r="D357" s="1">
        <v>16</v>
      </c>
      <c r="E357" s="1">
        <v>0</v>
      </c>
      <c r="F357" s="1">
        <v>0</v>
      </c>
      <c r="G357" s="1">
        <v>0</v>
      </c>
      <c r="H357" s="1">
        <v>4354</v>
      </c>
      <c r="I357" s="1">
        <v>332</v>
      </c>
      <c r="J357" s="1"/>
      <c r="L357" s="12">
        <v>611</v>
      </c>
      <c r="M357" s="12" t="s">
        <v>422</v>
      </c>
      <c r="N357" s="12">
        <v>2233</v>
      </c>
      <c r="O357" s="12">
        <v>74</v>
      </c>
      <c r="P357" s="12">
        <v>0</v>
      </c>
      <c r="Q357" s="12">
        <v>0</v>
      </c>
      <c r="R357" s="12">
        <v>0</v>
      </c>
      <c r="S357" s="18">
        <v>5656</v>
      </c>
    </row>
    <row r="358" spans="1:19" x14ac:dyDescent="0.25">
      <c r="A358" t="s">
        <v>120</v>
      </c>
      <c r="B358" t="s">
        <v>411</v>
      </c>
      <c r="C358" s="1">
        <f>10062+3004</f>
        <v>13066</v>
      </c>
      <c r="D358" s="1">
        <f>10+2</f>
        <v>12</v>
      </c>
      <c r="E358" s="1">
        <v>0</v>
      </c>
      <c r="F358" s="1">
        <v>0</v>
      </c>
      <c r="G358" s="1">
        <v>0</v>
      </c>
      <c r="H358" s="1">
        <v>5637</v>
      </c>
      <c r="I358" s="1">
        <v>2523</v>
      </c>
      <c r="J358" s="1"/>
      <c r="L358" s="10">
        <v>611</v>
      </c>
      <c r="M358" s="10" t="s">
        <v>423</v>
      </c>
      <c r="N358" s="10">
        <v>2516</v>
      </c>
      <c r="O358" s="10">
        <v>12</v>
      </c>
      <c r="P358" s="10">
        <v>0</v>
      </c>
      <c r="Q358" s="10">
        <v>0</v>
      </c>
      <c r="R358" s="10">
        <v>0</v>
      </c>
      <c r="S358" s="19">
        <v>1795</v>
      </c>
    </row>
    <row r="359" spans="1:19" x14ac:dyDescent="0.25">
      <c r="A359" t="s">
        <v>134</v>
      </c>
      <c r="B359" t="s">
        <v>412</v>
      </c>
      <c r="C359" s="1">
        <f>1719+271</f>
        <v>1990</v>
      </c>
      <c r="D359" s="1">
        <f>9+2</f>
        <v>11</v>
      </c>
      <c r="E359" s="1">
        <v>0</v>
      </c>
      <c r="F359" s="1">
        <v>0</v>
      </c>
      <c r="G359" s="1">
        <v>0</v>
      </c>
      <c r="H359" s="1">
        <v>1071</v>
      </c>
      <c r="I359" s="1">
        <v>218</v>
      </c>
      <c r="J359" s="1"/>
      <c r="L359" s="12">
        <v>712</v>
      </c>
      <c r="M359" s="12" t="s">
        <v>424</v>
      </c>
      <c r="N359" s="12">
        <v>22286</v>
      </c>
      <c r="O359" s="12">
        <v>41</v>
      </c>
      <c r="P359" s="12">
        <v>0</v>
      </c>
      <c r="Q359" s="12">
        <v>0</v>
      </c>
      <c r="R359" s="12">
        <v>0</v>
      </c>
      <c r="S359" s="18">
        <v>38534</v>
      </c>
    </row>
    <row r="360" spans="1:19" x14ac:dyDescent="0.25">
      <c r="A360" t="s">
        <v>120</v>
      </c>
      <c r="B360" t="s">
        <v>413</v>
      </c>
      <c r="C360" s="1">
        <f>3659+2+268</f>
        <v>3929</v>
      </c>
      <c r="D360" s="1">
        <f>4+5+1</f>
        <v>10</v>
      </c>
      <c r="E360" s="1">
        <v>0</v>
      </c>
      <c r="F360" s="1">
        <v>0</v>
      </c>
      <c r="G360" s="1">
        <v>0</v>
      </c>
      <c r="H360" s="1">
        <v>153</v>
      </c>
      <c r="I360" s="1">
        <v>210</v>
      </c>
      <c r="J360" s="1"/>
      <c r="L360" s="10">
        <v>116</v>
      </c>
      <c r="M360" s="10" t="s">
        <v>425</v>
      </c>
      <c r="N360" s="10">
        <v>46813</v>
      </c>
      <c r="O360" s="10">
        <v>37</v>
      </c>
      <c r="P360" s="10">
        <v>0</v>
      </c>
      <c r="Q360" s="10">
        <v>0</v>
      </c>
      <c r="R360" s="10">
        <v>0</v>
      </c>
      <c r="S360" s="19">
        <v>17685</v>
      </c>
    </row>
    <row r="361" spans="1:19" x14ac:dyDescent="0.25">
      <c r="A361" t="s">
        <v>138</v>
      </c>
      <c r="B361" t="s">
        <v>414</v>
      </c>
      <c r="C361" s="1">
        <f>7988+4+352+38</f>
        <v>8382</v>
      </c>
      <c r="D361" s="1">
        <v>0</v>
      </c>
      <c r="E361" s="1">
        <v>0</v>
      </c>
      <c r="F361" s="1">
        <v>0</v>
      </c>
      <c r="G361" s="1">
        <v>0</v>
      </c>
      <c r="H361" s="1">
        <v>2155</v>
      </c>
      <c r="I361" s="1">
        <v>205</v>
      </c>
      <c r="J361" s="1"/>
      <c r="L361" s="12">
        <v>500</v>
      </c>
      <c r="M361" s="12" t="s">
        <v>426</v>
      </c>
      <c r="N361" s="12">
        <v>8653</v>
      </c>
      <c r="O361" s="12">
        <v>28</v>
      </c>
      <c r="P361" s="12">
        <v>0</v>
      </c>
      <c r="Q361" s="12">
        <v>0</v>
      </c>
      <c r="R361" s="12">
        <v>0</v>
      </c>
      <c r="S361" s="18">
        <v>6079</v>
      </c>
    </row>
    <row r="362" spans="1:19" x14ac:dyDescent="0.25">
      <c r="A362" t="s">
        <v>796</v>
      </c>
      <c r="B362" t="s">
        <v>415</v>
      </c>
      <c r="C362" s="1"/>
      <c r="D362" s="1"/>
      <c r="E362" s="1"/>
      <c r="F362" s="1"/>
      <c r="G362" s="1"/>
      <c r="H362" s="1"/>
      <c r="I362" s="1"/>
      <c r="J362" s="1"/>
      <c r="L362" s="10">
        <v>610</v>
      </c>
      <c r="M362" s="10" t="s">
        <v>427</v>
      </c>
      <c r="N362" s="10">
        <v>22968</v>
      </c>
      <c r="O362" s="10">
        <v>93</v>
      </c>
      <c r="P362" s="10">
        <v>0</v>
      </c>
      <c r="Q362" s="10">
        <v>0</v>
      </c>
      <c r="R362" s="10">
        <v>0</v>
      </c>
      <c r="S362" s="19">
        <v>20221</v>
      </c>
    </row>
    <row r="363" spans="1:19" x14ac:dyDescent="0.25">
      <c r="A363" t="s">
        <v>226</v>
      </c>
      <c r="B363" t="s">
        <v>416</v>
      </c>
      <c r="C363" s="1"/>
      <c r="D363" s="1"/>
      <c r="E363" s="1"/>
      <c r="F363" s="1"/>
      <c r="G363" s="1"/>
      <c r="H363" s="1"/>
      <c r="I363" s="1"/>
      <c r="J363" s="1"/>
      <c r="L363" s="12">
        <v>300</v>
      </c>
      <c r="M363" s="12" t="s">
        <v>428</v>
      </c>
      <c r="N363" s="12"/>
      <c r="O363" s="12"/>
      <c r="P363" s="12"/>
      <c r="Q363" s="12"/>
      <c r="R363" s="12"/>
      <c r="S363" s="18"/>
    </row>
    <row r="364" spans="1:19" x14ac:dyDescent="0.25">
      <c r="A364" t="s">
        <v>138</v>
      </c>
      <c r="B364" t="s">
        <v>417</v>
      </c>
      <c r="C364" s="1">
        <f>8743+2+4785</f>
        <v>13530</v>
      </c>
      <c r="D364" s="1">
        <f>293+6+2</f>
        <v>301</v>
      </c>
      <c r="E364" s="1">
        <v>0</v>
      </c>
      <c r="F364" s="1">
        <v>0</v>
      </c>
      <c r="G364" s="1">
        <v>0</v>
      </c>
      <c r="H364" s="1">
        <v>9161</v>
      </c>
      <c r="I364" s="1">
        <v>3743</v>
      </c>
      <c r="J364" s="1"/>
      <c r="L364" s="10">
        <v>100</v>
      </c>
      <c r="M364" s="10" t="s">
        <v>429</v>
      </c>
      <c r="N364" s="10">
        <v>714</v>
      </c>
      <c r="O364" s="10">
        <v>0</v>
      </c>
      <c r="P364" s="10">
        <v>0</v>
      </c>
      <c r="Q364" s="10">
        <v>0</v>
      </c>
      <c r="R364" s="10">
        <v>0</v>
      </c>
      <c r="S364" s="19">
        <v>52</v>
      </c>
    </row>
    <row r="365" spans="1:19" x14ac:dyDescent="0.25">
      <c r="A365" t="s">
        <v>138</v>
      </c>
      <c r="B365" t="s">
        <v>418</v>
      </c>
      <c r="C365" s="1">
        <f>8094+64+713+8</f>
        <v>8879</v>
      </c>
      <c r="D365" s="1">
        <f>288+78</f>
        <v>366</v>
      </c>
      <c r="E365" s="1">
        <v>0</v>
      </c>
      <c r="F365" s="1">
        <v>0</v>
      </c>
      <c r="G365" s="1">
        <v>0</v>
      </c>
      <c r="H365" s="1">
        <v>1524</v>
      </c>
      <c r="I365" s="1">
        <v>724</v>
      </c>
      <c r="J365" s="1"/>
      <c r="L365" s="12">
        <v>610</v>
      </c>
      <c r="M365" s="12" t="s">
        <v>430</v>
      </c>
      <c r="N365" s="12">
        <v>13708</v>
      </c>
      <c r="O365" s="12">
        <v>0</v>
      </c>
      <c r="P365" s="12">
        <v>0</v>
      </c>
      <c r="Q365" s="12">
        <v>0</v>
      </c>
      <c r="R365" s="12">
        <v>0</v>
      </c>
      <c r="S365" s="18">
        <v>3235</v>
      </c>
    </row>
    <row r="366" spans="1:19" x14ac:dyDescent="0.25">
      <c r="A366" t="s">
        <v>796</v>
      </c>
      <c r="B366" t="s">
        <v>419</v>
      </c>
      <c r="C366" s="1">
        <f>9508+8+142+4+1+12+2722</f>
        <v>12397</v>
      </c>
      <c r="D366" s="1">
        <f>469+30+3</f>
        <v>502</v>
      </c>
      <c r="E366" s="1">
        <v>0</v>
      </c>
      <c r="F366" s="1">
        <v>0</v>
      </c>
      <c r="G366" s="1">
        <v>0</v>
      </c>
      <c r="H366" s="1">
        <v>14607</v>
      </c>
      <c r="I366" s="1">
        <v>2207</v>
      </c>
      <c r="J366" s="1"/>
      <c r="L366" s="10">
        <v>153</v>
      </c>
      <c r="M366" s="10" t="s">
        <v>432</v>
      </c>
      <c r="N366" s="10">
        <v>2628</v>
      </c>
      <c r="O366" s="10">
        <v>8</v>
      </c>
      <c r="P366" s="10">
        <v>0</v>
      </c>
      <c r="Q366" s="10">
        <v>0</v>
      </c>
      <c r="R366" s="10">
        <v>0</v>
      </c>
      <c r="S366" s="19">
        <v>3217</v>
      </c>
    </row>
    <row r="367" spans="1:19" x14ac:dyDescent="0.25">
      <c r="A367" t="s">
        <v>150</v>
      </c>
      <c r="B367" t="s">
        <v>420</v>
      </c>
      <c r="C367" s="1">
        <f>2773+12+2+4457+1+929</f>
        <v>8174</v>
      </c>
      <c r="D367" s="1">
        <f>1+19+4</f>
        <v>24</v>
      </c>
      <c r="E367" s="1">
        <v>0</v>
      </c>
      <c r="F367" s="1">
        <v>0</v>
      </c>
      <c r="G367" s="1">
        <v>0</v>
      </c>
      <c r="H367" s="1">
        <v>8158</v>
      </c>
      <c r="I367" s="1">
        <v>4485</v>
      </c>
      <c r="J367" s="1"/>
      <c r="L367" s="12">
        <v>300</v>
      </c>
      <c r="M367" s="12" t="s">
        <v>433</v>
      </c>
      <c r="N367" s="12"/>
      <c r="O367" s="12"/>
      <c r="P367" s="12"/>
      <c r="Q367" s="12"/>
      <c r="R367" s="12"/>
      <c r="S367" s="18"/>
    </row>
    <row r="368" spans="1:19" x14ac:dyDescent="0.25">
      <c r="A368" t="s">
        <v>69</v>
      </c>
      <c r="B368" t="s">
        <v>421</v>
      </c>
      <c r="C368" s="1">
        <f>3994+3693+1</f>
        <v>7688</v>
      </c>
      <c r="D368" s="1">
        <f>20+2</f>
        <v>22</v>
      </c>
      <c r="E368" s="1">
        <v>0</v>
      </c>
      <c r="F368" s="1">
        <v>0</v>
      </c>
      <c r="G368" s="1">
        <v>0</v>
      </c>
      <c r="H368" s="1">
        <v>2796</v>
      </c>
      <c r="I368" s="1">
        <v>2588</v>
      </c>
      <c r="J368" s="1"/>
      <c r="L368" s="10">
        <v>211</v>
      </c>
      <c r="M368" s="10" t="s">
        <v>434</v>
      </c>
      <c r="N368" s="10">
        <v>5165</v>
      </c>
      <c r="O368" s="10">
        <v>54</v>
      </c>
      <c r="P368" s="10">
        <v>0</v>
      </c>
      <c r="Q368" s="10">
        <v>0</v>
      </c>
      <c r="R368" s="10">
        <v>0</v>
      </c>
      <c r="S368" s="19">
        <v>1972</v>
      </c>
    </row>
    <row r="369" spans="1:19" x14ac:dyDescent="0.25">
      <c r="A369" t="s">
        <v>146</v>
      </c>
      <c r="B369" t="s">
        <v>422</v>
      </c>
      <c r="C369" s="1">
        <f>53+13+2167</f>
        <v>2233</v>
      </c>
      <c r="D369" s="1">
        <f>8+66</f>
        <v>74</v>
      </c>
      <c r="E369" s="1">
        <v>0</v>
      </c>
      <c r="F369" s="1">
        <v>0</v>
      </c>
      <c r="G369" s="1">
        <v>0</v>
      </c>
      <c r="H369" s="1">
        <v>5656</v>
      </c>
      <c r="I369" s="1">
        <v>1870</v>
      </c>
      <c r="J369" s="1"/>
      <c r="L369" s="12" t="s">
        <v>808</v>
      </c>
      <c r="M369" s="12" t="s">
        <v>435</v>
      </c>
      <c r="N369" s="12">
        <v>12671</v>
      </c>
      <c r="O369" s="12">
        <v>15</v>
      </c>
      <c r="P369" s="12">
        <v>0</v>
      </c>
      <c r="Q369" s="12">
        <v>0</v>
      </c>
      <c r="R369" s="12">
        <v>0</v>
      </c>
      <c r="S369" s="18">
        <v>23577</v>
      </c>
    </row>
    <row r="370" spans="1:19" x14ac:dyDescent="0.25">
      <c r="A370" t="s">
        <v>146</v>
      </c>
      <c r="B370" t="s">
        <v>423</v>
      </c>
      <c r="C370" s="1">
        <f>1075+1441</f>
        <v>2516</v>
      </c>
      <c r="D370" s="1">
        <v>12</v>
      </c>
      <c r="E370" s="1">
        <v>0</v>
      </c>
      <c r="F370" s="1">
        <v>0</v>
      </c>
      <c r="G370" s="1">
        <v>0</v>
      </c>
      <c r="H370" s="1">
        <v>1795</v>
      </c>
      <c r="I370" s="1">
        <v>1339</v>
      </c>
      <c r="J370" s="1"/>
      <c r="L370" s="10" t="s">
        <v>815</v>
      </c>
      <c r="M370" s="10" t="s">
        <v>436</v>
      </c>
      <c r="N370" s="10">
        <v>18027</v>
      </c>
      <c r="O370" s="10">
        <v>298</v>
      </c>
      <c r="P370" s="10">
        <v>0</v>
      </c>
      <c r="Q370" s="10">
        <v>0</v>
      </c>
      <c r="R370" s="10">
        <v>0</v>
      </c>
      <c r="S370" s="19">
        <v>16243</v>
      </c>
    </row>
    <row r="371" spans="1:19" x14ac:dyDescent="0.25">
      <c r="A371" t="s">
        <v>76</v>
      </c>
      <c r="B371" t="s">
        <v>424</v>
      </c>
      <c r="C371" s="1">
        <f>13630+1+212+8415+27+1</f>
        <v>22286</v>
      </c>
      <c r="D371" s="1">
        <f>9+32</f>
        <v>41</v>
      </c>
      <c r="E371" s="1">
        <v>0</v>
      </c>
      <c r="F371" s="1">
        <v>0</v>
      </c>
      <c r="G371" s="1">
        <v>0</v>
      </c>
      <c r="H371" s="1">
        <v>38534</v>
      </c>
      <c r="I371" s="1">
        <v>7101</v>
      </c>
      <c r="J371" s="1"/>
      <c r="L371" s="12">
        <v>314</v>
      </c>
      <c r="M371" s="12" t="s">
        <v>437</v>
      </c>
      <c r="N371" s="12">
        <v>8373</v>
      </c>
      <c r="O371" s="12">
        <v>3</v>
      </c>
      <c r="P371" s="12">
        <v>0</v>
      </c>
      <c r="Q371" s="12">
        <v>0</v>
      </c>
      <c r="R371" s="12">
        <v>0</v>
      </c>
      <c r="S371" s="18">
        <v>11530</v>
      </c>
    </row>
    <row r="372" spans="1:19" x14ac:dyDescent="0.25">
      <c r="A372" t="s">
        <v>795</v>
      </c>
      <c r="B372" t="s">
        <v>425</v>
      </c>
      <c r="C372" s="1"/>
      <c r="D372" s="1"/>
      <c r="E372" s="1"/>
      <c r="F372" s="1"/>
      <c r="G372" s="1"/>
      <c r="H372" s="1"/>
      <c r="I372" s="1"/>
      <c r="J372" s="1"/>
      <c r="L372" s="10">
        <v>711</v>
      </c>
      <c r="M372" s="10" t="s">
        <v>438</v>
      </c>
      <c r="N372" s="10">
        <v>24236</v>
      </c>
      <c r="O372" s="10">
        <v>51</v>
      </c>
      <c r="P372" s="10">
        <v>0</v>
      </c>
      <c r="Q372" s="10">
        <v>0</v>
      </c>
      <c r="R372" s="10">
        <v>0</v>
      </c>
      <c r="S372" s="19">
        <v>89002</v>
      </c>
    </row>
    <row r="373" spans="1:19" x14ac:dyDescent="0.25">
      <c r="A373" t="s">
        <v>824</v>
      </c>
      <c r="B373" t="s">
        <v>426</v>
      </c>
      <c r="C373" s="1">
        <f>4400+4+4249</f>
        <v>8653</v>
      </c>
      <c r="D373" s="1">
        <f>19+9</f>
        <v>28</v>
      </c>
      <c r="E373" s="1">
        <v>0</v>
      </c>
      <c r="F373" s="1">
        <v>0</v>
      </c>
      <c r="G373" s="1">
        <v>0</v>
      </c>
      <c r="H373" s="1">
        <v>6079</v>
      </c>
      <c r="I373" s="1">
        <v>3833</v>
      </c>
      <c r="J373" s="1"/>
      <c r="L373" s="12"/>
      <c r="M373" t="s">
        <v>439</v>
      </c>
      <c r="N373" s="12"/>
      <c r="O373" s="12"/>
      <c r="P373" s="12"/>
      <c r="Q373" s="12"/>
      <c r="R373" s="12"/>
      <c r="S373" s="18"/>
    </row>
    <row r="374" spans="1:19" x14ac:dyDescent="0.25">
      <c r="A374" t="s">
        <v>788</v>
      </c>
      <c r="B374" t="s">
        <v>427</v>
      </c>
      <c r="C374" s="1">
        <f>15211+2+7755</f>
        <v>22968</v>
      </c>
      <c r="D374" s="1">
        <f>34+59</f>
        <v>93</v>
      </c>
      <c r="E374" s="1">
        <v>0</v>
      </c>
      <c r="F374" s="1">
        <v>0</v>
      </c>
      <c r="G374" s="1">
        <v>0</v>
      </c>
      <c r="H374" s="1">
        <v>20221</v>
      </c>
      <c r="I374" s="1">
        <v>7797</v>
      </c>
      <c r="J374" s="1"/>
      <c r="L374" s="12">
        <v>700</v>
      </c>
      <c r="M374" s="12" t="s">
        <v>440</v>
      </c>
      <c r="N374" s="12">
        <v>2583</v>
      </c>
      <c r="O374" s="12">
        <v>19</v>
      </c>
      <c r="P374" s="12">
        <v>0</v>
      </c>
      <c r="Q374" s="12">
        <v>0</v>
      </c>
      <c r="R374" s="12">
        <v>0</v>
      </c>
      <c r="S374" s="18">
        <v>6416</v>
      </c>
    </row>
    <row r="375" spans="1:19" x14ac:dyDescent="0.25">
      <c r="A375" t="s">
        <v>226</v>
      </c>
      <c r="B375" t="s">
        <v>428</v>
      </c>
      <c r="C375" s="1"/>
      <c r="D375" s="1"/>
      <c r="E375" s="1"/>
      <c r="F375" s="1"/>
      <c r="G375" s="1"/>
      <c r="H375" s="1"/>
      <c r="I375" s="1"/>
      <c r="J375" s="1"/>
      <c r="L375" s="10" t="s">
        <v>808</v>
      </c>
      <c r="M375" s="10" t="s">
        <v>441</v>
      </c>
      <c r="N375" s="10">
        <v>8470</v>
      </c>
      <c r="O375" s="10">
        <v>38</v>
      </c>
      <c r="P375" s="10">
        <v>0</v>
      </c>
      <c r="Q375" s="10">
        <v>0</v>
      </c>
      <c r="R375" s="10">
        <v>0</v>
      </c>
      <c r="S375" s="19">
        <v>6191</v>
      </c>
    </row>
    <row r="376" spans="1:19" x14ac:dyDescent="0.25">
      <c r="A376" t="s">
        <v>791</v>
      </c>
      <c r="B376" t="s">
        <v>429</v>
      </c>
      <c r="C376" s="1"/>
      <c r="D376" s="1"/>
      <c r="E376" s="1"/>
      <c r="F376" s="1"/>
      <c r="G376" s="1"/>
      <c r="H376" s="1"/>
      <c r="I376" s="1"/>
      <c r="J376" s="1"/>
      <c r="L376" s="12" t="s">
        <v>814</v>
      </c>
      <c r="M376" s="12" t="s">
        <v>442</v>
      </c>
      <c r="N376" s="12">
        <v>13078</v>
      </c>
      <c r="O376" s="12">
        <v>69</v>
      </c>
      <c r="P376" s="12">
        <v>0</v>
      </c>
      <c r="Q376" s="12">
        <v>0</v>
      </c>
      <c r="R376" s="12">
        <v>0</v>
      </c>
      <c r="S376" s="18">
        <v>7674</v>
      </c>
    </row>
    <row r="377" spans="1:19" x14ac:dyDescent="0.25">
      <c r="A377" t="s">
        <v>788</v>
      </c>
      <c r="B377" t="s">
        <v>430</v>
      </c>
      <c r="C377" s="1">
        <f>5567+8141</f>
        <v>13708</v>
      </c>
      <c r="D377" s="1">
        <v>0</v>
      </c>
      <c r="E377" s="1">
        <v>0</v>
      </c>
      <c r="F377" s="1">
        <v>0</v>
      </c>
      <c r="G377" s="1">
        <v>0</v>
      </c>
      <c r="H377" s="1">
        <v>3235</v>
      </c>
      <c r="I377" s="1">
        <v>1551</v>
      </c>
      <c r="J377" s="1"/>
      <c r="L377" s="10">
        <v>713</v>
      </c>
      <c r="M377" s="10" t="s">
        <v>443</v>
      </c>
      <c r="N377" s="10">
        <v>13623</v>
      </c>
      <c r="O377" s="10">
        <v>6</v>
      </c>
      <c r="P377" s="10">
        <v>0</v>
      </c>
      <c r="Q377" s="10">
        <v>0</v>
      </c>
      <c r="R377" s="10">
        <v>0</v>
      </c>
      <c r="S377" s="19">
        <v>20473</v>
      </c>
    </row>
    <row r="378" spans="1:19" x14ac:dyDescent="0.25">
      <c r="A378" t="s">
        <v>10</v>
      </c>
      <c r="B378" s="1" t="s">
        <v>431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/>
      <c r="L378" s="12" t="s">
        <v>814</v>
      </c>
      <c r="M378" s="12" t="s">
        <v>444</v>
      </c>
      <c r="N378" s="12">
        <v>21443</v>
      </c>
      <c r="O378" s="12">
        <v>263</v>
      </c>
      <c r="P378" s="12">
        <v>0</v>
      </c>
      <c r="Q378" s="12">
        <v>0</v>
      </c>
      <c r="R378" s="12">
        <v>0</v>
      </c>
      <c r="S378" s="18">
        <v>6180</v>
      </c>
    </row>
    <row r="379" spans="1:19" x14ac:dyDescent="0.25">
      <c r="A379" t="s">
        <v>825</v>
      </c>
      <c r="B379" t="s">
        <v>432</v>
      </c>
      <c r="C379" s="1"/>
      <c r="D379" s="1"/>
      <c r="E379" s="1"/>
      <c r="F379" s="1"/>
      <c r="G379" s="1"/>
      <c r="H379" s="1"/>
      <c r="I379" s="1"/>
      <c r="J379" s="1"/>
      <c r="L379" s="12"/>
      <c r="M379" t="s">
        <v>445</v>
      </c>
      <c r="N379" s="12"/>
      <c r="O379" s="12"/>
      <c r="P379" s="12"/>
      <c r="Q379" s="12"/>
      <c r="R379" s="12"/>
      <c r="S379" s="18"/>
    </row>
    <row r="380" spans="1:19" x14ac:dyDescent="0.25">
      <c r="A380" t="s">
        <v>226</v>
      </c>
      <c r="B380" t="s">
        <v>433</v>
      </c>
      <c r="C380" s="1"/>
      <c r="D380" s="1"/>
      <c r="E380" s="1"/>
      <c r="F380" s="1"/>
      <c r="G380" s="1"/>
      <c r="H380" s="1"/>
      <c r="I380" s="1"/>
      <c r="J380" s="1"/>
      <c r="L380" s="10">
        <v>161</v>
      </c>
      <c r="M380" s="10" t="s">
        <v>446</v>
      </c>
      <c r="N380" s="10"/>
      <c r="O380" s="10"/>
      <c r="P380" s="10"/>
      <c r="Q380" s="10"/>
      <c r="R380" s="10"/>
      <c r="S380" s="19"/>
    </row>
    <row r="381" spans="1:19" x14ac:dyDescent="0.25">
      <c r="A381" t="s">
        <v>131</v>
      </c>
      <c r="B381" t="s">
        <v>434</v>
      </c>
      <c r="C381" s="1">
        <f>3700+1465</f>
        <v>5165</v>
      </c>
      <c r="D381" s="1">
        <v>54</v>
      </c>
      <c r="E381" s="1">
        <v>0</v>
      </c>
      <c r="F381" s="1">
        <v>0</v>
      </c>
      <c r="G381" s="1">
        <v>0</v>
      </c>
      <c r="H381" s="1">
        <v>1972</v>
      </c>
      <c r="I381" s="1">
        <v>1211</v>
      </c>
      <c r="J381" s="1"/>
      <c r="L381" s="12"/>
      <c r="M381" t="s">
        <v>447</v>
      </c>
      <c r="N381" s="12"/>
      <c r="O381" s="12"/>
      <c r="P381" s="12"/>
      <c r="Q381" s="12"/>
      <c r="R381" s="12"/>
      <c r="S381" s="18"/>
    </row>
    <row r="382" spans="1:19" x14ac:dyDescent="0.25">
      <c r="A382" t="s">
        <v>809</v>
      </c>
      <c r="B382" t="s">
        <v>435</v>
      </c>
      <c r="C382" s="1">
        <f>10687+1984</f>
        <v>12671</v>
      </c>
      <c r="D382" s="1">
        <f>8+7</f>
        <v>15</v>
      </c>
      <c r="E382" s="1">
        <v>0</v>
      </c>
      <c r="F382" s="1">
        <v>0</v>
      </c>
      <c r="G382" s="1">
        <v>0</v>
      </c>
      <c r="H382" s="1">
        <v>23577</v>
      </c>
      <c r="I382" s="1">
        <v>1504</v>
      </c>
      <c r="J382" s="1"/>
      <c r="L382" s="12">
        <v>712</v>
      </c>
      <c r="M382" s="12" t="s">
        <v>448</v>
      </c>
      <c r="N382" s="12">
        <v>45360</v>
      </c>
      <c r="O382" s="12">
        <v>12</v>
      </c>
      <c r="P382" s="12">
        <v>0</v>
      </c>
      <c r="Q382" s="12">
        <v>0</v>
      </c>
      <c r="R382" s="12">
        <v>0</v>
      </c>
      <c r="S382" s="18">
        <v>23555</v>
      </c>
    </row>
    <row r="383" spans="1:19" x14ac:dyDescent="0.25">
      <c r="A383" t="s">
        <v>138</v>
      </c>
      <c r="B383" t="s">
        <v>436</v>
      </c>
      <c r="C383" s="1">
        <f>14624+25+46+3263+69</f>
        <v>18027</v>
      </c>
      <c r="D383" s="1">
        <f>25+90+47+136</f>
        <v>298</v>
      </c>
      <c r="E383" s="1">
        <v>0</v>
      </c>
      <c r="F383" s="1">
        <v>0</v>
      </c>
      <c r="G383" s="1">
        <v>0</v>
      </c>
      <c r="H383" s="1">
        <v>16243</v>
      </c>
      <c r="I383" s="1">
        <v>1771</v>
      </c>
      <c r="J383" s="1"/>
      <c r="L383" s="10">
        <v>711</v>
      </c>
      <c r="M383" s="10" t="s">
        <v>449</v>
      </c>
      <c r="N383" s="10">
        <v>24230</v>
      </c>
      <c r="O383" s="10">
        <v>59</v>
      </c>
      <c r="P383" s="10">
        <v>0</v>
      </c>
      <c r="Q383" s="10">
        <v>0</v>
      </c>
      <c r="R383" s="10">
        <v>0</v>
      </c>
      <c r="S383" s="19">
        <v>24707</v>
      </c>
    </row>
    <row r="384" spans="1:19" x14ac:dyDescent="0.25">
      <c r="A384" t="s">
        <v>305</v>
      </c>
      <c r="B384" t="s">
        <v>437</v>
      </c>
      <c r="C384" s="1">
        <f>6473+55+1845</f>
        <v>8373</v>
      </c>
      <c r="D384" s="1">
        <v>3</v>
      </c>
      <c r="E384" s="1">
        <v>0</v>
      </c>
      <c r="F384" s="1">
        <v>0</v>
      </c>
      <c r="G384" s="1">
        <v>0</v>
      </c>
      <c r="H384" s="1">
        <v>11530</v>
      </c>
      <c r="I384" s="1">
        <v>1725</v>
      </c>
      <c r="J384" s="1"/>
      <c r="L384" s="12">
        <v>610</v>
      </c>
      <c r="M384" s="12" t="s">
        <v>450</v>
      </c>
      <c r="N384" s="12">
        <v>14367</v>
      </c>
      <c r="O384" s="12">
        <v>157</v>
      </c>
      <c r="P384" s="12">
        <v>0</v>
      </c>
      <c r="Q384" s="12">
        <v>0</v>
      </c>
      <c r="R384" s="12">
        <v>0</v>
      </c>
      <c r="S384" s="18">
        <v>11724</v>
      </c>
    </row>
    <row r="385" spans="1:19" x14ac:dyDescent="0.25">
      <c r="A385" t="s">
        <v>801</v>
      </c>
      <c r="B385" t="s">
        <v>438</v>
      </c>
      <c r="C385" s="1">
        <f>15402+11+19+8511+259+34</f>
        <v>24236</v>
      </c>
      <c r="D385" s="1">
        <f>8+1+34+8</f>
        <v>51</v>
      </c>
      <c r="E385" s="1">
        <v>0</v>
      </c>
      <c r="F385" s="1">
        <v>0</v>
      </c>
      <c r="G385" s="1">
        <v>0</v>
      </c>
      <c r="H385" s="1">
        <v>89002</v>
      </c>
      <c r="I385" s="1">
        <v>8461</v>
      </c>
      <c r="J385" s="1"/>
      <c r="L385" s="10">
        <v>116</v>
      </c>
      <c r="M385" s="10" t="s">
        <v>451</v>
      </c>
      <c r="N385" s="10">
        <v>69656</v>
      </c>
      <c r="O385" s="10">
        <v>1024</v>
      </c>
      <c r="P385" s="10">
        <v>0</v>
      </c>
      <c r="Q385" s="10">
        <v>0</v>
      </c>
      <c r="R385" s="10">
        <v>0</v>
      </c>
      <c r="S385" s="19">
        <v>7370</v>
      </c>
    </row>
    <row r="386" spans="1:19" x14ac:dyDescent="0.25">
      <c r="A386" s="27" t="s">
        <v>10</v>
      </c>
      <c r="B386" s="32" t="s">
        <v>780</v>
      </c>
      <c r="C386" s="1"/>
      <c r="D386" s="1"/>
      <c r="E386" s="1"/>
      <c r="F386" s="1"/>
      <c r="G386" s="1"/>
      <c r="H386" s="1"/>
      <c r="I386" s="1"/>
      <c r="J386" s="1"/>
      <c r="L386" s="12"/>
      <c r="M386" t="s">
        <v>452</v>
      </c>
      <c r="N386" s="12"/>
      <c r="O386" s="12"/>
      <c r="P386" s="12"/>
      <c r="Q386" s="12"/>
      <c r="R386" s="12"/>
      <c r="S386" s="18"/>
    </row>
    <row r="387" spans="1:19" x14ac:dyDescent="0.25">
      <c r="A387" t="s">
        <v>69</v>
      </c>
      <c r="B387" t="s">
        <v>439</v>
      </c>
      <c r="C387" s="1"/>
      <c r="D387" s="1"/>
      <c r="E387" s="1"/>
      <c r="F387" s="1"/>
      <c r="G387" s="1"/>
      <c r="H387" s="1"/>
      <c r="I387" s="1"/>
      <c r="J387" s="1"/>
      <c r="L387" s="12">
        <v>511</v>
      </c>
      <c r="M387" s="12" t="s">
        <v>453</v>
      </c>
      <c r="N387" s="12">
        <v>13525</v>
      </c>
      <c r="O387" s="12">
        <v>57</v>
      </c>
      <c r="P387" s="12">
        <v>0</v>
      </c>
      <c r="Q387" s="12">
        <v>0</v>
      </c>
      <c r="R387" s="12">
        <v>0</v>
      </c>
      <c r="S387" s="18">
        <v>7142</v>
      </c>
    </row>
    <row r="388" spans="1:19" x14ac:dyDescent="0.25">
      <c r="A388" t="s">
        <v>83</v>
      </c>
      <c r="B388" t="s">
        <v>440</v>
      </c>
      <c r="C388" s="1">
        <f>1984+598+1</f>
        <v>2583</v>
      </c>
      <c r="D388" s="1">
        <f>2+17</f>
        <v>19</v>
      </c>
      <c r="E388" s="1">
        <v>0</v>
      </c>
      <c r="F388" s="1">
        <v>0</v>
      </c>
      <c r="G388" s="1">
        <v>0</v>
      </c>
      <c r="H388" s="1">
        <v>6416</v>
      </c>
      <c r="I388" s="1">
        <v>591</v>
      </c>
      <c r="J388" s="1"/>
      <c r="L388" s="10" t="s">
        <v>820</v>
      </c>
      <c r="M388" s="10" t="s">
        <v>454</v>
      </c>
      <c r="N388" s="10">
        <v>40040</v>
      </c>
      <c r="O388" s="10">
        <v>18</v>
      </c>
      <c r="P388" s="10">
        <v>0</v>
      </c>
      <c r="Q388" s="10">
        <v>0</v>
      </c>
      <c r="R388" s="10">
        <v>0</v>
      </c>
      <c r="S388" s="19">
        <v>30609</v>
      </c>
    </row>
    <row r="389" spans="1:19" x14ac:dyDescent="0.25">
      <c r="A389" t="s">
        <v>809</v>
      </c>
      <c r="B389" t="s">
        <v>441</v>
      </c>
      <c r="C389" s="1">
        <f>7312+3+1155</f>
        <v>8470</v>
      </c>
      <c r="D389" s="1">
        <f>10+13+15</f>
        <v>38</v>
      </c>
      <c r="E389" s="1">
        <v>0</v>
      </c>
      <c r="F389" s="1">
        <v>0</v>
      </c>
      <c r="G389" s="1">
        <v>0</v>
      </c>
      <c r="H389" s="1">
        <v>6191</v>
      </c>
      <c r="I389" s="1">
        <v>970</v>
      </c>
      <c r="J389" s="1"/>
      <c r="L389" s="12">
        <v>600</v>
      </c>
      <c r="M389" s="12" t="s">
        <v>455</v>
      </c>
      <c r="N389" s="12">
        <v>5322</v>
      </c>
      <c r="O389" s="12">
        <v>169</v>
      </c>
      <c r="P389" s="12">
        <v>0</v>
      </c>
      <c r="Q389" s="12">
        <v>0</v>
      </c>
      <c r="R389" s="12">
        <v>0</v>
      </c>
      <c r="S389" s="18">
        <v>4819</v>
      </c>
    </row>
    <row r="390" spans="1:19" x14ac:dyDescent="0.25">
      <c r="A390" t="s">
        <v>794</v>
      </c>
      <c r="B390" t="s">
        <v>442</v>
      </c>
      <c r="C390" s="1">
        <f>8403+334+1+4337+2+1</f>
        <v>13078</v>
      </c>
      <c r="D390" s="1">
        <f>29+39+1</f>
        <v>69</v>
      </c>
      <c r="E390" s="1">
        <v>0</v>
      </c>
      <c r="F390" s="1">
        <v>0</v>
      </c>
      <c r="G390" s="1">
        <v>0</v>
      </c>
      <c r="H390" s="1">
        <v>7674</v>
      </c>
      <c r="I390" s="1">
        <v>3668</v>
      </c>
      <c r="J390" s="1"/>
      <c r="L390" s="10">
        <v>712</v>
      </c>
      <c r="M390" s="10" t="s">
        <v>456</v>
      </c>
      <c r="N390" s="10">
        <v>23224</v>
      </c>
      <c r="O390" s="10">
        <v>61</v>
      </c>
      <c r="P390" s="10">
        <v>0</v>
      </c>
      <c r="Q390" s="10">
        <v>0</v>
      </c>
      <c r="R390" s="10">
        <v>0</v>
      </c>
      <c r="S390" s="19">
        <v>26080</v>
      </c>
    </row>
    <row r="391" spans="1:19" x14ac:dyDescent="0.25">
      <c r="A391" t="s">
        <v>796</v>
      </c>
      <c r="B391" t="s">
        <v>443</v>
      </c>
      <c r="C391" s="1">
        <f>7779+2+1753+7+4076+6</f>
        <v>13623</v>
      </c>
      <c r="D391" s="1">
        <f>1+5</f>
        <v>6</v>
      </c>
      <c r="E391" s="1">
        <v>0</v>
      </c>
      <c r="F391" s="1">
        <v>0</v>
      </c>
      <c r="G391" s="1">
        <v>0</v>
      </c>
      <c r="H391" s="1">
        <v>20473</v>
      </c>
      <c r="I391" s="1">
        <v>4095</v>
      </c>
      <c r="J391" s="1"/>
      <c r="L391" s="12">
        <v>712</v>
      </c>
      <c r="M391" s="12" t="s">
        <v>457</v>
      </c>
      <c r="N391" s="12">
        <v>19103</v>
      </c>
      <c r="O391" s="12">
        <v>24</v>
      </c>
      <c r="P391" s="12">
        <v>0</v>
      </c>
      <c r="Q391" s="12">
        <v>0</v>
      </c>
      <c r="R391" s="12">
        <v>0</v>
      </c>
      <c r="S391" s="18">
        <v>6017</v>
      </c>
    </row>
    <row r="392" spans="1:19" x14ac:dyDescent="0.25">
      <c r="A392" t="s">
        <v>794</v>
      </c>
      <c r="B392" t="s">
        <v>444</v>
      </c>
      <c r="C392" s="1">
        <f>16347+4+17+5075</f>
        <v>21443</v>
      </c>
      <c r="D392" s="1">
        <f>50+169+44</f>
        <v>263</v>
      </c>
      <c r="E392" s="1">
        <v>0</v>
      </c>
      <c r="F392" s="1">
        <v>0</v>
      </c>
      <c r="G392" s="1">
        <v>0</v>
      </c>
      <c r="H392" s="1">
        <v>6180</v>
      </c>
      <c r="I392" s="1">
        <v>4427</v>
      </c>
      <c r="J392" s="1"/>
      <c r="L392" s="10">
        <v>611</v>
      </c>
      <c r="M392" s="10" t="s">
        <v>458</v>
      </c>
      <c r="N392" s="10">
        <v>3370</v>
      </c>
      <c r="O392" s="10">
        <v>176</v>
      </c>
      <c r="P392" s="10">
        <v>0</v>
      </c>
      <c r="Q392" s="10">
        <v>0</v>
      </c>
      <c r="R392" s="10">
        <v>0</v>
      </c>
      <c r="S392" s="19">
        <v>8217</v>
      </c>
    </row>
    <row r="393" spans="1:19" x14ac:dyDescent="0.25">
      <c r="A393" t="s">
        <v>811</v>
      </c>
      <c r="B393" t="s">
        <v>445</v>
      </c>
      <c r="C393" s="1"/>
      <c r="D393" s="1"/>
      <c r="E393" s="1"/>
      <c r="F393" s="1"/>
      <c r="G393" s="1"/>
      <c r="H393" s="1"/>
      <c r="I393" s="1"/>
      <c r="J393" s="1"/>
      <c r="L393" s="12">
        <v>700</v>
      </c>
      <c r="M393" s="12" t="s">
        <v>459</v>
      </c>
      <c r="N393" s="12">
        <v>2667</v>
      </c>
      <c r="O393" s="12">
        <v>44</v>
      </c>
      <c r="P393" s="12">
        <v>0</v>
      </c>
      <c r="Q393" s="12">
        <v>0</v>
      </c>
      <c r="R393" s="12">
        <v>0</v>
      </c>
      <c r="S393" s="18">
        <v>2258</v>
      </c>
    </row>
    <row r="394" spans="1:19" x14ac:dyDescent="0.25">
      <c r="A394" t="s">
        <v>792</v>
      </c>
      <c r="B394" t="s">
        <v>446</v>
      </c>
      <c r="C394" s="1"/>
      <c r="D394" s="1"/>
      <c r="E394" s="1"/>
      <c r="F394" s="1"/>
      <c r="G394" s="1"/>
      <c r="H394" s="1"/>
      <c r="I394" s="1"/>
      <c r="J394" s="1"/>
      <c r="L394" s="10">
        <v>600</v>
      </c>
      <c r="M394" s="10" t="s">
        <v>460</v>
      </c>
      <c r="N394" s="10">
        <v>11802</v>
      </c>
      <c r="O394" s="10">
        <v>55</v>
      </c>
      <c r="P394" s="10">
        <v>0</v>
      </c>
      <c r="Q394" s="10">
        <v>0</v>
      </c>
      <c r="R394" s="10">
        <v>0</v>
      </c>
      <c r="S394" s="19">
        <v>52827</v>
      </c>
    </row>
    <row r="395" spans="1:19" x14ac:dyDescent="0.25">
      <c r="A395" t="s">
        <v>134</v>
      </c>
      <c r="B395" t="s">
        <v>447</v>
      </c>
      <c r="C395" s="1"/>
      <c r="D395" s="1"/>
      <c r="E395" s="1"/>
      <c r="F395" s="1"/>
      <c r="G395" s="1"/>
      <c r="H395" s="1"/>
      <c r="I395" s="1"/>
      <c r="J395" s="1"/>
      <c r="L395" s="12">
        <v>600</v>
      </c>
      <c r="M395" s="12" t="s">
        <v>461</v>
      </c>
      <c r="N395" s="12">
        <v>14986</v>
      </c>
      <c r="O395" s="12">
        <v>40</v>
      </c>
      <c r="P395" s="12">
        <v>0</v>
      </c>
      <c r="Q395" s="12">
        <v>0</v>
      </c>
      <c r="R395" s="12">
        <v>0</v>
      </c>
      <c r="S395" s="18">
        <v>15928</v>
      </c>
    </row>
    <row r="396" spans="1:19" x14ac:dyDescent="0.25">
      <c r="A396" t="s">
        <v>76</v>
      </c>
      <c r="B396" t="s">
        <v>448</v>
      </c>
      <c r="C396" s="1">
        <f>41273+3+4084</f>
        <v>45360</v>
      </c>
      <c r="D396" s="1">
        <f>4+8</f>
        <v>12</v>
      </c>
      <c r="E396" s="1">
        <v>0</v>
      </c>
      <c r="F396" s="1">
        <v>0</v>
      </c>
      <c r="G396" s="1">
        <v>0</v>
      </c>
      <c r="H396" s="1">
        <v>23555</v>
      </c>
      <c r="I396" s="1">
        <v>3582</v>
      </c>
      <c r="J396" s="1"/>
      <c r="L396" s="12"/>
      <c r="M396" t="s">
        <v>462</v>
      </c>
      <c r="N396" s="12"/>
      <c r="O396" s="12"/>
      <c r="P396" s="12"/>
      <c r="Q396" s="12"/>
      <c r="R396" s="12"/>
      <c r="S396" s="18"/>
    </row>
    <row r="397" spans="1:19" x14ac:dyDescent="0.25">
      <c r="A397" t="s">
        <v>801</v>
      </c>
      <c r="B397" t="s">
        <v>449</v>
      </c>
      <c r="C397" s="1">
        <f>16233+545+1+8+5651+1791+1</f>
        <v>24230</v>
      </c>
      <c r="D397" s="1">
        <f>3+5+51</f>
        <v>59</v>
      </c>
      <c r="E397" s="1">
        <v>0</v>
      </c>
      <c r="F397" s="1">
        <v>0</v>
      </c>
      <c r="G397" s="1">
        <v>0</v>
      </c>
      <c r="H397" s="1">
        <v>24707</v>
      </c>
      <c r="I397" s="1">
        <v>6446</v>
      </c>
      <c r="J397" s="1"/>
      <c r="L397" s="12">
        <v>120</v>
      </c>
      <c r="M397" s="12" t="s">
        <v>463</v>
      </c>
      <c r="N397" s="12"/>
      <c r="O397" s="12"/>
      <c r="P397" s="12"/>
      <c r="Q397" s="12"/>
      <c r="R397" s="12"/>
      <c r="S397" s="18"/>
    </row>
    <row r="398" spans="1:19" x14ac:dyDescent="0.25">
      <c r="A398" t="s">
        <v>788</v>
      </c>
      <c r="B398" t="s">
        <v>450</v>
      </c>
      <c r="C398" s="1">
        <f>5944+4+8419</f>
        <v>14367</v>
      </c>
      <c r="D398" s="1">
        <f>10+31+116</f>
        <v>157</v>
      </c>
      <c r="E398" s="1">
        <v>0</v>
      </c>
      <c r="F398" s="1">
        <v>0</v>
      </c>
      <c r="G398" s="1">
        <v>0</v>
      </c>
      <c r="H398" s="1">
        <v>11724</v>
      </c>
      <c r="I398" s="1">
        <v>2595</v>
      </c>
      <c r="J398" s="1"/>
      <c r="L398" s="10">
        <v>600</v>
      </c>
      <c r="M398" s="10" t="s">
        <v>464</v>
      </c>
      <c r="N398" s="10">
        <v>7366</v>
      </c>
      <c r="O398" s="10">
        <v>7</v>
      </c>
      <c r="P398" s="10">
        <v>0</v>
      </c>
      <c r="Q398" s="10">
        <v>0</v>
      </c>
      <c r="R398" s="10">
        <v>0</v>
      </c>
      <c r="S398" s="19">
        <v>4650</v>
      </c>
    </row>
    <row r="399" spans="1:19" x14ac:dyDescent="0.25">
      <c r="A399" t="s">
        <v>795</v>
      </c>
      <c r="B399" t="s">
        <v>451</v>
      </c>
      <c r="C399" s="1"/>
      <c r="D399" s="1"/>
      <c r="E399" s="1"/>
      <c r="F399" s="1"/>
      <c r="G399" s="1"/>
      <c r="H399" s="1"/>
      <c r="I399" s="1"/>
      <c r="J399" s="1"/>
      <c r="L399" s="12">
        <v>511</v>
      </c>
      <c r="M399" s="12" t="s">
        <v>465</v>
      </c>
      <c r="N399" s="12">
        <v>9556</v>
      </c>
      <c r="O399" s="12">
        <v>7</v>
      </c>
      <c r="P399" s="12">
        <v>0</v>
      </c>
      <c r="Q399" s="12">
        <v>0</v>
      </c>
      <c r="R399" s="12">
        <v>0</v>
      </c>
      <c r="S399" s="18">
        <v>19782</v>
      </c>
    </row>
    <row r="400" spans="1:19" x14ac:dyDescent="0.25">
      <c r="A400" t="s">
        <v>825</v>
      </c>
      <c r="B400" t="s">
        <v>452</v>
      </c>
      <c r="C400" s="1"/>
      <c r="D400" s="1"/>
      <c r="E400" s="1"/>
      <c r="F400" s="1"/>
      <c r="G400" s="1"/>
      <c r="H400" s="1"/>
      <c r="I400" s="1"/>
      <c r="J400" s="1"/>
      <c r="L400" s="10">
        <v>210</v>
      </c>
      <c r="M400" s="10" t="s">
        <v>466</v>
      </c>
      <c r="N400" s="10">
        <v>9486</v>
      </c>
      <c r="O400" s="10">
        <v>45</v>
      </c>
      <c r="P400" s="10">
        <v>0</v>
      </c>
      <c r="Q400" s="10">
        <v>0</v>
      </c>
      <c r="R400" s="10">
        <v>0</v>
      </c>
      <c r="S400" s="19">
        <v>2632</v>
      </c>
    </row>
    <row r="401" spans="1:19" x14ac:dyDescent="0.25">
      <c r="A401" t="s">
        <v>101</v>
      </c>
      <c r="B401" t="s">
        <v>453</v>
      </c>
      <c r="C401" s="1">
        <f>10562+1+1+2960+1</f>
        <v>13525</v>
      </c>
      <c r="D401" s="1">
        <f>20+31+6</f>
        <v>57</v>
      </c>
      <c r="E401" s="1">
        <v>0</v>
      </c>
      <c r="F401" s="1">
        <v>0</v>
      </c>
      <c r="G401" s="1">
        <v>0</v>
      </c>
      <c r="H401" s="1">
        <v>7142</v>
      </c>
      <c r="I401" s="1">
        <v>2409</v>
      </c>
      <c r="J401" s="1"/>
      <c r="L401" s="12">
        <v>313</v>
      </c>
      <c r="M401" s="12" t="s">
        <v>467</v>
      </c>
      <c r="N401" s="12">
        <v>5604</v>
      </c>
      <c r="O401" s="12">
        <v>7</v>
      </c>
      <c r="P401" s="12">
        <v>0</v>
      </c>
      <c r="Q401" s="12">
        <v>0</v>
      </c>
      <c r="R401" s="12">
        <v>0</v>
      </c>
      <c r="S401" s="18">
        <v>6601</v>
      </c>
    </row>
    <row r="402" spans="1:19" x14ac:dyDescent="0.25">
      <c r="A402" t="s">
        <v>265</v>
      </c>
      <c r="B402" t="s">
        <v>454</v>
      </c>
      <c r="C402" s="1">
        <f>33304+2+6361+373</f>
        <v>40040</v>
      </c>
      <c r="D402" s="1">
        <v>18</v>
      </c>
      <c r="E402" s="1">
        <v>0</v>
      </c>
      <c r="F402" s="1">
        <v>0</v>
      </c>
      <c r="G402" s="1">
        <v>0</v>
      </c>
      <c r="H402" s="1">
        <v>30609</v>
      </c>
      <c r="I402" s="1">
        <v>4685</v>
      </c>
      <c r="J402" s="1"/>
      <c r="L402" s="10">
        <v>200</v>
      </c>
      <c r="M402" s="10" t="s">
        <v>468</v>
      </c>
      <c r="N402" s="10">
        <v>4537</v>
      </c>
      <c r="O402" s="10">
        <v>21</v>
      </c>
      <c r="P402" s="10">
        <v>0</v>
      </c>
      <c r="Q402" s="10">
        <v>0</v>
      </c>
      <c r="R402" s="10">
        <v>0</v>
      </c>
      <c r="S402" s="19">
        <v>1909</v>
      </c>
    </row>
    <row r="403" spans="1:19" x14ac:dyDescent="0.25">
      <c r="A403" t="s">
        <v>248</v>
      </c>
      <c r="B403" t="s">
        <v>455</v>
      </c>
      <c r="C403" s="1">
        <f>5024+298</f>
        <v>5322</v>
      </c>
      <c r="D403" s="1">
        <f>163+6</f>
        <v>169</v>
      </c>
      <c r="E403" s="1">
        <v>0</v>
      </c>
      <c r="F403" s="1">
        <v>0</v>
      </c>
      <c r="G403" s="1">
        <v>0</v>
      </c>
      <c r="H403" s="1">
        <v>4819</v>
      </c>
      <c r="I403" s="1">
        <v>486</v>
      </c>
      <c r="J403" s="1"/>
      <c r="L403" s="12">
        <v>616</v>
      </c>
      <c r="M403" s="12" t="s">
        <v>469</v>
      </c>
      <c r="N403" s="12">
        <v>94026</v>
      </c>
      <c r="O403" s="12">
        <v>1</v>
      </c>
      <c r="P403" s="12">
        <v>0</v>
      </c>
      <c r="Q403" s="12">
        <v>0</v>
      </c>
      <c r="R403" s="12">
        <v>0</v>
      </c>
      <c r="S403" s="18">
        <v>22892</v>
      </c>
    </row>
    <row r="404" spans="1:19" x14ac:dyDescent="0.25">
      <c r="A404" t="s">
        <v>76</v>
      </c>
      <c r="B404" t="s">
        <v>456</v>
      </c>
      <c r="C404" s="1">
        <f>18598+834+20+3772</f>
        <v>23224</v>
      </c>
      <c r="D404" s="1">
        <f>32+7+22</f>
        <v>61</v>
      </c>
      <c r="E404" s="1">
        <v>0</v>
      </c>
      <c r="F404" s="1">
        <v>0</v>
      </c>
      <c r="G404" s="1">
        <v>0</v>
      </c>
      <c r="H404" s="1">
        <v>26080</v>
      </c>
      <c r="I404" s="1">
        <v>3540</v>
      </c>
      <c r="J404" s="1"/>
      <c r="L404" s="10">
        <v>100</v>
      </c>
      <c r="M404" s="10" t="s">
        <v>470</v>
      </c>
      <c r="N404" s="10">
        <v>2633</v>
      </c>
      <c r="O404" s="10">
        <v>291</v>
      </c>
      <c r="P404" s="10">
        <v>0</v>
      </c>
      <c r="Q404" s="10">
        <v>0</v>
      </c>
      <c r="R404" s="10">
        <v>0</v>
      </c>
      <c r="S404" s="19">
        <v>230</v>
      </c>
    </row>
    <row r="405" spans="1:19" x14ac:dyDescent="0.25">
      <c r="A405" t="s">
        <v>76</v>
      </c>
      <c r="B405" t="s">
        <v>457</v>
      </c>
      <c r="C405" s="1">
        <f>9168+9933+2</f>
        <v>19103</v>
      </c>
      <c r="D405" s="1">
        <v>24</v>
      </c>
      <c r="E405" s="1">
        <v>0</v>
      </c>
      <c r="F405" s="1">
        <v>0</v>
      </c>
      <c r="G405" s="1">
        <v>0</v>
      </c>
      <c r="H405" s="1">
        <v>6017</v>
      </c>
      <c r="I405" s="1">
        <v>8950</v>
      </c>
      <c r="J405" s="1"/>
      <c r="L405" s="12">
        <v>610</v>
      </c>
      <c r="M405" s="12" t="s">
        <v>471</v>
      </c>
      <c r="N405" s="12">
        <v>4413</v>
      </c>
      <c r="O405" s="12">
        <v>8</v>
      </c>
      <c r="P405" s="12">
        <v>0</v>
      </c>
      <c r="Q405" s="12">
        <v>0</v>
      </c>
      <c r="R405" s="12">
        <v>0</v>
      </c>
      <c r="S405" s="18">
        <v>596</v>
      </c>
    </row>
    <row r="406" spans="1:19" x14ac:dyDescent="0.25">
      <c r="A406" t="s">
        <v>146</v>
      </c>
      <c r="B406" t="s">
        <v>458</v>
      </c>
      <c r="C406" s="1">
        <f>1862+176+1332</f>
        <v>3370</v>
      </c>
      <c r="D406" s="1">
        <f>25+1+125+25</f>
        <v>176</v>
      </c>
      <c r="E406" s="1">
        <v>0</v>
      </c>
      <c r="F406" s="1">
        <v>0</v>
      </c>
      <c r="G406" s="1">
        <v>0</v>
      </c>
      <c r="H406" s="1">
        <v>8217</v>
      </c>
      <c r="I406" s="1">
        <v>1482</v>
      </c>
      <c r="J406" s="1"/>
      <c r="L406" s="10">
        <v>116</v>
      </c>
      <c r="M406" s="10" t="s">
        <v>472</v>
      </c>
      <c r="N406" s="10">
        <v>14130</v>
      </c>
      <c r="O406" s="10">
        <v>129</v>
      </c>
      <c r="P406" s="10">
        <v>0</v>
      </c>
      <c r="Q406" s="10">
        <v>0</v>
      </c>
      <c r="R406" s="10">
        <v>0</v>
      </c>
      <c r="S406" s="19">
        <v>3845</v>
      </c>
    </row>
    <row r="407" spans="1:19" x14ac:dyDescent="0.25">
      <c r="A407" t="s">
        <v>83</v>
      </c>
      <c r="B407" t="s">
        <v>459</v>
      </c>
      <c r="C407" s="1">
        <f>1820+7+840</f>
        <v>2667</v>
      </c>
      <c r="D407" s="1">
        <f>11+33</f>
        <v>44</v>
      </c>
      <c r="E407" s="1">
        <v>0</v>
      </c>
      <c r="F407" s="1">
        <v>0</v>
      </c>
      <c r="G407" s="1">
        <v>0</v>
      </c>
      <c r="H407" s="1">
        <v>2258</v>
      </c>
      <c r="I407" s="1">
        <v>798</v>
      </c>
      <c r="J407" s="1"/>
      <c r="L407" s="12">
        <v>610</v>
      </c>
      <c r="M407" s="12" t="s">
        <v>473</v>
      </c>
      <c r="N407" s="12">
        <v>20611</v>
      </c>
      <c r="O407" s="12">
        <v>253</v>
      </c>
      <c r="P407" s="12">
        <v>0</v>
      </c>
      <c r="Q407" s="12">
        <v>0</v>
      </c>
      <c r="R407" s="12">
        <v>0</v>
      </c>
      <c r="S407" s="18">
        <v>5593</v>
      </c>
    </row>
    <row r="408" spans="1:19" x14ac:dyDescent="0.25">
      <c r="A408" t="s">
        <v>248</v>
      </c>
      <c r="B408" t="s">
        <v>460</v>
      </c>
      <c r="C408" s="1">
        <f>4785+49+7+6958+2+1</f>
        <v>11802</v>
      </c>
      <c r="D408" s="1">
        <f>1+54</f>
        <v>55</v>
      </c>
      <c r="E408" s="1">
        <v>0</v>
      </c>
      <c r="F408" s="1">
        <v>0</v>
      </c>
      <c r="G408" s="1">
        <v>0</v>
      </c>
      <c r="H408" s="1">
        <v>52827</v>
      </c>
      <c r="I408" s="1">
        <v>5839</v>
      </c>
      <c r="J408" s="1"/>
      <c r="L408" s="10">
        <v>616</v>
      </c>
      <c r="M408" s="10" t="s">
        <v>474</v>
      </c>
      <c r="N408" s="10">
        <v>23604</v>
      </c>
      <c r="O408" s="10">
        <v>169</v>
      </c>
      <c r="P408" s="10">
        <v>0</v>
      </c>
      <c r="Q408" s="10">
        <v>0</v>
      </c>
      <c r="R408" s="10">
        <v>0</v>
      </c>
      <c r="S408" s="19">
        <v>74845</v>
      </c>
    </row>
    <row r="409" spans="1:19" x14ac:dyDescent="0.25">
      <c r="A409" t="s">
        <v>248</v>
      </c>
      <c r="B409" t="s">
        <v>461</v>
      </c>
      <c r="C409" s="1">
        <f>10666+1+1+4318</f>
        <v>14986</v>
      </c>
      <c r="D409" s="1">
        <f>9+10+21</f>
        <v>40</v>
      </c>
      <c r="E409" s="1">
        <v>0</v>
      </c>
      <c r="F409" s="1">
        <v>0</v>
      </c>
      <c r="G409" s="1">
        <v>0</v>
      </c>
      <c r="H409" s="1">
        <v>15928</v>
      </c>
      <c r="I409" s="1">
        <v>3235</v>
      </c>
      <c r="J409" s="1"/>
      <c r="L409" s="12">
        <v>313</v>
      </c>
      <c r="M409" s="12" t="s">
        <v>475</v>
      </c>
      <c r="N409" s="12">
        <v>2267</v>
      </c>
      <c r="O409" s="12">
        <v>13</v>
      </c>
      <c r="P409" s="12">
        <v>0</v>
      </c>
      <c r="Q409" s="12">
        <v>0</v>
      </c>
      <c r="R409" s="12">
        <v>0</v>
      </c>
      <c r="S409" s="18">
        <v>17061</v>
      </c>
    </row>
    <row r="410" spans="1:19" x14ac:dyDescent="0.25">
      <c r="A410" t="s">
        <v>226</v>
      </c>
      <c r="B410" t="s">
        <v>462</v>
      </c>
      <c r="C410" s="1"/>
      <c r="D410" s="1"/>
      <c r="E410" s="1"/>
      <c r="F410" s="1"/>
      <c r="G410" s="1"/>
      <c r="H410" s="1"/>
      <c r="I410" s="1"/>
      <c r="J410" s="1"/>
      <c r="L410" s="10">
        <v>611</v>
      </c>
      <c r="M410" s="10" t="s">
        <v>476</v>
      </c>
      <c r="N410" s="10">
        <v>12405</v>
      </c>
      <c r="O410" s="10">
        <v>24</v>
      </c>
      <c r="P410" s="10">
        <v>0</v>
      </c>
      <c r="Q410" s="10">
        <v>0</v>
      </c>
      <c r="R410" s="10">
        <v>0</v>
      </c>
      <c r="S410" s="19">
        <v>4075</v>
      </c>
    </row>
    <row r="411" spans="1:19" x14ac:dyDescent="0.25">
      <c r="A411" t="s">
        <v>802</v>
      </c>
      <c r="B411" t="s">
        <v>463</v>
      </c>
      <c r="C411" s="1"/>
      <c r="D411" s="1"/>
      <c r="E411" s="1"/>
      <c r="F411" s="1"/>
      <c r="G411" s="1"/>
      <c r="H411" s="1"/>
      <c r="I411" s="1"/>
      <c r="J411" s="1"/>
      <c r="L411" s="12">
        <v>712</v>
      </c>
      <c r="M411" s="12" t="s">
        <v>477</v>
      </c>
      <c r="N411" s="12">
        <v>23056</v>
      </c>
      <c r="O411" s="12">
        <v>126</v>
      </c>
      <c r="P411" s="12">
        <v>0</v>
      </c>
      <c r="Q411" s="12">
        <v>0</v>
      </c>
      <c r="R411" s="12">
        <v>0</v>
      </c>
      <c r="S411" s="18">
        <v>14561</v>
      </c>
    </row>
    <row r="412" spans="1:19" x14ac:dyDescent="0.25">
      <c r="A412" t="s">
        <v>248</v>
      </c>
      <c r="B412" t="s">
        <v>464</v>
      </c>
      <c r="C412" s="1">
        <f>6486+1+879</f>
        <v>7366</v>
      </c>
      <c r="D412" s="1">
        <v>7</v>
      </c>
      <c r="E412" s="1">
        <v>0</v>
      </c>
      <c r="F412" s="1">
        <v>0</v>
      </c>
      <c r="G412" s="1">
        <v>0</v>
      </c>
      <c r="H412" s="1">
        <v>4650</v>
      </c>
      <c r="I412" s="1">
        <v>863</v>
      </c>
      <c r="J412" s="1"/>
      <c r="L412" s="10">
        <v>712</v>
      </c>
      <c r="M412" s="10" t="s">
        <v>478</v>
      </c>
      <c r="N412" s="10">
        <v>18225</v>
      </c>
      <c r="O412" s="10">
        <v>155</v>
      </c>
      <c r="P412" s="10">
        <v>0</v>
      </c>
      <c r="Q412" s="10">
        <v>0</v>
      </c>
      <c r="R412" s="10">
        <v>0</v>
      </c>
      <c r="S412" s="19">
        <v>8485</v>
      </c>
    </row>
    <row r="413" spans="1:19" x14ac:dyDescent="0.25">
      <c r="A413" t="s">
        <v>101</v>
      </c>
      <c r="B413" t="s">
        <v>465</v>
      </c>
      <c r="C413" s="1">
        <f>6773+3+2+2776+2</f>
        <v>9556</v>
      </c>
      <c r="D413" s="1">
        <v>7</v>
      </c>
      <c r="E413" s="1">
        <v>0</v>
      </c>
      <c r="F413" s="1">
        <v>0</v>
      </c>
      <c r="G413" s="1">
        <v>0</v>
      </c>
      <c r="H413" s="1">
        <v>19782</v>
      </c>
      <c r="I413" s="1">
        <v>2799</v>
      </c>
      <c r="J413" s="1"/>
      <c r="L413" s="12">
        <v>113</v>
      </c>
      <c r="M413" s="12" t="s">
        <v>479</v>
      </c>
      <c r="N413" s="12"/>
      <c r="O413" s="12"/>
      <c r="P413" s="12"/>
      <c r="Q413" s="12"/>
      <c r="R413" s="12"/>
      <c r="S413" s="18"/>
    </row>
    <row r="414" spans="1:19" x14ac:dyDescent="0.25">
      <c r="A414" t="s">
        <v>185</v>
      </c>
      <c r="B414" t="s">
        <v>466</v>
      </c>
      <c r="C414" s="1">
        <f>7663+11+96+6+18+12+4+54+214+29+1341+38</f>
        <v>9486</v>
      </c>
      <c r="D414" s="1">
        <f>11+34</f>
        <v>45</v>
      </c>
      <c r="E414" s="1">
        <v>0</v>
      </c>
      <c r="F414" s="1">
        <v>0</v>
      </c>
      <c r="G414" s="1">
        <v>0</v>
      </c>
      <c r="H414" s="1">
        <v>2632</v>
      </c>
      <c r="I414" s="1">
        <v>1274</v>
      </c>
      <c r="J414" s="1"/>
      <c r="L414" s="10">
        <v>700</v>
      </c>
      <c r="M414" s="10" t="s">
        <v>480</v>
      </c>
      <c r="N414" s="10">
        <v>14404</v>
      </c>
      <c r="O414" s="10">
        <v>0</v>
      </c>
      <c r="P414" s="10">
        <v>0</v>
      </c>
      <c r="Q414" s="10">
        <v>0</v>
      </c>
      <c r="R414" s="10">
        <v>0</v>
      </c>
      <c r="S414" s="19">
        <v>2059</v>
      </c>
    </row>
    <row r="415" spans="1:19" x14ac:dyDescent="0.25">
      <c r="A415" t="s">
        <v>512</v>
      </c>
      <c r="B415" t="s">
        <v>467</v>
      </c>
      <c r="C415" s="1">
        <f>3857+16+2+3+1726</f>
        <v>5604</v>
      </c>
      <c r="D415" s="1">
        <v>7</v>
      </c>
      <c r="E415" s="1">
        <v>0</v>
      </c>
      <c r="F415" s="1">
        <v>0</v>
      </c>
      <c r="G415" s="1">
        <v>0</v>
      </c>
      <c r="H415" s="1">
        <v>6601</v>
      </c>
      <c r="I415" s="1">
        <v>1468</v>
      </c>
      <c r="J415" s="1"/>
      <c r="L415" s="12">
        <v>313</v>
      </c>
      <c r="M415" s="12" t="s">
        <v>481</v>
      </c>
      <c r="N415" s="12">
        <v>4837</v>
      </c>
      <c r="O415" s="12">
        <v>64</v>
      </c>
      <c r="P415" s="12">
        <v>0</v>
      </c>
      <c r="Q415" s="12">
        <v>0</v>
      </c>
      <c r="R415" s="12">
        <v>0</v>
      </c>
      <c r="S415" s="18">
        <v>1043</v>
      </c>
    </row>
    <row r="416" spans="1:19" x14ac:dyDescent="0.25">
      <c r="A416" s="27" t="s">
        <v>10</v>
      </c>
      <c r="B416" s="32" t="s">
        <v>781</v>
      </c>
      <c r="C416" s="1"/>
      <c r="D416" s="1"/>
      <c r="E416" s="1"/>
      <c r="F416" s="1"/>
      <c r="G416" s="1"/>
      <c r="H416" s="1"/>
      <c r="I416" s="1"/>
      <c r="J416" s="1"/>
      <c r="L416" s="10">
        <v>500</v>
      </c>
      <c r="M416" s="10" t="s">
        <v>482</v>
      </c>
      <c r="N416" s="10">
        <v>908</v>
      </c>
      <c r="O416" s="10">
        <v>0</v>
      </c>
      <c r="P416" s="10">
        <v>0</v>
      </c>
      <c r="Q416" s="10">
        <v>0</v>
      </c>
      <c r="R416" s="10">
        <v>0</v>
      </c>
      <c r="S416" s="19">
        <v>370</v>
      </c>
    </row>
    <row r="417" spans="1:19" x14ac:dyDescent="0.25">
      <c r="A417" t="s">
        <v>140</v>
      </c>
      <c r="B417" t="s">
        <v>468</v>
      </c>
      <c r="C417" s="1">
        <f>2482+33+1+10+1994+17</f>
        <v>4537</v>
      </c>
      <c r="D417" s="1">
        <f>10+10+1</f>
        <v>21</v>
      </c>
      <c r="E417" s="1">
        <v>0</v>
      </c>
      <c r="F417" s="1">
        <v>0</v>
      </c>
      <c r="G417" s="1">
        <v>0</v>
      </c>
      <c r="H417" s="1">
        <v>1909</v>
      </c>
      <c r="I417" s="1">
        <v>1707</v>
      </c>
      <c r="J417" s="1"/>
      <c r="L417" s="12">
        <v>312</v>
      </c>
      <c r="M417" s="12" t="s">
        <v>483</v>
      </c>
      <c r="N417" s="12">
        <v>13964</v>
      </c>
      <c r="O417" s="12">
        <v>66</v>
      </c>
      <c r="P417" s="12">
        <v>0</v>
      </c>
      <c r="Q417" s="12">
        <v>0</v>
      </c>
      <c r="R417" s="12">
        <v>0</v>
      </c>
      <c r="S417" s="18">
        <v>37456</v>
      </c>
    </row>
    <row r="418" spans="1:19" x14ac:dyDescent="0.25">
      <c r="A418" t="s">
        <v>817</v>
      </c>
      <c r="B418" t="s">
        <v>469</v>
      </c>
      <c r="C418" s="1">
        <f>92793+2+1231</f>
        <v>94026</v>
      </c>
      <c r="D418" s="1">
        <v>1</v>
      </c>
      <c r="E418" s="1">
        <v>0</v>
      </c>
      <c r="F418" s="1">
        <v>0</v>
      </c>
      <c r="G418" s="1">
        <v>0</v>
      </c>
      <c r="H418" s="1">
        <v>22892</v>
      </c>
      <c r="I418" s="1">
        <v>948</v>
      </c>
      <c r="J418" s="1"/>
      <c r="L418" s="10">
        <v>711</v>
      </c>
      <c r="M418" s="10" t="s">
        <v>484</v>
      </c>
      <c r="N418" s="10">
        <v>16058</v>
      </c>
      <c r="O418" s="10">
        <v>1</v>
      </c>
      <c r="P418" s="10">
        <v>0</v>
      </c>
      <c r="Q418" s="10">
        <v>0</v>
      </c>
      <c r="R418" s="10">
        <v>0</v>
      </c>
      <c r="S418" s="19">
        <v>31315</v>
      </c>
    </row>
    <row r="419" spans="1:19" x14ac:dyDescent="0.25">
      <c r="A419" t="s">
        <v>791</v>
      </c>
      <c r="B419" t="s">
        <v>470</v>
      </c>
      <c r="C419" s="1"/>
      <c r="D419" s="1"/>
      <c r="E419" s="1"/>
      <c r="F419" s="1"/>
      <c r="G419" s="1"/>
      <c r="H419" s="1"/>
      <c r="I419" s="1"/>
      <c r="J419" s="1"/>
      <c r="L419" s="12">
        <v>715</v>
      </c>
      <c r="M419" s="12" t="s">
        <v>485</v>
      </c>
      <c r="N419" s="12">
        <v>8417</v>
      </c>
      <c r="O419" s="12">
        <v>0</v>
      </c>
      <c r="P419" s="12">
        <v>0</v>
      </c>
      <c r="Q419" s="12">
        <v>0</v>
      </c>
      <c r="R419" s="12">
        <v>0</v>
      </c>
      <c r="S419" s="18">
        <v>5097</v>
      </c>
    </row>
    <row r="420" spans="1:19" x14ac:dyDescent="0.25">
      <c r="A420" t="s">
        <v>788</v>
      </c>
      <c r="B420" t="s">
        <v>471</v>
      </c>
      <c r="C420" s="1">
        <f>3698+715</f>
        <v>4413</v>
      </c>
      <c r="D420" s="1">
        <v>8</v>
      </c>
      <c r="E420" s="1">
        <v>0</v>
      </c>
      <c r="F420" s="1">
        <v>0</v>
      </c>
      <c r="G420" s="1">
        <v>0</v>
      </c>
      <c r="H420" s="1">
        <v>596</v>
      </c>
      <c r="I420" s="1">
        <v>674</v>
      </c>
      <c r="J420" s="1"/>
      <c r="L420" s="10">
        <v>110</v>
      </c>
      <c r="M420" s="10" t="s">
        <v>486</v>
      </c>
      <c r="N420" s="10">
        <v>15728</v>
      </c>
      <c r="O420" s="10">
        <v>0</v>
      </c>
      <c r="P420" s="10">
        <v>0</v>
      </c>
      <c r="Q420" s="10">
        <v>0</v>
      </c>
      <c r="R420" s="10">
        <v>0</v>
      </c>
      <c r="S420" s="19">
        <v>7</v>
      </c>
    </row>
    <row r="421" spans="1:19" x14ac:dyDescent="0.25">
      <c r="A421" t="s">
        <v>795</v>
      </c>
      <c r="B421" t="s">
        <v>472</v>
      </c>
      <c r="C421" s="1"/>
      <c r="D421" s="1"/>
      <c r="E421" s="1"/>
      <c r="F421" s="1"/>
      <c r="G421" s="1"/>
      <c r="H421" s="1"/>
      <c r="I421" s="1"/>
      <c r="J421" s="1"/>
      <c r="L421" s="12">
        <v>212</v>
      </c>
      <c r="M421" s="12" t="s">
        <v>487</v>
      </c>
      <c r="N421" s="12"/>
      <c r="O421" s="12"/>
      <c r="P421" s="12"/>
      <c r="Q421" s="12"/>
      <c r="R421" s="12"/>
      <c r="S421" s="18"/>
    </row>
    <row r="422" spans="1:19" x14ac:dyDescent="0.25">
      <c r="A422" t="s">
        <v>788</v>
      </c>
      <c r="B422" t="s">
        <v>473</v>
      </c>
      <c r="C422" s="1">
        <f>13690+8+1+1+2+6909</f>
        <v>20611</v>
      </c>
      <c r="D422" s="1">
        <f>206+31+13+1+2</f>
        <v>253</v>
      </c>
      <c r="E422" s="1">
        <v>0</v>
      </c>
      <c r="F422" s="1">
        <v>0</v>
      </c>
      <c r="G422" s="1">
        <v>0</v>
      </c>
      <c r="H422" s="1">
        <v>5593</v>
      </c>
      <c r="I422" s="1">
        <v>6372</v>
      </c>
      <c r="J422" s="1"/>
      <c r="L422" s="10">
        <v>300</v>
      </c>
      <c r="M422" s="10" t="s">
        <v>488</v>
      </c>
      <c r="N422" s="10"/>
      <c r="O422" s="10"/>
      <c r="P422" s="10"/>
      <c r="Q422" s="10"/>
      <c r="R422" s="10"/>
      <c r="S422" s="19"/>
    </row>
    <row r="423" spans="1:19" x14ac:dyDescent="0.25">
      <c r="A423" t="s">
        <v>817</v>
      </c>
      <c r="B423" t="s">
        <v>474</v>
      </c>
      <c r="C423" s="1">
        <f>6945+2+2+16655</f>
        <v>23604</v>
      </c>
      <c r="D423" s="1">
        <f>103+1+65</f>
        <v>169</v>
      </c>
      <c r="E423" s="1">
        <v>0</v>
      </c>
      <c r="F423" s="1">
        <v>0</v>
      </c>
      <c r="G423" s="1">
        <v>0</v>
      </c>
      <c r="H423" s="1">
        <v>74845</v>
      </c>
      <c r="I423" s="1">
        <v>12167</v>
      </c>
      <c r="J423" s="1"/>
      <c r="L423" s="12" t="s">
        <v>820</v>
      </c>
      <c r="M423" s="12" t="s">
        <v>489</v>
      </c>
      <c r="N423" s="12">
        <v>9273</v>
      </c>
      <c r="O423" s="12">
        <v>4</v>
      </c>
      <c r="P423" s="12">
        <v>0</v>
      </c>
      <c r="Q423" s="12">
        <v>0</v>
      </c>
      <c r="R423" s="12">
        <v>0</v>
      </c>
      <c r="S423" s="18">
        <v>8504</v>
      </c>
    </row>
    <row r="424" spans="1:19" x14ac:dyDescent="0.25">
      <c r="A424" t="s">
        <v>512</v>
      </c>
      <c r="B424" t="s">
        <v>475</v>
      </c>
      <c r="C424" s="1">
        <f>1856+11+400</f>
        <v>2267</v>
      </c>
      <c r="D424" s="1">
        <v>13</v>
      </c>
      <c r="E424" s="1">
        <v>0</v>
      </c>
      <c r="F424" s="1">
        <v>0</v>
      </c>
      <c r="G424" s="1">
        <v>0</v>
      </c>
      <c r="H424" s="1">
        <v>17061</v>
      </c>
      <c r="I424" s="1">
        <v>451</v>
      </c>
      <c r="J424" s="1"/>
      <c r="L424" s="10">
        <v>711</v>
      </c>
      <c r="M424" s="10" t="s">
        <v>491</v>
      </c>
      <c r="N424" s="10">
        <v>9705</v>
      </c>
      <c r="O424" s="10">
        <v>334</v>
      </c>
      <c r="P424" s="10">
        <v>0</v>
      </c>
      <c r="Q424" s="10">
        <v>0</v>
      </c>
      <c r="R424" s="10">
        <v>0</v>
      </c>
      <c r="S424" s="19">
        <v>7862</v>
      </c>
    </row>
    <row r="425" spans="1:19" x14ac:dyDescent="0.25">
      <c r="A425" t="s">
        <v>146</v>
      </c>
      <c r="B425" t="s">
        <v>476</v>
      </c>
      <c r="C425" s="1">
        <f>8966+3439</f>
        <v>12405</v>
      </c>
      <c r="D425" s="1">
        <f>2+22</f>
        <v>24</v>
      </c>
      <c r="E425" s="1">
        <v>0</v>
      </c>
      <c r="F425" s="1">
        <v>0</v>
      </c>
      <c r="G425" s="1">
        <v>0</v>
      </c>
      <c r="H425" s="1">
        <v>4075</v>
      </c>
      <c r="I425" s="1">
        <v>3497</v>
      </c>
      <c r="J425" s="1"/>
      <c r="L425" s="12">
        <v>715</v>
      </c>
      <c r="M425" s="12" t="s">
        <v>492</v>
      </c>
      <c r="N425" s="12">
        <v>4108</v>
      </c>
      <c r="O425" s="12">
        <v>1</v>
      </c>
      <c r="P425" s="12">
        <v>0</v>
      </c>
      <c r="Q425" s="12">
        <v>0</v>
      </c>
      <c r="R425" s="12">
        <v>0</v>
      </c>
      <c r="S425" s="18">
        <v>6419</v>
      </c>
    </row>
    <row r="426" spans="1:19" x14ac:dyDescent="0.25">
      <c r="A426" t="s">
        <v>76</v>
      </c>
      <c r="B426" t="s">
        <v>477</v>
      </c>
      <c r="C426" s="1">
        <f>13328+24+9628+76</f>
        <v>23056</v>
      </c>
      <c r="D426" s="1">
        <f>72+38+16</f>
        <v>126</v>
      </c>
      <c r="E426" s="1">
        <v>0</v>
      </c>
      <c r="F426" s="1">
        <v>0</v>
      </c>
      <c r="G426" s="1">
        <v>0</v>
      </c>
      <c r="H426" s="1">
        <v>14561</v>
      </c>
      <c r="I426" s="1">
        <v>7465</v>
      </c>
      <c r="J426" s="1"/>
      <c r="L426" s="10">
        <v>100</v>
      </c>
      <c r="M426" s="10" t="s">
        <v>493</v>
      </c>
      <c r="N426" s="10">
        <v>4949</v>
      </c>
      <c r="O426" s="10">
        <v>165</v>
      </c>
      <c r="P426" s="10">
        <v>0</v>
      </c>
      <c r="Q426" s="10">
        <v>0</v>
      </c>
      <c r="R426" s="10">
        <v>0</v>
      </c>
      <c r="S426" s="19">
        <v>10631</v>
      </c>
    </row>
    <row r="427" spans="1:19" x14ac:dyDescent="0.25">
      <c r="A427" t="s">
        <v>76</v>
      </c>
      <c r="B427" t="s">
        <v>478</v>
      </c>
      <c r="C427" s="1">
        <f>12304+164+5345+412</f>
        <v>18225</v>
      </c>
      <c r="D427" s="1">
        <v>155</v>
      </c>
      <c r="E427" s="1">
        <v>0</v>
      </c>
      <c r="F427" s="1">
        <v>0</v>
      </c>
      <c r="G427" s="1">
        <v>0</v>
      </c>
      <c r="H427" s="1">
        <v>8485</v>
      </c>
      <c r="I427" s="1">
        <v>5038</v>
      </c>
      <c r="J427" s="1"/>
      <c r="L427" s="12" t="s">
        <v>815</v>
      </c>
      <c r="M427" s="12" t="s">
        <v>494</v>
      </c>
      <c r="N427" s="12">
        <v>4210</v>
      </c>
      <c r="O427" s="12">
        <v>0</v>
      </c>
      <c r="P427" s="12">
        <v>0</v>
      </c>
      <c r="Q427" s="12">
        <v>0</v>
      </c>
      <c r="R427" s="12">
        <v>0</v>
      </c>
      <c r="S427" s="18">
        <v>12069</v>
      </c>
    </row>
    <row r="428" spans="1:19" x14ac:dyDescent="0.25">
      <c r="A428" t="s">
        <v>823</v>
      </c>
      <c r="B428" t="s">
        <v>479</v>
      </c>
      <c r="C428" s="1"/>
      <c r="D428" s="1"/>
      <c r="E428" s="1"/>
      <c r="F428" s="1"/>
      <c r="G428" s="1"/>
      <c r="H428" s="1"/>
      <c r="I428" s="1"/>
      <c r="J428" s="1"/>
      <c r="L428" s="10">
        <v>613</v>
      </c>
      <c r="M428" s="10" t="s">
        <v>496</v>
      </c>
      <c r="N428" s="10">
        <v>48349</v>
      </c>
      <c r="O428" s="10">
        <v>164</v>
      </c>
      <c r="P428" s="10">
        <v>0</v>
      </c>
      <c r="Q428" s="10">
        <v>0</v>
      </c>
      <c r="R428" s="10">
        <v>0</v>
      </c>
      <c r="S428" s="19">
        <v>11799</v>
      </c>
    </row>
    <row r="429" spans="1:19" x14ac:dyDescent="0.25">
      <c r="A429" t="s">
        <v>83</v>
      </c>
      <c r="B429" t="s">
        <v>480</v>
      </c>
      <c r="C429" s="1">
        <f>12174+2+2225+2+1</f>
        <v>14404</v>
      </c>
      <c r="D429" s="1">
        <v>0</v>
      </c>
      <c r="E429" s="1">
        <v>0</v>
      </c>
      <c r="F429" s="1">
        <v>0</v>
      </c>
      <c r="G429" s="1">
        <v>0</v>
      </c>
      <c r="H429" s="1">
        <v>2059</v>
      </c>
      <c r="I429" s="1">
        <v>2122</v>
      </c>
      <c r="J429" s="1"/>
      <c r="L429" s="12">
        <v>100</v>
      </c>
      <c r="M429" s="12" t="s">
        <v>497</v>
      </c>
      <c r="N429" s="12">
        <v>5642</v>
      </c>
      <c r="O429" s="12">
        <v>0</v>
      </c>
      <c r="P429" s="12">
        <v>0</v>
      </c>
      <c r="Q429" s="12">
        <v>0</v>
      </c>
      <c r="R429" s="12">
        <v>0</v>
      </c>
      <c r="S429" s="18">
        <v>4937</v>
      </c>
    </row>
    <row r="430" spans="1:19" x14ac:dyDescent="0.25">
      <c r="A430" t="s">
        <v>512</v>
      </c>
      <c r="B430" t="s">
        <v>481</v>
      </c>
      <c r="C430" s="1">
        <f>4378+459</f>
        <v>4837</v>
      </c>
      <c r="D430" s="1">
        <f>2+62</f>
        <v>64</v>
      </c>
      <c r="E430" s="1">
        <v>0</v>
      </c>
      <c r="F430" s="1">
        <v>0</v>
      </c>
      <c r="G430" s="1">
        <v>0</v>
      </c>
      <c r="H430" s="1">
        <v>1043</v>
      </c>
      <c r="I430" s="1">
        <v>349</v>
      </c>
      <c r="J430" s="1"/>
      <c r="L430" s="12">
        <v>712</v>
      </c>
      <c r="M430" s="12" t="s">
        <v>501</v>
      </c>
      <c r="N430" s="12">
        <v>2192</v>
      </c>
      <c r="O430" s="12">
        <v>0</v>
      </c>
      <c r="P430" s="12">
        <v>0</v>
      </c>
      <c r="Q430" s="12">
        <v>0</v>
      </c>
      <c r="R430" s="12">
        <v>0</v>
      </c>
      <c r="S430" s="18">
        <v>0</v>
      </c>
    </row>
    <row r="431" spans="1:19" x14ac:dyDescent="0.25">
      <c r="A431" t="s">
        <v>824</v>
      </c>
      <c r="B431" t="s">
        <v>482</v>
      </c>
      <c r="C431" s="1">
        <f>694+214</f>
        <v>908</v>
      </c>
      <c r="D431" s="1">
        <v>0</v>
      </c>
      <c r="E431" s="1">
        <v>0</v>
      </c>
      <c r="F431" s="1">
        <v>0</v>
      </c>
      <c r="G431" s="1">
        <v>0</v>
      </c>
      <c r="H431" s="1">
        <v>370</v>
      </c>
      <c r="I431" s="1">
        <v>130</v>
      </c>
      <c r="J431" s="1"/>
      <c r="L431" s="10">
        <v>616</v>
      </c>
      <c r="M431" s="10" t="s">
        <v>502</v>
      </c>
      <c r="N431" s="10"/>
      <c r="O431" s="10"/>
      <c r="P431" s="10"/>
      <c r="Q431" s="10"/>
      <c r="R431" s="10"/>
      <c r="S431" s="19"/>
    </row>
    <row r="432" spans="1:19" x14ac:dyDescent="0.25">
      <c r="A432" t="s">
        <v>72</v>
      </c>
      <c r="B432" t="s">
        <v>483</v>
      </c>
      <c r="C432" s="1">
        <f>12185+5+1773+1</f>
        <v>13964</v>
      </c>
      <c r="D432" s="1">
        <f>8+2+56</f>
        <v>66</v>
      </c>
      <c r="E432" s="1">
        <v>0</v>
      </c>
      <c r="F432" s="1">
        <v>0</v>
      </c>
      <c r="G432" s="1">
        <v>0</v>
      </c>
      <c r="H432" s="1">
        <v>37456</v>
      </c>
      <c r="I432" s="1">
        <v>1699</v>
      </c>
      <c r="J432" s="1"/>
      <c r="L432" s="12">
        <v>114</v>
      </c>
      <c r="M432" s="12" t="s">
        <v>503</v>
      </c>
      <c r="N432" s="12">
        <v>468</v>
      </c>
      <c r="O432" s="12">
        <v>0</v>
      </c>
      <c r="P432" s="12">
        <v>0</v>
      </c>
      <c r="Q432" s="12">
        <v>0</v>
      </c>
      <c r="R432" s="12">
        <v>0</v>
      </c>
      <c r="S432" s="18">
        <v>0</v>
      </c>
    </row>
    <row r="433" spans="1:19" x14ac:dyDescent="0.25">
      <c r="A433" t="s">
        <v>801</v>
      </c>
      <c r="B433" t="s">
        <v>484</v>
      </c>
      <c r="C433" s="1">
        <f>8426+45+7+3+7001+572+4</f>
        <v>16058</v>
      </c>
      <c r="D433" s="1">
        <v>1</v>
      </c>
      <c r="E433" s="1">
        <v>0</v>
      </c>
      <c r="F433" s="1">
        <v>0</v>
      </c>
      <c r="G433" s="1">
        <v>0</v>
      </c>
      <c r="H433" s="1">
        <v>31315</v>
      </c>
      <c r="I433" s="1">
        <v>7026</v>
      </c>
      <c r="J433" s="1"/>
      <c r="L433" s="10">
        <v>712</v>
      </c>
      <c r="M433" s="10" t="s">
        <v>504</v>
      </c>
      <c r="N433" s="10">
        <v>1171</v>
      </c>
      <c r="O433" s="10">
        <v>0</v>
      </c>
      <c r="P433" s="10">
        <v>0</v>
      </c>
      <c r="Q433" s="10">
        <v>0</v>
      </c>
      <c r="R433" s="10">
        <v>0</v>
      </c>
      <c r="S433" s="19">
        <v>0</v>
      </c>
    </row>
    <row r="434" spans="1:19" x14ac:dyDescent="0.25">
      <c r="A434" t="s">
        <v>818</v>
      </c>
      <c r="B434" t="s">
        <v>485</v>
      </c>
      <c r="C434" s="1">
        <f>3584+127+4706</f>
        <v>8417</v>
      </c>
      <c r="D434" s="1">
        <v>0</v>
      </c>
      <c r="E434" s="1">
        <v>0</v>
      </c>
      <c r="F434" s="1">
        <v>0</v>
      </c>
      <c r="G434" s="1">
        <v>0</v>
      </c>
      <c r="H434" s="1">
        <v>5097</v>
      </c>
      <c r="I434" s="1">
        <v>2481</v>
      </c>
      <c r="J434" s="1"/>
      <c r="L434" s="12">
        <v>616</v>
      </c>
      <c r="M434" s="12" t="s">
        <v>505</v>
      </c>
      <c r="N434" s="12"/>
      <c r="O434" s="12"/>
      <c r="P434" s="12"/>
      <c r="Q434" s="12"/>
      <c r="R434" s="12"/>
      <c r="S434" s="18"/>
    </row>
    <row r="435" spans="1:19" x14ac:dyDescent="0.25">
      <c r="A435" t="s">
        <v>797</v>
      </c>
      <c r="B435" t="s">
        <v>486</v>
      </c>
      <c r="C435" s="1"/>
      <c r="D435" s="1"/>
      <c r="E435" s="1"/>
      <c r="F435" s="1"/>
      <c r="G435" s="1"/>
      <c r="H435" s="1"/>
      <c r="I435" s="1"/>
      <c r="J435" s="1"/>
      <c r="L435" s="10">
        <v>500</v>
      </c>
      <c r="M435" s="10" t="s">
        <v>506</v>
      </c>
      <c r="N435" s="10">
        <v>246</v>
      </c>
      <c r="O435" s="10">
        <v>0</v>
      </c>
      <c r="P435" s="10">
        <v>0</v>
      </c>
      <c r="Q435" s="10">
        <v>0</v>
      </c>
      <c r="R435" s="10">
        <v>0</v>
      </c>
      <c r="S435" s="19">
        <v>0</v>
      </c>
    </row>
    <row r="436" spans="1:19" x14ac:dyDescent="0.25">
      <c r="A436" t="s">
        <v>804</v>
      </c>
      <c r="B436" t="s">
        <v>487</v>
      </c>
      <c r="C436" s="1"/>
      <c r="D436" s="1"/>
      <c r="E436" s="1"/>
      <c r="F436" s="1"/>
      <c r="G436" s="1"/>
      <c r="H436" s="1"/>
      <c r="I436" s="1"/>
      <c r="J436" s="1"/>
      <c r="L436" s="12">
        <v>616</v>
      </c>
      <c r="M436" s="12" t="s">
        <v>507</v>
      </c>
      <c r="N436" s="12">
        <v>941</v>
      </c>
      <c r="O436" s="12">
        <v>0</v>
      </c>
      <c r="P436" s="12">
        <v>0</v>
      </c>
      <c r="Q436" s="12">
        <v>0</v>
      </c>
      <c r="R436" s="12">
        <v>0</v>
      </c>
      <c r="S436" s="18">
        <v>0</v>
      </c>
    </row>
    <row r="437" spans="1:19" x14ac:dyDescent="0.25">
      <c r="A437" t="s">
        <v>226</v>
      </c>
      <c r="B437" t="s">
        <v>488</v>
      </c>
      <c r="C437" s="1"/>
      <c r="D437" s="1"/>
      <c r="E437" s="1"/>
      <c r="F437" s="1"/>
      <c r="G437" s="1"/>
      <c r="H437" s="1"/>
      <c r="I437" s="1"/>
      <c r="J437" s="1"/>
      <c r="L437" s="10">
        <v>616</v>
      </c>
      <c r="M437" s="10" t="s">
        <v>508</v>
      </c>
      <c r="N437" s="10">
        <v>726</v>
      </c>
      <c r="O437" s="10">
        <v>0</v>
      </c>
      <c r="P437" s="10">
        <v>0</v>
      </c>
      <c r="Q437" s="10">
        <v>0</v>
      </c>
      <c r="R437" s="10">
        <v>0</v>
      </c>
      <c r="S437" s="19">
        <v>0</v>
      </c>
    </row>
    <row r="438" spans="1:19" x14ac:dyDescent="0.25">
      <c r="A438" t="s">
        <v>265</v>
      </c>
      <c r="B438" t="s">
        <v>489</v>
      </c>
      <c r="C438" s="1">
        <f>7635+19+1619</f>
        <v>9273</v>
      </c>
      <c r="D438" s="1">
        <f>2+2</f>
        <v>4</v>
      </c>
      <c r="E438" s="1">
        <v>0</v>
      </c>
      <c r="F438" s="1">
        <v>0</v>
      </c>
      <c r="G438" s="1">
        <v>0</v>
      </c>
      <c r="H438" s="1">
        <v>8504</v>
      </c>
      <c r="I438" s="1">
        <v>1486</v>
      </c>
      <c r="J438" s="1"/>
      <c r="L438" s="12">
        <v>711</v>
      </c>
      <c r="M438" s="12" t="s">
        <v>509</v>
      </c>
      <c r="N438" s="12"/>
      <c r="O438" s="12"/>
      <c r="P438" s="12"/>
      <c r="Q438" s="12"/>
      <c r="R438" s="12"/>
      <c r="S438" s="18"/>
    </row>
    <row r="439" spans="1:19" x14ac:dyDescent="0.25">
      <c r="A439" t="s">
        <v>10</v>
      </c>
      <c r="B439" s="1" t="s">
        <v>490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/>
      <c r="L439" s="10">
        <v>711</v>
      </c>
      <c r="M439" s="10" t="s">
        <v>510</v>
      </c>
      <c r="N439" s="10">
        <v>3916</v>
      </c>
      <c r="O439" s="10">
        <v>0</v>
      </c>
      <c r="P439" s="10">
        <v>0</v>
      </c>
      <c r="Q439" s="10">
        <v>0</v>
      </c>
      <c r="R439" s="10">
        <v>0</v>
      </c>
      <c r="S439" s="19">
        <v>0</v>
      </c>
    </row>
    <row r="440" spans="1:19" x14ac:dyDescent="0.25">
      <c r="A440" t="s">
        <v>801</v>
      </c>
      <c r="B440" t="s">
        <v>491</v>
      </c>
      <c r="C440" s="1">
        <f>4435+7+2+5249+1+10+1</f>
        <v>9705</v>
      </c>
      <c r="D440" s="1">
        <f>34+218+82</f>
        <v>334</v>
      </c>
      <c r="E440" s="1">
        <v>0</v>
      </c>
      <c r="F440" s="1">
        <v>0</v>
      </c>
      <c r="G440" s="1">
        <v>0</v>
      </c>
      <c r="H440" s="1">
        <v>7862</v>
      </c>
      <c r="I440" s="1">
        <v>4647</v>
      </c>
      <c r="J440" s="1"/>
      <c r="L440" s="12">
        <v>114</v>
      </c>
      <c r="M440" s="12" t="s">
        <v>511</v>
      </c>
      <c r="N440" s="12">
        <v>478</v>
      </c>
      <c r="O440" s="12">
        <v>0</v>
      </c>
      <c r="P440" s="12">
        <v>0</v>
      </c>
      <c r="Q440" s="12">
        <v>0</v>
      </c>
      <c r="R440" s="12">
        <v>0</v>
      </c>
      <c r="S440" s="18">
        <v>0</v>
      </c>
    </row>
    <row r="441" spans="1:19" x14ac:dyDescent="0.25">
      <c r="A441" t="s">
        <v>818</v>
      </c>
      <c r="B441" t="s">
        <v>492</v>
      </c>
      <c r="C441" s="1">
        <f>3083+1+1024</f>
        <v>4108</v>
      </c>
      <c r="D441" s="1">
        <v>1</v>
      </c>
      <c r="E441" s="1">
        <v>0</v>
      </c>
      <c r="F441" s="1">
        <v>0</v>
      </c>
      <c r="G441" s="1">
        <v>0</v>
      </c>
      <c r="H441" s="1">
        <v>6419</v>
      </c>
      <c r="I441" s="1">
        <v>961</v>
      </c>
      <c r="J441" s="1"/>
      <c r="L441" s="10">
        <v>313</v>
      </c>
      <c r="M441" s="10" t="s">
        <v>513</v>
      </c>
      <c r="N441" s="10">
        <v>1206</v>
      </c>
      <c r="O441" s="10">
        <v>0</v>
      </c>
      <c r="P441" s="10">
        <v>0</v>
      </c>
      <c r="Q441" s="10">
        <v>0</v>
      </c>
      <c r="R441" s="10">
        <v>0</v>
      </c>
      <c r="S441" s="19">
        <v>0</v>
      </c>
    </row>
    <row r="442" spans="1:19" x14ac:dyDescent="0.25">
      <c r="A442" t="s">
        <v>791</v>
      </c>
      <c r="B442" t="s">
        <v>493</v>
      </c>
      <c r="C442" s="1"/>
      <c r="D442" s="1"/>
      <c r="E442" s="1"/>
      <c r="F442" s="1"/>
      <c r="G442" s="1"/>
      <c r="H442" s="1"/>
      <c r="I442" s="1"/>
      <c r="J442" s="1"/>
      <c r="L442" s="12">
        <v>616</v>
      </c>
      <c r="M442" s="12" t="s">
        <v>514</v>
      </c>
      <c r="N442" s="12">
        <v>1401</v>
      </c>
      <c r="O442" s="12">
        <v>0</v>
      </c>
      <c r="P442" s="12">
        <v>0</v>
      </c>
      <c r="Q442" s="12">
        <v>0</v>
      </c>
      <c r="R442" s="12">
        <v>0</v>
      </c>
      <c r="S442" s="18">
        <v>0</v>
      </c>
    </row>
    <row r="443" spans="1:19" x14ac:dyDescent="0.25">
      <c r="A443" t="s">
        <v>138</v>
      </c>
      <c r="B443" t="s">
        <v>494</v>
      </c>
      <c r="C443" s="1">
        <f>3751+1+458</f>
        <v>4210</v>
      </c>
      <c r="D443" s="1">
        <v>0</v>
      </c>
      <c r="E443" s="1">
        <v>0</v>
      </c>
      <c r="F443" s="1">
        <v>0</v>
      </c>
      <c r="G443" s="1">
        <v>0</v>
      </c>
      <c r="H443" s="1">
        <v>12069</v>
      </c>
      <c r="I443" s="1">
        <v>420</v>
      </c>
      <c r="J443" s="1"/>
      <c r="L443" s="10">
        <v>711</v>
      </c>
      <c r="M443" s="10" t="s">
        <v>515</v>
      </c>
      <c r="N443" s="10">
        <v>367</v>
      </c>
      <c r="O443" s="10">
        <v>0</v>
      </c>
      <c r="P443" s="10">
        <v>0</v>
      </c>
      <c r="Q443" s="10">
        <v>0</v>
      </c>
      <c r="R443" s="10">
        <v>0</v>
      </c>
      <c r="S443" s="19">
        <v>0</v>
      </c>
    </row>
    <row r="444" spans="1:19" x14ac:dyDescent="0.25">
      <c r="A444" t="s">
        <v>495</v>
      </c>
      <c r="B444" t="s">
        <v>496</v>
      </c>
      <c r="C444" s="1">
        <f>35452+1+387+1+91+12416+1</f>
        <v>48349</v>
      </c>
      <c r="D444" s="1">
        <f>89+59+15+1</f>
        <v>164</v>
      </c>
      <c r="E444" s="1">
        <v>0</v>
      </c>
      <c r="F444" s="1">
        <v>0</v>
      </c>
      <c r="G444" s="1">
        <v>0</v>
      </c>
      <c r="H444" s="1">
        <v>11799</v>
      </c>
      <c r="I444" s="1">
        <v>10027</v>
      </c>
      <c r="J444" s="1"/>
      <c r="L444" s="12">
        <v>161</v>
      </c>
      <c r="M444" s="12" t="s">
        <v>516</v>
      </c>
      <c r="N444" s="12"/>
      <c r="O444" s="12"/>
      <c r="P444" s="12"/>
      <c r="Q444" s="12"/>
      <c r="R444" s="12"/>
      <c r="S444" s="18"/>
    </row>
    <row r="445" spans="1:19" x14ac:dyDescent="0.25">
      <c r="A445" t="s">
        <v>791</v>
      </c>
      <c r="B445" t="s">
        <v>497</v>
      </c>
      <c r="C445" s="1"/>
      <c r="D445" s="1"/>
      <c r="E445" s="1"/>
      <c r="F445" s="1"/>
      <c r="G445" s="1"/>
      <c r="H445" s="1"/>
      <c r="I445" s="1"/>
      <c r="J445" s="1"/>
      <c r="L445" s="10">
        <v>110</v>
      </c>
      <c r="M445" s="10" t="s">
        <v>517</v>
      </c>
      <c r="N445" s="10">
        <v>464</v>
      </c>
      <c r="O445" s="10">
        <v>0</v>
      </c>
      <c r="P445" s="10">
        <v>0</v>
      </c>
      <c r="Q445" s="10">
        <v>0</v>
      </c>
      <c r="R445" s="10">
        <v>0</v>
      </c>
      <c r="S445" s="19">
        <v>0</v>
      </c>
    </row>
    <row r="446" spans="1:19" x14ac:dyDescent="0.25">
      <c r="A446" s="27" t="s">
        <v>10</v>
      </c>
      <c r="B446" s="32" t="s">
        <v>782</v>
      </c>
      <c r="C446" s="1"/>
      <c r="D446" s="1"/>
      <c r="E446" s="1"/>
      <c r="F446" s="1"/>
      <c r="G446" s="1"/>
      <c r="H446" s="1"/>
      <c r="I446" s="1"/>
      <c r="J446" s="1"/>
      <c r="L446" s="12">
        <v>111</v>
      </c>
      <c r="M446" s="12" t="s">
        <v>518</v>
      </c>
      <c r="N446" s="12">
        <v>3890</v>
      </c>
      <c r="O446" s="12">
        <v>0</v>
      </c>
      <c r="P446" s="12">
        <v>0</v>
      </c>
      <c r="Q446" s="12">
        <v>0</v>
      </c>
      <c r="R446" s="12">
        <v>0</v>
      </c>
      <c r="S446" s="18">
        <v>0</v>
      </c>
    </row>
    <row r="447" spans="1:19" x14ac:dyDescent="0.25">
      <c r="A447" s="27" t="s">
        <v>10</v>
      </c>
      <c r="B447" s="32" t="s">
        <v>783</v>
      </c>
      <c r="C447" s="1"/>
      <c r="D447" s="1"/>
      <c r="E447" s="1"/>
      <c r="F447" s="1"/>
      <c r="G447" s="1"/>
      <c r="H447" s="1"/>
      <c r="I447" s="1"/>
      <c r="J447" s="1"/>
      <c r="L447" s="10">
        <v>300</v>
      </c>
      <c r="M447" s="10" t="s">
        <v>519</v>
      </c>
      <c r="N447" s="10"/>
      <c r="O447" s="10"/>
      <c r="P447" s="10"/>
      <c r="Q447" s="10"/>
      <c r="R447" s="10"/>
      <c r="S447" s="19"/>
    </row>
    <row r="448" spans="1:19" x14ac:dyDescent="0.25">
      <c r="A448" s="27" t="s">
        <v>10</v>
      </c>
      <c r="B448" s="32" t="s">
        <v>784</v>
      </c>
      <c r="C448" s="1"/>
      <c r="D448" s="1"/>
      <c r="E448" s="1"/>
      <c r="F448" s="1"/>
      <c r="G448" s="1"/>
      <c r="H448" s="1"/>
      <c r="I448" s="1"/>
      <c r="J448" s="1"/>
      <c r="L448" s="12">
        <v>712</v>
      </c>
      <c r="M448" s="12" t="s">
        <v>520</v>
      </c>
      <c r="N448" s="12">
        <v>151</v>
      </c>
      <c r="O448" s="12">
        <v>0</v>
      </c>
      <c r="P448" s="12">
        <v>0</v>
      </c>
      <c r="Q448" s="12">
        <v>0</v>
      </c>
      <c r="R448" s="12">
        <v>0</v>
      </c>
      <c r="S448" s="18">
        <v>0</v>
      </c>
    </row>
    <row r="449" spans="1:19" x14ac:dyDescent="0.25">
      <c r="A449" s="27" t="s">
        <v>10</v>
      </c>
      <c r="B449" s="32" t="s">
        <v>785</v>
      </c>
      <c r="C449" s="1"/>
      <c r="D449" s="1"/>
      <c r="E449" s="1"/>
      <c r="F449" s="1"/>
      <c r="G449" s="1"/>
      <c r="H449" s="1"/>
      <c r="I449" s="1"/>
      <c r="J449" s="1"/>
      <c r="L449" s="10">
        <v>114</v>
      </c>
      <c r="M449" s="10" t="s">
        <v>521</v>
      </c>
      <c r="N449" s="10">
        <v>7131</v>
      </c>
      <c r="O449" s="10">
        <v>0</v>
      </c>
      <c r="P449" s="10">
        <v>0</v>
      </c>
      <c r="Q449" s="10">
        <v>0</v>
      </c>
      <c r="R449" s="10">
        <v>0</v>
      </c>
      <c r="S449" s="19">
        <v>0</v>
      </c>
    </row>
    <row r="450" spans="1:19" x14ac:dyDescent="0.25">
      <c r="A450" t="s">
        <v>10</v>
      </c>
      <c r="B450" s="1" t="s">
        <v>498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/>
      <c r="L450" s="12">
        <v>312</v>
      </c>
      <c r="M450" s="12" t="s">
        <v>522</v>
      </c>
      <c r="N450" s="12">
        <v>226</v>
      </c>
      <c r="O450" s="12">
        <v>0</v>
      </c>
      <c r="P450" s="12">
        <v>0</v>
      </c>
      <c r="Q450" s="12">
        <v>0</v>
      </c>
      <c r="R450" s="12">
        <v>0</v>
      </c>
      <c r="S450" s="18">
        <v>0</v>
      </c>
    </row>
    <row r="451" spans="1:19" x14ac:dyDescent="0.25">
      <c r="A451" s="27" t="s">
        <v>10</v>
      </c>
      <c r="B451" s="32" t="s">
        <v>786</v>
      </c>
      <c r="C451" s="1"/>
      <c r="D451" s="1"/>
      <c r="E451" s="1"/>
      <c r="F451" s="1"/>
      <c r="G451" s="1"/>
      <c r="H451" s="1"/>
      <c r="I451" s="1"/>
      <c r="J451" s="1"/>
      <c r="L451" s="10">
        <v>616</v>
      </c>
      <c r="M451" s="10" t="s">
        <v>523</v>
      </c>
      <c r="N451" s="10">
        <v>2</v>
      </c>
      <c r="O451" s="10">
        <v>0</v>
      </c>
      <c r="P451" s="10">
        <v>0</v>
      </c>
      <c r="Q451" s="10">
        <v>0</v>
      </c>
      <c r="R451" s="10">
        <v>0</v>
      </c>
      <c r="S451" s="19">
        <v>0</v>
      </c>
    </row>
    <row r="452" spans="1:19" x14ac:dyDescent="0.25">
      <c r="A452" t="s">
        <v>10</v>
      </c>
      <c r="B452" s="1" t="s">
        <v>499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/>
      <c r="L452" s="12">
        <v>600</v>
      </c>
      <c r="M452" s="12" t="s">
        <v>524</v>
      </c>
      <c r="N452" s="12">
        <v>628</v>
      </c>
      <c r="O452" s="12">
        <v>0</v>
      </c>
      <c r="P452" s="12">
        <v>0</v>
      </c>
      <c r="Q452" s="12">
        <v>0</v>
      </c>
      <c r="R452" s="12">
        <v>0</v>
      </c>
      <c r="S452" s="18">
        <v>0</v>
      </c>
    </row>
    <row r="453" spans="1:19" x14ac:dyDescent="0.25">
      <c r="A453" t="s">
        <v>10</v>
      </c>
      <c r="B453" s="1" t="s">
        <v>500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/>
      <c r="L453" s="10">
        <v>118</v>
      </c>
      <c r="M453" s="10" t="s">
        <v>525</v>
      </c>
      <c r="N453" s="10">
        <v>202</v>
      </c>
      <c r="O453" s="10">
        <v>0</v>
      </c>
      <c r="P453" s="10">
        <v>0</v>
      </c>
      <c r="Q453" s="10">
        <v>0</v>
      </c>
      <c r="R453" s="10">
        <v>0</v>
      </c>
      <c r="S453" s="19">
        <v>0</v>
      </c>
    </row>
    <row r="454" spans="1:19" x14ac:dyDescent="0.25">
      <c r="A454" t="s">
        <v>76</v>
      </c>
      <c r="B454" t="s">
        <v>501</v>
      </c>
      <c r="C454" s="1">
        <v>2192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/>
      <c r="L454" s="12">
        <v>712</v>
      </c>
      <c r="M454" s="12" t="s">
        <v>526</v>
      </c>
      <c r="N454" s="12"/>
      <c r="O454" s="12"/>
      <c r="P454" s="12"/>
      <c r="Q454" s="12"/>
      <c r="R454" s="12"/>
      <c r="S454" s="18"/>
    </row>
    <row r="455" spans="1:19" x14ac:dyDescent="0.25">
      <c r="A455" t="s">
        <v>817</v>
      </c>
      <c r="B455" t="s">
        <v>502</v>
      </c>
      <c r="C455" s="1"/>
      <c r="D455" s="1"/>
      <c r="E455" s="1"/>
      <c r="F455" s="1"/>
      <c r="G455" s="1"/>
      <c r="H455" s="1"/>
      <c r="I455" s="1"/>
      <c r="J455" s="1"/>
      <c r="L455" s="10">
        <v>212</v>
      </c>
      <c r="M455" s="10" t="s">
        <v>527</v>
      </c>
      <c r="N455" s="10"/>
      <c r="O455" s="10"/>
      <c r="P455" s="10"/>
      <c r="Q455" s="10"/>
      <c r="R455" s="10"/>
      <c r="S455" s="19"/>
    </row>
    <row r="456" spans="1:19" x14ac:dyDescent="0.25">
      <c r="A456" t="s">
        <v>150</v>
      </c>
      <c r="B456" t="s">
        <v>503</v>
      </c>
      <c r="C456" s="1">
        <v>468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/>
      <c r="L456" s="12">
        <v>712</v>
      </c>
      <c r="M456" s="12" t="s">
        <v>528</v>
      </c>
      <c r="N456" s="12">
        <v>223</v>
      </c>
      <c r="O456" s="12">
        <v>0</v>
      </c>
      <c r="P456" s="12">
        <v>0</v>
      </c>
      <c r="Q456" s="12">
        <v>0</v>
      </c>
      <c r="R456" s="12">
        <v>0</v>
      </c>
      <c r="S456" s="18">
        <v>0</v>
      </c>
    </row>
    <row r="457" spans="1:19" x14ac:dyDescent="0.25">
      <c r="A457" t="s">
        <v>76</v>
      </c>
      <c r="B457" t="s">
        <v>504</v>
      </c>
      <c r="C457" s="1">
        <v>1171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/>
      <c r="L457" s="10">
        <v>711</v>
      </c>
      <c r="M457" s="10" t="s">
        <v>529</v>
      </c>
      <c r="N457" s="10">
        <v>957</v>
      </c>
      <c r="O457" s="10">
        <v>0</v>
      </c>
      <c r="P457" s="10">
        <v>0</v>
      </c>
      <c r="Q457" s="10">
        <v>0</v>
      </c>
      <c r="R457" s="10">
        <v>0</v>
      </c>
      <c r="S457" s="19">
        <v>0</v>
      </c>
    </row>
    <row r="458" spans="1:19" x14ac:dyDescent="0.25">
      <c r="A458" t="s">
        <v>817</v>
      </c>
      <c r="B458" t="s">
        <v>505</v>
      </c>
      <c r="C458" s="1"/>
      <c r="D458" s="1"/>
      <c r="E458" s="1"/>
      <c r="F458" s="1"/>
      <c r="G458" s="1"/>
      <c r="H458" s="1"/>
      <c r="I458" s="1"/>
      <c r="J458" s="1"/>
      <c r="L458" s="12">
        <v>116</v>
      </c>
      <c r="M458" s="12" t="s">
        <v>530</v>
      </c>
      <c r="N458" s="12">
        <v>11593</v>
      </c>
      <c r="O458" s="12">
        <v>0</v>
      </c>
      <c r="P458" s="12">
        <v>0</v>
      </c>
      <c r="Q458" s="12">
        <v>0</v>
      </c>
      <c r="R458" s="12">
        <v>0</v>
      </c>
      <c r="S458" s="18">
        <v>0</v>
      </c>
    </row>
    <row r="459" spans="1:19" x14ac:dyDescent="0.25">
      <c r="A459" t="s">
        <v>824</v>
      </c>
      <c r="B459" t="s">
        <v>506</v>
      </c>
      <c r="C459" s="1">
        <v>246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/>
      <c r="L459" s="10">
        <v>161</v>
      </c>
      <c r="M459" s="10" t="s">
        <v>531</v>
      </c>
      <c r="N459" s="10"/>
      <c r="O459" s="10"/>
      <c r="P459" s="10"/>
      <c r="Q459" s="10"/>
      <c r="R459" s="10"/>
      <c r="S459" s="19"/>
    </row>
    <row r="460" spans="1:19" x14ac:dyDescent="0.25">
      <c r="A460" t="s">
        <v>817</v>
      </c>
      <c r="B460" t="s">
        <v>507</v>
      </c>
      <c r="C460" s="1">
        <v>941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/>
      <c r="L460" s="12">
        <v>500</v>
      </c>
      <c r="M460" s="12" t="s">
        <v>532</v>
      </c>
      <c r="N460" s="12">
        <v>2090</v>
      </c>
      <c r="O460" s="12">
        <v>0</v>
      </c>
      <c r="P460" s="12">
        <v>0</v>
      </c>
      <c r="Q460" s="12">
        <v>0</v>
      </c>
      <c r="R460" s="12">
        <v>0</v>
      </c>
      <c r="S460" s="18">
        <v>0</v>
      </c>
    </row>
    <row r="461" spans="1:19" x14ac:dyDescent="0.25">
      <c r="A461" t="s">
        <v>817</v>
      </c>
      <c r="B461" t="s">
        <v>508</v>
      </c>
      <c r="C461" s="1">
        <v>726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/>
      <c r="L461" s="10">
        <v>712</v>
      </c>
      <c r="M461" s="10" t="s">
        <v>533</v>
      </c>
      <c r="N461" s="10">
        <v>199</v>
      </c>
      <c r="O461" s="10">
        <v>0</v>
      </c>
      <c r="P461" s="10">
        <v>0</v>
      </c>
      <c r="Q461" s="10">
        <v>0</v>
      </c>
      <c r="R461" s="10">
        <v>0</v>
      </c>
      <c r="S461" s="19">
        <v>0</v>
      </c>
    </row>
    <row r="462" spans="1:19" x14ac:dyDescent="0.25">
      <c r="A462" t="s">
        <v>801</v>
      </c>
      <c r="B462" t="s">
        <v>509</v>
      </c>
      <c r="C462" s="1"/>
      <c r="D462" s="1"/>
      <c r="E462" s="1"/>
      <c r="F462" s="1"/>
      <c r="G462" s="1"/>
      <c r="H462" s="1"/>
      <c r="I462" s="1"/>
      <c r="J462" s="1"/>
      <c r="L462" s="12">
        <v>511</v>
      </c>
      <c r="M462" s="12" t="s">
        <v>534</v>
      </c>
      <c r="N462" s="12">
        <v>170</v>
      </c>
      <c r="O462" s="12">
        <v>0</v>
      </c>
      <c r="P462" s="12">
        <v>0</v>
      </c>
      <c r="Q462" s="12">
        <v>0</v>
      </c>
      <c r="R462" s="12">
        <v>0</v>
      </c>
      <c r="S462" s="18">
        <v>0</v>
      </c>
    </row>
    <row r="463" spans="1:19" x14ac:dyDescent="0.25">
      <c r="A463" t="s">
        <v>801</v>
      </c>
      <c r="B463" t="s">
        <v>510</v>
      </c>
      <c r="C463" s="1">
        <v>3916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/>
      <c r="L463" s="10">
        <v>110</v>
      </c>
      <c r="M463" s="10" t="s">
        <v>535</v>
      </c>
      <c r="N463" s="10">
        <v>6</v>
      </c>
      <c r="O463" s="10">
        <v>0</v>
      </c>
      <c r="P463" s="10">
        <v>0</v>
      </c>
      <c r="Q463" s="10">
        <v>0</v>
      </c>
      <c r="R463" s="10">
        <v>0</v>
      </c>
      <c r="S463" s="19">
        <v>0</v>
      </c>
    </row>
    <row r="464" spans="1:19" x14ac:dyDescent="0.25">
      <c r="A464" t="s">
        <v>150</v>
      </c>
      <c r="B464" t="s">
        <v>511</v>
      </c>
      <c r="C464" s="1">
        <v>478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/>
      <c r="L464" s="12">
        <v>311</v>
      </c>
      <c r="M464" s="12" t="s">
        <v>536</v>
      </c>
      <c r="N464" s="12">
        <v>849</v>
      </c>
      <c r="O464" s="12">
        <v>0</v>
      </c>
      <c r="P464" s="12">
        <v>0</v>
      </c>
      <c r="Q464" s="12">
        <v>0</v>
      </c>
      <c r="R464" s="12">
        <v>0</v>
      </c>
      <c r="S464" s="18">
        <v>0</v>
      </c>
    </row>
    <row r="465" spans="1:19" x14ac:dyDescent="0.25">
      <c r="A465" t="s">
        <v>512</v>
      </c>
      <c r="B465" t="s">
        <v>513</v>
      </c>
      <c r="C465" s="1">
        <v>1206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/>
      <c r="L465" s="10">
        <v>616</v>
      </c>
      <c r="M465" s="10" t="s">
        <v>537</v>
      </c>
      <c r="N465" s="10">
        <v>8855</v>
      </c>
      <c r="O465" s="10">
        <v>0</v>
      </c>
      <c r="P465" s="10">
        <v>0</v>
      </c>
      <c r="Q465" s="10">
        <v>0</v>
      </c>
      <c r="R465" s="10">
        <v>0</v>
      </c>
      <c r="S465" s="19">
        <v>0</v>
      </c>
    </row>
    <row r="466" spans="1:19" x14ac:dyDescent="0.25">
      <c r="A466" t="s">
        <v>817</v>
      </c>
      <c r="B466" t="s">
        <v>514</v>
      </c>
      <c r="C466" s="1">
        <v>1401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/>
      <c r="L466" s="12">
        <v>111</v>
      </c>
      <c r="M466" s="12" t="s">
        <v>538</v>
      </c>
      <c r="N466" s="12">
        <v>19331</v>
      </c>
      <c r="O466" s="12">
        <v>0</v>
      </c>
      <c r="P466" s="12">
        <v>0</v>
      </c>
      <c r="Q466" s="12">
        <v>0</v>
      </c>
      <c r="R466" s="12">
        <v>0</v>
      </c>
      <c r="S466" s="18">
        <v>0</v>
      </c>
    </row>
    <row r="467" spans="1:19" x14ac:dyDescent="0.25">
      <c r="A467" t="s">
        <v>801</v>
      </c>
      <c r="B467" t="s">
        <v>515</v>
      </c>
      <c r="C467" s="1">
        <v>367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/>
      <c r="L467" s="10">
        <v>616</v>
      </c>
      <c r="M467" s="10" t="s">
        <v>539</v>
      </c>
      <c r="N467" s="10">
        <v>1328</v>
      </c>
      <c r="O467" s="10">
        <v>0</v>
      </c>
      <c r="P467" s="10">
        <v>0</v>
      </c>
      <c r="Q467" s="10">
        <v>0</v>
      </c>
      <c r="R467" s="10">
        <v>0</v>
      </c>
      <c r="S467" s="19">
        <v>0</v>
      </c>
    </row>
    <row r="468" spans="1:19" x14ac:dyDescent="0.25">
      <c r="A468" t="s">
        <v>792</v>
      </c>
      <c r="B468" t="s">
        <v>516</v>
      </c>
      <c r="C468" s="1"/>
      <c r="D468" s="1"/>
      <c r="E468" s="1"/>
      <c r="F468" s="1"/>
      <c r="G468" s="1"/>
      <c r="H468" s="1"/>
      <c r="I468" s="1"/>
      <c r="J468" s="1"/>
      <c r="L468" s="12">
        <v>611</v>
      </c>
      <c r="M468" s="12" t="s">
        <v>540</v>
      </c>
      <c r="N468" s="12">
        <v>74</v>
      </c>
      <c r="O468" s="12">
        <v>0</v>
      </c>
      <c r="P468" s="12">
        <v>0</v>
      </c>
      <c r="Q468" s="12">
        <v>0</v>
      </c>
      <c r="R468" s="12">
        <v>0</v>
      </c>
      <c r="S468" s="18">
        <v>0</v>
      </c>
    </row>
    <row r="469" spans="1:19" x14ac:dyDescent="0.25">
      <c r="A469" t="s">
        <v>797</v>
      </c>
      <c r="B469" t="s">
        <v>517</v>
      </c>
      <c r="C469" s="1"/>
      <c r="D469" s="1"/>
      <c r="E469" s="1"/>
      <c r="F469" s="1"/>
      <c r="G469" s="1"/>
      <c r="H469" s="1"/>
      <c r="I469" s="1"/>
      <c r="J469" s="1"/>
      <c r="L469" s="10">
        <v>616</v>
      </c>
      <c r="M469" s="10" t="s">
        <v>541</v>
      </c>
      <c r="N469" s="10">
        <v>4133</v>
      </c>
      <c r="O469" s="10">
        <v>0</v>
      </c>
      <c r="P469" s="10">
        <v>0</v>
      </c>
      <c r="Q469" s="10">
        <v>0</v>
      </c>
      <c r="R469" s="10">
        <v>0</v>
      </c>
      <c r="S469" s="19">
        <v>0</v>
      </c>
    </row>
    <row r="470" spans="1:19" x14ac:dyDescent="0.25">
      <c r="A470" t="s">
        <v>811</v>
      </c>
      <c r="B470" t="s">
        <v>518</v>
      </c>
      <c r="C470" s="1"/>
      <c r="D470" s="1"/>
      <c r="E470" s="1"/>
      <c r="F470" s="1"/>
      <c r="G470" s="1"/>
      <c r="H470" s="1"/>
      <c r="I470" s="1"/>
      <c r="J470" s="1"/>
      <c r="L470" s="12">
        <v>312</v>
      </c>
      <c r="M470" s="12" t="s">
        <v>542</v>
      </c>
      <c r="N470" s="12">
        <v>5999</v>
      </c>
      <c r="O470" s="12">
        <v>0</v>
      </c>
      <c r="P470" s="12">
        <v>0</v>
      </c>
      <c r="Q470" s="12">
        <v>0</v>
      </c>
      <c r="R470" s="12">
        <v>0</v>
      </c>
      <c r="S470" s="18">
        <v>0</v>
      </c>
    </row>
    <row r="471" spans="1:19" x14ac:dyDescent="0.25">
      <c r="A471" t="s">
        <v>226</v>
      </c>
      <c r="B471" t="s">
        <v>519</v>
      </c>
      <c r="C471" s="1"/>
      <c r="D471" s="1"/>
      <c r="E471" s="1"/>
      <c r="F471" s="1"/>
      <c r="G471" s="1"/>
      <c r="H471" s="1"/>
      <c r="I471" s="1"/>
      <c r="J471" s="1"/>
      <c r="L471" s="10">
        <v>116</v>
      </c>
      <c r="M471" s="10" t="s">
        <v>543</v>
      </c>
      <c r="N471" s="10">
        <v>2135</v>
      </c>
      <c r="O471" s="10">
        <v>0</v>
      </c>
      <c r="P471" s="10">
        <v>0</v>
      </c>
      <c r="Q471" s="10">
        <v>0</v>
      </c>
      <c r="R471" s="10">
        <v>0</v>
      </c>
      <c r="S471" s="19">
        <v>0</v>
      </c>
    </row>
    <row r="472" spans="1:19" x14ac:dyDescent="0.25">
      <c r="A472" t="s">
        <v>76</v>
      </c>
      <c r="B472" t="s">
        <v>520</v>
      </c>
      <c r="C472" s="1">
        <v>151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/>
      <c r="L472" s="12">
        <v>700</v>
      </c>
      <c r="M472" s="12" t="s">
        <v>544</v>
      </c>
      <c r="N472" s="12">
        <v>45</v>
      </c>
      <c r="O472" s="12">
        <v>0</v>
      </c>
      <c r="P472" s="12">
        <v>0</v>
      </c>
      <c r="Q472" s="12">
        <v>0</v>
      </c>
      <c r="R472" s="12">
        <v>0</v>
      </c>
      <c r="S472" s="18">
        <v>0</v>
      </c>
    </row>
    <row r="473" spans="1:19" x14ac:dyDescent="0.25">
      <c r="A473" t="s">
        <v>150</v>
      </c>
      <c r="B473" t="s">
        <v>521</v>
      </c>
      <c r="C473" s="1">
        <v>7131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/>
      <c r="L473" s="10">
        <v>514</v>
      </c>
      <c r="M473" s="10" t="s">
        <v>545</v>
      </c>
      <c r="N473" s="10">
        <v>610</v>
      </c>
      <c r="O473" s="10">
        <v>0</v>
      </c>
      <c r="P473" s="10">
        <v>0</v>
      </c>
      <c r="Q473" s="10">
        <v>0</v>
      </c>
      <c r="R473" s="10">
        <v>0</v>
      </c>
      <c r="S473" s="19">
        <v>0</v>
      </c>
    </row>
    <row r="474" spans="1:19" x14ac:dyDescent="0.25">
      <c r="A474" t="s">
        <v>72</v>
      </c>
      <c r="B474" t="s">
        <v>522</v>
      </c>
      <c r="C474" s="1">
        <v>226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/>
      <c r="L474" s="12">
        <v>712</v>
      </c>
      <c r="M474" s="12" t="s">
        <v>546</v>
      </c>
      <c r="N474" s="12">
        <v>259</v>
      </c>
      <c r="O474" s="12">
        <v>0</v>
      </c>
      <c r="P474" s="12">
        <v>0</v>
      </c>
      <c r="Q474" s="12">
        <v>0</v>
      </c>
      <c r="R474" s="12">
        <v>0</v>
      </c>
      <c r="S474" s="18">
        <v>0</v>
      </c>
    </row>
    <row r="475" spans="1:19" x14ac:dyDescent="0.25">
      <c r="A475" t="s">
        <v>823</v>
      </c>
      <c r="B475" t="s">
        <v>523</v>
      </c>
      <c r="C475" s="1"/>
      <c r="D475" s="1"/>
      <c r="E475" s="1"/>
      <c r="F475" s="1"/>
      <c r="G475" s="1"/>
      <c r="H475" s="1"/>
      <c r="I475" s="1"/>
      <c r="J475" s="1"/>
      <c r="L475" s="10">
        <v>613</v>
      </c>
      <c r="M475" s="10" t="s">
        <v>547</v>
      </c>
      <c r="N475" s="10"/>
      <c r="O475" s="10"/>
      <c r="P475" s="10"/>
      <c r="Q475" s="10"/>
      <c r="R475" s="10"/>
      <c r="S475" s="19"/>
    </row>
    <row r="476" spans="1:19" x14ac:dyDescent="0.25">
      <c r="A476" t="s">
        <v>248</v>
      </c>
      <c r="B476" t="s">
        <v>524</v>
      </c>
      <c r="C476" s="1">
        <v>628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/>
      <c r="L476" s="12">
        <v>153</v>
      </c>
      <c r="M476" s="12" t="s">
        <v>548</v>
      </c>
      <c r="N476" s="12">
        <v>1689</v>
      </c>
      <c r="O476" s="12">
        <v>0</v>
      </c>
      <c r="P476" s="12">
        <v>0</v>
      </c>
      <c r="Q476" s="12">
        <v>0</v>
      </c>
      <c r="R476" s="12">
        <v>0</v>
      </c>
      <c r="S476" s="18">
        <v>0</v>
      </c>
    </row>
    <row r="477" spans="1:19" x14ac:dyDescent="0.25">
      <c r="A477" t="s">
        <v>188</v>
      </c>
      <c r="B477" t="s">
        <v>525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/>
      <c r="L477" s="10">
        <v>312</v>
      </c>
      <c r="M477" s="10" t="s">
        <v>549</v>
      </c>
      <c r="N477" s="10">
        <v>5179</v>
      </c>
      <c r="O477" s="10">
        <v>0</v>
      </c>
      <c r="P477" s="10">
        <v>0</v>
      </c>
      <c r="Q477" s="10">
        <v>0</v>
      </c>
      <c r="R477" s="10">
        <v>0</v>
      </c>
      <c r="S477" s="19">
        <v>0</v>
      </c>
    </row>
    <row r="478" spans="1:19" x14ac:dyDescent="0.25">
      <c r="A478" t="s">
        <v>76</v>
      </c>
      <c r="B478" t="s">
        <v>526</v>
      </c>
      <c r="C478" s="1"/>
      <c r="D478" s="1"/>
      <c r="E478" s="1"/>
      <c r="F478" s="1"/>
      <c r="G478" s="1"/>
      <c r="H478" s="1"/>
      <c r="I478" s="1"/>
      <c r="J478" s="1"/>
      <c r="L478" s="12">
        <v>514</v>
      </c>
      <c r="M478" s="12" t="s">
        <v>550</v>
      </c>
      <c r="N478" s="12">
        <v>1035</v>
      </c>
      <c r="O478" s="12">
        <v>0</v>
      </c>
      <c r="P478" s="12">
        <v>0</v>
      </c>
      <c r="Q478" s="12">
        <v>0</v>
      </c>
      <c r="R478" s="12">
        <v>0</v>
      </c>
      <c r="S478" s="18">
        <v>0</v>
      </c>
    </row>
    <row r="479" spans="1:19" x14ac:dyDescent="0.25">
      <c r="A479" t="s">
        <v>804</v>
      </c>
      <c r="B479" t="s">
        <v>527</v>
      </c>
      <c r="C479" s="1"/>
      <c r="D479" s="1"/>
      <c r="E479" s="1"/>
      <c r="F479" s="1"/>
      <c r="G479" s="1"/>
      <c r="H479" s="1"/>
      <c r="I479" s="1"/>
      <c r="J479" s="1"/>
      <c r="L479" s="10">
        <v>116</v>
      </c>
      <c r="M479" s="10" t="s">
        <v>551</v>
      </c>
      <c r="N479" s="10">
        <v>1039</v>
      </c>
      <c r="O479" s="10">
        <v>0</v>
      </c>
      <c r="P479" s="10">
        <v>0</v>
      </c>
      <c r="Q479" s="10">
        <v>0</v>
      </c>
      <c r="R479" s="10">
        <v>0</v>
      </c>
      <c r="S479" s="19">
        <v>0</v>
      </c>
    </row>
    <row r="480" spans="1:19" x14ac:dyDescent="0.25">
      <c r="A480" t="s">
        <v>76</v>
      </c>
      <c r="B480" t="s">
        <v>528</v>
      </c>
      <c r="C480" s="1">
        <v>223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/>
      <c r="L480" s="12">
        <v>712</v>
      </c>
      <c r="M480" s="12" t="s">
        <v>552</v>
      </c>
      <c r="N480" s="12">
        <v>469</v>
      </c>
      <c r="O480" s="12">
        <v>0</v>
      </c>
      <c r="P480" s="12">
        <v>0</v>
      </c>
      <c r="Q480" s="12">
        <v>0</v>
      </c>
      <c r="R480" s="12">
        <v>0</v>
      </c>
      <c r="S480" s="18">
        <v>0</v>
      </c>
    </row>
    <row r="481" spans="1:19" x14ac:dyDescent="0.25">
      <c r="A481" t="s">
        <v>801</v>
      </c>
      <c r="B481" t="s">
        <v>529</v>
      </c>
      <c r="C481" s="1">
        <v>957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/>
      <c r="L481" s="10">
        <v>500</v>
      </c>
      <c r="M481" s="10" t="s">
        <v>553</v>
      </c>
      <c r="N481" s="10">
        <v>62</v>
      </c>
      <c r="O481" s="10">
        <v>0</v>
      </c>
      <c r="P481" s="10">
        <v>0</v>
      </c>
      <c r="Q481" s="10">
        <v>0</v>
      </c>
      <c r="R481" s="10">
        <v>0</v>
      </c>
      <c r="S481" s="19">
        <v>0</v>
      </c>
    </row>
    <row r="482" spans="1:19" x14ac:dyDescent="0.25">
      <c r="A482" t="s">
        <v>795</v>
      </c>
      <c r="B482" t="s">
        <v>530</v>
      </c>
      <c r="C482" s="1"/>
      <c r="D482" s="1"/>
      <c r="E482" s="1"/>
      <c r="F482" s="1"/>
      <c r="G482" s="1"/>
      <c r="H482" s="1"/>
      <c r="I482" s="1"/>
      <c r="J482" s="1"/>
      <c r="L482" s="12">
        <v>313</v>
      </c>
      <c r="M482" s="12" t="s">
        <v>554</v>
      </c>
      <c r="N482" s="12">
        <v>2128</v>
      </c>
      <c r="O482" s="12">
        <v>0</v>
      </c>
      <c r="P482" s="12">
        <v>0</v>
      </c>
      <c r="Q482" s="12">
        <v>0</v>
      </c>
      <c r="R482" s="12">
        <v>0</v>
      </c>
      <c r="S482" s="18">
        <v>0</v>
      </c>
    </row>
    <row r="483" spans="1:19" x14ac:dyDescent="0.25">
      <c r="A483" t="s">
        <v>792</v>
      </c>
      <c r="B483" t="s">
        <v>531</v>
      </c>
      <c r="C483" s="1"/>
      <c r="D483" s="1"/>
      <c r="E483" s="1"/>
      <c r="F483" s="1"/>
      <c r="G483" s="1"/>
      <c r="H483" s="1"/>
      <c r="I483" s="1"/>
      <c r="J483" s="1"/>
      <c r="L483" s="10">
        <v>610</v>
      </c>
      <c r="M483" s="10" t="s">
        <v>555</v>
      </c>
      <c r="N483" s="10">
        <v>29135</v>
      </c>
      <c r="O483" s="10">
        <v>0</v>
      </c>
      <c r="P483" s="10">
        <v>0</v>
      </c>
      <c r="Q483" s="10">
        <v>0</v>
      </c>
      <c r="R483" s="10">
        <v>0</v>
      </c>
      <c r="S483" s="19">
        <v>0</v>
      </c>
    </row>
    <row r="484" spans="1:19" x14ac:dyDescent="0.25">
      <c r="A484" t="s">
        <v>824</v>
      </c>
      <c r="B484" t="s">
        <v>532</v>
      </c>
      <c r="C484" s="1">
        <v>2090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/>
      <c r="L484" s="12">
        <v>511</v>
      </c>
      <c r="M484" s="12" t="s">
        <v>556</v>
      </c>
      <c r="N484" s="12">
        <v>4737</v>
      </c>
      <c r="O484" s="12">
        <v>0</v>
      </c>
      <c r="P484" s="12">
        <v>0</v>
      </c>
      <c r="Q484" s="12">
        <v>0</v>
      </c>
      <c r="R484" s="12">
        <v>0</v>
      </c>
      <c r="S484" s="18">
        <v>0</v>
      </c>
    </row>
    <row r="485" spans="1:19" x14ac:dyDescent="0.25">
      <c r="A485" t="s">
        <v>76</v>
      </c>
      <c r="B485" t="s">
        <v>533</v>
      </c>
      <c r="C485" s="1">
        <v>199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/>
      <c r="L485" s="10">
        <v>713</v>
      </c>
      <c r="M485" s="10" t="s">
        <v>557</v>
      </c>
      <c r="N485" s="10">
        <v>42</v>
      </c>
      <c r="O485" s="10">
        <v>0</v>
      </c>
      <c r="P485" s="10">
        <v>0</v>
      </c>
      <c r="Q485" s="10">
        <v>0</v>
      </c>
      <c r="R485" s="10">
        <v>0</v>
      </c>
      <c r="S485" s="19">
        <v>0</v>
      </c>
    </row>
    <row r="486" spans="1:19" x14ac:dyDescent="0.25">
      <c r="A486" t="s">
        <v>101</v>
      </c>
      <c r="B486" t="s">
        <v>534</v>
      </c>
      <c r="C486" s="1">
        <v>170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/>
      <c r="L486" s="12">
        <v>616</v>
      </c>
      <c r="M486" s="12" t="s">
        <v>558</v>
      </c>
      <c r="N486" s="12">
        <v>524</v>
      </c>
      <c r="O486" s="12">
        <v>0</v>
      </c>
      <c r="P486" s="12">
        <v>0</v>
      </c>
      <c r="Q486" s="12">
        <v>0</v>
      </c>
      <c r="R486" s="12">
        <v>0</v>
      </c>
      <c r="S486" s="18">
        <v>0</v>
      </c>
    </row>
    <row r="487" spans="1:19" x14ac:dyDescent="0.25">
      <c r="A487" t="s">
        <v>797</v>
      </c>
      <c r="B487" t="s">
        <v>535</v>
      </c>
      <c r="C487" s="1"/>
      <c r="D487" s="1"/>
      <c r="E487" s="1"/>
      <c r="F487" s="1"/>
      <c r="G487" s="1"/>
      <c r="H487" s="1"/>
      <c r="I487" s="1"/>
      <c r="J487" s="1"/>
      <c r="L487" s="10">
        <v>712</v>
      </c>
      <c r="M487" s="10" t="s">
        <v>559</v>
      </c>
      <c r="N487" s="10"/>
      <c r="O487" s="10"/>
      <c r="P487" s="10"/>
      <c r="Q487" s="10"/>
      <c r="R487" s="10"/>
      <c r="S487" s="19"/>
    </row>
    <row r="488" spans="1:19" x14ac:dyDescent="0.25">
      <c r="A488" t="s">
        <v>120</v>
      </c>
      <c r="B488" t="s">
        <v>536</v>
      </c>
      <c r="C488" s="1">
        <v>849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/>
      <c r="L488" s="12">
        <v>711</v>
      </c>
      <c r="M488" s="12" t="s">
        <v>560</v>
      </c>
      <c r="N488" s="12">
        <v>5698</v>
      </c>
      <c r="O488" s="12">
        <v>0</v>
      </c>
      <c r="P488" s="12">
        <v>0</v>
      </c>
      <c r="Q488" s="12">
        <v>0</v>
      </c>
      <c r="R488" s="12">
        <v>0</v>
      </c>
      <c r="S488" s="18">
        <v>0</v>
      </c>
    </row>
    <row r="489" spans="1:19" x14ac:dyDescent="0.25">
      <c r="A489" t="s">
        <v>817</v>
      </c>
      <c r="B489" t="s">
        <v>537</v>
      </c>
      <c r="C489" s="1">
        <v>8855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/>
      <c r="L489" s="10">
        <v>713</v>
      </c>
      <c r="M489" s="10" t="s">
        <v>561</v>
      </c>
      <c r="N489" s="10"/>
      <c r="O489" s="10"/>
      <c r="P489" s="10"/>
      <c r="Q489" s="10"/>
      <c r="R489" s="10"/>
      <c r="S489" s="19"/>
    </row>
    <row r="490" spans="1:19" x14ac:dyDescent="0.25">
      <c r="A490" t="s">
        <v>811</v>
      </c>
      <c r="B490" t="s">
        <v>538</v>
      </c>
      <c r="C490" s="1"/>
      <c r="D490" s="1"/>
      <c r="E490" s="1"/>
      <c r="F490" s="1"/>
      <c r="G490" s="1"/>
      <c r="H490" s="1"/>
      <c r="I490" s="1"/>
      <c r="J490" s="1"/>
      <c r="L490" s="12">
        <v>616</v>
      </c>
      <c r="M490" s="12" t="s">
        <v>562</v>
      </c>
      <c r="N490" s="12">
        <v>1844</v>
      </c>
      <c r="O490" s="12">
        <v>0</v>
      </c>
      <c r="P490" s="12">
        <v>0</v>
      </c>
      <c r="Q490" s="12">
        <v>0</v>
      </c>
      <c r="R490" s="12">
        <v>0</v>
      </c>
      <c r="S490" s="18">
        <v>0</v>
      </c>
    </row>
    <row r="491" spans="1:19" x14ac:dyDescent="0.25">
      <c r="A491" t="s">
        <v>817</v>
      </c>
      <c r="B491" t="s">
        <v>539</v>
      </c>
      <c r="C491" s="1">
        <v>1328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/>
      <c r="L491" s="10">
        <v>600</v>
      </c>
      <c r="M491" s="10" t="s">
        <v>563</v>
      </c>
      <c r="N491" s="10">
        <v>3700</v>
      </c>
      <c r="O491" s="10">
        <v>0</v>
      </c>
      <c r="P491" s="10">
        <v>0</v>
      </c>
      <c r="Q491" s="10">
        <v>0</v>
      </c>
      <c r="R491" s="10">
        <v>0</v>
      </c>
      <c r="S491" s="19">
        <v>0</v>
      </c>
    </row>
    <row r="492" spans="1:19" x14ac:dyDescent="0.25">
      <c r="A492" t="s">
        <v>146</v>
      </c>
      <c r="B492" t="s">
        <v>540</v>
      </c>
      <c r="C492" s="1">
        <v>74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/>
      <c r="L492" s="12">
        <v>100</v>
      </c>
      <c r="M492" s="12" t="s">
        <v>564</v>
      </c>
      <c r="N492" s="12">
        <v>1382</v>
      </c>
      <c r="O492" s="12">
        <v>0</v>
      </c>
      <c r="P492" s="12">
        <v>0</v>
      </c>
      <c r="Q492" s="12">
        <v>0</v>
      </c>
      <c r="R492" s="12">
        <v>0</v>
      </c>
      <c r="S492" s="18">
        <v>0</v>
      </c>
    </row>
    <row r="493" spans="1:19" x14ac:dyDescent="0.25">
      <c r="A493" t="s">
        <v>817</v>
      </c>
      <c r="B493" t="s">
        <v>541</v>
      </c>
      <c r="C493" s="1">
        <v>4133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/>
      <c r="L493" s="10">
        <v>710</v>
      </c>
      <c r="M493" s="10" t="s">
        <v>565</v>
      </c>
      <c r="N493" s="10">
        <v>327</v>
      </c>
      <c r="O493" s="10">
        <v>0</v>
      </c>
      <c r="P493" s="10">
        <v>0</v>
      </c>
      <c r="Q493" s="10">
        <v>0</v>
      </c>
      <c r="R493" s="10">
        <v>0</v>
      </c>
      <c r="S493" s="19">
        <v>0</v>
      </c>
    </row>
    <row r="494" spans="1:19" x14ac:dyDescent="0.25">
      <c r="A494" t="s">
        <v>72</v>
      </c>
      <c r="B494" t="s">
        <v>542</v>
      </c>
      <c r="C494" s="1">
        <v>5999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/>
      <c r="L494" s="12" t="s">
        <v>814</v>
      </c>
      <c r="M494" s="12" t="s">
        <v>566</v>
      </c>
      <c r="N494" s="12"/>
      <c r="O494" s="12"/>
      <c r="P494" s="12"/>
      <c r="Q494" s="12"/>
      <c r="R494" s="12"/>
      <c r="S494" s="18"/>
    </row>
    <row r="495" spans="1:19" x14ac:dyDescent="0.25">
      <c r="A495" t="s">
        <v>795</v>
      </c>
      <c r="B495" t="s">
        <v>543</v>
      </c>
      <c r="C495" s="1"/>
      <c r="D495" s="1"/>
      <c r="E495" s="1"/>
      <c r="F495" s="1"/>
      <c r="G495" s="1"/>
      <c r="H495" s="1"/>
      <c r="I495" s="1"/>
      <c r="J495" s="1"/>
      <c r="L495" s="10">
        <v>110</v>
      </c>
      <c r="M495" s="10" t="s">
        <v>567</v>
      </c>
      <c r="N495" s="10">
        <v>33</v>
      </c>
      <c r="O495" s="10">
        <v>0</v>
      </c>
      <c r="P495" s="10">
        <v>0</v>
      </c>
      <c r="Q495" s="10">
        <v>0</v>
      </c>
      <c r="R495" s="10">
        <v>0</v>
      </c>
      <c r="S495" s="19">
        <v>0</v>
      </c>
    </row>
    <row r="496" spans="1:19" x14ac:dyDescent="0.25">
      <c r="A496" t="s">
        <v>83</v>
      </c>
      <c r="B496" t="s">
        <v>544</v>
      </c>
      <c r="C496" s="1">
        <v>45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/>
      <c r="L496" s="12"/>
      <c r="M496" t="s">
        <v>568</v>
      </c>
      <c r="N496" s="12"/>
      <c r="O496" s="12"/>
      <c r="P496" s="12"/>
      <c r="Q496" s="12"/>
      <c r="R496" s="12"/>
      <c r="S496" s="18"/>
    </row>
    <row r="497" spans="1:19" x14ac:dyDescent="0.25">
      <c r="A497" t="s">
        <v>134</v>
      </c>
      <c r="B497" t="s">
        <v>545</v>
      </c>
      <c r="C497" s="1">
        <v>610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/>
      <c r="L497" s="12">
        <v>211</v>
      </c>
      <c r="M497" s="12" t="s">
        <v>569</v>
      </c>
      <c r="N497" s="12">
        <v>1967</v>
      </c>
      <c r="O497" s="12">
        <v>0</v>
      </c>
      <c r="P497" s="12">
        <v>0</v>
      </c>
      <c r="Q497" s="12">
        <v>0</v>
      </c>
      <c r="R497" s="12">
        <v>0</v>
      </c>
      <c r="S497" s="18">
        <v>0</v>
      </c>
    </row>
    <row r="498" spans="1:19" x14ac:dyDescent="0.25">
      <c r="A498" t="s">
        <v>76</v>
      </c>
      <c r="B498" t="s">
        <v>546</v>
      </c>
      <c r="C498" s="1">
        <v>259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/>
      <c r="L498" s="12"/>
      <c r="M498" t="s">
        <v>570</v>
      </c>
      <c r="N498" s="12"/>
      <c r="O498" s="12"/>
      <c r="P498" s="12"/>
      <c r="Q498" s="12"/>
      <c r="R498" s="12"/>
      <c r="S498" s="18"/>
    </row>
    <row r="499" spans="1:19" x14ac:dyDescent="0.25">
      <c r="A499" t="s">
        <v>495</v>
      </c>
      <c r="B499" t="s">
        <v>547</v>
      </c>
      <c r="C499" s="1"/>
      <c r="D499" s="1"/>
      <c r="E499" s="1"/>
      <c r="F499" s="1"/>
      <c r="G499" s="1"/>
      <c r="H499" s="1"/>
      <c r="I499" s="1"/>
      <c r="J499" s="1"/>
      <c r="L499" s="10">
        <v>312</v>
      </c>
      <c r="M499" s="10" t="s">
        <v>571</v>
      </c>
      <c r="N499" s="10">
        <v>6427</v>
      </c>
      <c r="O499" s="10">
        <v>0</v>
      </c>
      <c r="P499" s="10">
        <v>0</v>
      </c>
      <c r="Q499" s="10">
        <v>0</v>
      </c>
      <c r="R499" s="10">
        <v>0</v>
      </c>
      <c r="S499" s="19">
        <v>0</v>
      </c>
    </row>
    <row r="500" spans="1:19" x14ac:dyDescent="0.25">
      <c r="A500" t="s">
        <v>825</v>
      </c>
      <c r="B500" t="s">
        <v>548</v>
      </c>
      <c r="C500" s="1">
        <v>1689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/>
      <c r="L500" s="12">
        <v>711</v>
      </c>
      <c r="M500" s="12" t="s">
        <v>572</v>
      </c>
      <c r="N500" s="12">
        <v>3853</v>
      </c>
      <c r="O500" s="12">
        <v>0</v>
      </c>
      <c r="P500" s="12">
        <v>0</v>
      </c>
      <c r="Q500" s="12">
        <v>0</v>
      </c>
      <c r="R500" s="12">
        <v>0</v>
      </c>
      <c r="S500" s="18">
        <v>0</v>
      </c>
    </row>
    <row r="501" spans="1:19" x14ac:dyDescent="0.25">
      <c r="A501" t="s">
        <v>72</v>
      </c>
      <c r="B501" t="s">
        <v>549</v>
      </c>
      <c r="C501" s="1">
        <v>5179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/>
      <c r="L501" s="12"/>
      <c r="M501" t="s">
        <v>573</v>
      </c>
      <c r="N501" s="12"/>
      <c r="O501" s="12"/>
      <c r="P501" s="12"/>
      <c r="Q501" s="12"/>
      <c r="R501" s="12"/>
      <c r="S501" s="18"/>
    </row>
    <row r="502" spans="1:19" x14ac:dyDescent="0.25">
      <c r="A502" t="s">
        <v>134</v>
      </c>
      <c r="B502" t="s">
        <v>550</v>
      </c>
      <c r="C502" s="1">
        <v>1035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/>
      <c r="L502" s="10">
        <v>515</v>
      </c>
      <c r="M502" s="10" t="s">
        <v>574</v>
      </c>
      <c r="N502" s="10"/>
      <c r="O502" s="10"/>
      <c r="P502" s="10"/>
      <c r="Q502" s="10"/>
      <c r="R502" s="10"/>
      <c r="S502" s="19"/>
    </row>
    <row r="503" spans="1:19" x14ac:dyDescent="0.25">
      <c r="A503" t="s">
        <v>795</v>
      </c>
      <c r="B503" t="s">
        <v>551</v>
      </c>
      <c r="C503" s="1"/>
      <c r="D503" s="1"/>
      <c r="E503" s="1"/>
      <c r="F503" s="1"/>
      <c r="G503" s="1"/>
      <c r="H503" s="1"/>
      <c r="I503" s="1"/>
      <c r="J503" s="1"/>
      <c r="L503" s="12">
        <v>211</v>
      </c>
      <c r="M503" s="12" t="s">
        <v>575</v>
      </c>
      <c r="N503" s="12">
        <v>6573</v>
      </c>
      <c r="O503" s="12">
        <v>0</v>
      </c>
      <c r="P503" s="12">
        <v>0</v>
      </c>
      <c r="Q503" s="12">
        <v>0</v>
      </c>
      <c r="R503" s="12">
        <v>0</v>
      </c>
      <c r="S503" s="18">
        <v>0</v>
      </c>
    </row>
    <row r="504" spans="1:19" x14ac:dyDescent="0.25">
      <c r="A504" t="s">
        <v>76</v>
      </c>
      <c r="B504" t="s">
        <v>552</v>
      </c>
      <c r="C504" s="1">
        <v>469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/>
      <c r="L504" s="10">
        <v>611</v>
      </c>
      <c r="M504" s="10" t="s">
        <v>576</v>
      </c>
      <c r="N504" s="10">
        <v>9</v>
      </c>
      <c r="O504" s="10">
        <v>0</v>
      </c>
      <c r="P504" s="10">
        <v>0</v>
      </c>
      <c r="Q504" s="10">
        <v>0</v>
      </c>
      <c r="R504" s="10">
        <v>0</v>
      </c>
      <c r="S504" s="19">
        <v>0</v>
      </c>
    </row>
    <row r="505" spans="1:19" x14ac:dyDescent="0.25">
      <c r="A505" t="s">
        <v>824</v>
      </c>
      <c r="B505" t="s">
        <v>553</v>
      </c>
      <c r="C505" s="1">
        <v>62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/>
      <c r="L505" s="12" t="s">
        <v>814</v>
      </c>
      <c r="M505" s="12" t="s">
        <v>577</v>
      </c>
      <c r="N505" s="12"/>
      <c r="O505" s="12"/>
      <c r="P505" s="12"/>
      <c r="Q505" s="12"/>
      <c r="R505" s="12"/>
      <c r="S505" s="18"/>
    </row>
    <row r="506" spans="1:19" x14ac:dyDescent="0.25">
      <c r="A506" t="s">
        <v>512</v>
      </c>
      <c r="B506" t="s">
        <v>554</v>
      </c>
      <c r="C506" s="1">
        <v>2128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/>
      <c r="L506" s="10">
        <v>611</v>
      </c>
      <c r="M506" s="10" t="s">
        <v>578</v>
      </c>
      <c r="N506" s="10">
        <v>2630</v>
      </c>
      <c r="O506" s="10">
        <v>0</v>
      </c>
      <c r="P506" s="10">
        <v>0</v>
      </c>
      <c r="Q506" s="10">
        <v>0</v>
      </c>
      <c r="R506" s="10">
        <v>0</v>
      </c>
      <c r="S506" s="19">
        <v>0</v>
      </c>
    </row>
    <row r="507" spans="1:19" x14ac:dyDescent="0.25">
      <c r="A507" t="s">
        <v>788</v>
      </c>
      <c r="B507" t="s">
        <v>555</v>
      </c>
      <c r="C507" s="1">
        <v>29135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/>
      <c r="L507" s="12">
        <v>146</v>
      </c>
      <c r="M507" s="12" t="s">
        <v>579</v>
      </c>
      <c r="N507" s="12">
        <v>1564</v>
      </c>
      <c r="O507" s="12">
        <v>0</v>
      </c>
      <c r="P507" s="12">
        <v>0</v>
      </c>
      <c r="Q507" s="12">
        <v>0</v>
      </c>
      <c r="R507" s="12">
        <v>0</v>
      </c>
      <c r="S507" s="18">
        <v>0</v>
      </c>
    </row>
    <row r="508" spans="1:19" x14ac:dyDescent="0.25">
      <c r="A508" t="s">
        <v>101</v>
      </c>
      <c r="B508" t="s">
        <v>556</v>
      </c>
      <c r="C508" s="1">
        <v>4737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/>
      <c r="L508" s="10">
        <v>100</v>
      </c>
      <c r="M508" s="10" t="s">
        <v>580</v>
      </c>
      <c r="N508" s="10">
        <v>1934</v>
      </c>
      <c r="O508" s="10">
        <v>0</v>
      </c>
      <c r="P508" s="10">
        <v>0</v>
      </c>
      <c r="Q508" s="10">
        <v>0</v>
      </c>
      <c r="R508" s="10">
        <v>0</v>
      </c>
      <c r="S508" s="19">
        <v>0</v>
      </c>
    </row>
    <row r="509" spans="1:19" x14ac:dyDescent="0.25">
      <c r="A509" t="s">
        <v>796</v>
      </c>
      <c r="B509" t="s">
        <v>557</v>
      </c>
      <c r="C509" s="1">
        <v>42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/>
      <c r="L509" s="12" t="s">
        <v>814</v>
      </c>
      <c r="M509" s="12" t="s">
        <v>581</v>
      </c>
      <c r="N509" s="12">
        <v>2289</v>
      </c>
      <c r="O509" s="12">
        <v>0</v>
      </c>
      <c r="P509" s="12">
        <v>0</v>
      </c>
      <c r="Q509" s="12">
        <v>0</v>
      </c>
      <c r="R509" s="12">
        <v>0</v>
      </c>
      <c r="S509" s="18">
        <v>0</v>
      </c>
    </row>
    <row r="510" spans="1:19" x14ac:dyDescent="0.25">
      <c r="A510" t="s">
        <v>817</v>
      </c>
      <c r="B510" t="s">
        <v>558</v>
      </c>
      <c r="C510" s="1">
        <v>524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/>
      <c r="L510" s="10" t="s">
        <v>814</v>
      </c>
      <c r="M510" s="10" t="s">
        <v>582</v>
      </c>
      <c r="N510" s="10">
        <v>2126</v>
      </c>
      <c r="O510" s="10">
        <v>0</v>
      </c>
      <c r="P510" s="10">
        <v>0</v>
      </c>
      <c r="Q510" s="10">
        <v>0</v>
      </c>
      <c r="R510" s="10">
        <v>0</v>
      </c>
      <c r="S510" s="19">
        <v>0</v>
      </c>
    </row>
    <row r="511" spans="1:19" x14ac:dyDescent="0.25">
      <c r="A511" t="s">
        <v>76</v>
      </c>
      <c r="B511" t="s">
        <v>559</v>
      </c>
      <c r="C511" s="1"/>
      <c r="D511" s="1"/>
      <c r="E511" s="1"/>
      <c r="F511" s="1"/>
      <c r="G511" s="1"/>
      <c r="H511" s="1"/>
      <c r="I511" s="1"/>
      <c r="J511" s="1"/>
      <c r="L511" s="12" t="s">
        <v>814</v>
      </c>
      <c r="M511" s="12" t="s">
        <v>583</v>
      </c>
      <c r="N511" s="12">
        <v>264</v>
      </c>
      <c r="O511" s="12">
        <v>0</v>
      </c>
      <c r="P511" s="12">
        <v>0</v>
      </c>
      <c r="Q511" s="12">
        <v>0</v>
      </c>
      <c r="R511" s="12">
        <v>0</v>
      </c>
      <c r="S511" s="18">
        <v>0</v>
      </c>
    </row>
    <row r="512" spans="1:19" x14ac:dyDescent="0.25">
      <c r="A512" t="s">
        <v>801</v>
      </c>
      <c r="B512" t="s">
        <v>560</v>
      </c>
      <c r="C512" s="1">
        <v>5698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/>
      <c r="L512" s="10">
        <v>311</v>
      </c>
      <c r="M512" s="10" t="s">
        <v>584</v>
      </c>
      <c r="N512" s="10"/>
      <c r="O512" s="10"/>
      <c r="P512" s="10"/>
      <c r="Q512" s="10"/>
      <c r="R512" s="10"/>
      <c r="S512" s="19"/>
    </row>
    <row r="513" spans="1:19" x14ac:dyDescent="0.25">
      <c r="A513" t="s">
        <v>796</v>
      </c>
      <c r="B513" t="s">
        <v>561</v>
      </c>
      <c r="C513" s="1"/>
      <c r="D513" s="1"/>
      <c r="E513" s="1"/>
      <c r="F513" s="1"/>
      <c r="G513" s="1"/>
      <c r="H513" s="1"/>
      <c r="I513" s="1"/>
      <c r="J513" s="1"/>
      <c r="L513" s="12">
        <v>140</v>
      </c>
      <c r="M513" s="12" t="s">
        <v>585</v>
      </c>
      <c r="N513" s="12">
        <v>1955</v>
      </c>
      <c r="O513" s="12">
        <v>0</v>
      </c>
      <c r="P513" s="12">
        <v>0</v>
      </c>
      <c r="Q513" s="12">
        <v>0</v>
      </c>
      <c r="R513" s="12">
        <v>0</v>
      </c>
      <c r="S513" s="18">
        <v>0</v>
      </c>
    </row>
    <row r="514" spans="1:19" x14ac:dyDescent="0.25">
      <c r="A514" t="s">
        <v>817</v>
      </c>
      <c r="B514" t="s">
        <v>562</v>
      </c>
      <c r="C514" s="1">
        <v>1844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/>
      <c r="L514" s="10" t="s">
        <v>814</v>
      </c>
      <c r="M514" s="10" t="s">
        <v>586</v>
      </c>
      <c r="N514" s="10">
        <v>3663</v>
      </c>
      <c r="O514" s="10">
        <v>0</v>
      </c>
      <c r="P514" s="10">
        <v>0</v>
      </c>
      <c r="Q514" s="10">
        <v>0</v>
      </c>
      <c r="R514" s="10">
        <v>0</v>
      </c>
      <c r="S514" s="19">
        <v>0</v>
      </c>
    </row>
    <row r="515" spans="1:19" x14ac:dyDescent="0.25">
      <c r="A515" t="s">
        <v>248</v>
      </c>
      <c r="B515" t="s">
        <v>563</v>
      </c>
      <c r="C515" s="1">
        <v>3700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/>
      <c r="L515" s="12">
        <v>150</v>
      </c>
      <c r="M515" s="12" t="s">
        <v>587</v>
      </c>
      <c r="N515" s="12">
        <v>1605</v>
      </c>
      <c r="O515" s="12">
        <v>0</v>
      </c>
      <c r="P515" s="12">
        <v>0</v>
      </c>
      <c r="Q515" s="12">
        <v>0</v>
      </c>
      <c r="R515" s="12">
        <v>0</v>
      </c>
      <c r="S515" s="18">
        <v>0</v>
      </c>
    </row>
    <row r="516" spans="1:19" x14ac:dyDescent="0.25">
      <c r="A516" t="s">
        <v>791</v>
      </c>
      <c r="B516" t="s">
        <v>564</v>
      </c>
      <c r="C516" s="1"/>
      <c r="D516" s="1"/>
      <c r="E516" s="1"/>
      <c r="F516" s="1"/>
      <c r="G516" s="1"/>
      <c r="H516" s="1"/>
      <c r="I516" s="1"/>
      <c r="J516" s="1"/>
      <c r="L516" s="10">
        <v>143</v>
      </c>
      <c r="M516" s="10" t="s">
        <v>588</v>
      </c>
      <c r="N516" s="10">
        <v>1925</v>
      </c>
      <c r="O516" s="10">
        <v>0</v>
      </c>
      <c r="P516" s="10">
        <v>0</v>
      </c>
      <c r="Q516" s="10">
        <v>0</v>
      </c>
      <c r="R516" s="10">
        <v>0</v>
      </c>
      <c r="S516" s="19">
        <v>0</v>
      </c>
    </row>
    <row r="517" spans="1:19" x14ac:dyDescent="0.25">
      <c r="A517" t="s">
        <v>69</v>
      </c>
      <c r="B517" t="s">
        <v>565</v>
      </c>
      <c r="C517" s="1">
        <v>327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/>
      <c r="L517" s="12">
        <v>151</v>
      </c>
      <c r="M517" s="12" t="s">
        <v>589</v>
      </c>
      <c r="N517" s="12">
        <v>469</v>
      </c>
      <c r="O517" s="12">
        <v>0</v>
      </c>
      <c r="P517" s="12">
        <v>0</v>
      </c>
      <c r="Q517" s="12">
        <v>0</v>
      </c>
      <c r="R517" s="12">
        <v>0</v>
      </c>
      <c r="S517" s="18">
        <v>0</v>
      </c>
    </row>
    <row r="518" spans="1:19" x14ac:dyDescent="0.25">
      <c r="A518" t="s">
        <v>794</v>
      </c>
      <c r="B518" t="s">
        <v>566</v>
      </c>
      <c r="C518" s="1"/>
      <c r="D518" s="1"/>
      <c r="E518" s="1"/>
      <c r="F518" s="1"/>
      <c r="G518" s="1"/>
      <c r="H518" s="1"/>
      <c r="I518" s="1"/>
      <c r="J518" s="1"/>
      <c r="L518" s="10">
        <v>145</v>
      </c>
      <c r="M518" s="10" t="s">
        <v>590</v>
      </c>
      <c r="N518" s="10">
        <v>3357</v>
      </c>
      <c r="O518" s="10">
        <v>0</v>
      </c>
      <c r="P518" s="10">
        <v>0</v>
      </c>
      <c r="Q518" s="10">
        <v>0</v>
      </c>
      <c r="R518" s="10">
        <v>0</v>
      </c>
      <c r="S518" s="19">
        <v>0</v>
      </c>
    </row>
    <row r="519" spans="1:19" x14ac:dyDescent="0.25">
      <c r="A519" t="s">
        <v>797</v>
      </c>
      <c r="B519" t="s">
        <v>567</v>
      </c>
      <c r="C519" s="1"/>
      <c r="D519" s="1"/>
      <c r="E519" s="1"/>
      <c r="F519" s="1"/>
      <c r="G519" s="1"/>
      <c r="H519" s="1"/>
      <c r="I519" s="1"/>
      <c r="J519" s="1"/>
      <c r="L519" s="12">
        <v>147</v>
      </c>
      <c r="M519" s="12" t="s">
        <v>591</v>
      </c>
      <c r="N519" s="12">
        <v>315</v>
      </c>
      <c r="O519" s="12">
        <v>0</v>
      </c>
      <c r="P519" s="12">
        <v>0</v>
      </c>
      <c r="Q519" s="12">
        <v>0</v>
      </c>
      <c r="R519" s="12">
        <v>0</v>
      </c>
      <c r="S519" s="18">
        <v>0</v>
      </c>
    </row>
    <row r="520" spans="1:19" x14ac:dyDescent="0.25">
      <c r="A520" t="s">
        <v>802</v>
      </c>
      <c r="B520" t="s">
        <v>568</v>
      </c>
      <c r="C520" s="1"/>
      <c r="D520" s="1"/>
      <c r="E520" s="1"/>
      <c r="F520" s="1"/>
      <c r="G520" s="1"/>
      <c r="H520" s="1"/>
      <c r="I520" s="1"/>
      <c r="J520" s="1"/>
      <c r="L520" s="10" t="s">
        <v>814</v>
      </c>
      <c r="M520" s="10" t="s">
        <v>592</v>
      </c>
      <c r="N520" s="10"/>
      <c r="O520" s="10"/>
      <c r="P520" s="10"/>
      <c r="Q520" s="10"/>
      <c r="R520" s="10"/>
      <c r="S520" s="19"/>
    </row>
    <row r="521" spans="1:19" x14ac:dyDescent="0.25">
      <c r="A521" t="s">
        <v>131</v>
      </c>
      <c r="B521" t="s">
        <v>569</v>
      </c>
      <c r="C521" s="1">
        <v>1967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/>
      <c r="L521" s="12">
        <v>139</v>
      </c>
      <c r="M521" s="12" t="s">
        <v>593</v>
      </c>
      <c r="N521" s="12">
        <v>391</v>
      </c>
      <c r="O521" s="12">
        <v>0</v>
      </c>
      <c r="P521" s="12">
        <v>0</v>
      </c>
      <c r="Q521" s="12">
        <v>0</v>
      </c>
      <c r="R521" s="12">
        <v>0</v>
      </c>
      <c r="S521" s="18">
        <v>0</v>
      </c>
    </row>
    <row r="522" spans="1:19" x14ac:dyDescent="0.25">
      <c r="A522" t="s">
        <v>802</v>
      </c>
      <c r="B522" t="s">
        <v>570</v>
      </c>
      <c r="C522" s="1"/>
      <c r="D522" s="1"/>
      <c r="E522" s="1"/>
      <c r="F522" s="1"/>
      <c r="G522" s="1"/>
      <c r="H522" s="1"/>
      <c r="I522" s="1"/>
      <c r="J522" s="1"/>
      <c r="L522" s="10">
        <v>136</v>
      </c>
      <c r="M522" s="10" t="s">
        <v>594</v>
      </c>
      <c r="N522" s="10">
        <v>792</v>
      </c>
      <c r="O522" s="10">
        <v>0</v>
      </c>
      <c r="P522" s="10">
        <v>0</v>
      </c>
      <c r="Q522" s="10">
        <v>0</v>
      </c>
      <c r="R522" s="10">
        <v>0</v>
      </c>
      <c r="S522" s="19">
        <v>0</v>
      </c>
    </row>
    <row r="523" spans="1:19" x14ac:dyDescent="0.25">
      <c r="A523" t="s">
        <v>72</v>
      </c>
      <c r="B523" t="s">
        <v>571</v>
      </c>
      <c r="C523" s="1">
        <v>6427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/>
      <c r="L523" s="12"/>
      <c r="M523" t="s">
        <v>595</v>
      </c>
      <c r="N523" s="12"/>
      <c r="O523" s="12"/>
      <c r="P523" s="12"/>
      <c r="Q523" s="12"/>
      <c r="R523" s="12"/>
      <c r="S523" s="18"/>
    </row>
    <row r="524" spans="1:19" x14ac:dyDescent="0.25">
      <c r="A524" t="s">
        <v>801</v>
      </c>
      <c r="B524" t="s">
        <v>572</v>
      </c>
      <c r="C524" s="1">
        <v>3853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/>
      <c r="L524" s="12">
        <v>116</v>
      </c>
      <c r="M524" s="12" t="s">
        <v>596</v>
      </c>
      <c r="N524" s="12">
        <v>2422</v>
      </c>
      <c r="O524" s="12">
        <v>0</v>
      </c>
      <c r="P524" s="12">
        <v>0</v>
      </c>
      <c r="Q524" s="12">
        <v>0</v>
      </c>
      <c r="R524" s="12">
        <v>0</v>
      </c>
      <c r="S524" s="18">
        <v>0</v>
      </c>
    </row>
    <row r="525" spans="1:19" x14ac:dyDescent="0.25">
      <c r="A525" t="s">
        <v>120</v>
      </c>
      <c r="B525" t="s">
        <v>573</v>
      </c>
      <c r="C525" s="1"/>
      <c r="D525" s="1"/>
      <c r="E525" s="1"/>
      <c r="F525" s="1"/>
      <c r="G525" s="1"/>
      <c r="H525" s="1"/>
      <c r="I525" s="1"/>
      <c r="J525" s="1"/>
      <c r="L525" s="10">
        <v>511</v>
      </c>
      <c r="M525" s="10" t="s">
        <v>597</v>
      </c>
      <c r="N525" s="10">
        <v>2574</v>
      </c>
      <c r="O525" s="10">
        <v>0</v>
      </c>
      <c r="P525" s="10">
        <v>0</v>
      </c>
      <c r="Q525" s="10">
        <v>0</v>
      </c>
      <c r="R525" s="10">
        <v>0</v>
      </c>
      <c r="S525" s="19">
        <v>0</v>
      </c>
    </row>
    <row r="526" spans="1:19" x14ac:dyDescent="0.25">
      <c r="A526" t="s">
        <v>816</v>
      </c>
      <c r="B526" t="s">
        <v>574</v>
      </c>
      <c r="C526" s="1"/>
      <c r="D526" s="1"/>
      <c r="E526" s="1"/>
      <c r="F526" s="1"/>
      <c r="G526" s="1"/>
      <c r="H526" s="1"/>
      <c r="I526" s="1"/>
      <c r="J526" s="1"/>
      <c r="L526" s="12">
        <v>144</v>
      </c>
      <c r="M526" s="12" t="s">
        <v>598</v>
      </c>
      <c r="N526" s="12">
        <v>1131</v>
      </c>
      <c r="O526" s="12">
        <v>0</v>
      </c>
      <c r="P526" s="12">
        <v>0</v>
      </c>
      <c r="Q526" s="12">
        <v>0</v>
      </c>
      <c r="R526" s="12">
        <v>0</v>
      </c>
      <c r="S526" s="18">
        <v>0</v>
      </c>
    </row>
    <row r="527" spans="1:19" x14ac:dyDescent="0.25">
      <c r="A527" t="s">
        <v>131</v>
      </c>
      <c r="B527" t="s">
        <v>575</v>
      </c>
      <c r="C527" s="1">
        <v>6573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/>
      <c r="L527" s="10">
        <v>142</v>
      </c>
      <c r="M527" s="10" t="s">
        <v>599</v>
      </c>
      <c r="N527" s="10">
        <v>693</v>
      </c>
      <c r="O527" s="10">
        <v>0</v>
      </c>
      <c r="P527" s="10">
        <v>0</v>
      </c>
      <c r="Q527" s="10">
        <v>0</v>
      </c>
      <c r="R527" s="10">
        <v>0</v>
      </c>
      <c r="S527" s="19">
        <v>0</v>
      </c>
    </row>
    <row r="528" spans="1:19" x14ac:dyDescent="0.25">
      <c r="A528" t="s">
        <v>146</v>
      </c>
      <c r="B528" t="s">
        <v>576</v>
      </c>
      <c r="C528" s="1">
        <v>9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/>
      <c r="L528" s="12">
        <v>300</v>
      </c>
      <c r="M528" s="12" t="s">
        <v>600</v>
      </c>
      <c r="N528" s="12"/>
      <c r="O528" s="12"/>
      <c r="P528" s="12"/>
      <c r="Q528" s="12"/>
      <c r="R528" s="12"/>
      <c r="S528" s="18"/>
    </row>
    <row r="529" spans="1:19" x14ac:dyDescent="0.25">
      <c r="A529" t="s">
        <v>794</v>
      </c>
      <c r="B529" t="s">
        <v>577</v>
      </c>
      <c r="C529" s="1"/>
      <c r="D529" s="1"/>
      <c r="E529" s="1"/>
      <c r="F529" s="1"/>
      <c r="G529" s="1"/>
      <c r="H529" s="1"/>
      <c r="I529" s="1"/>
      <c r="J529" s="1"/>
      <c r="L529" s="10">
        <v>616</v>
      </c>
      <c r="M529" s="10" t="s">
        <v>601</v>
      </c>
      <c r="N529" s="10">
        <v>4663</v>
      </c>
      <c r="O529" s="10">
        <v>0</v>
      </c>
      <c r="P529" s="10">
        <v>0</v>
      </c>
      <c r="Q529" s="10">
        <v>0</v>
      </c>
      <c r="R529" s="10">
        <v>0</v>
      </c>
      <c r="S529" s="19">
        <v>0</v>
      </c>
    </row>
    <row r="530" spans="1:19" x14ac:dyDescent="0.25">
      <c r="A530" t="s">
        <v>146</v>
      </c>
      <c r="B530" t="s">
        <v>578</v>
      </c>
      <c r="C530" s="1">
        <v>2630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/>
      <c r="L530" s="12">
        <v>610</v>
      </c>
      <c r="M530" s="12" t="s">
        <v>602</v>
      </c>
      <c r="N530" s="12">
        <v>3294</v>
      </c>
      <c r="O530" s="12">
        <v>0</v>
      </c>
      <c r="P530" s="12">
        <v>0</v>
      </c>
      <c r="Q530" s="12">
        <v>0</v>
      </c>
      <c r="R530" s="12">
        <v>0</v>
      </c>
      <c r="S530" s="18">
        <v>0</v>
      </c>
    </row>
    <row r="531" spans="1:19" x14ac:dyDescent="0.25">
      <c r="A531" t="s">
        <v>36</v>
      </c>
      <c r="B531" t="s">
        <v>579</v>
      </c>
      <c r="C531" s="1">
        <v>1564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/>
      <c r="L531" s="12"/>
      <c r="M531" t="s">
        <v>603</v>
      </c>
      <c r="N531" s="12"/>
      <c r="O531" s="12"/>
      <c r="P531" s="12"/>
      <c r="Q531" s="12"/>
      <c r="R531" s="12"/>
      <c r="S531" s="18"/>
    </row>
    <row r="532" spans="1:19" x14ac:dyDescent="0.25">
      <c r="A532" t="s">
        <v>807</v>
      </c>
      <c r="B532" t="s">
        <v>580</v>
      </c>
      <c r="C532" s="1"/>
      <c r="D532" s="1"/>
      <c r="E532" s="1"/>
      <c r="F532" s="1"/>
      <c r="G532" s="1"/>
      <c r="H532" s="1"/>
      <c r="I532" s="1"/>
      <c r="J532" s="1"/>
      <c r="L532" s="10">
        <v>114</v>
      </c>
      <c r="M532" s="10" t="s">
        <v>604</v>
      </c>
      <c r="N532" s="10">
        <v>2914</v>
      </c>
      <c r="O532" s="10">
        <v>0</v>
      </c>
      <c r="P532" s="10">
        <v>0</v>
      </c>
      <c r="Q532" s="10">
        <v>0</v>
      </c>
      <c r="R532" s="10">
        <v>0</v>
      </c>
      <c r="S532" s="19">
        <v>0</v>
      </c>
    </row>
    <row r="533" spans="1:19" x14ac:dyDescent="0.25">
      <c r="A533" t="s">
        <v>794</v>
      </c>
      <c r="B533" t="s">
        <v>581</v>
      </c>
      <c r="C533" s="1">
        <v>2289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/>
      <c r="L533" s="12" t="s">
        <v>808</v>
      </c>
      <c r="M533" s="12" t="s">
        <v>605</v>
      </c>
      <c r="N533" s="12"/>
      <c r="O533" s="12"/>
      <c r="P533" s="12"/>
      <c r="Q533" s="12"/>
      <c r="R533" s="12"/>
      <c r="S533" s="18"/>
    </row>
    <row r="534" spans="1:19" x14ac:dyDescent="0.25">
      <c r="A534" t="s">
        <v>794</v>
      </c>
      <c r="B534" t="s">
        <v>582</v>
      </c>
      <c r="C534" s="1">
        <v>2126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/>
      <c r="L534" s="10">
        <v>616</v>
      </c>
      <c r="M534" s="10" t="s">
        <v>606</v>
      </c>
      <c r="N534" s="10">
        <v>13568</v>
      </c>
      <c r="O534" s="10">
        <v>0</v>
      </c>
      <c r="P534" s="10">
        <v>0</v>
      </c>
      <c r="Q534" s="10">
        <v>0</v>
      </c>
      <c r="R534" s="10">
        <v>0</v>
      </c>
      <c r="S534" s="19">
        <v>0</v>
      </c>
    </row>
    <row r="535" spans="1:19" x14ac:dyDescent="0.25">
      <c r="A535" t="s">
        <v>794</v>
      </c>
      <c r="B535" t="s">
        <v>583</v>
      </c>
      <c r="C535" s="1">
        <v>264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/>
      <c r="L535" s="12">
        <v>500</v>
      </c>
      <c r="M535" s="12" t="s">
        <v>607</v>
      </c>
      <c r="N535" s="12">
        <v>127</v>
      </c>
      <c r="O535" s="12">
        <v>0</v>
      </c>
      <c r="P535" s="12">
        <v>0</v>
      </c>
      <c r="Q535" s="12">
        <v>0</v>
      </c>
      <c r="R535" s="12">
        <v>0</v>
      </c>
      <c r="S535" s="18">
        <v>0</v>
      </c>
    </row>
    <row r="536" spans="1:19" x14ac:dyDescent="0.25">
      <c r="A536" t="s">
        <v>120</v>
      </c>
      <c r="B536" t="s">
        <v>584</v>
      </c>
      <c r="C536" s="1"/>
      <c r="D536" s="1"/>
      <c r="E536" s="1"/>
      <c r="F536" s="1"/>
      <c r="G536" s="1"/>
      <c r="H536" s="1"/>
      <c r="I536" s="1"/>
      <c r="J536" s="1"/>
      <c r="L536" s="10" t="s">
        <v>815</v>
      </c>
      <c r="M536" s="10" t="s">
        <v>608</v>
      </c>
      <c r="N536" s="10">
        <v>1703</v>
      </c>
      <c r="O536" s="10">
        <v>0</v>
      </c>
      <c r="P536" s="10">
        <v>0</v>
      </c>
      <c r="Q536" s="10">
        <v>0</v>
      </c>
      <c r="R536" s="10">
        <v>0</v>
      </c>
      <c r="S536" s="19">
        <v>0</v>
      </c>
    </row>
    <row r="537" spans="1:19" x14ac:dyDescent="0.25">
      <c r="A537" t="s">
        <v>45</v>
      </c>
      <c r="B537" t="s">
        <v>585</v>
      </c>
      <c r="C537" s="1">
        <v>1955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/>
      <c r="J537" s="1"/>
      <c r="L537" s="12"/>
      <c r="M537" t="s">
        <v>609</v>
      </c>
      <c r="N537" s="12"/>
      <c r="O537" s="12"/>
      <c r="P537" s="12"/>
      <c r="Q537" s="12"/>
      <c r="R537" s="12"/>
      <c r="S537" s="18"/>
    </row>
    <row r="538" spans="1:19" x14ac:dyDescent="0.25">
      <c r="A538" t="s">
        <v>794</v>
      </c>
      <c r="B538" t="s">
        <v>586</v>
      </c>
      <c r="C538" s="1">
        <v>3663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/>
      <c r="L538" s="12">
        <v>616</v>
      </c>
      <c r="M538" s="12" t="s">
        <v>610</v>
      </c>
      <c r="N538" s="12"/>
      <c r="O538" s="12"/>
      <c r="P538" s="12"/>
      <c r="Q538" s="12"/>
      <c r="R538" s="12"/>
      <c r="S538" s="18"/>
    </row>
    <row r="539" spans="1:19" x14ac:dyDescent="0.25">
      <c r="A539" t="s">
        <v>43</v>
      </c>
      <c r="B539" t="s">
        <v>587</v>
      </c>
      <c r="C539" s="1">
        <v>1605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/>
      <c r="L539" s="10">
        <v>616</v>
      </c>
      <c r="M539" s="10" t="s">
        <v>611</v>
      </c>
      <c r="N539" s="10"/>
      <c r="O539" s="10"/>
      <c r="P539" s="10"/>
      <c r="Q539" s="10"/>
      <c r="R539" s="10"/>
      <c r="S539" s="19"/>
    </row>
    <row r="540" spans="1:19" x14ac:dyDescent="0.25">
      <c r="A540" t="s">
        <v>61</v>
      </c>
      <c r="B540" t="s">
        <v>588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/>
      <c r="L540" s="12">
        <v>514</v>
      </c>
      <c r="M540" s="12" t="s">
        <v>612</v>
      </c>
      <c r="N540" s="12">
        <v>5529</v>
      </c>
      <c r="O540" s="12">
        <v>0</v>
      </c>
      <c r="P540" s="12">
        <v>0</v>
      </c>
      <c r="Q540" s="12">
        <v>0</v>
      </c>
      <c r="R540" s="12">
        <v>0</v>
      </c>
      <c r="S540" s="18">
        <v>0</v>
      </c>
    </row>
    <row r="541" spans="1:19" x14ac:dyDescent="0.25">
      <c r="A541" t="s">
        <v>47</v>
      </c>
      <c r="B541" t="s">
        <v>589</v>
      </c>
      <c r="C541" s="1"/>
      <c r="D541" s="1"/>
      <c r="E541" s="1"/>
      <c r="F541" s="1"/>
      <c r="G541" s="1"/>
      <c r="H541" s="1"/>
      <c r="I541" s="1"/>
      <c r="J541" s="1"/>
      <c r="L541" s="10">
        <v>616</v>
      </c>
      <c r="M541" s="10" t="s">
        <v>613</v>
      </c>
      <c r="N541" s="10"/>
      <c r="O541" s="10"/>
      <c r="P541" s="10"/>
      <c r="Q541" s="10"/>
      <c r="R541" s="10"/>
      <c r="S541" s="19"/>
    </row>
    <row r="542" spans="1:19" x14ac:dyDescent="0.25">
      <c r="A542" t="s">
        <v>38</v>
      </c>
      <c r="B542" t="s">
        <v>590</v>
      </c>
      <c r="C542" s="1">
        <v>3357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/>
      <c r="L542" s="12">
        <v>616</v>
      </c>
      <c r="M542" s="12" t="s">
        <v>614</v>
      </c>
      <c r="N542" s="12">
        <v>598</v>
      </c>
      <c r="O542" s="12">
        <v>0</v>
      </c>
      <c r="P542" s="12">
        <v>0</v>
      </c>
      <c r="Q542" s="12">
        <v>0</v>
      </c>
      <c r="R542" s="12">
        <v>0</v>
      </c>
      <c r="S542" s="18">
        <v>0</v>
      </c>
    </row>
    <row r="543" spans="1:19" x14ac:dyDescent="0.25">
      <c r="A543" t="s">
        <v>789</v>
      </c>
      <c r="B543" t="s">
        <v>591</v>
      </c>
      <c r="C543" s="1">
        <v>315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/>
      <c r="L543" s="10">
        <v>120</v>
      </c>
      <c r="M543" s="10" t="s">
        <v>615</v>
      </c>
      <c r="N543" s="10"/>
      <c r="O543" s="10"/>
      <c r="P543" s="10"/>
      <c r="Q543" s="10"/>
      <c r="R543" s="10"/>
      <c r="S543" s="19"/>
    </row>
    <row r="544" spans="1:19" x14ac:dyDescent="0.25">
      <c r="A544" t="s">
        <v>794</v>
      </c>
      <c r="B544" t="s">
        <v>592</v>
      </c>
      <c r="C544" s="1"/>
      <c r="D544" s="1"/>
      <c r="E544" s="1"/>
      <c r="F544" s="1"/>
      <c r="G544" s="1"/>
      <c r="H544" s="1"/>
      <c r="I544" s="1"/>
      <c r="J544" s="1"/>
      <c r="L544" s="12">
        <v>511</v>
      </c>
      <c r="M544" s="12" t="s">
        <v>616</v>
      </c>
      <c r="N544" s="12">
        <v>2132</v>
      </c>
      <c r="O544" s="12">
        <v>0</v>
      </c>
      <c r="P544" s="12">
        <v>0</v>
      </c>
      <c r="Q544" s="12">
        <v>0</v>
      </c>
      <c r="R544" s="12">
        <v>0</v>
      </c>
      <c r="S544" s="18">
        <v>0</v>
      </c>
    </row>
    <row r="545" spans="1:19" x14ac:dyDescent="0.25">
      <c r="A545" t="s">
        <v>59</v>
      </c>
      <c r="B545" t="s">
        <v>593</v>
      </c>
      <c r="C545" s="1"/>
      <c r="D545" s="1"/>
      <c r="E545" s="1"/>
      <c r="F545" s="1"/>
      <c r="G545" s="1"/>
      <c r="H545" s="1"/>
      <c r="I545" s="1"/>
      <c r="J545" s="1"/>
      <c r="L545" s="10">
        <v>111</v>
      </c>
      <c r="M545" s="10" t="s">
        <v>617</v>
      </c>
      <c r="N545" s="10">
        <v>708</v>
      </c>
      <c r="O545" s="10">
        <v>0</v>
      </c>
      <c r="P545" s="10">
        <v>0</v>
      </c>
      <c r="Q545" s="10">
        <v>0</v>
      </c>
      <c r="R545" s="10">
        <v>0</v>
      </c>
      <c r="S545" s="19">
        <v>0</v>
      </c>
    </row>
    <row r="546" spans="1:19" x14ac:dyDescent="0.25">
      <c r="A546" t="s">
        <v>128</v>
      </c>
      <c r="B546" t="s">
        <v>594</v>
      </c>
      <c r="C546" s="1"/>
      <c r="D546" s="1"/>
      <c r="E546" s="1"/>
      <c r="F546" s="1"/>
      <c r="G546" s="1"/>
      <c r="H546" s="1"/>
      <c r="I546" s="1"/>
      <c r="J546" s="1"/>
      <c r="L546" s="12">
        <v>511</v>
      </c>
      <c r="M546" s="12" t="s">
        <v>618</v>
      </c>
      <c r="N546" s="12">
        <v>1208</v>
      </c>
      <c r="O546" s="12">
        <v>0</v>
      </c>
      <c r="P546" s="12">
        <v>0</v>
      </c>
      <c r="Q546" s="12">
        <v>0</v>
      </c>
      <c r="R546" s="12">
        <v>0</v>
      </c>
      <c r="S546" s="18">
        <v>0</v>
      </c>
    </row>
    <row r="547" spans="1:19" x14ac:dyDescent="0.25">
      <c r="A547" t="s">
        <v>804</v>
      </c>
      <c r="B547" t="s">
        <v>595</v>
      </c>
      <c r="C547" s="1"/>
      <c r="D547" s="1"/>
      <c r="E547" s="1"/>
      <c r="F547" s="1"/>
      <c r="G547" s="1"/>
      <c r="H547" s="1"/>
      <c r="I547" s="1"/>
      <c r="J547" s="1"/>
      <c r="L547" s="10">
        <v>610</v>
      </c>
      <c r="M547" s="10" t="s">
        <v>619</v>
      </c>
      <c r="N547" s="10">
        <v>813</v>
      </c>
      <c r="O547" s="10">
        <v>0</v>
      </c>
      <c r="P547" s="10">
        <v>0</v>
      </c>
      <c r="Q547" s="10">
        <v>0</v>
      </c>
      <c r="R547" s="10">
        <v>0</v>
      </c>
      <c r="S547" s="19">
        <v>0</v>
      </c>
    </row>
    <row r="548" spans="1:19" x14ac:dyDescent="0.25">
      <c r="A548" t="s">
        <v>795</v>
      </c>
      <c r="B548" t="s">
        <v>596</v>
      </c>
      <c r="C548" s="1"/>
      <c r="D548" s="1"/>
      <c r="E548" s="1"/>
      <c r="F548" s="1"/>
      <c r="G548" s="1"/>
      <c r="H548" s="1"/>
      <c r="I548" s="1"/>
      <c r="J548" s="1"/>
      <c r="L548" s="12">
        <v>616</v>
      </c>
      <c r="M548" s="12" t="s">
        <v>620</v>
      </c>
      <c r="N548" s="12">
        <v>3811</v>
      </c>
      <c r="O548" s="12">
        <v>0</v>
      </c>
      <c r="P548" s="12">
        <v>0</v>
      </c>
      <c r="Q548" s="12">
        <v>0</v>
      </c>
      <c r="R548" s="12">
        <v>0</v>
      </c>
      <c r="S548" s="18">
        <v>0</v>
      </c>
    </row>
    <row r="549" spans="1:19" x14ac:dyDescent="0.25">
      <c r="A549" t="s">
        <v>101</v>
      </c>
      <c r="B549" t="s">
        <v>597</v>
      </c>
      <c r="C549" s="1">
        <v>2574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/>
      <c r="L549" s="10">
        <v>600</v>
      </c>
      <c r="M549" s="10" t="s">
        <v>621</v>
      </c>
      <c r="N549" s="10">
        <v>657</v>
      </c>
      <c r="O549" s="10">
        <v>0</v>
      </c>
      <c r="P549" s="10">
        <v>0</v>
      </c>
      <c r="Q549" s="10">
        <v>0</v>
      </c>
      <c r="R549" s="10">
        <v>0</v>
      </c>
      <c r="S549" s="19">
        <v>0</v>
      </c>
    </row>
    <row r="550" spans="1:19" x14ac:dyDescent="0.25">
      <c r="A550" t="s">
        <v>787</v>
      </c>
      <c r="B550" t="s">
        <v>598</v>
      </c>
      <c r="C550" s="1">
        <v>1131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/>
      <c r="L550" s="12">
        <v>114</v>
      </c>
      <c r="M550" s="12" t="s">
        <v>622</v>
      </c>
      <c r="N550" s="12">
        <v>6645</v>
      </c>
      <c r="O550" s="12">
        <v>0</v>
      </c>
      <c r="P550" s="12">
        <v>0</v>
      </c>
      <c r="Q550" s="12">
        <v>0</v>
      </c>
      <c r="R550" s="12">
        <v>0</v>
      </c>
      <c r="S550" s="18">
        <v>0</v>
      </c>
    </row>
    <row r="551" spans="1:19" x14ac:dyDescent="0.25">
      <c r="A551" t="s">
        <v>54</v>
      </c>
      <c r="B551" t="s">
        <v>599</v>
      </c>
      <c r="C551" s="1">
        <v>693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/>
      <c r="L551" s="12"/>
      <c r="M551" t="s">
        <v>623</v>
      </c>
      <c r="N551" s="12"/>
      <c r="O551" s="12"/>
      <c r="P551" s="12"/>
      <c r="Q551" s="12"/>
      <c r="R551" s="12"/>
      <c r="S551" s="18"/>
    </row>
    <row r="552" spans="1:19" x14ac:dyDescent="0.25">
      <c r="A552" t="s">
        <v>226</v>
      </c>
      <c r="B552" t="s">
        <v>600</v>
      </c>
      <c r="C552" s="1"/>
      <c r="D552" s="1"/>
      <c r="E552" s="1"/>
      <c r="F552" s="1"/>
      <c r="G552" s="1"/>
      <c r="H552" s="1"/>
      <c r="I552" s="1"/>
      <c r="J552" s="1"/>
      <c r="L552" s="12"/>
      <c r="M552" t="s">
        <v>624</v>
      </c>
      <c r="N552" s="12"/>
      <c r="O552" s="12"/>
      <c r="P552" s="12"/>
      <c r="Q552" s="12"/>
      <c r="R552" s="12"/>
      <c r="S552" s="18"/>
    </row>
    <row r="553" spans="1:19" x14ac:dyDescent="0.25">
      <c r="A553" t="s">
        <v>817</v>
      </c>
      <c r="B553" t="s">
        <v>601</v>
      </c>
      <c r="C553" s="1">
        <v>4663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/>
      <c r="L553" s="10">
        <v>712</v>
      </c>
      <c r="M553" s="10" t="s">
        <v>625</v>
      </c>
      <c r="N553" s="10">
        <v>1137</v>
      </c>
      <c r="O553" s="10">
        <v>0</v>
      </c>
      <c r="P553" s="10">
        <v>0</v>
      </c>
      <c r="Q553" s="10">
        <v>0</v>
      </c>
      <c r="R553" s="10">
        <v>0</v>
      </c>
      <c r="S553" s="19">
        <v>0</v>
      </c>
    </row>
    <row r="554" spans="1:19" x14ac:dyDescent="0.25">
      <c r="A554" t="s">
        <v>788</v>
      </c>
      <c r="B554" t="s">
        <v>602</v>
      </c>
      <c r="C554" s="1">
        <v>3294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/>
      <c r="L554" s="12">
        <v>710</v>
      </c>
      <c r="M554" s="12" t="s">
        <v>626</v>
      </c>
      <c r="N554" s="12">
        <v>9874</v>
      </c>
      <c r="O554" s="12">
        <v>0</v>
      </c>
      <c r="P554" s="12">
        <v>0</v>
      </c>
      <c r="Q554" s="12">
        <v>0</v>
      </c>
      <c r="R554" s="12">
        <v>0</v>
      </c>
      <c r="S554" s="18">
        <v>0</v>
      </c>
    </row>
    <row r="555" spans="1:19" x14ac:dyDescent="0.25">
      <c r="A555" t="s">
        <v>120</v>
      </c>
      <c r="B555" t="s">
        <v>603</v>
      </c>
      <c r="C555" s="1"/>
      <c r="D555" s="1"/>
      <c r="E555" s="1"/>
      <c r="F555" s="1"/>
      <c r="G555" s="1"/>
      <c r="H555" s="1"/>
      <c r="I555" s="1"/>
      <c r="J555" s="1"/>
      <c r="L555" s="12"/>
      <c r="M555" t="s">
        <v>627</v>
      </c>
      <c r="N555" s="12"/>
      <c r="O555" s="12"/>
      <c r="P555" s="12"/>
      <c r="Q555" s="12"/>
      <c r="R555" s="12"/>
      <c r="S555" s="18"/>
    </row>
    <row r="556" spans="1:19" x14ac:dyDescent="0.25">
      <c r="A556" t="s">
        <v>150</v>
      </c>
      <c r="B556" t="s">
        <v>604</v>
      </c>
      <c r="C556" s="1">
        <v>2914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/>
      <c r="L556" s="12"/>
      <c r="M556" t="s">
        <v>628</v>
      </c>
      <c r="N556" s="12"/>
      <c r="O556" s="12"/>
      <c r="P556" s="12"/>
      <c r="Q556" s="12"/>
      <c r="R556" s="12"/>
      <c r="S556" s="18"/>
    </row>
    <row r="557" spans="1:19" x14ac:dyDescent="0.25">
      <c r="A557" t="s">
        <v>809</v>
      </c>
      <c r="B557" t="s">
        <v>605</v>
      </c>
      <c r="C557" s="1"/>
      <c r="D557" s="1"/>
      <c r="E557" s="1"/>
      <c r="F557" s="1"/>
      <c r="G557" s="1"/>
      <c r="H557" s="1"/>
      <c r="I557" s="1"/>
      <c r="J557" s="1"/>
      <c r="L557" s="10">
        <v>110</v>
      </c>
      <c r="M557" s="10" t="s">
        <v>629</v>
      </c>
      <c r="N557" s="10">
        <v>143</v>
      </c>
      <c r="O557" s="10">
        <v>0</v>
      </c>
      <c r="P557" s="10">
        <v>0</v>
      </c>
      <c r="Q557" s="10">
        <v>0</v>
      </c>
      <c r="R557" s="10">
        <v>0</v>
      </c>
      <c r="S557" s="19">
        <v>0</v>
      </c>
    </row>
    <row r="558" spans="1:19" x14ac:dyDescent="0.25">
      <c r="A558" t="s">
        <v>817</v>
      </c>
      <c r="B558" t="s">
        <v>606</v>
      </c>
      <c r="C558" s="1">
        <v>13568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/>
      <c r="L558" s="12">
        <v>710</v>
      </c>
      <c r="M558" s="12" t="s">
        <v>630</v>
      </c>
      <c r="N558" s="12">
        <v>1568</v>
      </c>
      <c r="O558" s="12">
        <v>0</v>
      </c>
      <c r="P558" s="12">
        <v>0</v>
      </c>
      <c r="Q558" s="12">
        <v>0</v>
      </c>
      <c r="R558" s="12">
        <v>0</v>
      </c>
      <c r="S558" s="18">
        <v>0</v>
      </c>
    </row>
    <row r="559" spans="1:19" x14ac:dyDescent="0.25">
      <c r="A559" t="s">
        <v>824</v>
      </c>
      <c r="B559" t="s">
        <v>607</v>
      </c>
      <c r="C559" s="1">
        <v>127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/>
      <c r="L559" s="10">
        <v>710</v>
      </c>
      <c r="M559" s="10" t="s">
        <v>631</v>
      </c>
      <c r="N559" s="10">
        <v>5696</v>
      </c>
      <c r="O559" s="10">
        <v>0</v>
      </c>
      <c r="P559" s="10">
        <v>0</v>
      </c>
      <c r="Q559" s="10">
        <v>0</v>
      </c>
      <c r="R559" s="10">
        <v>0</v>
      </c>
      <c r="S559" s="19">
        <v>0</v>
      </c>
    </row>
    <row r="560" spans="1:19" x14ac:dyDescent="0.25">
      <c r="A560" t="s">
        <v>138</v>
      </c>
      <c r="B560" t="s">
        <v>608</v>
      </c>
      <c r="C560" s="1">
        <v>1703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/>
      <c r="L560" s="12">
        <v>616</v>
      </c>
      <c r="M560" s="12" t="s">
        <v>632</v>
      </c>
      <c r="N560" s="12">
        <v>250</v>
      </c>
      <c r="O560" s="12">
        <v>0</v>
      </c>
      <c r="P560" s="12">
        <v>0</v>
      </c>
      <c r="Q560" s="12">
        <v>0</v>
      </c>
      <c r="R560" s="12">
        <v>0</v>
      </c>
      <c r="S560" s="18">
        <v>0</v>
      </c>
    </row>
    <row r="561" spans="1:19" x14ac:dyDescent="0.25">
      <c r="A561" t="s">
        <v>120</v>
      </c>
      <c r="B561" t="s">
        <v>609</v>
      </c>
      <c r="C561" s="1"/>
      <c r="D561" s="1"/>
      <c r="E561" s="1"/>
      <c r="F561" s="1"/>
      <c r="G561" s="1"/>
      <c r="H561" s="1"/>
      <c r="I561" s="1"/>
      <c r="J561" s="1"/>
      <c r="L561" s="10">
        <v>712</v>
      </c>
      <c r="M561" s="10" t="s">
        <v>633</v>
      </c>
      <c r="N561" s="10">
        <v>1948</v>
      </c>
      <c r="O561" s="10">
        <v>0</v>
      </c>
      <c r="P561" s="10">
        <v>0</v>
      </c>
      <c r="Q561" s="10">
        <v>0</v>
      </c>
      <c r="R561" s="10">
        <v>0</v>
      </c>
      <c r="S561" s="19">
        <v>0</v>
      </c>
    </row>
    <row r="562" spans="1:19" x14ac:dyDescent="0.25">
      <c r="A562" t="s">
        <v>817</v>
      </c>
      <c r="B562" t="s">
        <v>610</v>
      </c>
      <c r="C562" s="1"/>
      <c r="D562" s="1"/>
      <c r="E562" s="1"/>
      <c r="F562" s="1"/>
      <c r="G562" s="1"/>
      <c r="H562" s="1"/>
      <c r="I562" s="1"/>
      <c r="J562" s="1"/>
      <c r="L562" s="12">
        <v>616</v>
      </c>
      <c r="M562" s="12" t="s">
        <v>634</v>
      </c>
      <c r="N562" s="12">
        <v>1017</v>
      </c>
      <c r="O562" s="12">
        <v>0</v>
      </c>
      <c r="P562" s="12">
        <v>0</v>
      </c>
      <c r="Q562" s="12">
        <v>0</v>
      </c>
      <c r="R562" s="12">
        <v>0</v>
      </c>
      <c r="S562" s="18">
        <v>0</v>
      </c>
    </row>
    <row r="563" spans="1:19" x14ac:dyDescent="0.25">
      <c r="A563" t="s">
        <v>817</v>
      </c>
      <c r="B563" t="s">
        <v>611</v>
      </c>
      <c r="C563" s="1"/>
      <c r="D563" s="1"/>
      <c r="E563" s="1"/>
      <c r="F563" s="1"/>
      <c r="G563" s="1"/>
      <c r="H563" s="1"/>
      <c r="I563" s="1"/>
      <c r="J563" s="1"/>
      <c r="L563" s="10">
        <v>711</v>
      </c>
      <c r="M563" s="10" t="s">
        <v>635</v>
      </c>
      <c r="N563" s="10">
        <v>9254</v>
      </c>
      <c r="O563" s="10">
        <v>0</v>
      </c>
      <c r="P563" s="10">
        <v>0</v>
      </c>
      <c r="Q563" s="10">
        <v>0</v>
      </c>
      <c r="R563" s="10">
        <v>0</v>
      </c>
      <c r="S563" s="19">
        <v>0</v>
      </c>
    </row>
    <row r="564" spans="1:19" x14ac:dyDescent="0.25">
      <c r="A564" t="s">
        <v>134</v>
      </c>
      <c r="B564" t="s">
        <v>612</v>
      </c>
      <c r="C564" s="1">
        <v>5529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/>
      <c r="L564" s="12">
        <v>616</v>
      </c>
      <c r="M564" s="12" t="s">
        <v>636</v>
      </c>
      <c r="N564" s="12">
        <v>1628</v>
      </c>
      <c r="O564" s="12">
        <v>0</v>
      </c>
      <c r="P564" s="12">
        <v>0</v>
      </c>
      <c r="Q564" s="12">
        <v>0</v>
      </c>
      <c r="R564" s="12">
        <v>0</v>
      </c>
      <c r="S564" s="18">
        <v>0</v>
      </c>
    </row>
    <row r="565" spans="1:19" x14ac:dyDescent="0.25">
      <c r="A565" t="s">
        <v>817</v>
      </c>
      <c r="B565" t="s">
        <v>613</v>
      </c>
      <c r="C565" s="1"/>
      <c r="D565" s="1"/>
      <c r="E565" s="1"/>
      <c r="F565" s="1"/>
      <c r="G565" s="1"/>
      <c r="H565" s="1"/>
      <c r="I565" s="1"/>
      <c r="J565" s="1"/>
      <c r="L565" s="10">
        <v>500</v>
      </c>
      <c r="M565" s="10" t="s">
        <v>637</v>
      </c>
      <c r="N565" s="10">
        <v>793</v>
      </c>
      <c r="O565" s="10">
        <v>0</v>
      </c>
      <c r="P565" s="10">
        <v>0</v>
      </c>
      <c r="Q565" s="10">
        <v>0</v>
      </c>
      <c r="R565" s="10">
        <v>0</v>
      </c>
      <c r="S565" s="19">
        <v>0</v>
      </c>
    </row>
    <row r="566" spans="1:19" x14ac:dyDescent="0.25">
      <c r="A566" t="s">
        <v>817</v>
      </c>
      <c r="B566" t="s">
        <v>614</v>
      </c>
      <c r="C566" s="1"/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/>
      <c r="L566" s="12">
        <v>715</v>
      </c>
      <c r="M566" s="12" t="s">
        <v>638</v>
      </c>
      <c r="N566" s="12">
        <v>3434</v>
      </c>
      <c r="O566" s="12">
        <v>0</v>
      </c>
      <c r="P566" s="12">
        <v>0</v>
      </c>
      <c r="Q566" s="12">
        <v>0</v>
      </c>
      <c r="R566" s="12">
        <v>0</v>
      </c>
      <c r="S566" s="18">
        <v>0</v>
      </c>
    </row>
    <row r="567" spans="1:19" x14ac:dyDescent="0.25">
      <c r="A567" t="s">
        <v>802</v>
      </c>
      <c r="B567" t="s">
        <v>615</v>
      </c>
      <c r="C567" s="1"/>
      <c r="D567" s="1"/>
      <c r="E567" s="1"/>
      <c r="F567" s="1"/>
      <c r="G567" s="1"/>
      <c r="H567" s="1"/>
      <c r="I567" s="1"/>
      <c r="J567" s="1"/>
      <c r="L567" s="10">
        <v>616</v>
      </c>
      <c r="M567" s="10" t="s">
        <v>639</v>
      </c>
      <c r="N567" s="10">
        <v>6817</v>
      </c>
      <c r="O567" s="10">
        <v>0</v>
      </c>
      <c r="P567" s="10">
        <v>0</v>
      </c>
      <c r="Q567" s="10">
        <v>0</v>
      </c>
      <c r="R567" s="10">
        <v>0</v>
      </c>
      <c r="S567" s="19">
        <v>0</v>
      </c>
    </row>
    <row r="568" spans="1:19" x14ac:dyDescent="0.25">
      <c r="A568" t="s">
        <v>101</v>
      </c>
      <c r="B568" t="s">
        <v>616</v>
      </c>
      <c r="C568" s="1">
        <v>2132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/>
      <c r="L568" s="12">
        <v>111</v>
      </c>
      <c r="M568" s="12" t="s">
        <v>640</v>
      </c>
      <c r="N568" s="12">
        <v>18271</v>
      </c>
      <c r="O568" s="12">
        <v>0</v>
      </c>
      <c r="P568" s="12">
        <v>0</v>
      </c>
      <c r="Q568" s="12">
        <v>0</v>
      </c>
      <c r="R568" s="12">
        <v>0</v>
      </c>
      <c r="S568" s="18">
        <v>0</v>
      </c>
    </row>
    <row r="569" spans="1:19" x14ac:dyDescent="0.25">
      <c r="A569" t="s">
        <v>811</v>
      </c>
      <c r="B569" t="s">
        <v>617</v>
      </c>
      <c r="C569" s="1"/>
      <c r="D569" s="1"/>
      <c r="E569" s="1"/>
      <c r="F569" s="1"/>
      <c r="G569" s="1"/>
      <c r="H569" s="1"/>
      <c r="I569" s="1"/>
      <c r="J569" s="1"/>
      <c r="L569" s="12"/>
      <c r="M569" t="s">
        <v>641</v>
      </c>
      <c r="N569" s="12"/>
      <c r="O569" s="12"/>
      <c r="P569" s="12"/>
      <c r="Q569" s="12"/>
      <c r="R569" s="12"/>
      <c r="S569" s="18"/>
    </row>
    <row r="570" spans="1:19" x14ac:dyDescent="0.25">
      <c r="A570" t="s">
        <v>101</v>
      </c>
      <c r="B570" t="s">
        <v>618</v>
      </c>
      <c r="C570" s="1">
        <v>1208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/>
      <c r="L570" s="10">
        <v>712</v>
      </c>
      <c r="M570" s="10" t="s">
        <v>642</v>
      </c>
      <c r="N570" s="10">
        <v>603</v>
      </c>
      <c r="O570" s="10">
        <v>0</v>
      </c>
      <c r="P570" s="10">
        <v>0</v>
      </c>
      <c r="Q570" s="10">
        <v>0</v>
      </c>
      <c r="R570" s="10">
        <v>0</v>
      </c>
      <c r="S570" s="19">
        <v>0</v>
      </c>
    </row>
    <row r="571" spans="1:19" x14ac:dyDescent="0.25">
      <c r="A571" t="s">
        <v>788</v>
      </c>
      <c r="B571" t="s">
        <v>619</v>
      </c>
      <c r="C571" s="1">
        <v>813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/>
      <c r="L571" s="12">
        <v>616</v>
      </c>
      <c r="M571" s="12" t="s">
        <v>643</v>
      </c>
      <c r="N571" s="12"/>
      <c r="O571" s="12"/>
      <c r="P571" s="12"/>
      <c r="Q571" s="12"/>
      <c r="R571" s="12"/>
      <c r="S571" s="18"/>
    </row>
    <row r="572" spans="1:19" x14ac:dyDescent="0.25">
      <c r="A572" t="s">
        <v>817</v>
      </c>
      <c r="B572" t="s">
        <v>620</v>
      </c>
      <c r="C572" s="1">
        <v>3811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/>
      <c r="L572" s="10">
        <v>712</v>
      </c>
      <c r="M572" s="10" t="s">
        <v>644</v>
      </c>
      <c r="N572" s="10">
        <v>1126</v>
      </c>
      <c r="O572" s="10">
        <v>0</v>
      </c>
      <c r="P572" s="10">
        <v>0</v>
      </c>
      <c r="Q572" s="10">
        <v>0</v>
      </c>
      <c r="R572" s="10">
        <v>0</v>
      </c>
      <c r="S572" s="19">
        <v>0</v>
      </c>
    </row>
    <row r="573" spans="1:19" x14ac:dyDescent="0.25">
      <c r="A573" t="s">
        <v>248</v>
      </c>
      <c r="B573" t="s">
        <v>621</v>
      </c>
      <c r="C573" s="1">
        <v>657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/>
      <c r="L573" s="12">
        <v>616</v>
      </c>
      <c r="M573" s="12" t="s">
        <v>645</v>
      </c>
      <c r="N573" s="12">
        <v>9146</v>
      </c>
      <c r="O573" s="12">
        <v>0</v>
      </c>
      <c r="P573" s="12">
        <v>0</v>
      </c>
      <c r="Q573" s="12">
        <v>0</v>
      </c>
      <c r="R573" s="12">
        <v>0</v>
      </c>
      <c r="S573" s="18">
        <v>0</v>
      </c>
    </row>
    <row r="574" spans="1:19" x14ac:dyDescent="0.25">
      <c r="A574" t="s">
        <v>150</v>
      </c>
      <c r="B574" t="s">
        <v>622</v>
      </c>
      <c r="C574" s="1">
        <v>6645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/>
      <c r="L574" s="10">
        <v>616</v>
      </c>
      <c r="M574" s="10" t="s">
        <v>646</v>
      </c>
      <c r="N574" s="10">
        <v>2731</v>
      </c>
      <c r="O574" s="10">
        <v>0</v>
      </c>
      <c r="P574" s="10">
        <v>0</v>
      </c>
      <c r="Q574" s="10">
        <v>0</v>
      </c>
      <c r="R574" s="10">
        <v>0</v>
      </c>
      <c r="S574" s="19">
        <v>0</v>
      </c>
    </row>
    <row r="575" spans="1:19" x14ac:dyDescent="0.25">
      <c r="A575" t="s">
        <v>823</v>
      </c>
      <c r="B575" t="s">
        <v>623</v>
      </c>
      <c r="C575" s="1"/>
      <c r="D575" s="1"/>
      <c r="E575" s="1"/>
      <c r="F575" s="1"/>
      <c r="G575" s="1"/>
      <c r="H575" s="1"/>
      <c r="I575" s="1"/>
      <c r="J575" s="1"/>
      <c r="L575" s="12">
        <v>300</v>
      </c>
      <c r="M575" s="12" t="s">
        <v>647</v>
      </c>
      <c r="N575" s="12"/>
      <c r="O575" s="12"/>
      <c r="P575" s="12"/>
      <c r="Q575" s="12"/>
      <c r="R575" s="12"/>
      <c r="S575" s="18"/>
    </row>
    <row r="576" spans="1:19" x14ac:dyDescent="0.25">
      <c r="A576" t="s">
        <v>817</v>
      </c>
      <c r="B576" t="s">
        <v>624</v>
      </c>
      <c r="C576" s="1"/>
      <c r="D576" s="1"/>
      <c r="E576" s="1"/>
      <c r="F576" s="1"/>
      <c r="G576" s="1"/>
      <c r="H576" s="1"/>
      <c r="I576" s="1"/>
      <c r="J576" s="1"/>
      <c r="L576" s="10">
        <v>114</v>
      </c>
      <c r="M576" s="10" t="s">
        <v>648</v>
      </c>
      <c r="N576" s="10">
        <v>4247</v>
      </c>
      <c r="O576" s="10">
        <v>0</v>
      </c>
      <c r="P576" s="10">
        <v>0</v>
      </c>
      <c r="Q576" s="10">
        <v>0</v>
      </c>
      <c r="R576" s="10">
        <v>0</v>
      </c>
      <c r="S576" s="19">
        <v>0</v>
      </c>
    </row>
    <row r="577" spans="1:19" x14ac:dyDescent="0.25">
      <c r="A577" t="s">
        <v>76</v>
      </c>
      <c r="B577" t="s">
        <v>625</v>
      </c>
      <c r="C577" s="1">
        <v>1137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/>
      <c r="L577" s="12">
        <v>715</v>
      </c>
      <c r="M577" s="12" t="s">
        <v>649</v>
      </c>
      <c r="N577" s="12">
        <v>1727</v>
      </c>
      <c r="O577" s="12">
        <v>0</v>
      </c>
      <c r="P577" s="12">
        <v>0</v>
      </c>
      <c r="Q577" s="12">
        <v>0</v>
      </c>
      <c r="R577" s="12">
        <v>0</v>
      </c>
      <c r="S577" s="18">
        <v>0</v>
      </c>
    </row>
    <row r="578" spans="1:19" x14ac:dyDescent="0.25">
      <c r="A578" t="s">
        <v>69</v>
      </c>
      <c r="B578" t="s">
        <v>626</v>
      </c>
      <c r="C578" s="1">
        <v>9874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/>
      <c r="L578" s="10">
        <v>616</v>
      </c>
      <c r="M578" s="10" t="s">
        <v>650</v>
      </c>
      <c r="N578" s="10">
        <v>2656</v>
      </c>
      <c r="O578" s="10">
        <v>0</v>
      </c>
      <c r="P578" s="10">
        <v>0</v>
      </c>
      <c r="Q578" s="10">
        <v>0</v>
      </c>
      <c r="R578" s="10">
        <v>0</v>
      </c>
      <c r="S578" s="19">
        <v>0</v>
      </c>
    </row>
    <row r="579" spans="1:19" x14ac:dyDescent="0.25">
      <c r="A579" t="s">
        <v>83</v>
      </c>
      <c r="B579" t="s">
        <v>627</v>
      </c>
      <c r="C579" s="1"/>
      <c r="D579" s="1"/>
      <c r="E579" s="1"/>
      <c r="F579" s="1"/>
      <c r="G579" s="1"/>
      <c r="H579" s="1"/>
      <c r="I579" s="1"/>
      <c r="J579" s="1"/>
      <c r="L579" s="12">
        <v>616</v>
      </c>
      <c r="M579" s="12" t="s">
        <v>651</v>
      </c>
      <c r="N579" s="12">
        <v>2061</v>
      </c>
      <c r="O579" s="12">
        <v>0</v>
      </c>
      <c r="P579" s="12">
        <v>0</v>
      </c>
      <c r="Q579" s="12">
        <v>0</v>
      </c>
      <c r="R579" s="12">
        <v>0</v>
      </c>
      <c r="S579" s="18">
        <v>0</v>
      </c>
    </row>
    <row r="580" spans="1:19" x14ac:dyDescent="0.25">
      <c r="A580" t="s">
        <v>791</v>
      </c>
      <c r="B580" t="s">
        <v>628</v>
      </c>
      <c r="C580" s="1"/>
      <c r="D580" s="1"/>
      <c r="E580" s="1"/>
      <c r="F580" s="1"/>
      <c r="G580" s="1"/>
      <c r="H580" s="1"/>
      <c r="I580" s="1"/>
      <c r="J580" s="1"/>
      <c r="L580" s="10">
        <v>616</v>
      </c>
      <c r="M580" s="10" t="s">
        <v>652</v>
      </c>
      <c r="N580" s="10">
        <v>323</v>
      </c>
      <c r="O580" s="10">
        <v>0</v>
      </c>
      <c r="P580" s="10">
        <v>0</v>
      </c>
      <c r="Q580" s="10">
        <v>0</v>
      </c>
      <c r="R580" s="10">
        <v>0</v>
      </c>
      <c r="S580" s="19">
        <v>0</v>
      </c>
    </row>
    <row r="581" spans="1:19" x14ac:dyDescent="0.25">
      <c r="A581" t="s">
        <v>797</v>
      </c>
      <c r="B581" t="s">
        <v>629</v>
      </c>
      <c r="C581" s="1"/>
      <c r="D581" s="1"/>
      <c r="E581" s="1"/>
      <c r="F581" s="1"/>
      <c r="G581" s="1"/>
      <c r="H581" s="1"/>
      <c r="I581" s="1"/>
      <c r="J581" s="1"/>
      <c r="L581" s="12">
        <v>616</v>
      </c>
      <c r="M581" s="12" t="s">
        <v>653</v>
      </c>
      <c r="N581" s="12">
        <v>11840</v>
      </c>
      <c r="O581" s="12">
        <v>0</v>
      </c>
      <c r="P581" s="12">
        <v>0</v>
      </c>
      <c r="Q581" s="12">
        <v>0</v>
      </c>
      <c r="R581" s="12">
        <v>0</v>
      </c>
      <c r="S581" s="18">
        <v>0</v>
      </c>
    </row>
    <row r="582" spans="1:19" x14ac:dyDescent="0.25">
      <c r="A582" t="s">
        <v>69</v>
      </c>
      <c r="B582" t="s">
        <v>630</v>
      </c>
      <c r="C582" s="1">
        <v>1568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/>
      <c r="L582" s="10">
        <v>616</v>
      </c>
      <c r="M582" s="10" t="s">
        <v>654</v>
      </c>
      <c r="N582" s="10">
        <v>5646</v>
      </c>
      <c r="O582" s="10">
        <v>0</v>
      </c>
      <c r="P582" s="10">
        <v>0</v>
      </c>
      <c r="Q582" s="10">
        <v>0</v>
      </c>
      <c r="R582" s="10">
        <v>0</v>
      </c>
      <c r="S582" s="19">
        <v>0</v>
      </c>
    </row>
    <row r="583" spans="1:19" x14ac:dyDescent="0.25">
      <c r="A583" t="s">
        <v>69</v>
      </c>
      <c r="B583" t="s">
        <v>631</v>
      </c>
      <c r="C583" s="1">
        <v>5696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/>
      <c r="L583" s="12">
        <v>120</v>
      </c>
      <c r="M583" s="12" t="s">
        <v>655</v>
      </c>
      <c r="N583" s="12"/>
      <c r="O583" s="12"/>
      <c r="P583" s="12"/>
      <c r="Q583" s="12"/>
      <c r="R583" s="12"/>
      <c r="S583" s="18"/>
    </row>
    <row r="584" spans="1:19" x14ac:dyDescent="0.25">
      <c r="A584" t="s">
        <v>823</v>
      </c>
      <c r="B584" t="s">
        <v>632</v>
      </c>
      <c r="C584" s="1"/>
      <c r="D584" s="1"/>
      <c r="E584" s="1"/>
      <c r="F584" s="1"/>
      <c r="G584" s="1"/>
      <c r="H584" s="1"/>
      <c r="I584" s="1"/>
      <c r="J584" s="1"/>
      <c r="L584" s="10">
        <v>616</v>
      </c>
      <c r="M584" s="10" t="s">
        <v>656</v>
      </c>
      <c r="N584" s="10">
        <v>1124</v>
      </c>
      <c r="O584" s="10">
        <v>0</v>
      </c>
      <c r="P584" s="10">
        <v>0</v>
      </c>
      <c r="Q584" s="10">
        <v>0</v>
      </c>
      <c r="R584" s="10">
        <v>0</v>
      </c>
      <c r="S584" s="19">
        <v>0</v>
      </c>
    </row>
    <row r="585" spans="1:19" x14ac:dyDescent="0.25">
      <c r="A585" t="s">
        <v>76</v>
      </c>
      <c r="B585" t="s">
        <v>633</v>
      </c>
      <c r="C585" s="1">
        <v>1948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/>
      <c r="L585" s="12">
        <v>111</v>
      </c>
      <c r="M585" s="12" t="s">
        <v>657</v>
      </c>
      <c r="N585" s="12">
        <v>4490</v>
      </c>
      <c r="O585" s="12">
        <v>0</v>
      </c>
      <c r="P585" s="12">
        <v>0</v>
      </c>
      <c r="Q585" s="12">
        <v>0</v>
      </c>
      <c r="R585" s="12">
        <v>0</v>
      </c>
      <c r="S585" s="18">
        <v>0</v>
      </c>
    </row>
    <row r="586" spans="1:19" x14ac:dyDescent="0.25">
      <c r="A586" t="s">
        <v>817</v>
      </c>
      <c r="B586" t="s">
        <v>634</v>
      </c>
      <c r="C586" s="1">
        <v>1017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/>
      <c r="L586" s="10">
        <v>616</v>
      </c>
      <c r="M586" s="10" t="s">
        <v>658</v>
      </c>
      <c r="N586" s="10">
        <v>10681</v>
      </c>
      <c r="O586" s="10">
        <v>0</v>
      </c>
      <c r="P586" s="10">
        <v>0</v>
      </c>
      <c r="Q586" s="10">
        <v>0</v>
      </c>
      <c r="R586" s="10">
        <v>0</v>
      </c>
      <c r="S586" s="19">
        <v>0</v>
      </c>
    </row>
    <row r="587" spans="1:19" x14ac:dyDescent="0.25">
      <c r="A587" t="s">
        <v>801</v>
      </c>
      <c r="B587" t="s">
        <v>635</v>
      </c>
      <c r="C587" s="1">
        <v>9254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/>
      <c r="L587" s="12">
        <v>130</v>
      </c>
      <c r="M587" s="12" t="s">
        <v>659</v>
      </c>
      <c r="N587" s="12">
        <v>2244</v>
      </c>
      <c r="O587" s="12">
        <v>0</v>
      </c>
      <c r="P587" s="12">
        <v>0</v>
      </c>
      <c r="Q587" s="12">
        <v>0</v>
      </c>
      <c r="R587" s="12">
        <v>0</v>
      </c>
      <c r="S587" s="18">
        <v>0</v>
      </c>
    </row>
    <row r="588" spans="1:19" x14ac:dyDescent="0.25">
      <c r="A588" t="s">
        <v>817</v>
      </c>
      <c r="B588" t="s">
        <v>636</v>
      </c>
      <c r="C588" s="1">
        <v>1628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/>
      <c r="L588" s="10">
        <v>600</v>
      </c>
      <c r="M588" s="10" t="s">
        <v>660</v>
      </c>
      <c r="N588" s="10">
        <v>1068</v>
      </c>
      <c r="O588" s="10">
        <v>0</v>
      </c>
      <c r="P588" s="10">
        <v>0</v>
      </c>
      <c r="Q588" s="10">
        <v>0</v>
      </c>
      <c r="R588" s="10">
        <v>0</v>
      </c>
      <c r="S588" s="19">
        <v>0</v>
      </c>
    </row>
    <row r="589" spans="1:19" x14ac:dyDescent="0.25">
      <c r="A589" t="s">
        <v>824</v>
      </c>
      <c r="B589" t="s">
        <v>637</v>
      </c>
      <c r="C589" s="1">
        <v>793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/>
      <c r="L589" s="12">
        <v>124</v>
      </c>
      <c r="M589" s="12" t="s">
        <v>661</v>
      </c>
      <c r="N589" s="12">
        <v>1467</v>
      </c>
      <c r="O589" s="12">
        <v>0</v>
      </c>
      <c r="P589" s="12">
        <v>0</v>
      </c>
      <c r="Q589" s="12">
        <v>0</v>
      </c>
      <c r="R589" s="12">
        <v>0</v>
      </c>
      <c r="S589" s="18">
        <v>0</v>
      </c>
    </row>
    <row r="590" spans="1:19" x14ac:dyDescent="0.25">
      <c r="A590" t="s">
        <v>818</v>
      </c>
      <c r="B590" t="s">
        <v>638</v>
      </c>
      <c r="C590" s="1">
        <v>3434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/>
      <c r="L590" s="10">
        <v>314</v>
      </c>
      <c r="M590" s="10" t="s">
        <v>662</v>
      </c>
      <c r="N590" s="10">
        <v>1245</v>
      </c>
      <c r="O590" s="10">
        <v>0</v>
      </c>
      <c r="P590" s="10">
        <v>0</v>
      </c>
      <c r="Q590" s="10">
        <v>0</v>
      </c>
      <c r="R590" s="10">
        <v>0</v>
      </c>
      <c r="S590" s="19">
        <v>0</v>
      </c>
    </row>
    <row r="591" spans="1:19" x14ac:dyDescent="0.25">
      <c r="A591" t="s">
        <v>817</v>
      </c>
      <c r="B591" t="s">
        <v>639</v>
      </c>
      <c r="C591" s="1">
        <v>6817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/>
      <c r="L591" s="12">
        <v>511</v>
      </c>
      <c r="M591" s="12" t="s">
        <v>663</v>
      </c>
      <c r="N591" s="12">
        <v>844</v>
      </c>
      <c r="O591" s="12">
        <v>0</v>
      </c>
      <c r="P591" s="12">
        <v>0</v>
      </c>
      <c r="Q591" s="12">
        <v>0</v>
      </c>
      <c r="R591" s="12">
        <v>0</v>
      </c>
      <c r="S591" s="18">
        <v>0</v>
      </c>
    </row>
    <row r="592" spans="1:19" x14ac:dyDescent="0.25">
      <c r="A592" t="s">
        <v>811</v>
      </c>
      <c r="B592" t="s">
        <v>640</v>
      </c>
      <c r="C592" s="1"/>
      <c r="D592" s="1"/>
      <c r="E592" s="1"/>
      <c r="F592" s="1"/>
      <c r="G592" s="1"/>
      <c r="H592" s="1"/>
      <c r="I592" s="1"/>
      <c r="J592" s="1"/>
      <c r="L592" s="10">
        <v>710</v>
      </c>
      <c r="M592" s="10" t="s">
        <v>664</v>
      </c>
      <c r="N592" s="10">
        <v>1379</v>
      </c>
      <c r="O592" s="10">
        <v>0</v>
      </c>
      <c r="P592" s="10">
        <v>0</v>
      </c>
      <c r="Q592" s="10">
        <v>0</v>
      </c>
      <c r="R592" s="10">
        <v>0</v>
      </c>
      <c r="S592" s="19">
        <v>0</v>
      </c>
    </row>
    <row r="593" spans="1:19" x14ac:dyDescent="0.25">
      <c r="A593" t="s">
        <v>811</v>
      </c>
      <c r="B593" t="s">
        <v>641</v>
      </c>
      <c r="C593" s="1"/>
      <c r="D593" s="1"/>
      <c r="E593" s="1"/>
      <c r="F593" s="1"/>
      <c r="G593" s="1"/>
      <c r="H593" s="1"/>
      <c r="I593" s="1"/>
      <c r="J593" s="1"/>
      <c r="L593" s="12"/>
      <c r="M593" t="s">
        <v>665</v>
      </c>
      <c r="N593" s="12"/>
      <c r="O593" s="12"/>
      <c r="P593" s="12"/>
      <c r="Q593" s="12"/>
      <c r="R593" s="12"/>
      <c r="S593" s="18"/>
    </row>
    <row r="594" spans="1:19" x14ac:dyDescent="0.25">
      <c r="A594" t="s">
        <v>76</v>
      </c>
      <c r="B594" t="s">
        <v>642</v>
      </c>
      <c r="C594" s="1">
        <v>603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/>
      <c r="L594" s="12">
        <v>212</v>
      </c>
      <c r="M594" s="12" t="s">
        <v>666</v>
      </c>
      <c r="N594" s="12"/>
      <c r="O594" s="12"/>
      <c r="P594" s="12"/>
      <c r="Q594" s="12"/>
      <c r="R594" s="12"/>
      <c r="S594" s="18"/>
    </row>
    <row r="595" spans="1:19" x14ac:dyDescent="0.25">
      <c r="A595" t="s">
        <v>817</v>
      </c>
      <c r="B595" t="s">
        <v>643</v>
      </c>
      <c r="C595" s="1"/>
      <c r="D595" s="1"/>
      <c r="E595" s="1"/>
      <c r="F595" s="1"/>
      <c r="G595" s="1"/>
      <c r="H595" s="1"/>
      <c r="I595" s="1"/>
      <c r="J595" s="1"/>
      <c r="L595" s="10">
        <v>133</v>
      </c>
      <c r="M595" s="10" t="s">
        <v>667</v>
      </c>
      <c r="N595" s="10">
        <v>730</v>
      </c>
      <c r="O595" s="10">
        <v>0</v>
      </c>
      <c r="P595" s="10">
        <v>0</v>
      </c>
      <c r="Q595" s="10">
        <v>0</v>
      </c>
      <c r="R595" s="10">
        <v>0</v>
      </c>
      <c r="S595" s="19">
        <v>0</v>
      </c>
    </row>
    <row r="596" spans="1:19" x14ac:dyDescent="0.25">
      <c r="A596" t="s">
        <v>76</v>
      </c>
      <c r="B596" t="s">
        <v>644</v>
      </c>
      <c r="C596" s="1">
        <v>1126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/>
      <c r="L596" s="12">
        <v>128</v>
      </c>
      <c r="M596" s="12" t="s">
        <v>668</v>
      </c>
      <c r="N596" s="12">
        <v>998</v>
      </c>
      <c r="O596" s="12">
        <v>0</v>
      </c>
      <c r="P596" s="12">
        <v>0</v>
      </c>
      <c r="Q596" s="12">
        <v>0</v>
      </c>
      <c r="R596" s="12">
        <v>0</v>
      </c>
      <c r="S596" s="18">
        <v>0</v>
      </c>
    </row>
    <row r="597" spans="1:19" x14ac:dyDescent="0.25">
      <c r="A597" t="s">
        <v>817</v>
      </c>
      <c r="B597" t="s">
        <v>645</v>
      </c>
      <c r="C597" s="1">
        <v>9146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/>
      <c r="L597" s="10">
        <v>131</v>
      </c>
      <c r="M597" s="10" t="s">
        <v>669</v>
      </c>
      <c r="N597" s="10"/>
      <c r="O597" s="10"/>
      <c r="P597" s="10"/>
      <c r="Q597" s="10"/>
      <c r="R597" s="10"/>
      <c r="S597" s="19"/>
    </row>
    <row r="598" spans="1:19" x14ac:dyDescent="0.25">
      <c r="A598" t="s">
        <v>817</v>
      </c>
      <c r="B598" t="s">
        <v>646</v>
      </c>
      <c r="C598" s="1">
        <v>2731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/>
      <c r="L598" s="12">
        <v>132</v>
      </c>
      <c r="M598" s="12" t="s">
        <v>670</v>
      </c>
      <c r="N598" s="12">
        <v>4</v>
      </c>
      <c r="O598" s="12">
        <v>0</v>
      </c>
      <c r="P598" s="12">
        <v>0</v>
      </c>
      <c r="Q598" s="12">
        <v>0</v>
      </c>
      <c r="R598" s="12">
        <v>0</v>
      </c>
      <c r="S598" s="18">
        <v>0</v>
      </c>
    </row>
    <row r="599" spans="1:19" x14ac:dyDescent="0.25">
      <c r="A599" t="s">
        <v>226</v>
      </c>
      <c r="B599" t="s">
        <v>647</v>
      </c>
      <c r="C599" s="1"/>
      <c r="D599" s="1"/>
      <c r="E599" s="1"/>
      <c r="F599" s="1"/>
      <c r="G599" s="1"/>
      <c r="H599" s="1"/>
      <c r="I599" s="1"/>
      <c r="J599" s="1"/>
      <c r="L599" s="10">
        <v>300</v>
      </c>
      <c r="M599" s="10" t="s">
        <v>671</v>
      </c>
      <c r="N599" s="10"/>
      <c r="O599" s="10"/>
      <c r="P599" s="10"/>
      <c r="Q599" s="10"/>
      <c r="R599" s="10"/>
      <c r="S599" s="19"/>
    </row>
    <row r="600" spans="1:19" x14ac:dyDescent="0.25">
      <c r="A600" t="s">
        <v>150</v>
      </c>
      <c r="B600" t="s">
        <v>648</v>
      </c>
      <c r="C600" s="1">
        <v>4247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/>
      <c r="L600" s="12">
        <v>116</v>
      </c>
      <c r="M600" s="12" t="s">
        <v>672</v>
      </c>
      <c r="N600" s="12">
        <v>4580</v>
      </c>
      <c r="O600" s="12">
        <v>0</v>
      </c>
      <c r="P600" s="12">
        <v>0</v>
      </c>
      <c r="Q600" s="12">
        <v>0</v>
      </c>
      <c r="R600" s="12">
        <v>0</v>
      </c>
      <c r="S600" s="18">
        <v>0</v>
      </c>
    </row>
    <row r="601" spans="1:19" x14ac:dyDescent="0.25">
      <c r="A601" t="s">
        <v>818</v>
      </c>
      <c r="B601" t="s">
        <v>649</v>
      </c>
      <c r="C601" s="1">
        <v>1727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/>
      <c r="L601" s="10">
        <v>148</v>
      </c>
      <c r="M601" s="10" t="s">
        <v>673</v>
      </c>
      <c r="N601" s="10"/>
      <c r="O601" s="10"/>
      <c r="P601" s="10"/>
      <c r="Q601" s="10"/>
      <c r="R601" s="10"/>
      <c r="S601" s="19"/>
    </row>
    <row r="602" spans="1:19" x14ac:dyDescent="0.25">
      <c r="A602" t="s">
        <v>817</v>
      </c>
      <c r="B602" t="s">
        <v>650</v>
      </c>
      <c r="C602" s="1">
        <v>2656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/>
      <c r="L602" s="12">
        <v>116</v>
      </c>
      <c r="M602" s="12" t="s">
        <v>674</v>
      </c>
      <c r="N602" s="12">
        <v>5970</v>
      </c>
      <c r="O602" s="12">
        <v>0</v>
      </c>
      <c r="P602" s="12">
        <v>0</v>
      </c>
      <c r="Q602" s="12">
        <v>0</v>
      </c>
      <c r="R602" s="12">
        <v>0</v>
      </c>
      <c r="S602" s="18">
        <v>0</v>
      </c>
    </row>
    <row r="603" spans="1:19" x14ac:dyDescent="0.25">
      <c r="A603" t="s">
        <v>817</v>
      </c>
      <c r="B603" t="s">
        <v>651</v>
      </c>
      <c r="C603" s="1">
        <v>2061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/>
      <c r="L603" s="12"/>
      <c r="M603" t="s">
        <v>675</v>
      </c>
      <c r="N603" s="12"/>
      <c r="O603" s="12"/>
      <c r="P603" s="12"/>
      <c r="Q603" s="12"/>
      <c r="R603" s="12"/>
      <c r="S603" s="18"/>
    </row>
    <row r="604" spans="1:19" x14ac:dyDescent="0.25">
      <c r="A604" t="s">
        <v>817</v>
      </c>
      <c r="B604" t="s">
        <v>652</v>
      </c>
      <c r="C604" s="1">
        <v>323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/>
      <c r="L604" s="10">
        <v>511</v>
      </c>
      <c r="M604" s="10" t="s">
        <v>676</v>
      </c>
      <c r="N604" s="10">
        <v>4542</v>
      </c>
      <c r="O604" s="10">
        <v>0</v>
      </c>
      <c r="P604" s="10">
        <v>0</v>
      </c>
      <c r="Q604" s="10">
        <v>0</v>
      </c>
      <c r="R604" s="10">
        <v>0</v>
      </c>
      <c r="S604" s="19">
        <v>0</v>
      </c>
    </row>
    <row r="605" spans="1:19" x14ac:dyDescent="0.25">
      <c r="A605" t="s">
        <v>817</v>
      </c>
      <c r="B605" t="s">
        <v>653</v>
      </c>
      <c r="C605" s="1">
        <v>11840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/>
      <c r="L605" s="12">
        <v>300</v>
      </c>
      <c r="M605" s="12" t="s">
        <v>677</v>
      </c>
      <c r="N605" s="12"/>
      <c r="O605" s="12"/>
      <c r="P605" s="12"/>
      <c r="Q605" s="12"/>
      <c r="R605" s="12"/>
      <c r="S605" s="18"/>
    </row>
    <row r="606" spans="1:19" x14ac:dyDescent="0.25">
      <c r="A606" t="s">
        <v>817</v>
      </c>
      <c r="B606" t="s">
        <v>654</v>
      </c>
      <c r="C606" s="1">
        <v>5646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/>
      <c r="L606" s="10" t="s">
        <v>815</v>
      </c>
      <c r="M606" s="10" t="s">
        <v>678</v>
      </c>
      <c r="N606" s="10">
        <v>1922</v>
      </c>
      <c r="O606" s="10">
        <v>0</v>
      </c>
      <c r="P606" s="10">
        <v>0</v>
      </c>
      <c r="Q606" s="10">
        <v>0</v>
      </c>
      <c r="R606" s="10">
        <v>0</v>
      </c>
      <c r="S606" s="19">
        <v>0</v>
      </c>
    </row>
    <row r="607" spans="1:19" x14ac:dyDescent="0.25">
      <c r="A607" t="s">
        <v>802</v>
      </c>
      <c r="B607" t="s">
        <v>655</v>
      </c>
      <c r="C607" s="1"/>
      <c r="D607" s="1"/>
      <c r="E607" s="1"/>
      <c r="F607" s="1"/>
      <c r="G607" s="1"/>
      <c r="H607" s="1"/>
      <c r="I607" s="1"/>
      <c r="J607" s="1"/>
      <c r="L607" s="12">
        <v>212</v>
      </c>
      <c r="M607" s="12" t="s">
        <v>679</v>
      </c>
      <c r="N607" s="12"/>
      <c r="O607" s="12"/>
      <c r="P607" s="12"/>
      <c r="Q607" s="12"/>
      <c r="R607" s="12"/>
      <c r="S607" s="18"/>
    </row>
    <row r="608" spans="1:19" x14ac:dyDescent="0.25">
      <c r="A608" t="s">
        <v>817</v>
      </c>
      <c r="B608" t="s">
        <v>656</v>
      </c>
      <c r="C608" s="1">
        <v>1124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/>
      <c r="L608" s="12"/>
      <c r="M608" t="s">
        <v>680</v>
      </c>
      <c r="N608" s="12"/>
      <c r="O608" s="12"/>
      <c r="P608" s="12"/>
      <c r="Q608" s="12"/>
      <c r="R608" s="12"/>
      <c r="S608" s="18"/>
    </row>
    <row r="609" spans="1:19" x14ac:dyDescent="0.25">
      <c r="A609" t="s">
        <v>811</v>
      </c>
      <c r="B609" t="s">
        <v>657</v>
      </c>
      <c r="C609" s="1"/>
      <c r="D609" s="1"/>
      <c r="E609" s="1"/>
      <c r="F609" s="1"/>
      <c r="G609" s="1"/>
      <c r="H609" s="1"/>
      <c r="I609" s="1"/>
      <c r="J609" s="1"/>
      <c r="L609" s="10" t="s">
        <v>808</v>
      </c>
      <c r="M609" s="10" t="s">
        <v>681</v>
      </c>
      <c r="N609" s="10">
        <v>239</v>
      </c>
      <c r="O609" s="10">
        <v>0</v>
      </c>
      <c r="P609" s="10">
        <v>0</v>
      </c>
      <c r="Q609" s="10">
        <v>0</v>
      </c>
      <c r="R609" s="10">
        <v>0</v>
      </c>
      <c r="S609" s="19">
        <v>0</v>
      </c>
    </row>
    <row r="610" spans="1:19" x14ac:dyDescent="0.25">
      <c r="A610" t="s">
        <v>817</v>
      </c>
      <c r="B610" t="s">
        <v>658</v>
      </c>
      <c r="C610" s="1">
        <v>10681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/>
      <c r="L610" s="12">
        <v>600</v>
      </c>
      <c r="M610" s="12" t="s">
        <v>682</v>
      </c>
      <c r="N610" s="12">
        <v>3714</v>
      </c>
      <c r="O610" s="12">
        <v>0</v>
      </c>
      <c r="P610" s="12">
        <v>0</v>
      </c>
      <c r="Q610" s="12">
        <v>0</v>
      </c>
      <c r="R610" s="12">
        <v>0</v>
      </c>
      <c r="S610" s="18">
        <v>0</v>
      </c>
    </row>
    <row r="611" spans="1:19" x14ac:dyDescent="0.25">
      <c r="A611" t="s">
        <v>793</v>
      </c>
      <c r="B611" t="s">
        <v>659</v>
      </c>
      <c r="C611" s="1">
        <v>2244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/>
      <c r="L611" s="10">
        <v>116</v>
      </c>
      <c r="M611" s="10" t="s">
        <v>683</v>
      </c>
      <c r="N611" s="10">
        <v>4758</v>
      </c>
      <c r="O611" s="10">
        <v>0</v>
      </c>
      <c r="P611" s="10">
        <v>0</v>
      </c>
      <c r="Q611" s="10">
        <v>0</v>
      </c>
      <c r="R611" s="10">
        <v>0</v>
      </c>
      <c r="S611" s="19">
        <v>0</v>
      </c>
    </row>
    <row r="612" spans="1:19" x14ac:dyDescent="0.25">
      <c r="A612" t="s">
        <v>248</v>
      </c>
      <c r="B612" t="s">
        <v>660</v>
      </c>
      <c r="C612" s="1">
        <v>1068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/>
      <c r="L612" s="12">
        <v>116</v>
      </c>
      <c r="M612" s="12" t="s">
        <v>684</v>
      </c>
      <c r="N612" s="12">
        <v>12782</v>
      </c>
      <c r="O612" s="12">
        <v>0</v>
      </c>
      <c r="P612" s="12">
        <v>0</v>
      </c>
      <c r="Q612" s="12">
        <v>0</v>
      </c>
      <c r="R612" s="12">
        <v>0</v>
      </c>
      <c r="S612" s="18">
        <v>0</v>
      </c>
    </row>
    <row r="613" spans="1:19" x14ac:dyDescent="0.25">
      <c r="A613" t="s">
        <v>123</v>
      </c>
      <c r="B613" t="s">
        <v>661</v>
      </c>
      <c r="C613" s="1">
        <v>1467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/>
      <c r="L613" s="10">
        <v>116</v>
      </c>
      <c r="M613" s="10" t="s">
        <v>685</v>
      </c>
      <c r="N613" s="10">
        <v>631</v>
      </c>
      <c r="O613" s="10">
        <v>0</v>
      </c>
      <c r="P613" s="10">
        <v>0</v>
      </c>
      <c r="Q613" s="10">
        <v>0</v>
      </c>
      <c r="R613" s="10">
        <v>0</v>
      </c>
      <c r="S613" s="19">
        <v>0</v>
      </c>
    </row>
    <row r="614" spans="1:19" x14ac:dyDescent="0.25">
      <c r="A614" t="s">
        <v>305</v>
      </c>
      <c r="B614" t="s">
        <v>662</v>
      </c>
      <c r="C614" s="1">
        <v>1245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/>
      <c r="L614" s="12">
        <v>134</v>
      </c>
      <c r="M614" s="12" t="s">
        <v>686</v>
      </c>
      <c r="N614" s="12"/>
      <c r="O614" s="12"/>
      <c r="P614" s="12"/>
      <c r="Q614" s="12"/>
      <c r="R614" s="12"/>
      <c r="S614" s="18"/>
    </row>
    <row r="615" spans="1:19" x14ac:dyDescent="0.25">
      <c r="A615" t="s">
        <v>101</v>
      </c>
      <c r="B615" t="s">
        <v>663</v>
      </c>
      <c r="C615" s="1">
        <v>844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/>
      <c r="L615" s="10">
        <v>149</v>
      </c>
      <c r="M615" s="10" t="s">
        <v>687</v>
      </c>
      <c r="N615" s="10">
        <v>1425</v>
      </c>
      <c r="O615" s="10">
        <v>0</v>
      </c>
      <c r="P615" s="10">
        <v>0</v>
      </c>
      <c r="Q615" s="10">
        <v>0</v>
      </c>
      <c r="R615" s="10">
        <v>0</v>
      </c>
      <c r="S615" s="19">
        <v>0</v>
      </c>
    </row>
    <row r="616" spans="1:19" x14ac:dyDescent="0.25">
      <c r="A616" t="s">
        <v>69</v>
      </c>
      <c r="B616" t="s">
        <v>664</v>
      </c>
      <c r="C616" s="1">
        <v>1379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/>
      <c r="L616" s="12"/>
      <c r="M616" t="s">
        <v>688</v>
      </c>
      <c r="N616" s="12"/>
      <c r="O616" s="12"/>
      <c r="P616" s="12"/>
      <c r="Q616" s="12"/>
      <c r="R616" s="12"/>
      <c r="S616" s="18"/>
    </row>
    <row r="617" spans="1:19" x14ac:dyDescent="0.25">
      <c r="A617" t="s">
        <v>120</v>
      </c>
      <c r="B617" t="s">
        <v>665</v>
      </c>
      <c r="C617" s="1"/>
      <c r="D617" s="1"/>
      <c r="E617" s="1"/>
      <c r="F617" s="1"/>
      <c r="G617" s="1"/>
      <c r="H617" s="1"/>
      <c r="I617" s="1"/>
      <c r="J617" s="1"/>
      <c r="L617" s="12">
        <v>600</v>
      </c>
      <c r="M617" s="12" t="s">
        <v>689</v>
      </c>
      <c r="N617" s="12">
        <v>4173</v>
      </c>
      <c r="O617" s="12">
        <v>0</v>
      </c>
      <c r="P617" s="12">
        <v>0</v>
      </c>
      <c r="Q617" s="12">
        <v>0</v>
      </c>
      <c r="R617" s="12">
        <v>0</v>
      </c>
      <c r="S617" s="18">
        <v>0</v>
      </c>
    </row>
    <row r="618" spans="1:19" x14ac:dyDescent="0.25">
      <c r="A618" t="s">
        <v>804</v>
      </c>
      <c r="B618" t="s">
        <v>666</v>
      </c>
      <c r="C618" s="1"/>
      <c r="D618" s="1"/>
      <c r="E618" s="1"/>
      <c r="F618" s="1"/>
      <c r="G618" s="1"/>
      <c r="H618" s="1"/>
      <c r="I618" s="1"/>
      <c r="J618" s="1"/>
      <c r="L618" s="10">
        <v>114</v>
      </c>
      <c r="M618" s="10" t="s">
        <v>690</v>
      </c>
      <c r="N618" s="10">
        <v>1742</v>
      </c>
      <c r="O618" s="10">
        <v>0</v>
      </c>
      <c r="P618" s="10">
        <v>0</v>
      </c>
      <c r="Q618" s="10">
        <v>0</v>
      </c>
      <c r="R618" s="10">
        <v>0</v>
      </c>
      <c r="S618" s="19">
        <v>0</v>
      </c>
    </row>
    <row r="619" spans="1:19" x14ac:dyDescent="0.25">
      <c r="A619" t="s">
        <v>106</v>
      </c>
      <c r="B619" t="s">
        <v>667</v>
      </c>
      <c r="C619" s="1">
        <v>730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/>
      <c r="L619" s="12">
        <v>138</v>
      </c>
      <c r="M619" s="12" t="s">
        <v>691</v>
      </c>
      <c r="N619" s="12">
        <v>236</v>
      </c>
      <c r="O619" s="12">
        <v>0</v>
      </c>
      <c r="P619" s="12">
        <v>0</v>
      </c>
      <c r="Q619" s="12">
        <v>0</v>
      </c>
      <c r="R619" s="12">
        <v>0</v>
      </c>
      <c r="S619" s="18">
        <v>0</v>
      </c>
    </row>
    <row r="620" spans="1:19" x14ac:dyDescent="0.25">
      <c r="A620" t="s">
        <v>813</v>
      </c>
      <c r="B620" t="s">
        <v>668</v>
      </c>
      <c r="C620" s="1"/>
      <c r="D620" s="1"/>
      <c r="E620" s="1"/>
      <c r="F620" s="1"/>
      <c r="G620" s="1"/>
      <c r="H620" s="1"/>
      <c r="I620" s="1"/>
      <c r="J620" s="1"/>
      <c r="L620" s="10">
        <v>613</v>
      </c>
      <c r="M620" s="10" t="s">
        <v>692</v>
      </c>
      <c r="N620" s="10">
        <v>2686</v>
      </c>
      <c r="O620" s="10">
        <v>0</v>
      </c>
      <c r="P620" s="10">
        <v>0</v>
      </c>
      <c r="Q620" s="10">
        <v>0</v>
      </c>
      <c r="R620" s="10">
        <v>0</v>
      </c>
      <c r="S620" s="19">
        <v>0</v>
      </c>
    </row>
    <row r="621" spans="1:19" x14ac:dyDescent="0.25">
      <c r="A621" t="s">
        <v>810</v>
      </c>
      <c r="B621" t="s">
        <v>669</v>
      </c>
      <c r="C621" s="1"/>
      <c r="D621" s="1"/>
      <c r="E621" s="1"/>
      <c r="F621" s="1"/>
      <c r="G621" s="1"/>
      <c r="H621" s="1"/>
      <c r="I621" s="1"/>
      <c r="J621" s="1"/>
      <c r="L621" s="12">
        <v>500</v>
      </c>
      <c r="M621" s="12" t="s">
        <v>693</v>
      </c>
      <c r="N621" s="12">
        <v>1074</v>
      </c>
      <c r="O621" s="12">
        <v>0</v>
      </c>
      <c r="P621" s="12">
        <v>0</v>
      </c>
      <c r="Q621" s="12">
        <v>0</v>
      </c>
      <c r="R621" s="12">
        <v>0</v>
      </c>
      <c r="S621" s="18">
        <v>0</v>
      </c>
    </row>
    <row r="622" spans="1:19" x14ac:dyDescent="0.25">
      <c r="A622" t="s">
        <v>812</v>
      </c>
      <c r="B622" t="s">
        <v>670</v>
      </c>
      <c r="C622" s="1"/>
      <c r="D622" s="1"/>
      <c r="E622" s="1"/>
      <c r="F622" s="1"/>
      <c r="G622" s="1"/>
      <c r="H622" s="1"/>
      <c r="I622" s="1"/>
      <c r="J622" s="1"/>
      <c r="L622" s="10">
        <v>116</v>
      </c>
      <c r="M622" s="10" t="s">
        <v>694</v>
      </c>
      <c r="N622" s="10">
        <v>1109</v>
      </c>
      <c r="O622" s="10">
        <v>0</v>
      </c>
      <c r="P622" s="10">
        <v>0</v>
      </c>
      <c r="Q622" s="10">
        <v>0</v>
      </c>
      <c r="R622" s="10">
        <v>0</v>
      </c>
      <c r="S622" s="19">
        <v>0</v>
      </c>
    </row>
    <row r="623" spans="1:19" x14ac:dyDescent="0.25">
      <c r="A623" t="s">
        <v>226</v>
      </c>
      <c r="B623" t="s">
        <v>671</v>
      </c>
      <c r="C623" s="1"/>
      <c r="D623" s="1"/>
      <c r="E623" s="1"/>
      <c r="F623" s="1"/>
      <c r="G623" s="1"/>
      <c r="H623" s="1"/>
      <c r="I623" s="1"/>
      <c r="J623" s="1"/>
      <c r="L623" s="12">
        <v>312</v>
      </c>
      <c r="M623" s="12" t="s">
        <v>695</v>
      </c>
      <c r="N623" s="12">
        <v>598</v>
      </c>
      <c r="O623" s="12">
        <v>0</v>
      </c>
      <c r="P623" s="12">
        <v>0</v>
      </c>
      <c r="Q623" s="12">
        <v>0</v>
      </c>
      <c r="R623" s="12">
        <v>0</v>
      </c>
      <c r="S623" s="18">
        <v>0</v>
      </c>
    </row>
    <row r="624" spans="1:19" x14ac:dyDescent="0.25">
      <c r="A624" t="s">
        <v>795</v>
      </c>
      <c r="B624" t="s">
        <v>672</v>
      </c>
      <c r="C624" s="1"/>
      <c r="D624" s="1"/>
      <c r="E624" s="1"/>
      <c r="F624" s="1"/>
      <c r="G624" s="1"/>
      <c r="H624" s="1"/>
      <c r="I624" s="1"/>
      <c r="J624" s="1"/>
      <c r="L624" s="10">
        <v>116</v>
      </c>
      <c r="M624" s="10" t="s">
        <v>696</v>
      </c>
      <c r="N624" s="10">
        <v>5824</v>
      </c>
      <c r="O624" s="10">
        <v>0</v>
      </c>
      <c r="P624" s="10">
        <v>0</v>
      </c>
      <c r="Q624" s="10">
        <v>0</v>
      </c>
      <c r="R624" s="10">
        <v>0</v>
      </c>
      <c r="S624" s="19">
        <v>0</v>
      </c>
    </row>
    <row r="625" spans="1:19" x14ac:dyDescent="0.25">
      <c r="A625" t="s">
        <v>33</v>
      </c>
      <c r="B625" t="s">
        <v>673</v>
      </c>
      <c r="C625" s="1"/>
      <c r="D625" s="1"/>
      <c r="E625" s="1"/>
      <c r="F625" s="1"/>
      <c r="G625" s="1"/>
      <c r="H625" s="1"/>
      <c r="I625" s="1"/>
      <c r="J625" s="1"/>
      <c r="L625" s="12">
        <v>114</v>
      </c>
      <c r="M625" s="12" t="s">
        <v>697</v>
      </c>
      <c r="N625" s="12">
        <v>1269</v>
      </c>
      <c r="O625" s="12">
        <v>0</v>
      </c>
      <c r="P625" s="12">
        <v>0</v>
      </c>
      <c r="Q625" s="12">
        <v>0</v>
      </c>
      <c r="R625" s="12">
        <v>0</v>
      </c>
      <c r="S625" s="18">
        <v>0</v>
      </c>
    </row>
    <row r="626" spans="1:19" x14ac:dyDescent="0.25">
      <c r="A626" t="s">
        <v>795</v>
      </c>
      <c r="B626" t="s">
        <v>674</v>
      </c>
      <c r="C626" s="1"/>
      <c r="D626" s="1"/>
      <c r="E626" s="1"/>
      <c r="F626" s="1"/>
      <c r="G626" s="1"/>
      <c r="H626" s="1"/>
      <c r="I626" s="1"/>
      <c r="J626" s="1"/>
      <c r="L626" s="10">
        <v>141</v>
      </c>
      <c r="M626" s="10" t="s">
        <v>698</v>
      </c>
      <c r="N626" s="10">
        <v>1861</v>
      </c>
      <c r="O626" s="10">
        <v>0</v>
      </c>
      <c r="P626" s="10">
        <v>0</v>
      </c>
      <c r="Q626" s="10">
        <v>0</v>
      </c>
      <c r="R626" s="10">
        <v>0</v>
      </c>
      <c r="S626" s="19">
        <v>0</v>
      </c>
    </row>
    <row r="627" spans="1:19" x14ac:dyDescent="0.25">
      <c r="A627" t="s">
        <v>108</v>
      </c>
      <c r="B627" t="s">
        <v>675</v>
      </c>
      <c r="C627" s="1"/>
      <c r="D627" s="1"/>
      <c r="E627" s="1"/>
      <c r="F627" s="1"/>
      <c r="G627" s="1"/>
      <c r="H627" s="1"/>
      <c r="I627" s="1"/>
      <c r="J627" s="1"/>
      <c r="L627" s="12">
        <v>111</v>
      </c>
      <c r="M627" s="12" t="s">
        <v>699</v>
      </c>
      <c r="N627" s="12">
        <v>5833</v>
      </c>
      <c r="O627" s="12">
        <v>0</v>
      </c>
      <c r="P627" s="12">
        <v>0</v>
      </c>
      <c r="Q627" s="12">
        <v>0</v>
      </c>
      <c r="R627" s="12">
        <v>0</v>
      </c>
      <c r="S627" s="18">
        <v>0</v>
      </c>
    </row>
    <row r="628" spans="1:19" x14ac:dyDescent="0.25">
      <c r="A628" t="s">
        <v>101</v>
      </c>
      <c r="B628" t="s">
        <v>676</v>
      </c>
      <c r="C628" s="1">
        <v>4542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/>
      <c r="L628" s="10">
        <v>135</v>
      </c>
      <c r="M628" s="10" t="s">
        <v>700</v>
      </c>
      <c r="N628" s="10">
        <v>4048</v>
      </c>
      <c r="O628" s="10">
        <v>0</v>
      </c>
      <c r="P628" s="10">
        <v>0</v>
      </c>
      <c r="Q628" s="10">
        <v>0</v>
      </c>
      <c r="R628" s="10">
        <v>0</v>
      </c>
      <c r="S628" s="19">
        <v>0</v>
      </c>
    </row>
    <row r="629" spans="1:19" x14ac:dyDescent="0.25">
      <c r="A629" t="s">
        <v>226</v>
      </c>
      <c r="B629" t="s">
        <v>677</v>
      </c>
      <c r="C629" s="1"/>
      <c r="D629" s="1"/>
      <c r="E629" s="1"/>
      <c r="F629" s="1"/>
      <c r="G629" s="1"/>
      <c r="H629" s="1"/>
      <c r="I629" s="1"/>
      <c r="J629" s="1"/>
      <c r="L629" s="12">
        <v>713</v>
      </c>
      <c r="M629" t="s">
        <v>701</v>
      </c>
      <c r="N629" s="12"/>
      <c r="O629" s="12"/>
      <c r="P629" s="12"/>
      <c r="Q629" s="12"/>
      <c r="R629" s="12"/>
      <c r="S629" s="18"/>
    </row>
    <row r="630" spans="1:19" x14ac:dyDescent="0.25">
      <c r="A630" t="s">
        <v>138</v>
      </c>
      <c r="B630" t="s">
        <v>678</v>
      </c>
      <c r="C630" s="1">
        <v>1922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/>
      <c r="L630" s="12"/>
      <c r="M630" t="s">
        <v>702</v>
      </c>
      <c r="N630" s="12"/>
      <c r="O630" s="12"/>
      <c r="P630" s="12"/>
      <c r="Q630" s="12"/>
      <c r="R630" s="12"/>
      <c r="S630" s="18"/>
    </row>
    <row r="631" spans="1:19" x14ac:dyDescent="0.25">
      <c r="A631" t="s">
        <v>804</v>
      </c>
      <c r="B631" t="s">
        <v>679</v>
      </c>
      <c r="C631" s="1"/>
      <c r="D631" s="1"/>
      <c r="E631" s="1"/>
      <c r="F631" s="1"/>
      <c r="G631" s="1"/>
      <c r="H631" s="1"/>
      <c r="I631" s="1"/>
      <c r="J631" s="1"/>
      <c r="L631" s="12">
        <v>126</v>
      </c>
      <c r="M631" s="12" t="s">
        <v>703</v>
      </c>
      <c r="N631" s="12">
        <v>556</v>
      </c>
      <c r="O631" s="12">
        <v>0</v>
      </c>
      <c r="P631" s="12">
        <v>0</v>
      </c>
      <c r="Q631" s="12">
        <v>0</v>
      </c>
      <c r="R631" s="12">
        <v>0</v>
      </c>
      <c r="S631" s="18">
        <v>0</v>
      </c>
    </row>
    <row r="632" spans="1:19" x14ac:dyDescent="0.25">
      <c r="A632" t="s">
        <v>823</v>
      </c>
      <c r="B632" t="s">
        <v>680</v>
      </c>
      <c r="C632" s="1"/>
      <c r="D632" s="1"/>
      <c r="E632" s="1"/>
      <c r="F632" s="1"/>
      <c r="G632" s="1"/>
      <c r="H632" s="1"/>
      <c r="I632" s="1"/>
      <c r="J632" s="1"/>
      <c r="L632" s="10">
        <v>611</v>
      </c>
      <c r="M632" s="10" t="s">
        <v>704</v>
      </c>
      <c r="N632" s="10">
        <v>1417</v>
      </c>
      <c r="O632" s="10">
        <v>0</v>
      </c>
      <c r="P632" s="10">
        <v>0</v>
      </c>
      <c r="Q632" s="10">
        <v>0</v>
      </c>
      <c r="R632" s="10">
        <v>0</v>
      </c>
      <c r="S632" s="19">
        <v>0</v>
      </c>
    </row>
    <row r="633" spans="1:19" x14ac:dyDescent="0.25">
      <c r="A633" t="s">
        <v>809</v>
      </c>
      <c r="B633" t="s">
        <v>681</v>
      </c>
      <c r="C633" s="1">
        <v>239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/>
      <c r="L633" s="12">
        <v>152</v>
      </c>
      <c r="M633" s="12" t="s">
        <v>705</v>
      </c>
      <c r="N633" s="12">
        <v>768</v>
      </c>
      <c r="O633" s="12">
        <v>0</v>
      </c>
      <c r="P633" s="12">
        <v>0</v>
      </c>
      <c r="Q633" s="12">
        <v>0</v>
      </c>
      <c r="R633" s="12">
        <v>0</v>
      </c>
      <c r="S633" s="18">
        <v>0</v>
      </c>
    </row>
    <row r="634" spans="1:19" x14ac:dyDescent="0.25">
      <c r="A634" t="s">
        <v>248</v>
      </c>
      <c r="B634" t="s">
        <v>682</v>
      </c>
      <c r="C634" s="1">
        <v>3714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/>
      <c r="L634" s="10">
        <v>123</v>
      </c>
      <c r="M634" s="10" t="s">
        <v>706</v>
      </c>
      <c r="N634" s="10">
        <v>836</v>
      </c>
      <c r="O634" s="10">
        <v>0</v>
      </c>
      <c r="P634" s="10">
        <v>0</v>
      </c>
      <c r="Q634" s="10">
        <v>0</v>
      </c>
      <c r="R634" s="10">
        <v>0</v>
      </c>
      <c r="S634" s="19">
        <v>0</v>
      </c>
    </row>
    <row r="635" spans="1:19" x14ac:dyDescent="0.25">
      <c r="A635" t="s">
        <v>795</v>
      </c>
      <c r="B635" t="s">
        <v>683</v>
      </c>
      <c r="C635" s="1"/>
      <c r="D635" s="1"/>
      <c r="E635" s="1"/>
      <c r="F635" s="1"/>
      <c r="G635" s="1"/>
      <c r="H635" s="1"/>
      <c r="I635" s="1"/>
      <c r="J635" s="1"/>
      <c r="L635" s="12" t="s">
        <v>814</v>
      </c>
      <c r="M635" s="12" t="s">
        <v>707</v>
      </c>
      <c r="N635" s="12">
        <v>1251</v>
      </c>
      <c r="O635" s="12">
        <v>0</v>
      </c>
      <c r="P635" s="12">
        <v>0</v>
      </c>
      <c r="Q635" s="12">
        <v>0</v>
      </c>
      <c r="R635" s="12">
        <v>0</v>
      </c>
      <c r="S635" s="18">
        <v>0</v>
      </c>
    </row>
    <row r="636" spans="1:19" x14ac:dyDescent="0.25">
      <c r="A636" t="s">
        <v>795</v>
      </c>
      <c r="B636" t="s">
        <v>684</v>
      </c>
      <c r="C636" s="1"/>
      <c r="D636" s="1"/>
      <c r="E636" s="1"/>
      <c r="F636" s="1"/>
      <c r="G636" s="1"/>
      <c r="H636" s="1"/>
      <c r="I636" s="1"/>
      <c r="J636" s="1"/>
      <c r="L636" s="10">
        <v>127</v>
      </c>
      <c r="M636" s="10" t="s">
        <v>708</v>
      </c>
      <c r="N636" s="10">
        <v>3901</v>
      </c>
      <c r="O636" s="10">
        <v>0</v>
      </c>
      <c r="P636" s="10">
        <v>0</v>
      </c>
      <c r="Q636" s="10">
        <v>0</v>
      </c>
      <c r="R636" s="10">
        <v>0</v>
      </c>
      <c r="S636" s="19">
        <v>0</v>
      </c>
    </row>
    <row r="637" spans="1:19" x14ac:dyDescent="0.25">
      <c r="A637" t="s">
        <v>795</v>
      </c>
      <c r="B637" t="s">
        <v>685</v>
      </c>
      <c r="C637" s="1"/>
      <c r="D637" s="1"/>
      <c r="E637" s="1"/>
      <c r="F637" s="1"/>
      <c r="G637" s="1"/>
      <c r="H637" s="1"/>
      <c r="I637" s="1"/>
      <c r="J637" s="1"/>
      <c r="L637" s="12">
        <v>125</v>
      </c>
      <c r="M637" s="12" t="s">
        <v>709</v>
      </c>
      <c r="N637" s="12">
        <v>624</v>
      </c>
      <c r="O637" s="12">
        <v>0</v>
      </c>
      <c r="P637" s="12">
        <v>0</v>
      </c>
      <c r="Q637" s="12">
        <v>0</v>
      </c>
      <c r="R637" s="12">
        <v>0</v>
      </c>
      <c r="S637" s="18">
        <v>0</v>
      </c>
    </row>
    <row r="638" spans="1:19" x14ac:dyDescent="0.25">
      <c r="A638" t="s">
        <v>99</v>
      </c>
      <c r="B638" t="s">
        <v>686</v>
      </c>
      <c r="C638" s="1"/>
      <c r="D638" s="1"/>
      <c r="E638" s="1"/>
      <c r="F638" s="1"/>
      <c r="G638" s="1"/>
      <c r="H638" s="1"/>
      <c r="I638" s="1"/>
      <c r="J638" s="1"/>
      <c r="L638" s="10">
        <v>121</v>
      </c>
      <c r="M638" s="10" t="s">
        <v>710</v>
      </c>
      <c r="N638" s="10">
        <v>1061</v>
      </c>
      <c r="O638" s="10">
        <v>0</v>
      </c>
      <c r="P638" s="10">
        <v>0</v>
      </c>
      <c r="Q638" s="10">
        <v>0</v>
      </c>
      <c r="R638" s="10">
        <v>0</v>
      </c>
      <c r="S638" s="19">
        <v>0</v>
      </c>
    </row>
    <row r="639" spans="1:19" x14ac:dyDescent="0.25">
      <c r="A639" t="s">
        <v>52</v>
      </c>
      <c r="B639" t="s">
        <v>687</v>
      </c>
      <c r="C639" s="1"/>
      <c r="D639" s="1"/>
      <c r="E639" s="1"/>
      <c r="F639" s="1"/>
      <c r="G639" s="1"/>
      <c r="H639" s="1"/>
      <c r="I639" s="1"/>
      <c r="J639" s="1"/>
      <c r="L639" s="12">
        <v>500</v>
      </c>
      <c r="M639" s="12" t="s">
        <v>711</v>
      </c>
      <c r="N639" s="12">
        <v>354</v>
      </c>
      <c r="O639" s="12">
        <v>0</v>
      </c>
      <c r="P639" s="12">
        <v>0</v>
      </c>
      <c r="Q639" s="12">
        <v>0</v>
      </c>
      <c r="R639" s="12">
        <v>0</v>
      </c>
      <c r="S639" s="18">
        <v>0</v>
      </c>
    </row>
    <row r="640" spans="1:19" x14ac:dyDescent="0.25">
      <c r="A640" t="s">
        <v>120</v>
      </c>
      <c r="B640" t="s">
        <v>688</v>
      </c>
      <c r="C640" s="1"/>
      <c r="D640" s="1"/>
      <c r="E640" s="1"/>
      <c r="F640" s="1"/>
      <c r="G640" s="1"/>
      <c r="H640" s="1"/>
      <c r="I640" s="1"/>
      <c r="J640" s="1"/>
      <c r="L640" s="12"/>
      <c r="M640" t="s">
        <v>712</v>
      </c>
      <c r="N640" s="12"/>
      <c r="O640" s="12"/>
      <c r="P640" s="12"/>
      <c r="Q640" s="12"/>
      <c r="R640" s="12"/>
      <c r="S640" s="18"/>
    </row>
    <row r="641" spans="1:19" x14ac:dyDescent="0.25">
      <c r="A641" t="s">
        <v>248</v>
      </c>
      <c r="B641" t="s">
        <v>689</v>
      </c>
      <c r="C641" s="1">
        <v>4173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/>
      <c r="L641" s="10">
        <v>122</v>
      </c>
      <c r="M641" s="10" t="s">
        <v>713</v>
      </c>
      <c r="N641" s="10">
        <v>747</v>
      </c>
      <c r="O641" s="10">
        <v>0</v>
      </c>
      <c r="P641" s="10">
        <v>0</v>
      </c>
      <c r="Q641" s="10">
        <v>0</v>
      </c>
      <c r="R641" s="10">
        <v>0</v>
      </c>
      <c r="S641" s="19">
        <v>0</v>
      </c>
    </row>
    <row r="642" spans="1:19" x14ac:dyDescent="0.25">
      <c r="A642" t="s">
        <v>150</v>
      </c>
      <c r="B642" t="s">
        <v>690</v>
      </c>
      <c r="C642" s="1">
        <v>1742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/>
      <c r="L642" s="12">
        <v>611</v>
      </c>
      <c r="M642" s="12" t="s">
        <v>714</v>
      </c>
      <c r="N642" s="12">
        <v>2203</v>
      </c>
      <c r="O642" s="12">
        <v>0</v>
      </c>
      <c r="P642" s="12">
        <v>0</v>
      </c>
      <c r="Q642" s="12">
        <v>0</v>
      </c>
      <c r="R642" s="12">
        <v>0</v>
      </c>
      <c r="S642" s="18">
        <v>0</v>
      </c>
    </row>
    <row r="643" spans="1:19" x14ac:dyDescent="0.25">
      <c r="A643" t="s">
        <v>50</v>
      </c>
      <c r="B643" t="s">
        <v>691</v>
      </c>
      <c r="C643" s="1"/>
      <c r="D643" s="1"/>
      <c r="E643" s="1"/>
      <c r="F643" s="1"/>
      <c r="G643" s="1"/>
      <c r="H643" s="1"/>
      <c r="I643" s="1"/>
      <c r="J643" s="1"/>
      <c r="L643" s="10">
        <v>311</v>
      </c>
      <c r="M643" s="10" t="s">
        <v>715</v>
      </c>
      <c r="N643" s="10">
        <v>2169</v>
      </c>
      <c r="O643" s="10">
        <v>0</v>
      </c>
      <c r="P643" s="10">
        <v>0</v>
      </c>
      <c r="Q643" s="10">
        <v>0</v>
      </c>
      <c r="R643" s="10">
        <v>0</v>
      </c>
      <c r="S643" s="19">
        <v>0</v>
      </c>
    </row>
    <row r="644" spans="1:19" x14ac:dyDescent="0.25">
      <c r="A644" t="s">
        <v>495</v>
      </c>
      <c r="B644" t="s">
        <v>692</v>
      </c>
      <c r="C644" s="1">
        <v>2686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/>
      <c r="L644" s="12">
        <v>611</v>
      </c>
      <c r="M644" s="12" t="s">
        <v>716</v>
      </c>
      <c r="N644" s="12">
        <v>1080</v>
      </c>
      <c r="O644" s="12">
        <v>0</v>
      </c>
      <c r="P644" s="12">
        <v>0</v>
      </c>
      <c r="Q644" s="12">
        <v>0</v>
      </c>
      <c r="R644" s="12">
        <v>0</v>
      </c>
      <c r="S644" s="18">
        <v>0</v>
      </c>
    </row>
    <row r="645" spans="1:19" x14ac:dyDescent="0.25">
      <c r="A645" t="s">
        <v>824</v>
      </c>
      <c r="B645" t="s">
        <v>693</v>
      </c>
      <c r="C645" s="1">
        <v>1074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/>
      <c r="L645" s="10">
        <v>116</v>
      </c>
      <c r="M645" s="10" t="s">
        <v>717</v>
      </c>
      <c r="N645" s="10">
        <v>1099</v>
      </c>
      <c r="O645" s="10">
        <v>0</v>
      </c>
      <c r="P645" s="10">
        <v>0</v>
      </c>
      <c r="Q645" s="10">
        <v>0</v>
      </c>
      <c r="R645" s="10">
        <v>0</v>
      </c>
      <c r="S645" s="19">
        <v>0</v>
      </c>
    </row>
    <row r="646" spans="1:19" x14ac:dyDescent="0.25">
      <c r="A646" t="s">
        <v>795</v>
      </c>
      <c r="B646" t="s">
        <v>694</v>
      </c>
      <c r="C646" s="1"/>
      <c r="D646" s="1"/>
      <c r="E646" s="1"/>
      <c r="F646" s="1"/>
      <c r="G646" s="1"/>
      <c r="H646" s="1"/>
      <c r="I646" s="1"/>
      <c r="J646" s="1"/>
      <c r="L646" s="12">
        <v>611</v>
      </c>
      <c r="M646" s="12" t="s">
        <v>718</v>
      </c>
      <c r="N646" s="12">
        <v>886</v>
      </c>
      <c r="O646" s="12">
        <v>0</v>
      </c>
      <c r="P646" s="12">
        <v>0</v>
      </c>
      <c r="Q646" s="12">
        <v>0</v>
      </c>
      <c r="R646" s="12">
        <v>0</v>
      </c>
      <c r="S646" s="18">
        <v>0</v>
      </c>
    </row>
    <row r="647" spans="1:19" x14ac:dyDescent="0.25">
      <c r="A647" t="s">
        <v>72</v>
      </c>
      <c r="B647" t="s">
        <v>695</v>
      </c>
      <c r="C647" s="1">
        <v>598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/>
      <c r="L647" s="10">
        <v>515</v>
      </c>
      <c r="M647" s="10" t="s">
        <v>719</v>
      </c>
      <c r="N647" s="10"/>
      <c r="O647" s="10"/>
      <c r="P647" s="10"/>
      <c r="Q647" s="10"/>
      <c r="R647" s="10"/>
      <c r="S647" s="19"/>
    </row>
    <row r="648" spans="1:19" x14ac:dyDescent="0.25">
      <c r="A648" t="s">
        <v>795</v>
      </c>
      <c r="B648" t="s">
        <v>696</v>
      </c>
      <c r="C648" s="1"/>
      <c r="D648" s="1"/>
      <c r="E648" s="1"/>
      <c r="F648" s="1"/>
      <c r="G648" s="1"/>
      <c r="H648" s="1"/>
      <c r="I648" s="1"/>
      <c r="J648" s="1"/>
      <c r="L648" s="12">
        <v>616</v>
      </c>
      <c r="M648" s="12" t="s">
        <v>720</v>
      </c>
      <c r="N648" s="12">
        <v>7740</v>
      </c>
      <c r="O648" s="12">
        <v>0</v>
      </c>
      <c r="P648" s="12">
        <v>0</v>
      </c>
      <c r="Q648" s="12">
        <v>0</v>
      </c>
      <c r="R648" s="12">
        <v>0</v>
      </c>
      <c r="S648" s="18">
        <v>0</v>
      </c>
    </row>
    <row r="649" spans="1:19" x14ac:dyDescent="0.25">
      <c r="A649" t="s">
        <v>150</v>
      </c>
      <c r="B649" t="s">
        <v>697</v>
      </c>
      <c r="C649" s="1">
        <v>1269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/>
      <c r="L649" s="10">
        <v>211</v>
      </c>
      <c r="M649" s="10" t="s">
        <v>721</v>
      </c>
      <c r="N649" s="10">
        <v>8071</v>
      </c>
      <c r="O649" s="10">
        <v>0</v>
      </c>
      <c r="P649" s="10">
        <v>0</v>
      </c>
      <c r="Q649" s="10">
        <v>0</v>
      </c>
      <c r="R649" s="10">
        <v>0</v>
      </c>
      <c r="S649" s="19">
        <v>0</v>
      </c>
    </row>
    <row r="650" spans="1:19" x14ac:dyDescent="0.25">
      <c r="A650" t="s">
        <v>31</v>
      </c>
      <c r="B650" t="s">
        <v>698</v>
      </c>
      <c r="C650" s="1">
        <v>1861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/>
      <c r="J650" s="1"/>
      <c r="L650" s="12">
        <v>611</v>
      </c>
      <c r="M650" s="12" t="s">
        <v>722</v>
      </c>
      <c r="N650" s="12">
        <v>1243</v>
      </c>
      <c r="O650" s="12">
        <v>0</v>
      </c>
      <c r="P650" s="12">
        <v>0</v>
      </c>
      <c r="Q650" s="12">
        <v>0</v>
      </c>
      <c r="R650" s="12">
        <v>0</v>
      </c>
      <c r="S650" s="18">
        <v>0</v>
      </c>
    </row>
    <row r="651" spans="1:19" x14ac:dyDescent="0.25">
      <c r="A651" t="s">
        <v>811</v>
      </c>
      <c r="B651" t="s">
        <v>699</v>
      </c>
      <c r="C651" s="1"/>
      <c r="D651" s="1"/>
      <c r="E651" s="1"/>
      <c r="F651" s="1"/>
      <c r="G651" s="1"/>
      <c r="H651" s="1"/>
      <c r="I651" s="1"/>
      <c r="J651" s="1"/>
      <c r="L651" s="10">
        <v>137</v>
      </c>
      <c r="M651" s="10" t="s">
        <v>723</v>
      </c>
      <c r="N651" s="10">
        <v>1972</v>
      </c>
      <c r="O651" s="10">
        <v>0</v>
      </c>
      <c r="P651" s="10">
        <v>0</v>
      </c>
      <c r="Q651" s="10">
        <v>0</v>
      </c>
      <c r="R651" s="10">
        <v>0</v>
      </c>
      <c r="S651" s="19">
        <v>0</v>
      </c>
    </row>
    <row r="652" spans="1:19" x14ac:dyDescent="0.25">
      <c r="A652" t="s">
        <v>113</v>
      </c>
      <c r="B652" t="s">
        <v>700</v>
      </c>
      <c r="C652" s="1">
        <v>4048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/>
      <c r="L652" s="12">
        <v>211</v>
      </c>
      <c r="M652" s="12" t="s">
        <v>724</v>
      </c>
      <c r="N652" s="12">
        <v>22225</v>
      </c>
      <c r="O652" s="12">
        <v>0</v>
      </c>
      <c r="P652" s="12">
        <v>0</v>
      </c>
      <c r="Q652" s="12">
        <v>0</v>
      </c>
      <c r="R652" s="12">
        <v>0</v>
      </c>
      <c r="S652" s="18">
        <v>0</v>
      </c>
    </row>
    <row r="653" spans="1:19" x14ac:dyDescent="0.25">
      <c r="A653" t="s">
        <v>796</v>
      </c>
      <c r="B653" t="s">
        <v>701</v>
      </c>
      <c r="C653" s="1"/>
      <c r="D653" s="1"/>
      <c r="E653" s="1"/>
      <c r="F653" s="1"/>
      <c r="G653" s="1"/>
      <c r="H653" s="1"/>
      <c r="I653" s="1"/>
      <c r="J653" s="1"/>
      <c r="L653" s="10" t="s">
        <v>814</v>
      </c>
      <c r="M653" s="10" t="s">
        <v>725</v>
      </c>
      <c r="N653" s="10">
        <v>2487</v>
      </c>
      <c r="O653" s="10">
        <v>0</v>
      </c>
      <c r="P653" s="10">
        <v>0</v>
      </c>
      <c r="Q653" s="10">
        <v>0</v>
      </c>
      <c r="R653" s="10">
        <v>0</v>
      </c>
      <c r="S653" s="19">
        <v>0</v>
      </c>
    </row>
    <row r="654" spans="1:19" x14ac:dyDescent="0.25">
      <c r="A654" t="s">
        <v>512</v>
      </c>
      <c r="B654" t="s">
        <v>702</v>
      </c>
      <c r="C654" s="1"/>
      <c r="D654" s="1"/>
      <c r="E654" s="1"/>
      <c r="F654" s="1"/>
      <c r="G654" s="1"/>
      <c r="H654" s="1"/>
      <c r="I654" s="1"/>
      <c r="J654" s="1"/>
      <c r="L654" s="12">
        <v>211</v>
      </c>
      <c r="M654" s="12" t="s">
        <v>726</v>
      </c>
      <c r="N654" s="12">
        <v>5297</v>
      </c>
      <c r="O654" s="12">
        <v>0</v>
      </c>
      <c r="P654" s="12">
        <v>0</v>
      </c>
      <c r="Q654" s="12">
        <v>0</v>
      </c>
      <c r="R654" s="12">
        <v>0</v>
      </c>
      <c r="S654" s="18">
        <v>0</v>
      </c>
    </row>
    <row r="655" spans="1:19" x14ac:dyDescent="0.25">
      <c r="A655" t="s">
        <v>97</v>
      </c>
      <c r="B655" t="s">
        <v>703</v>
      </c>
      <c r="C655" s="1">
        <v>556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/>
      <c r="L655" s="10">
        <v>713</v>
      </c>
      <c r="M655" s="10" t="s">
        <v>727</v>
      </c>
      <c r="N655" s="10">
        <v>884</v>
      </c>
      <c r="O655" s="10">
        <v>0</v>
      </c>
      <c r="P655" s="10">
        <v>0</v>
      </c>
      <c r="Q655" s="10">
        <v>0</v>
      </c>
      <c r="R655" s="10">
        <v>0</v>
      </c>
      <c r="S655" s="19">
        <v>0</v>
      </c>
    </row>
    <row r="656" spans="1:19" x14ac:dyDescent="0.25">
      <c r="A656" t="s">
        <v>146</v>
      </c>
      <c r="B656" t="s">
        <v>704</v>
      </c>
      <c r="C656" s="1">
        <v>1417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/>
      <c r="L656" s="12">
        <v>514</v>
      </c>
      <c r="M656" s="12" t="s">
        <v>728</v>
      </c>
      <c r="N656" s="12">
        <v>593</v>
      </c>
      <c r="O656" s="12">
        <v>0</v>
      </c>
      <c r="P656" s="12">
        <v>0</v>
      </c>
      <c r="Q656" s="12">
        <v>0</v>
      </c>
      <c r="R656" s="12">
        <v>0</v>
      </c>
      <c r="S656" s="18">
        <v>0</v>
      </c>
    </row>
    <row r="657" spans="1:19" x14ac:dyDescent="0.25">
      <c r="A657" t="s">
        <v>790</v>
      </c>
      <c r="B657" t="s">
        <v>705</v>
      </c>
      <c r="C657" s="1">
        <v>768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/>
      <c r="L657" s="10" t="s">
        <v>815</v>
      </c>
      <c r="M657" s="10" t="s">
        <v>729</v>
      </c>
      <c r="N657" s="10">
        <v>249</v>
      </c>
      <c r="O657" s="10">
        <v>0</v>
      </c>
      <c r="P657" s="10">
        <v>0</v>
      </c>
      <c r="Q657" s="10">
        <v>0</v>
      </c>
      <c r="R657" s="10">
        <v>0</v>
      </c>
      <c r="S657" s="19">
        <v>0</v>
      </c>
    </row>
    <row r="658" spans="1:19" x14ac:dyDescent="0.25">
      <c r="A658" t="s">
        <v>110</v>
      </c>
      <c r="B658" t="s">
        <v>706</v>
      </c>
      <c r="C658" s="1">
        <v>836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/>
      <c r="L658" s="12">
        <v>610</v>
      </c>
      <c r="M658" s="12" t="s">
        <v>730</v>
      </c>
      <c r="N658" s="12">
        <v>64</v>
      </c>
      <c r="O658" s="12">
        <v>0</v>
      </c>
      <c r="P658" s="12">
        <v>0</v>
      </c>
      <c r="Q658" s="12">
        <v>0</v>
      </c>
      <c r="R658" s="12">
        <v>0</v>
      </c>
      <c r="S658" s="18">
        <v>0</v>
      </c>
    </row>
    <row r="659" spans="1:19" x14ac:dyDescent="0.25">
      <c r="A659" t="s">
        <v>794</v>
      </c>
      <c r="B659" t="s">
        <v>707</v>
      </c>
      <c r="C659" s="1">
        <v>1251</v>
      </c>
      <c r="D659" s="1"/>
      <c r="E659" s="1"/>
      <c r="F659" s="1"/>
      <c r="G659" s="1"/>
      <c r="H659" s="1"/>
      <c r="I659" s="1"/>
      <c r="J659" s="1"/>
      <c r="L659" s="10">
        <v>114</v>
      </c>
      <c r="M659" s="10" t="s">
        <v>731</v>
      </c>
      <c r="N659" s="10">
        <v>658</v>
      </c>
      <c r="O659" s="10">
        <v>0</v>
      </c>
      <c r="P659" s="10">
        <v>0</v>
      </c>
      <c r="Q659" s="10">
        <v>0</v>
      </c>
      <c r="R659" s="10">
        <v>0</v>
      </c>
      <c r="S659" s="19">
        <v>0</v>
      </c>
    </row>
    <row r="660" spans="1:19" x14ac:dyDescent="0.25">
      <c r="A660" t="s">
        <v>108</v>
      </c>
      <c r="B660" t="s">
        <v>708</v>
      </c>
      <c r="C660" s="1">
        <v>3901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/>
      <c r="L660" s="12" t="s">
        <v>815</v>
      </c>
      <c r="M660" s="12" t="s">
        <v>732</v>
      </c>
      <c r="N660" s="12">
        <v>561</v>
      </c>
      <c r="O660" s="12">
        <v>0</v>
      </c>
      <c r="P660" s="12">
        <v>0</v>
      </c>
      <c r="Q660" s="12">
        <v>0</v>
      </c>
      <c r="R660" s="12">
        <v>0</v>
      </c>
      <c r="S660" s="18">
        <v>0</v>
      </c>
    </row>
    <row r="661" spans="1:19" x14ac:dyDescent="0.25">
      <c r="A661" t="s">
        <v>40</v>
      </c>
      <c r="B661" t="s">
        <v>709</v>
      </c>
      <c r="C661" s="1">
        <v>624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/>
      <c r="L661" s="10" t="s">
        <v>808</v>
      </c>
      <c r="M661" s="10" t="s">
        <v>733</v>
      </c>
      <c r="N661" s="10">
        <v>2126</v>
      </c>
      <c r="O661" s="10">
        <v>0</v>
      </c>
      <c r="P661" s="10">
        <v>0</v>
      </c>
      <c r="Q661" s="10">
        <v>0</v>
      </c>
      <c r="R661" s="10">
        <v>0</v>
      </c>
      <c r="S661" s="19">
        <v>0</v>
      </c>
    </row>
    <row r="662" spans="1:19" x14ac:dyDescent="0.25">
      <c r="A662" t="s">
        <v>104</v>
      </c>
      <c r="B662" t="s">
        <v>710</v>
      </c>
      <c r="C662" s="1">
        <v>1061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/>
      <c r="L662" s="12"/>
      <c r="M662" t="s">
        <v>734</v>
      </c>
      <c r="N662" s="12"/>
      <c r="O662" s="12"/>
      <c r="P662" s="12"/>
      <c r="Q662" s="12"/>
      <c r="R662" s="12"/>
      <c r="S662" s="18"/>
    </row>
    <row r="663" spans="1:19" x14ac:dyDescent="0.25">
      <c r="A663" t="s">
        <v>824</v>
      </c>
      <c r="B663" t="s">
        <v>711</v>
      </c>
      <c r="C663" s="1">
        <v>354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/>
      <c r="L663" s="12">
        <v>616</v>
      </c>
      <c r="M663" s="12" t="s">
        <v>735</v>
      </c>
      <c r="N663" s="12">
        <v>950</v>
      </c>
      <c r="O663" s="12">
        <v>0</v>
      </c>
      <c r="P663" s="12">
        <v>0</v>
      </c>
      <c r="Q663" s="12">
        <v>0</v>
      </c>
      <c r="R663" s="12">
        <v>0</v>
      </c>
      <c r="S663" s="18">
        <v>0</v>
      </c>
    </row>
    <row r="664" spans="1:19" x14ac:dyDescent="0.25">
      <c r="A664" t="s">
        <v>817</v>
      </c>
      <c r="B664" t="s">
        <v>712</v>
      </c>
      <c r="C664" s="1"/>
      <c r="D664" s="1"/>
      <c r="E664" s="1"/>
      <c r="F664" s="1"/>
      <c r="G664" s="1"/>
      <c r="H664" s="1"/>
      <c r="I664" s="1"/>
      <c r="J664" s="1"/>
      <c r="L664" s="10">
        <v>711</v>
      </c>
      <c r="M664" s="10" t="s">
        <v>736</v>
      </c>
      <c r="N664" s="10">
        <v>95</v>
      </c>
      <c r="O664" s="10">
        <v>0</v>
      </c>
      <c r="P664" s="10">
        <v>0</v>
      </c>
      <c r="Q664" s="10">
        <v>0</v>
      </c>
      <c r="R664" s="10">
        <v>0</v>
      </c>
      <c r="S664" s="19">
        <v>0</v>
      </c>
    </row>
    <row r="665" spans="1:19" x14ac:dyDescent="0.25">
      <c r="A665" t="s">
        <v>115</v>
      </c>
      <c r="B665" t="s">
        <v>713</v>
      </c>
      <c r="C665" s="1">
        <v>747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/>
      <c r="L665" s="12" t="s">
        <v>815</v>
      </c>
      <c r="M665" s="12" t="s">
        <v>737</v>
      </c>
      <c r="N665" s="12">
        <v>1047</v>
      </c>
      <c r="O665" s="12">
        <v>0</v>
      </c>
      <c r="P665" s="12">
        <v>0</v>
      </c>
      <c r="Q665" s="12">
        <v>0</v>
      </c>
      <c r="R665" s="12">
        <v>0</v>
      </c>
      <c r="S665" s="18">
        <v>0</v>
      </c>
    </row>
    <row r="666" spans="1:19" x14ac:dyDescent="0.25">
      <c r="A666" t="s">
        <v>146</v>
      </c>
      <c r="B666" t="s">
        <v>714</v>
      </c>
      <c r="C666" s="1">
        <v>2203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/>
      <c r="L666" s="10" t="s">
        <v>815</v>
      </c>
      <c r="M666" s="10" t="s">
        <v>738</v>
      </c>
      <c r="N666" s="10">
        <v>413</v>
      </c>
      <c r="O666" s="10">
        <v>0</v>
      </c>
      <c r="P666" s="10">
        <v>0</v>
      </c>
      <c r="Q666" s="10">
        <v>0</v>
      </c>
      <c r="R666" s="10">
        <v>0</v>
      </c>
      <c r="S666" s="19">
        <v>0</v>
      </c>
    </row>
    <row r="667" spans="1:19" x14ac:dyDescent="0.25">
      <c r="A667" t="s">
        <v>120</v>
      </c>
      <c r="B667" t="s">
        <v>715</v>
      </c>
      <c r="C667" s="1">
        <v>2169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/>
      <c r="L667" s="12">
        <v>600</v>
      </c>
      <c r="M667" s="12" t="s">
        <v>739</v>
      </c>
      <c r="N667" s="12">
        <v>2136</v>
      </c>
      <c r="O667" s="12">
        <v>0</v>
      </c>
      <c r="P667" s="12">
        <v>0</v>
      </c>
      <c r="Q667" s="12">
        <v>0</v>
      </c>
      <c r="R667" s="12">
        <v>0</v>
      </c>
      <c r="S667" s="18">
        <v>0</v>
      </c>
    </row>
    <row r="668" spans="1:19" x14ac:dyDescent="0.25">
      <c r="A668" t="s">
        <v>146</v>
      </c>
      <c r="B668" t="s">
        <v>716</v>
      </c>
      <c r="C668" s="1">
        <v>1080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/>
      <c r="L668" s="10" t="s">
        <v>815</v>
      </c>
      <c r="M668" s="10" t="s">
        <v>740</v>
      </c>
      <c r="N668" s="10">
        <v>420</v>
      </c>
      <c r="O668" s="10">
        <v>0</v>
      </c>
      <c r="P668" s="10">
        <v>0</v>
      </c>
      <c r="Q668" s="10">
        <v>0</v>
      </c>
      <c r="R668" s="10">
        <v>0</v>
      </c>
      <c r="S668" s="19">
        <v>0</v>
      </c>
    </row>
    <row r="669" spans="1:19" x14ac:dyDescent="0.25">
      <c r="A669" t="s">
        <v>795</v>
      </c>
      <c r="B669" t="s">
        <v>717</v>
      </c>
      <c r="C669" s="1"/>
      <c r="D669" s="1"/>
      <c r="E669" s="1"/>
      <c r="F669" s="1"/>
      <c r="G669" s="1"/>
      <c r="H669" s="1"/>
      <c r="I669" s="1"/>
      <c r="J669" s="1"/>
      <c r="L669" s="12">
        <v>514</v>
      </c>
      <c r="M669" s="12" t="s">
        <v>741</v>
      </c>
      <c r="N669" s="12">
        <v>600</v>
      </c>
      <c r="O669" s="12">
        <v>0</v>
      </c>
      <c r="P669" s="12">
        <v>0</v>
      </c>
      <c r="Q669" s="12">
        <v>0</v>
      </c>
      <c r="R669" s="12">
        <v>0</v>
      </c>
      <c r="S669" s="18">
        <v>0</v>
      </c>
    </row>
    <row r="670" spans="1:19" x14ac:dyDescent="0.25">
      <c r="A670" t="s">
        <v>146</v>
      </c>
      <c r="B670" t="s">
        <v>718</v>
      </c>
      <c r="C670" s="1">
        <v>886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/>
      <c r="L670" s="10">
        <v>118</v>
      </c>
      <c r="M670" s="10" t="s">
        <v>742</v>
      </c>
      <c r="N670" s="10">
        <v>64</v>
      </c>
      <c r="O670" s="10">
        <v>0</v>
      </c>
      <c r="P670" s="10">
        <v>0</v>
      </c>
      <c r="Q670" s="10">
        <v>0</v>
      </c>
      <c r="R670" s="10">
        <v>0</v>
      </c>
      <c r="S670" s="19">
        <v>0</v>
      </c>
    </row>
    <row r="671" spans="1:19" x14ac:dyDescent="0.25">
      <c r="A671" t="s">
        <v>816</v>
      </c>
      <c r="B671" t="s">
        <v>719</v>
      </c>
      <c r="C671" s="1"/>
      <c r="D671" s="1"/>
      <c r="E671" s="1"/>
      <c r="F671" s="1"/>
      <c r="G671" s="1"/>
      <c r="H671" s="1"/>
      <c r="I671" s="1"/>
      <c r="J671" s="1"/>
      <c r="L671" s="12"/>
      <c r="M671" t="s">
        <v>743</v>
      </c>
      <c r="N671" s="12"/>
      <c r="O671" s="12"/>
      <c r="P671" s="12"/>
      <c r="Q671" s="12"/>
      <c r="R671" s="12"/>
      <c r="S671" s="18"/>
    </row>
    <row r="672" spans="1:19" x14ac:dyDescent="0.25">
      <c r="A672" t="s">
        <v>817</v>
      </c>
      <c r="B672" t="s">
        <v>720</v>
      </c>
      <c r="C672" s="1">
        <v>7740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/>
      <c r="L672" s="12"/>
      <c r="M672" t="s">
        <v>744</v>
      </c>
      <c r="N672" s="12"/>
      <c r="O672" s="12"/>
      <c r="P672" s="12"/>
      <c r="Q672" s="12"/>
      <c r="R672" s="12"/>
      <c r="S672" s="18"/>
    </row>
    <row r="673" spans="1:19" x14ac:dyDescent="0.25">
      <c r="A673" t="s">
        <v>131</v>
      </c>
      <c r="B673" t="s">
        <v>721</v>
      </c>
      <c r="C673" s="1">
        <v>8071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/>
      <c r="L673" s="12">
        <v>111</v>
      </c>
      <c r="M673" s="12" t="s">
        <v>745</v>
      </c>
      <c r="N673" s="12">
        <v>4030</v>
      </c>
      <c r="O673" s="12">
        <v>0</v>
      </c>
      <c r="P673" s="12">
        <v>0</v>
      </c>
      <c r="Q673" s="12">
        <v>0</v>
      </c>
      <c r="R673" s="12">
        <v>0</v>
      </c>
      <c r="S673" s="18">
        <v>0</v>
      </c>
    </row>
    <row r="674" spans="1:19" x14ac:dyDescent="0.25">
      <c r="A674" t="s">
        <v>146</v>
      </c>
      <c r="B674" t="s">
        <v>722</v>
      </c>
      <c r="C674" s="1">
        <v>1243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/>
      <c r="L674" s="10">
        <v>600</v>
      </c>
      <c r="M674" s="10" t="s">
        <v>746</v>
      </c>
      <c r="N674" s="10">
        <v>15906</v>
      </c>
      <c r="O674" s="10">
        <v>0</v>
      </c>
      <c r="P674" s="10">
        <v>0</v>
      </c>
      <c r="Q674" s="10">
        <v>0</v>
      </c>
      <c r="R674" s="10">
        <v>0</v>
      </c>
      <c r="S674" s="19">
        <v>0</v>
      </c>
    </row>
    <row r="675" spans="1:19" x14ac:dyDescent="0.25">
      <c r="A675" t="s">
        <v>118</v>
      </c>
      <c r="B675" t="s">
        <v>723</v>
      </c>
      <c r="C675" s="1"/>
      <c r="D675" s="1"/>
      <c r="E675" s="1"/>
      <c r="F675" s="1"/>
      <c r="G675" s="1"/>
      <c r="H675" s="1"/>
      <c r="I675" s="1"/>
      <c r="J675" s="1"/>
      <c r="L675" s="10">
        <v>711</v>
      </c>
      <c r="M675" s="10" t="s">
        <v>747</v>
      </c>
      <c r="N675" s="10">
        <v>1151</v>
      </c>
      <c r="O675" s="10">
        <v>0</v>
      </c>
      <c r="P675" s="10">
        <v>0</v>
      </c>
      <c r="Q675" s="10">
        <v>0</v>
      </c>
      <c r="R675" s="10">
        <v>0</v>
      </c>
      <c r="S675" s="19">
        <v>0</v>
      </c>
    </row>
    <row r="676" spans="1:19" x14ac:dyDescent="0.25">
      <c r="A676" t="s">
        <v>131</v>
      </c>
      <c r="B676" t="s">
        <v>724</v>
      </c>
      <c r="C676" s="1">
        <v>22225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/>
      <c r="L676" s="12" t="s">
        <v>808</v>
      </c>
      <c r="M676" s="12" t="s">
        <v>748</v>
      </c>
      <c r="N676" s="12">
        <v>7</v>
      </c>
      <c r="O676" s="12">
        <v>0</v>
      </c>
      <c r="P676" s="12">
        <v>0</v>
      </c>
      <c r="Q676" s="12">
        <v>0</v>
      </c>
      <c r="R676" s="12">
        <v>0</v>
      </c>
      <c r="S676" s="18">
        <v>0</v>
      </c>
    </row>
    <row r="677" spans="1:19" x14ac:dyDescent="0.25">
      <c r="A677" t="s">
        <v>794</v>
      </c>
      <c r="B677" t="s">
        <v>725</v>
      </c>
      <c r="C677" s="1">
        <v>2487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/>
      <c r="L677" s="10">
        <v>713</v>
      </c>
      <c r="M677" s="10" t="s">
        <v>749</v>
      </c>
      <c r="N677" s="10">
        <v>15083</v>
      </c>
      <c r="O677" s="10">
        <v>2</v>
      </c>
      <c r="P677" s="10">
        <v>0</v>
      </c>
      <c r="Q677" s="10">
        <v>0</v>
      </c>
      <c r="R677" s="10">
        <v>0</v>
      </c>
      <c r="S677" s="19">
        <v>0</v>
      </c>
    </row>
    <row r="678" spans="1:19" x14ac:dyDescent="0.25">
      <c r="A678" t="s">
        <v>131</v>
      </c>
      <c r="B678" t="s">
        <v>726</v>
      </c>
      <c r="C678" s="1">
        <v>6297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 t="s">
        <v>819</v>
      </c>
      <c r="L678" s="12">
        <v>300</v>
      </c>
      <c r="M678" s="12" t="s">
        <v>750</v>
      </c>
      <c r="N678" s="12"/>
      <c r="O678" s="12"/>
      <c r="P678" s="12"/>
      <c r="Q678" s="12"/>
      <c r="R678" s="12"/>
      <c r="S678" s="18"/>
    </row>
    <row r="679" spans="1:19" x14ac:dyDescent="0.25">
      <c r="A679" t="s">
        <v>796</v>
      </c>
      <c r="B679" t="s">
        <v>727</v>
      </c>
      <c r="C679" s="1">
        <v>884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/>
      <c r="L679" s="10">
        <v>111</v>
      </c>
      <c r="M679" s="10" t="s">
        <v>751</v>
      </c>
      <c r="N679" s="10">
        <v>2287</v>
      </c>
      <c r="O679" s="10">
        <v>20</v>
      </c>
      <c r="P679" s="10">
        <v>0</v>
      </c>
      <c r="Q679" s="10">
        <v>0</v>
      </c>
      <c r="R679" s="10">
        <v>0</v>
      </c>
      <c r="S679" s="19">
        <v>0</v>
      </c>
    </row>
    <row r="680" spans="1:19" x14ac:dyDescent="0.25">
      <c r="A680" t="s">
        <v>134</v>
      </c>
      <c r="B680" t="s">
        <v>728</v>
      </c>
      <c r="C680" s="1">
        <v>593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/>
      <c r="L680" s="12">
        <v>110</v>
      </c>
      <c r="M680" s="12" t="s">
        <v>752</v>
      </c>
      <c r="N680" s="12">
        <v>20</v>
      </c>
      <c r="O680" s="12">
        <v>0</v>
      </c>
      <c r="P680" s="12">
        <v>0</v>
      </c>
      <c r="Q680" s="12">
        <v>0</v>
      </c>
      <c r="R680" s="12">
        <v>0</v>
      </c>
      <c r="S680" s="18">
        <v>0</v>
      </c>
    </row>
    <row r="681" spans="1:19" x14ac:dyDescent="0.25">
      <c r="A681" t="s">
        <v>138</v>
      </c>
      <c r="B681" t="s">
        <v>729</v>
      </c>
      <c r="C681" s="1">
        <v>249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/>
      <c r="L681" s="10">
        <v>710</v>
      </c>
      <c r="M681" s="10" t="s">
        <v>753</v>
      </c>
      <c r="N681" s="10">
        <v>11137</v>
      </c>
      <c r="O681" s="10">
        <v>0</v>
      </c>
      <c r="P681" s="10">
        <v>0</v>
      </c>
      <c r="Q681" s="10">
        <v>0</v>
      </c>
      <c r="R681" s="10">
        <v>0</v>
      </c>
      <c r="S681" s="19">
        <v>0</v>
      </c>
    </row>
    <row r="682" spans="1:19" x14ac:dyDescent="0.25">
      <c r="A682" t="s">
        <v>788</v>
      </c>
      <c r="B682" t="s">
        <v>730</v>
      </c>
      <c r="C682" s="1">
        <v>64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/>
      <c r="L682" s="12">
        <v>500</v>
      </c>
      <c r="M682" s="12" t="s">
        <v>754</v>
      </c>
      <c r="N682" s="12">
        <v>1527</v>
      </c>
      <c r="O682" s="12">
        <v>0</v>
      </c>
      <c r="P682" s="12">
        <v>0</v>
      </c>
      <c r="Q682" s="12">
        <v>0</v>
      </c>
      <c r="R682" s="12">
        <v>0</v>
      </c>
      <c r="S682" s="18">
        <v>0</v>
      </c>
    </row>
    <row r="683" spans="1:19" x14ac:dyDescent="0.25">
      <c r="A683" t="s">
        <v>150</v>
      </c>
      <c r="B683" t="s">
        <v>731</v>
      </c>
      <c r="C683" s="1">
        <v>658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/>
      <c r="L683" s="10">
        <v>616</v>
      </c>
      <c r="M683" s="10" t="s">
        <v>755</v>
      </c>
      <c r="N683" s="10">
        <v>15609</v>
      </c>
      <c r="O683" s="10">
        <v>33</v>
      </c>
      <c r="P683" s="10">
        <v>0</v>
      </c>
      <c r="Q683" s="10">
        <v>0</v>
      </c>
      <c r="R683" s="10">
        <v>0</v>
      </c>
      <c r="S683" s="19">
        <v>0</v>
      </c>
    </row>
    <row r="684" spans="1:19" x14ac:dyDescent="0.25">
      <c r="A684" t="s">
        <v>138</v>
      </c>
      <c r="B684" t="s">
        <v>732</v>
      </c>
      <c r="C684" s="1">
        <v>561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/>
      <c r="L684" s="12" t="s">
        <v>814</v>
      </c>
      <c r="M684" s="12" t="s">
        <v>756</v>
      </c>
      <c r="N684" s="12">
        <v>4340</v>
      </c>
      <c r="O684" s="12">
        <v>19</v>
      </c>
      <c r="P684" s="12">
        <v>0</v>
      </c>
      <c r="Q684" s="12">
        <v>0</v>
      </c>
      <c r="R684" s="12">
        <v>0</v>
      </c>
      <c r="S684" s="18">
        <v>0</v>
      </c>
    </row>
    <row r="685" spans="1:19" x14ac:dyDescent="0.25">
      <c r="A685" t="s">
        <v>809</v>
      </c>
      <c r="B685" t="s">
        <v>733</v>
      </c>
      <c r="C685" s="1">
        <v>2126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/>
      <c r="L685" s="10">
        <v>311</v>
      </c>
      <c r="M685" s="10" t="s">
        <v>757</v>
      </c>
      <c r="N685" s="10">
        <v>8035</v>
      </c>
      <c r="O685" s="10">
        <v>32</v>
      </c>
      <c r="P685" s="10">
        <v>0</v>
      </c>
      <c r="Q685" s="10">
        <v>0</v>
      </c>
      <c r="R685" s="10">
        <v>0</v>
      </c>
      <c r="S685" s="19">
        <v>0</v>
      </c>
    </row>
    <row r="686" spans="1:19" x14ac:dyDescent="0.25">
      <c r="A686" t="s">
        <v>140</v>
      </c>
      <c r="B686" t="s">
        <v>734</v>
      </c>
      <c r="C686" s="1"/>
      <c r="D686" s="1"/>
      <c r="E686" s="1"/>
      <c r="F686" s="1"/>
      <c r="G686" s="1"/>
      <c r="H686" s="1"/>
      <c r="I686" s="1"/>
      <c r="J686" s="1"/>
      <c r="L686" s="12">
        <v>610</v>
      </c>
      <c r="M686" s="12" t="s">
        <v>758</v>
      </c>
      <c r="N686" s="12">
        <v>5357</v>
      </c>
      <c r="O686" s="12">
        <v>0</v>
      </c>
      <c r="P686" s="12">
        <v>0</v>
      </c>
      <c r="Q686" s="12">
        <v>0</v>
      </c>
      <c r="R686" s="12">
        <v>0</v>
      </c>
      <c r="S686" s="18">
        <v>0</v>
      </c>
    </row>
    <row r="687" spans="1:19" x14ac:dyDescent="0.25">
      <c r="A687" t="s">
        <v>817</v>
      </c>
      <c r="B687" t="s">
        <v>735</v>
      </c>
      <c r="C687" s="1">
        <v>950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/>
      <c r="L687" s="10">
        <v>611</v>
      </c>
      <c r="M687" s="10" t="s">
        <v>759</v>
      </c>
      <c r="N687" s="10">
        <v>19631</v>
      </c>
      <c r="O687" s="10">
        <v>0</v>
      </c>
      <c r="P687" s="10">
        <v>0</v>
      </c>
      <c r="Q687" s="10">
        <v>0</v>
      </c>
      <c r="R687" s="10">
        <v>0</v>
      </c>
      <c r="S687" s="19">
        <v>0</v>
      </c>
    </row>
    <row r="688" spans="1:19" x14ac:dyDescent="0.25">
      <c r="A688" t="s">
        <v>801</v>
      </c>
      <c r="B688" t="s">
        <v>736</v>
      </c>
      <c r="C688" s="1">
        <v>95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/>
      <c r="L688" s="12">
        <v>116</v>
      </c>
      <c r="M688" s="12" t="s">
        <v>760</v>
      </c>
      <c r="N688" s="12">
        <v>14600</v>
      </c>
      <c r="O688" s="12">
        <v>0</v>
      </c>
      <c r="P688" s="12">
        <v>0</v>
      </c>
      <c r="Q688" s="12">
        <v>0</v>
      </c>
      <c r="R688" s="12">
        <v>0</v>
      </c>
      <c r="S688" s="18">
        <v>0</v>
      </c>
    </row>
    <row r="689" spans="1:19" x14ac:dyDescent="0.25">
      <c r="A689" t="s">
        <v>138</v>
      </c>
      <c r="B689" t="s">
        <v>737</v>
      </c>
      <c r="C689" s="1">
        <v>1047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/>
      <c r="L689" s="10">
        <v>600</v>
      </c>
      <c r="M689" s="10" t="s">
        <v>761</v>
      </c>
      <c r="N689" s="10">
        <v>925</v>
      </c>
      <c r="O689" s="10">
        <v>0</v>
      </c>
      <c r="P689" s="10">
        <v>0</v>
      </c>
      <c r="Q689" s="10">
        <v>0</v>
      </c>
      <c r="R689" s="10">
        <v>0</v>
      </c>
      <c r="S689" s="19">
        <v>0</v>
      </c>
    </row>
    <row r="690" spans="1:19" x14ac:dyDescent="0.25">
      <c r="A690" t="s">
        <v>138</v>
      </c>
      <c r="B690" t="s">
        <v>738</v>
      </c>
      <c r="C690" s="1">
        <v>413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/>
      <c r="L690" s="12">
        <v>713</v>
      </c>
      <c r="M690" s="12" t="s">
        <v>762</v>
      </c>
      <c r="N690" s="12">
        <v>93</v>
      </c>
      <c r="O690" s="12">
        <v>2</v>
      </c>
      <c r="P690" s="12">
        <v>0</v>
      </c>
      <c r="Q690" s="12">
        <v>0</v>
      </c>
      <c r="R690" s="12">
        <v>0</v>
      </c>
      <c r="S690" s="18">
        <v>0</v>
      </c>
    </row>
    <row r="691" spans="1:19" x14ac:dyDescent="0.25">
      <c r="A691" t="s">
        <v>248</v>
      </c>
      <c r="B691" t="s">
        <v>739</v>
      </c>
      <c r="C691" s="1">
        <v>2136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/>
      <c r="L691" s="10" t="s">
        <v>815</v>
      </c>
      <c r="M691" s="10" t="s">
        <v>763</v>
      </c>
      <c r="N691" s="10">
        <v>5911</v>
      </c>
      <c r="O691" s="10">
        <v>22</v>
      </c>
      <c r="P691" s="10">
        <v>0</v>
      </c>
      <c r="Q691" s="10">
        <v>0</v>
      </c>
      <c r="R691" s="10">
        <v>0</v>
      </c>
      <c r="S691" s="19">
        <v>0</v>
      </c>
    </row>
    <row r="692" spans="1:19" x14ac:dyDescent="0.25">
      <c r="A692" t="s">
        <v>138</v>
      </c>
      <c r="B692" t="s">
        <v>740</v>
      </c>
      <c r="C692" s="1">
        <v>420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/>
      <c r="L692" s="12" t="s">
        <v>820</v>
      </c>
      <c r="M692" s="12" t="s">
        <v>764</v>
      </c>
      <c r="N692" s="12">
        <v>3037</v>
      </c>
      <c r="O692" s="12">
        <v>0</v>
      </c>
      <c r="P692" s="12">
        <v>0</v>
      </c>
      <c r="Q692" s="12">
        <v>0</v>
      </c>
      <c r="R692" s="12">
        <v>0</v>
      </c>
      <c r="S692" s="18">
        <v>0</v>
      </c>
    </row>
    <row r="693" spans="1:19" x14ac:dyDescent="0.25">
      <c r="A693" t="s">
        <v>134</v>
      </c>
      <c r="B693" t="s">
        <v>741</v>
      </c>
      <c r="C693" s="1">
        <v>600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/>
      <c r="L693" s="10">
        <v>113</v>
      </c>
      <c r="M693" s="10" t="s">
        <v>765</v>
      </c>
      <c r="N693" s="10"/>
      <c r="O693" s="10"/>
      <c r="P693" s="10"/>
      <c r="Q693" s="10"/>
      <c r="R693" s="10"/>
      <c r="S693" s="19"/>
    </row>
    <row r="694" spans="1:19" x14ac:dyDescent="0.25">
      <c r="A694" t="s">
        <v>188</v>
      </c>
      <c r="B694" t="s">
        <v>742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/>
      <c r="L694" s="12">
        <v>700</v>
      </c>
      <c r="M694" s="12" t="s">
        <v>766</v>
      </c>
      <c r="N694" s="12"/>
      <c r="O694" s="12"/>
      <c r="P694" s="12"/>
      <c r="Q694" s="12"/>
      <c r="R694" s="12"/>
      <c r="S694" s="18"/>
    </row>
    <row r="695" spans="1:19" x14ac:dyDescent="0.25">
      <c r="A695" t="s">
        <v>83</v>
      </c>
      <c r="B695" t="s">
        <v>743</v>
      </c>
      <c r="C695" s="1"/>
      <c r="D695" s="1"/>
      <c r="E695" s="1"/>
      <c r="F695" s="1"/>
      <c r="G695" s="1"/>
      <c r="H695" s="1"/>
      <c r="I695" s="1"/>
      <c r="J695" s="1"/>
      <c r="L695" s="10">
        <v>211</v>
      </c>
      <c r="M695" s="10" t="s">
        <v>767</v>
      </c>
      <c r="N695" s="10">
        <v>3402</v>
      </c>
      <c r="O695" s="10">
        <v>8</v>
      </c>
      <c r="P695" s="10">
        <v>0</v>
      </c>
      <c r="Q695" s="10">
        <v>0</v>
      </c>
      <c r="R695" s="10">
        <v>0</v>
      </c>
      <c r="S695" s="19">
        <v>0</v>
      </c>
    </row>
    <row r="696" spans="1:19" x14ac:dyDescent="0.25">
      <c r="A696" t="s">
        <v>802</v>
      </c>
      <c r="B696" t="s">
        <v>744</v>
      </c>
      <c r="C696" s="1"/>
      <c r="D696" s="1"/>
      <c r="E696" s="1"/>
      <c r="F696" s="1"/>
      <c r="G696" s="1"/>
      <c r="H696" s="1"/>
      <c r="I696" s="1"/>
      <c r="J696" s="1"/>
      <c r="L696" s="12">
        <v>712</v>
      </c>
      <c r="M696" s="12" t="s">
        <v>768</v>
      </c>
      <c r="N696" s="12">
        <v>9055</v>
      </c>
      <c r="O696" s="12">
        <v>10</v>
      </c>
      <c r="P696" s="12">
        <v>0</v>
      </c>
      <c r="Q696" s="12">
        <v>0</v>
      </c>
      <c r="R696" s="12">
        <v>0</v>
      </c>
      <c r="S696" s="18">
        <v>0</v>
      </c>
    </row>
    <row r="697" spans="1:19" x14ac:dyDescent="0.25">
      <c r="A697" t="s">
        <v>811</v>
      </c>
      <c r="B697" t="s">
        <v>745</v>
      </c>
      <c r="C697" s="1"/>
      <c r="D697" s="1"/>
      <c r="E697" s="1"/>
      <c r="F697" s="1"/>
      <c r="G697" s="1"/>
      <c r="H697" s="1"/>
      <c r="I697" s="1"/>
      <c r="J697" s="1"/>
      <c r="L697" s="10">
        <v>511</v>
      </c>
      <c r="M697" s="10" t="s">
        <v>769</v>
      </c>
      <c r="N697" s="10">
        <v>5710</v>
      </c>
      <c r="O697" s="10">
        <v>0</v>
      </c>
      <c r="P697" s="10">
        <v>0</v>
      </c>
      <c r="Q697" s="10">
        <v>0</v>
      </c>
      <c r="R697" s="10">
        <v>0</v>
      </c>
      <c r="S697" s="19">
        <v>0</v>
      </c>
    </row>
    <row r="698" spans="1:19" x14ac:dyDescent="0.25">
      <c r="A698" t="s">
        <v>248</v>
      </c>
      <c r="B698" t="s">
        <v>746</v>
      </c>
      <c r="C698" s="1">
        <v>15906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/>
      <c r="L698" s="12">
        <v>114</v>
      </c>
      <c r="M698" s="12" t="s">
        <v>770</v>
      </c>
      <c r="N698" s="12">
        <v>64</v>
      </c>
      <c r="O698" s="12">
        <v>0</v>
      </c>
      <c r="P698" s="12">
        <v>0</v>
      </c>
      <c r="Q698" s="12">
        <v>0</v>
      </c>
      <c r="R698" s="12">
        <v>0</v>
      </c>
      <c r="S698" s="18">
        <v>0</v>
      </c>
    </row>
    <row r="699" spans="1:19" x14ac:dyDescent="0.25">
      <c r="A699" t="s">
        <v>801</v>
      </c>
      <c r="B699" t="s">
        <v>747</v>
      </c>
      <c r="C699" s="1">
        <f>1150+1</f>
        <v>1151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/>
      <c r="L699" s="12"/>
      <c r="M699" t="s">
        <v>771</v>
      </c>
      <c r="N699" s="12"/>
      <c r="O699" s="12"/>
      <c r="P699" s="12"/>
      <c r="Q699" s="12"/>
      <c r="R699" s="12"/>
      <c r="S699" s="18"/>
    </row>
    <row r="700" spans="1:19" x14ac:dyDescent="0.25">
      <c r="A700" t="s">
        <v>809</v>
      </c>
      <c r="B700" t="s">
        <v>748</v>
      </c>
      <c r="C700" s="1">
        <v>7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/>
      <c r="L700" s="10">
        <v>161</v>
      </c>
      <c r="M700" s="10" t="s">
        <v>772</v>
      </c>
      <c r="N700" s="10"/>
      <c r="O700" s="10"/>
      <c r="P700" s="10"/>
      <c r="Q700" s="10"/>
      <c r="R700" s="10"/>
      <c r="S700" s="19"/>
    </row>
    <row r="701" spans="1:19" x14ac:dyDescent="0.25">
      <c r="A701" t="s">
        <v>796</v>
      </c>
      <c r="B701" t="s">
        <v>749</v>
      </c>
      <c r="C701" s="1">
        <f>14811+12+260</f>
        <v>15083</v>
      </c>
      <c r="D701" s="1">
        <v>2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/>
      <c r="L701" s="12">
        <v>713</v>
      </c>
      <c r="M701" s="12" t="s">
        <v>773</v>
      </c>
      <c r="N701" s="12"/>
      <c r="O701" s="12"/>
      <c r="P701" s="12"/>
      <c r="Q701" s="12"/>
      <c r="R701" s="12"/>
      <c r="S701" s="18"/>
    </row>
    <row r="702" spans="1:19" x14ac:dyDescent="0.25">
      <c r="A702" t="s">
        <v>226</v>
      </c>
      <c r="B702" t="s">
        <v>750</v>
      </c>
      <c r="C702" s="1"/>
      <c r="D702" s="1"/>
      <c r="E702" s="1"/>
      <c r="F702" s="1"/>
      <c r="G702" s="1"/>
      <c r="H702" s="1"/>
      <c r="I702" s="1"/>
      <c r="J702" s="1"/>
      <c r="L702" s="10">
        <v>120</v>
      </c>
      <c r="M702" s="10" t="s">
        <v>774</v>
      </c>
      <c r="N702" s="10"/>
      <c r="O702" s="10"/>
      <c r="P702" s="10"/>
      <c r="Q702" s="10"/>
      <c r="R702" s="10"/>
      <c r="S702" s="19"/>
    </row>
    <row r="703" spans="1:19" x14ac:dyDescent="0.25">
      <c r="A703" t="s">
        <v>811</v>
      </c>
      <c r="B703" t="s">
        <v>751</v>
      </c>
      <c r="C703" s="1"/>
      <c r="D703" s="1"/>
      <c r="E703" s="1"/>
      <c r="F703" s="1"/>
      <c r="G703" s="1"/>
      <c r="H703" s="1"/>
      <c r="I703" s="1"/>
      <c r="J703" s="1"/>
      <c r="L703" s="12"/>
      <c r="M703" s="12" t="s">
        <v>775</v>
      </c>
      <c r="N703" s="12"/>
      <c r="O703" s="12"/>
      <c r="P703" s="12"/>
      <c r="Q703" s="12"/>
      <c r="R703" s="12"/>
      <c r="S703" s="18"/>
    </row>
    <row r="704" spans="1:19" x14ac:dyDescent="0.25">
      <c r="A704" t="s">
        <v>797</v>
      </c>
      <c r="B704" t="s">
        <v>752</v>
      </c>
      <c r="C704" s="1"/>
      <c r="D704" s="1"/>
      <c r="E704" s="1"/>
      <c r="F704" s="1"/>
      <c r="G704" s="1"/>
      <c r="H704" s="1"/>
      <c r="I704" s="1"/>
      <c r="J704" s="1"/>
      <c r="L704" s="12"/>
      <c r="M704" s="12" t="s">
        <v>776</v>
      </c>
      <c r="N704" s="12"/>
      <c r="O704" s="12"/>
      <c r="P704" s="12"/>
      <c r="Q704" s="12"/>
      <c r="R704" s="12"/>
      <c r="S704" s="18"/>
    </row>
    <row r="705" spans="1:19" x14ac:dyDescent="0.25">
      <c r="A705" t="s">
        <v>69</v>
      </c>
      <c r="B705" t="s">
        <v>753</v>
      </c>
      <c r="C705" s="1">
        <v>11137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/>
      <c r="L705" s="21"/>
      <c r="M705" s="21" t="s">
        <v>777</v>
      </c>
      <c r="N705" s="21"/>
      <c r="O705" s="21"/>
      <c r="P705" s="21"/>
      <c r="Q705" s="21"/>
      <c r="R705" s="21"/>
      <c r="S705" s="22"/>
    </row>
    <row r="706" spans="1:19" x14ac:dyDescent="0.25">
      <c r="A706" t="s">
        <v>824</v>
      </c>
      <c r="B706" t="s">
        <v>754</v>
      </c>
      <c r="C706" s="1">
        <f>1509+18</f>
        <v>1527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/>
    </row>
    <row r="707" spans="1:19" x14ac:dyDescent="0.25">
      <c r="A707" t="s">
        <v>817</v>
      </c>
      <c r="B707" t="s">
        <v>755</v>
      </c>
      <c r="C707" s="1">
        <f>15572+2+31+4</f>
        <v>15609</v>
      </c>
      <c r="D707" s="1">
        <f>25+5+3</f>
        <v>33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/>
    </row>
    <row r="708" spans="1:19" x14ac:dyDescent="0.25">
      <c r="A708" t="s">
        <v>794</v>
      </c>
      <c r="B708" t="s">
        <v>756</v>
      </c>
      <c r="C708" s="1">
        <f>4313+23+4</f>
        <v>4340</v>
      </c>
      <c r="D708" s="1">
        <v>19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/>
    </row>
    <row r="709" spans="1:19" x14ac:dyDescent="0.25">
      <c r="A709" t="s">
        <v>120</v>
      </c>
      <c r="B709" t="s">
        <v>757</v>
      </c>
      <c r="C709" s="1">
        <v>8035</v>
      </c>
      <c r="D709" s="1">
        <v>32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/>
    </row>
    <row r="710" spans="1:19" x14ac:dyDescent="0.25">
      <c r="A710" t="s">
        <v>788</v>
      </c>
      <c r="B710" t="s">
        <v>758</v>
      </c>
      <c r="C710" s="1">
        <f>4246+1111</f>
        <v>5357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/>
    </row>
    <row r="711" spans="1:19" x14ac:dyDescent="0.25">
      <c r="A711" t="s">
        <v>146</v>
      </c>
      <c r="B711" t="s">
        <v>759</v>
      </c>
      <c r="C711" s="1">
        <v>19631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/>
    </row>
    <row r="712" spans="1:19" x14ac:dyDescent="0.25">
      <c r="A712" t="s">
        <v>795</v>
      </c>
      <c r="B712" t="s">
        <v>760</v>
      </c>
      <c r="C712" s="1"/>
      <c r="D712" s="1"/>
      <c r="E712" s="1"/>
      <c r="F712" s="1"/>
      <c r="G712" s="1"/>
      <c r="H712" s="1"/>
      <c r="I712" s="1"/>
      <c r="J712" s="1"/>
    </row>
    <row r="713" spans="1:19" x14ac:dyDescent="0.25">
      <c r="A713" t="s">
        <v>248</v>
      </c>
      <c r="B713" t="s">
        <v>761</v>
      </c>
      <c r="C713" s="1">
        <v>925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/>
    </row>
    <row r="714" spans="1:19" x14ac:dyDescent="0.25">
      <c r="A714" t="s">
        <v>796</v>
      </c>
      <c r="B714" t="s">
        <v>762</v>
      </c>
      <c r="C714" s="1">
        <v>93</v>
      </c>
      <c r="D714" s="1">
        <v>2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/>
    </row>
    <row r="715" spans="1:19" x14ac:dyDescent="0.25">
      <c r="A715" t="s">
        <v>138</v>
      </c>
      <c r="B715" t="s">
        <v>763</v>
      </c>
      <c r="C715" s="1">
        <f>5903+4+4</f>
        <v>5911</v>
      </c>
      <c r="D715" s="1">
        <f>2+20</f>
        <v>22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/>
    </row>
    <row r="716" spans="1:19" x14ac:dyDescent="0.25">
      <c r="A716" t="s">
        <v>265</v>
      </c>
      <c r="B716" t="s">
        <v>764</v>
      </c>
      <c r="C716" s="1">
        <v>3037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/>
    </row>
    <row r="717" spans="1:19" x14ac:dyDescent="0.25">
      <c r="A717" t="s">
        <v>823</v>
      </c>
      <c r="B717" t="s">
        <v>765</v>
      </c>
      <c r="C717" s="1"/>
      <c r="D717" s="1"/>
      <c r="E717" s="1"/>
      <c r="F717" s="1"/>
      <c r="G717" s="1"/>
      <c r="H717" s="1"/>
      <c r="I717" s="1"/>
      <c r="J717" s="1"/>
    </row>
    <row r="718" spans="1:19" x14ac:dyDescent="0.25">
      <c r="A718" t="s">
        <v>83</v>
      </c>
      <c r="B718" t="s">
        <v>766</v>
      </c>
      <c r="C718" s="1"/>
      <c r="D718" s="1"/>
      <c r="E718" s="1"/>
      <c r="F718" s="1"/>
      <c r="G718" s="1"/>
      <c r="H718" s="1"/>
      <c r="I718" s="1"/>
      <c r="J718" s="1"/>
    </row>
    <row r="719" spans="1:19" x14ac:dyDescent="0.25">
      <c r="A719" t="s">
        <v>131</v>
      </c>
      <c r="B719" t="s">
        <v>767</v>
      </c>
      <c r="C719" s="1">
        <v>3402</v>
      </c>
      <c r="D719" s="1">
        <v>8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/>
    </row>
    <row r="720" spans="1:19" x14ac:dyDescent="0.25">
      <c r="A720" t="s">
        <v>76</v>
      </c>
      <c r="B720" t="s">
        <v>768</v>
      </c>
      <c r="C720" s="1">
        <f>9052+3</f>
        <v>9055</v>
      </c>
      <c r="D720" s="1">
        <f>8+2</f>
        <v>10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/>
    </row>
    <row r="721" spans="1:10" x14ac:dyDescent="0.25">
      <c r="A721" s="53" t="s">
        <v>101</v>
      </c>
      <c r="B721" s="55" t="s">
        <v>769</v>
      </c>
      <c r="C721" s="1">
        <v>5710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/>
    </row>
    <row r="722" spans="1:10" x14ac:dyDescent="0.25">
      <c r="A722" s="53" t="s">
        <v>150</v>
      </c>
      <c r="B722" s="55" t="s">
        <v>770</v>
      </c>
      <c r="C722" s="1">
        <v>64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/>
    </row>
    <row r="723" spans="1:10" x14ac:dyDescent="0.25">
      <c r="A723" s="53" t="s">
        <v>512</v>
      </c>
      <c r="B723" s="55" t="s">
        <v>771</v>
      </c>
      <c r="C723" s="1"/>
      <c r="D723" s="1"/>
      <c r="E723" s="1"/>
      <c r="F723" s="1"/>
      <c r="G723" s="1"/>
      <c r="H723" s="1"/>
      <c r="I723" s="1"/>
      <c r="J723" s="1"/>
    </row>
    <row r="724" spans="1:10" x14ac:dyDescent="0.25">
      <c r="A724" s="53" t="s">
        <v>792</v>
      </c>
      <c r="B724" s="55" t="s">
        <v>772</v>
      </c>
      <c r="C724" s="1"/>
      <c r="D724" s="1"/>
      <c r="E724" s="1"/>
      <c r="F724" s="1"/>
      <c r="G724" s="1"/>
      <c r="H724" s="1"/>
      <c r="I724" s="1"/>
      <c r="J724" s="1"/>
    </row>
    <row r="725" spans="1:10" x14ac:dyDescent="0.25">
      <c r="A725" s="53" t="s">
        <v>796</v>
      </c>
      <c r="B725" s="55" t="s">
        <v>773</v>
      </c>
      <c r="C725" s="1"/>
      <c r="D725" s="1"/>
      <c r="E725" s="1"/>
      <c r="F725" s="1"/>
      <c r="G725" s="1"/>
      <c r="H725" s="1"/>
      <c r="I725" s="1"/>
      <c r="J725" s="1"/>
    </row>
    <row r="726" spans="1:10" x14ac:dyDescent="0.25">
      <c r="A726" s="53" t="s">
        <v>802</v>
      </c>
      <c r="B726" s="55" t="s">
        <v>774</v>
      </c>
      <c r="C726" s="1"/>
      <c r="D726" s="1"/>
      <c r="E726" s="1"/>
      <c r="F726" s="1"/>
      <c r="G726" s="1"/>
      <c r="H726" s="1"/>
      <c r="I726" s="1"/>
      <c r="J726" s="1"/>
    </row>
    <row r="727" spans="1:10" x14ac:dyDescent="0.25">
      <c r="A727" s="53" t="s">
        <v>805</v>
      </c>
      <c r="B727" s="55" t="s">
        <v>775</v>
      </c>
      <c r="C727" s="1"/>
      <c r="D727" s="1"/>
      <c r="E727" s="1"/>
      <c r="F727" s="1"/>
      <c r="G727" s="1"/>
      <c r="H727" s="1"/>
      <c r="I727" s="1"/>
      <c r="J727" s="1"/>
    </row>
    <row r="728" spans="1:10" x14ac:dyDescent="0.25">
      <c r="A728" s="53" t="s">
        <v>805</v>
      </c>
      <c r="B728" s="55" t="s">
        <v>776</v>
      </c>
      <c r="C728" s="1"/>
      <c r="D728" s="1"/>
      <c r="E728" s="1"/>
      <c r="F728" s="1"/>
      <c r="G728" s="1"/>
      <c r="H728" s="1"/>
      <c r="I728" s="1"/>
      <c r="J728" s="1"/>
    </row>
    <row r="729" spans="1:10" x14ac:dyDescent="0.25">
      <c r="A729" s="54" t="s">
        <v>805</v>
      </c>
      <c r="B729" s="56" t="s">
        <v>777</v>
      </c>
      <c r="C729" s="1"/>
      <c r="D729" s="1"/>
      <c r="E729" s="1"/>
      <c r="F729" s="1"/>
      <c r="G729" s="1"/>
      <c r="H729" s="1"/>
      <c r="I729" s="1"/>
      <c r="J729" s="1"/>
    </row>
  </sheetData>
  <sortState xmlns:xlrd2="http://schemas.microsoft.com/office/spreadsheetml/2017/richdata2" ref="L2:S702">
    <sortCondition ref="M2:M702"/>
  </sortState>
  <conditionalFormatting sqref="A709:B709">
    <cfRule type="expression" dxfId="119" priority="7">
      <formula>A709&lt;&gt;N709</formula>
    </cfRule>
  </conditionalFormatting>
  <conditionalFormatting sqref="A2:J729">
    <cfRule type="expression" dxfId="118" priority="9">
      <formula>A2&lt;&gt;L2</formula>
    </cfRule>
  </conditionalFormatting>
  <conditionalFormatting sqref="B709">
    <cfRule type="expression" dxfId="117" priority="6">
      <formula>B709&lt;&gt;#REF!</formula>
    </cfRule>
  </conditionalFormatting>
  <conditionalFormatting sqref="B721:B729">
    <cfRule type="expression" dxfId="116" priority="1">
      <formula>B721&lt;&gt;M721</formula>
    </cfRule>
  </conditionalFormatting>
  <conditionalFormatting sqref="B710:C710">
    <cfRule type="expression" dxfId="115" priority="4">
      <formula>B710&lt;&gt;#REF!</formula>
    </cfRule>
  </conditionalFormatting>
  <conditionalFormatting sqref="B712:C712">
    <cfRule type="expression" dxfId="114" priority="3">
      <formula>B712&lt;&gt;#REF!</formula>
    </cfRule>
  </conditionalFormatting>
  <conditionalFormatting sqref="L2:S705">
    <cfRule type="expression" dxfId="113" priority="8">
      <formula>L2&lt;&gt;A2</formula>
    </cfRule>
  </conditionalFormatting>
  <pageMargins left="0.7" right="0.7" top="0.75" bottom="0.75" header="0.3" footer="0.3"/>
  <pageSetup paperSize="9" orientation="portrait"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5823E420-1B3F-4191-84D4-81CAA0444C0F}">
            <xm:f>A721&lt;&gt;'202212 DICIEMBRE'!#REF!</xm:f>
            <x14:dxf>
              <fill>
                <patternFill>
                  <bgColor theme="7" tint="0.39994506668294322"/>
                </patternFill>
              </fill>
            </x14:dxf>
          </x14:cfRule>
          <xm:sqref>A721:B729</xm:sqref>
        </x14:conditionalFormatting>
        <x14:conditionalFormatting xmlns:xm="http://schemas.microsoft.com/office/excel/2006/main">
          <x14:cfRule type="expression" priority="5" id="{8C9506DE-E4BA-4649-8E41-7250D57C7A0D}">
            <xm:f>A710&lt;&gt;'202210 OCTUBRE'!#REF!</xm:f>
            <x14:dxf>
              <fill>
                <patternFill>
                  <bgColor theme="7" tint="0.39994506668294322"/>
                </patternFill>
              </fill>
            </x14:dxf>
          </x14:cfRule>
          <xm:sqref>A710:I720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AD687-DF79-4E91-8D89-C144EA2E23F6}">
  <sheetPr>
    <tabColor rgb="FF92D050"/>
  </sheetPr>
  <dimension ref="A1:S729"/>
  <sheetViews>
    <sheetView topLeftCell="A416" workbookViewId="0">
      <selection activeCell="B451" sqref="B451"/>
    </sheetView>
  </sheetViews>
  <sheetFormatPr baseColWidth="10" defaultColWidth="11.42578125" defaultRowHeight="15" x14ac:dyDescent="0.25"/>
  <cols>
    <col min="1" max="1" width="11.85546875" bestFit="1" customWidth="1"/>
    <col min="2" max="2" width="13.85546875" bestFit="1" customWidth="1"/>
    <col min="3" max="3" width="12.140625" bestFit="1" customWidth="1"/>
    <col min="4" max="4" width="12.42578125" bestFit="1" customWidth="1"/>
    <col min="5" max="5" width="8.7109375" bestFit="1" customWidth="1"/>
    <col min="6" max="6" width="15.5703125" bestFit="1" customWidth="1"/>
    <col min="7" max="7" width="15.85546875" bestFit="1" customWidth="1"/>
    <col min="8" max="9" width="10" bestFit="1" customWidth="1"/>
    <col min="10" max="10" width="20.85546875" bestFit="1" customWidth="1"/>
    <col min="11" max="11" width="11.42578125" bestFit="1" customWidth="1"/>
    <col min="12" max="12" width="11.85546875" bestFit="1" customWidth="1"/>
    <col min="13" max="13" width="16.42578125" bestFit="1" customWidth="1"/>
    <col min="14" max="14" width="12.140625" bestFit="1" customWidth="1"/>
    <col min="15" max="15" width="12.42578125" bestFit="1" customWidth="1"/>
    <col min="16" max="16" width="8.7109375" bestFit="1" customWidth="1"/>
    <col min="17" max="17" width="15.5703125" bestFit="1" customWidth="1"/>
    <col min="18" max="18" width="15.85546875" bestFit="1" customWidth="1"/>
    <col min="19" max="19" width="10" bestFit="1" customWidth="1"/>
    <col min="20" max="21" width="11.42578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4" t="s">
        <v>0</v>
      </c>
      <c r="M1" s="14" t="s">
        <v>1</v>
      </c>
      <c r="N1" s="14" t="s">
        <v>2</v>
      </c>
      <c r="O1" s="14" t="s">
        <v>3</v>
      </c>
      <c r="P1" s="14" t="s">
        <v>4</v>
      </c>
      <c r="Q1" s="14" t="s">
        <v>5</v>
      </c>
      <c r="R1" s="14" t="s">
        <v>6</v>
      </c>
      <c r="S1" s="14" t="s">
        <v>7</v>
      </c>
    </row>
    <row r="2" spans="1:19" x14ac:dyDescent="0.25">
      <c r="A2" t="s">
        <v>76</v>
      </c>
      <c r="B2" t="s">
        <v>11</v>
      </c>
      <c r="C2" s="1"/>
      <c r="D2" s="1"/>
      <c r="E2" s="1"/>
      <c r="F2" s="1"/>
      <c r="G2" s="1"/>
      <c r="H2" s="1"/>
      <c r="I2" s="1"/>
      <c r="J2" s="1"/>
      <c r="L2" s="13">
        <v>712</v>
      </c>
      <c r="M2" s="13" t="s">
        <v>11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19116</v>
      </c>
    </row>
    <row r="3" spans="1:19" x14ac:dyDescent="0.25">
      <c r="A3" t="s">
        <v>796</v>
      </c>
      <c r="B3" t="s">
        <v>12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440</v>
      </c>
      <c r="I3" s="1">
        <v>0</v>
      </c>
      <c r="J3" s="1"/>
      <c r="L3" s="13">
        <v>713</v>
      </c>
      <c r="M3" s="13" t="s">
        <v>12</v>
      </c>
      <c r="N3" s="13">
        <v>0</v>
      </c>
      <c r="O3" s="13">
        <v>0</v>
      </c>
      <c r="P3" s="13">
        <v>0</v>
      </c>
      <c r="Q3" s="13">
        <v>0</v>
      </c>
      <c r="R3" s="13">
        <v>0</v>
      </c>
      <c r="S3" s="13">
        <v>440</v>
      </c>
    </row>
    <row r="4" spans="1:19" x14ac:dyDescent="0.25">
      <c r="A4" t="s">
        <v>76</v>
      </c>
      <c r="B4" t="s">
        <v>13</v>
      </c>
      <c r="C4" s="1"/>
      <c r="D4" s="1"/>
      <c r="E4" s="1"/>
      <c r="F4" s="1"/>
      <c r="G4" s="1"/>
      <c r="H4" s="1"/>
      <c r="I4" s="1"/>
      <c r="J4" s="1"/>
      <c r="L4" s="13"/>
      <c r="M4" s="13" t="s">
        <v>13</v>
      </c>
      <c r="N4" s="13"/>
      <c r="O4" s="13"/>
      <c r="P4" s="13"/>
      <c r="Q4" s="13"/>
      <c r="R4" s="13"/>
      <c r="S4" s="13"/>
    </row>
    <row r="5" spans="1:19" x14ac:dyDescent="0.25">
      <c r="A5" t="s">
        <v>801</v>
      </c>
      <c r="B5" t="s">
        <v>14</v>
      </c>
      <c r="C5" s="1"/>
      <c r="D5" s="1"/>
      <c r="E5" s="1"/>
      <c r="F5" s="1"/>
      <c r="G5" s="1"/>
      <c r="H5" s="1"/>
      <c r="I5" s="1"/>
      <c r="J5" s="1"/>
      <c r="L5" s="13">
        <v>711</v>
      </c>
      <c r="M5" s="13" t="s">
        <v>14</v>
      </c>
      <c r="N5" s="13"/>
      <c r="O5" s="13"/>
      <c r="P5" s="13"/>
      <c r="Q5" s="13"/>
      <c r="R5" s="13"/>
      <c r="S5" s="13"/>
    </row>
    <row r="6" spans="1:19" x14ac:dyDescent="0.25">
      <c r="A6" t="s">
        <v>802</v>
      </c>
      <c r="B6" t="s">
        <v>15</v>
      </c>
      <c r="C6" s="1"/>
      <c r="D6" s="1"/>
      <c r="E6" s="1"/>
      <c r="F6" s="1"/>
      <c r="G6" s="1"/>
      <c r="H6" s="1"/>
      <c r="I6" s="1"/>
      <c r="J6" s="1"/>
      <c r="L6" s="13">
        <v>120</v>
      </c>
      <c r="M6" s="13" t="s">
        <v>15</v>
      </c>
      <c r="N6" s="13"/>
      <c r="O6" s="13"/>
      <c r="P6" s="13"/>
      <c r="Q6" s="13"/>
      <c r="R6" s="13"/>
      <c r="S6" s="13"/>
    </row>
    <row r="7" spans="1:19" x14ac:dyDescent="0.25">
      <c r="A7" t="s">
        <v>796</v>
      </c>
      <c r="B7" t="s">
        <v>16</v>
      </c>
      <c r="C7" s="1"/>
      <c r="D7" s="1"/>
      <c r="E7" s="1"/>
      <c r="F7" s="1"/>
      <c r="G7" s="1"/>
      <c r="H7" s="1"/>
      <c r="I7" s="1"/>
      <c r="J7" s="1"/>
      <c r="L7" s="13">
        <v>713</v>
      </c>
      <c r="M7" s="13" t="s">
        <v>16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852</v>
      </c>
    </row>
    <row r="8" spans="1:19" x14ac:dyDescent="0.25">
      <c r="A8" t="s">
        <v>83</v>
      </c>
      <c r="B8" t="s">
        <v>17</v>
      </c>
      <c r="C8" s="1"/>
      <c r="D8" s="1"/>
      <c r="E8" s="1"/>
      <c r="F8" s="1"/>
      <c r="G8" s="1"/>
      <c r="H8" s="1"/>
      <c r="I8" s="1"/>
      <c r="J8" s="1"/>
      <c r="L8" s="13"/>
      <c r="M8" s="13" t="s">
        <v>17</v>
      </c>
      <c r="N8" s="13"/>
      <c r="O8" s="13"/>
      <c r="P8" s="13"/>
      <c r="Q8" s="13"/>
      <c r="R8" s="13"/>
      <c r="S8" s="13"/>
    </row>
    <row r="9" spans="1:19" x14ac:dyDescent="0.25">
      <c r="A9" t="s">
        <v>803</v>
      </c>
      <c r="B9" s="1" t="s">
        <v>18</v>
      </c>
      <c r="C9" s="1"/>
      <c r="D9" s="1"/>
      <c r="E9" s="1"/>
      <c r="F9" s="1"/>
      <c r="G9" s="1"/>
      <c r="H9" s="1"/>
      <c r="I9" s="1"/>
      <c r="J9" s="1"/>
      <c r="L9" s="13"/>
      <c r="M9" s="13" t="s">
        <v>19</v>
      </c>
      <c r="N9" s="13"/>
      <c r="O9" s="13"/>
      <c r="P9" s="13"/>
      <c r="Q9" s="13"/>
      <c r="R9" s="13"/>
      <c r="S9" s="13"/>
    </row>
    <row r="10" spans="1:19" x14ac:dyDescent="0.25">
      <c r="A10" t="s">
        <v>76</v>
      </c>
      <c r="B10" t="s">
        <v>19</v>
      </c>
      <c r="C10" s="1"/>
      <c r="D10" s="1"/>
      <c r="E10" s="1"/>
      <c r="F10" s="1"/>
      <c r="G10" s="1"/>
      <c r="H10" s="1"/>
      <c r="I10" s="1"/>
      <c r="J10" s="1"/>
      <c r="L10" s="13"/>
      <c r="M10" s="13" t="s">
        <v>20</v>
      </c>
      <c r="N10" s="13"/>
      <c r="O10" s="13"/>
      <c r="P10" s="13"/>
      <c r="Q10" s="13"/>
      <c r="R10" s="13"/>
      <c r="S10" s="13"/>
    </row>
    <row r="11" spans="1:19" x14ac:dyDescent="0.25">
      <c r="A11" t="s">
        <v>83</v>
      </c>
      <c r="B11" t="s">
        <v>20</v>
      </c>
      <c r="C11" s="1"/>
      <c r="D11" s="1"/>
      <c r="E11" s="1"/>
      <c r="F11" s="1"/>
      <c r="G11" s="1"/>
      <c r="H11" s="1"/>
      <c r="I11" s="1"/>
      <c r="J11" s="1"/>
      <c r="L11" s="13"/>
      <c r="M11" s="13" t="s">
        <v>21</v>
      </c>
      <c r="N11" s="13"/>
      <c r="O11" s="13"/>
      <c r="P11" s="13"/>
      <c r="Q11" s="13"/>
      <c r="R11" s="13"/>
      <c r="S11" s="13"/>
    </row>
    <row r="12" spans="1:19" x14ac:dyDescent="0.25">
      <c r="A12" t="s">
        <v>248</v>
      </c>
      <c r="B12" t="s">
        <v>21</v>
      </c>
      <c r="C12" s="1"/>
      <c r="D12" s="1"/>
      <c r="E12" s="1"/>
      <c r="F12" s="1"/>
      <c r="G12" s="1"/>
      <c r="H12" s="1"/>
      <c r="I12" s="1"/>
      <c r="J12" s="1"/>
      <c r="L12" s="13"/>
      <c r="M12" s="13" t="s">
        <v>22</v>
      </c>
      <c r="N12" s="13"/>
      <c r="O12" s="13"/>
      <c r="P12" s="13"/>
      <c r="Q12" s="13"/>
      <c r="R12" s="13"/>
      <c r="S12" s="13"/>
    </row>
    <row r="13" spans="1:19" x14ac:dyDescent="0.25">
      <c r="A13" t="s">
        <v>83</v>
      </c>
      <c r="B13" t="s">
        <v>22</v>
      </c>
      <c r="C13" s="1"/>
      <c r="D13" s="1"/>
      <c r="E13" s="1"/>
      <c r="F13" s="1"/>
      <c r="G13" s="1"/>
      <c r="H13" s="1"/>
      <c r="I13" s="1"/>
      <c r="J13" s="1"/>
      <c r="L13" s="13"/>
      <c r="M13" s="13" t="s">
        <v>23</v>
      </c>
      <c r="N13" s="13"/>
      <c r="O13" s="13"/>
      <c r="P13" s="13"/>
      <c r="Q13" s="13"/>
      <c r="R13" s="13"/>
      <c r="S13" s="13"/>
    </row>
    <row r="14" spans="1:19" x14ac:dyDescent="0.25">
      <c r="A14" t="s">
        <v>801</v>
      </c>
      <c r="B14" t="s">
        <v>23</v>
      </c>
      <c r="C14" s="1"/>
      <c r="D14" s="1"/>
      <c r="E14" s="1"/>
      <c r="F14" s="1"/>
      <c r="G14" s="1"/>
      <c r="H14" s="1"/>
      <c r="I14" s="1"/>
      <c r="J14" s="1"/>
      <c r="L14" s="13">
        <v>713</v>
      </c>
      <c r="M14" s="13" t="s">
        <v>24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3</v>
      </c>
    </row>
    <row r="15" spans="1:19" x14ac:dyDescent="0.25">
      <c r="A15" t="s">
        <v>796</v>
      </c>
      <c r="B15" t="s">
        <v>24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3</v>
      </c>
      <c r="I15" s="1">
        <v>0</v>
      </c>
      <c r="J15" s="1"/>
      <c r="L15" s="13"/>
      <c r="M15" s="13" t="s">
        <v>25</v>
      </c>
      <c r="N15" s="13"/>
      <c r="O15" s="13"/>
      <c r="P15" s="13"/>
      <c r="Q15" s="13"/>
      <c r="R15" s="13"/>
      <c r="S15" s="13"/>
    </row>
    <row r="16" spans="1:19" x14ac:dyDescent="0.25">
      <c r="A16" t="s">
        <v>804</v>
      </c>
      <c r="B16" t="s">
        <v>25</v>
      </c>
      <c r="C16" s="1"/>
      <c r="D16" s="1"/>
      <c r="E16" s="1"/>
      <c r="F16" s="1"/>
      <c r="G16" s="1"/>
      <c r="H16" s="1"/>
      <c r="I16" s="1"/>
      <c r="J16" s="1"/>
      <c r="L16" s="13"/>
      <c r="M16" s="13" t="s">
        <v>26</v>
      </c>
      <c r="N16" s="13"/>
      <c r="O16" s="13"/>
      <c r="P16" s="13"/>
      <c r="Q16" s="13"/>
      <c r="R16" s="13"/>
      <c r="S16" s="13"/>
    </row>
    <row r="17" spans="1:19" x14ac:dyDescent="0.25">
      <c r="A17" t="s">
        <v>248</v>
      </c>
      <c r="B17" t="s">
        <v>26</v>
      </c>
      <c r="C17" s="1"/>
      <c r="D17" s="1"/>
      <c r="E17" s="1"/>
      <c r="F17" s="1"/>
      <c r="G17" s="1"/>
      <c r="H17" s="1"/>
      <c r="I17" s="1"/>
      <c r="J17" s="1"/>
      <c r="L17" s="13">
        <v>141</v>
      </c>
      <c r="M17" s="13" t="s">
        <v>32</v>
      </c>
      <c r="N17" s="13">
        <v>8650</v>
      </c>
      <c r="O17" s="13">
        <v>0</v>
      </c>
      <c r="P17" s="13">
        <v>0</v>
      </c>
      <c r="Q17" s="13">
        <v>0</v>
      </c>
      <c r="R17" s="13">
        <v>0</v>
      </c>
      <c r="S17" s="13">
        <v>5423</v>
      </c>
    </row>
    <row r="18" spans="1:19" x14ac:dyDescent="0.25">
      <c r="A18" t="s">
        <v>805</v>
      </c>
      <c r="B18" t="s">
        <v>27</v>
      </c>
      <c r="C18" s="1"/>
      <c r="D18" s="1"/>
      <c r="E18" s="1"/>
      <c r="F18" s="1"/>
      <c r="G18" s="1"/>
      <c r="H18" s="1"/>
      <c r="I18" s="1"/>
      <c r="J18" s="1"/>
      <c r="L18" s="13">
        <v>148</v>
      </c>
      <c r="M18" s="13" t="s">
        <v>34</v>
      </c>
      <c r="N18" s="13"/>
      <c r="O18" s="13"/>
      <c r="P18" s="13"/>
      <c r="Q18" s="13"/>
      <c r="R18" s="13"/>
      <c r="S18" s="13"/>
    </row>
    <row r="19" spans="1:19" x14ac:dyDescent="0.25">
      <c r="A19" t="s">
        <v>805</v>
      </c>
      <c r="B19" t="s">
        <v>28</v>
      </c>
      <c r="C19" s="1"/>
      <c r="D19" s="1"/>
      <c r="E19" s="1"/>
      <c r="F19" s="1"/>
      <c r="G19" s="1"/>
      <c r="H19" s="1"/>
      <c r="I19" s="1"/>
      <c r="J19" s="1"/>
      <c r="L19" s="13">
        <v>114</v>
      </c>
      <c r="M19" s="13" t="s">
        <v>35</v>
      </c>
      <c r="N19" s="13">
        <v>3719</v>
      </c>
      <c r="O19" s="13">
        <v>0</v>
      </c>
      <c r="P19" s="13">
        <v>0</v>
      </c>
      <c r="Q19" s="13">
        <v>0</v>
      </c>
      <c r="R19" s="13">
        <v>0</v>
      </c>
      <c r="S19" s="13">
        <v>1470</v>
      </c>
    </row>
    <row r="20" spans="1:19" x14ac:dyDescent="0.25">
      <c r="A20" t="s">
        <v>806</v>
      </c>
      <c r="B20" t="s">
        <v>29</v>
      </c>
      <c r="C20" s="1"/>
      <c r="D20" s="1"/>
      <c r="E20" s="1"/>
      <c r="F20" s="1"/>
      <c r="G20" s="1"/>
      <c r="H20" s="1"/>
      <c r="I20" s="1"/>
      <c r="J20" s="1"/>
      <c r="L20" s="13">
        <v>146</v>
      </c>
      <c r="M20" s="13" t="s">
        <v>37</v>
      </c>
      <c r="N20" s="13">
        <v>4561</v>
      </c>
      <c r="O20" s="13">
        <v>10</v>
      </c>
      <c r="P20" s="13">
        <v>0</v>
      </c>
      <c r="Q20" s="13">
        <v>0</v>
      </c>
      <c r="R20" s="13">
        <v>0</v>
      </c>
      <c r="S20" s="13">
        <v>2519</v>
      </c>
    </row>
    <row r="21" spans="1:19" x14ac:dyDescent="0.25">
      <c r="A21" t="s">
        <v>805</v>
      </c>
      <c r="B21" t="s">
        <v>30</v>
      </c>
      <c r="C21" s="1"/>
      <c r="D21" s="1"/>
      <c r="E21" s="1"/>
      <c r="F21" s="1"/>
      <c r="G21" s="1"/>
      <c r="H21" s="1"/>
      <c r="I21" s="1"/>
      <c r="J21" s="1"/>
      <c r="L21" s="13">
        <v>145</v>
      </c>
      <c r="M21" s="13" t="s">
        <v>39</v>
      </c>
      <c r="N21" s="13">
        <v>2384</v>
      </c>
      <c r="O21" s="13">
        <v>0</v>
      </c>
      <c r="P21" s="13">
        <v>0</v>
      </c>
      <c r="Q21" s="13">
        <v>0</v>
      </c>
      <c r="R21" s="13">
        <v>0</v>
      </c>
      <c r="S21" s="13">
        <v>5585</v>
      </c>
    </row>
    <row r="22" spans="1:19" x14ac:dyDescent="0.25">
      <c r="A22" t="s">
        <v>31</v>
      </c>
      <c r="B22" t="s">
        <v>32</v>
      </c>
      <c r="C22" s="1"/>
      <c r="D22" s="1"/>
      <c r="E22" s="1"/>
      <c r="F22" s="1"/>
      <c r="G22" s="1"/>
      <c r="H22" s="1"/>
      <c r="I22" s="1"/>
      <c r="J22" s="1"/>
      <c r="L22" s="13">
        <v>125</v>
      </c>
      <c r="M22" s="13" t="s">
        <v>41</v>
      </c>
      <c r="N22" s="13">
        <v>10278</v>
      </c>
      <c r="O22" s="13">
        <v>33</v>
      </c>
      <c r="P22" s="13">
        <v>0</v>
      </c>
      <c r="Q22" s="13">
        <v>0</v>
      </c>
      <c r="R22" s="13">
        <v>0</v>
      </c>
      <c r="S22" s="13">
        <v>2217</v>
      </c>
    </row>
    <row r="23" spans="1:19" x14ac:dyDescent="0.25">
      <c r="A23" t="s">
        <v>33</v>
      </c>
      <c r="B23" t="s">
        <v>34</v>
      </c>
      <c r="C23" s="1"/>
      <c r="D23" s="1"/>
      <c r="E23" s="1"/>
      <c r="F23" s="1"/>
      <c r="G23" s="1"/>
      <c r="H23" s="1"/>
      <c r="I23" s="1"/>
      <c r="J23" s="1"/>
      <c r="L23" s="13">
        <v>144</v>
      </c>
      <c r="M23" s="13" t="s">
        <v>42</v>
      </c>
      <c r="N23" s="13">
        <v>2975</v>
      </c>
      <c r="O23" s="13">
        <v>9</v>
      </c>
      <c r="P23" s="13">
        <v>0</v>
      </c>
      <c r="Q23" s="13">
        <v>0</v>
      </c>
      <c r="R23" s="13">
        <v>0</v>
      </c>
      <c r="S23" s="13">
        <v>1202</v>
      </c>
    </row>
    <row r="24" spans="1:19" x14ac:dyDescent="0.25">
      <c r="A24" t="s">
        <v>150</v>
      </c>
      <c r="B24" t="s">
        <v>35</v>
      </c>
      <c r="C24" s="1"/>
      <c r="D24" s="1"/>
      <c r="E24" s="1"/>
      <c r="F24" s="1"/>
      <c r="G24" s="1"/>
      <c r="H24" s="1"/>
      <c r="I24" s="1"/>
      <c r="J24" s="1"/>
      <c r="L24" s="13">
        <v>150</v>
      </c>
      <c r="M24" s="13" t="s">
        <v>44</v>
      </c>
      <c r="N24" s="13">
        <v>9221</v>
      </c>
      <c r="O24" s="13">
        <v>9</v>
      </c>
      <c r="P24" s="13">
        <v>0</v>
      </c>
      <c r="Q24" s="13">
        <v>0</v>
      </c>
      <c r="R24" s="13">
        <v>0</v>
      </c>
      <c r="S24" s="13">
        <v>3343</v>
      </c>
    </row>
    <row r="25" spans="1:19" x14ac:dyDescent="0.25">
      <c r="A25" t="s">
        <v>36</v>
      </c>
      <c r="B25" t="s">
        <v>37</v>
      </c>
      <c r="C25" s="1"/>
      <c r="D25" s="1"/>
      <c r="E25" s="1"/>
      <c r="F25" s="1"/>
      <c r="G25" s="1"/>
      <c r="H25" s="1"/>
      <c r="I25" s="1"/>
      <c r="J25" s="1"/>
      <c r="L25" s="13">
        <v>140</v>
      </c>
      <c r="M25" s="13" t="s">
        <v>46</v>
      </c>
      <c r="N25" s="13">
        <v>2553</v>
      </c>
      <c r="O25" s="13">
        <v>0</v>
      </c>
      <c r="P25" s="13">
        <v>0</v>
      </c>
      <c r="Q25" s="13">
        <v>0</v>
      </c>
      <c r="R25" s="13">
        <v>0</v>
      </c>
      <c r="S25" s="13">
        <v>1894</v>
      </c>
    </row>
    <row r="26" spans="1:19" x14ac:dyDescent="0.25">
      <c r="A26" t="s">
        <v>38</v>
      </c>
      <c r="B26" t="s">
        <v>39</v>
      </c>
      <c r="C26" s="1"/>
      <c r="D26" s="1"/>
      <c r="E26" s="1"/>
      <c r="F26" s="1"/>
      <c r="G26" s="1"/>
      <c r="H26" s="1"/>
      <c r="I26" s="1"/>
      <c r="J26" s="1"/>
      <c r="L26" s="13">
        <v>151</v>
      </c>
      <c r="M26" s="13" t="s">
        <v>48</v>
      </c>
      <c r="N26" s="13">
        <v>6367</v>
      </c>
      <c r="O26" s="13">
        <v>17</v>
      </c>
      <c r="P26" s="13">
        <v>0</v>
      </c>
      <c r="Q26" s="13">
        <v>0</v>
      </c>
      <c r="R26" s="13">
        <v>0</v>
      </c>
      <c r="S26" s="13">
        <v>3542</v>
      </c>
    </row>
    <row r="27" spans="1:19" x14ac:dyDescent="0.25">
      <c r="A27" t="s">
        <v>40</v>
      </c>
      <c r="B27" t="s">
        <v>41</v>
      </c>
      <c r="C27" s="1"/>
      <c r="D27" s="1"/>
      <c r="E27" s="1"/>
      <c r="F27" s="1"/>
      <c r="G27" s="1"/>
      <c r="H27" s="1"/>
      <c r="I27" s="1"/>
      <c r="J27" s="1"/>
      <c r="L27" s="13">
        <v>315</v>
      </c>
      <c r="M27" s="13" t="s">
        <v>49</v>
      </c>
      <c r="N27" s="13"/>
      <c r="O27" s="13"/>
      <c r="P27" s="13"/>
      <c r="Q27" s="13"/>
      <c r="R27" s="13"/>
      <c r="S27" s="13"/>
    </row>
    <row r="28" spans="1:19" x14ac:dyDescent="0.25">
      <c r="A28" t="s">
        <v>787</v>
      </c>
      <c r="B28" t="s">
        <v>42</v>
      </c>
      <c r="C28" s="1"/>
      <c r="D28" s="1"/>
      <c r="E28" s="1"/>
      <c r="F28" s="1"/>
      <c r="G28" s="1"/>
      <c r="H28" s="1"/>
      <c r="I28" s="1"/>
      <c r="J28" s="1"/>
      <c r="L28" s="13">
        <v>138</v>
      </c>
      <c r="M28" s="13" t="s">
        <v>51</v>
      </c>
      <c r="N28" s="13">
        <v>902</v>
      </c>
      <c r="O28" s="13">
        <v>0</v>
      </c>
      <c r="P28" s="13">
        <v>0</v>
      </c>
      <c r="Q28" s="13">
        <v>0</v>
      </c>
      <c r="R28" s="13">
        <v>0</v>
      </c>
      <c r="S28" s="13">
        <v>303</v>
      </c>
    </row>
    <row r="29" spans="1:19" x14ac:dyDescent="0.25">
      <c r="A29" t="s">
        <v>43</v>
      </c>
      <c r="B29" t="s">
        <v>44</v>
      </c>
      <c r="C29" s="1"/>
      <c r="D29" s="1"/>
      <c r="E29" s="1"/>
      <c r="F29" s="1"/>
      <c r="G29" s="1"/>
      <c r="H29" s="1"/>
      <c r="I29" s="1"/>
      <c r="J29" s="1"/>
      <c r="L29" s="13">
        <v>149</v>
      </c>
      <c r="M29" s="13" t="s">
        <v>53</v>
      </c>
      <c r="N29" s="13">
        <v>6207</v>
      </c>
      <c r="O29" s="13">
        <v>0</v>
      </c>
      <c r="P29" s="13">
        <v>0</v>
      </c>
      <c r="Q29" s="13">
        <v>0</v>
      </c>
      <c r="R29" s="13">
        <v>0</v>
      </c>
      <c r="S29" s="13">
        <v>4067</v>
      </c>
    </row>
    <row r="30" spans="1:19" x14ac:dyDescent="0.25">
      <c r="A30" t="s">
        <v>45</v>
      </c>
      <c r="B30" t="s">
        <v>46</v>
      </c>
      <c r="C30" s="1"/>
      <c r="D30" s="1"/>
      <c r="E30" s="1"/>
      <c r="F30" s="1"/>
      <c r="G30" s="1"/>
      <c r="H30" s="1"/>
      <c r="I30" s="1"/>
      <c r="J30" s="1"/>
      <c r="L30" s="13">
        <v>142</v>
      </c>
      <c r="M30" s="13" t="s">
        <v>55</v>
      </c>
      <c r="N30" s="13">
        <v>8529</v>
      </c>
      <c r="O30" s="13">
        <v>17</v>
      </c>
      <c r="P30" s="13">
        <v>0</v>
      </c>
      <c r="Q30" s="13">
        <v>0</v>
      </c>
      <c r="R30" s="13">
        <v>0</v>
      </c>
      <c r="S30" s="13">
        <v>5669</v>
      </c>
    </row>
    <row r="31" spans="1:19" x14ac:dyDescent="0.25">
      <c r="A31" t="s">
        <v>47</v>
      </c>
      <c r="B31" t="s">
        <v>48</v>
      </c>
      <c r="C31" s="1"/>
      <c r="D31" s="1"/>
      <c r="E31" s="1"/>
      <c r="F31" s="1"/>
      <c r="G31" s="1"/>
      <c r="H31" s="1"/>
      <c r="I31" s="1"/>
      <c r="J31" s="1"/>
      <c r="L31" s="13">
        <v>610</v>
      </c>
      <c r="M31" s="13" t="s">
        <v>56</v>
      </c>
      <c r="N31" s="13">
        <v>34491</v>
      </c>
      <c r="O31" s="13">
        <v>123</v>
      </c>
      <c r="P31" s="13">
        <v>0</v>
      </c>
      <c r="Q31" s="13">
        <v>0</v>
      </c>
      <c r="R31" s="13">
        <v>0</v>
      </c>
      <c r="S31" s="13">
        <v>6577</v>
      </c>
    </row>
    <row r="32" spans="1:19" x14ac:dyDescent="0.25">
      <c r="A32" t="s">
        <v>807</v>
      </c>
      <c r="B32" t="s">
        <v>49</v>
      </c>
      <c r="C32" s="1"/>
      <c r="D32" s="1"/>
      <c r="E32" s="1"/>
      <c r="F32" s="1"/>
      <c r="G32" s="1"/>
      <c r="H32" s="1"/>
      <c r="I32" s="1"/>
      <c r="J32" s="1"/>
      <c r="L32" s="13">
        <v>613</v>
      </c>
      <c r="M32" s="13" t="s">
        <v>57</v>
      </c>
      <c r="N32" s="13">
        <v>556</v>
      </c>
      <c r="O32" s="13">
        <v>0</v>
      </c>
      <c r="P32" s="13">
        <v>0</v>
      </c>
      <c r="Q32" s="13">
        <v>0</v>
      </c>
      <c r="R32" s="13">
        <v>0</v>
      </c>
      <c r="S32" s="13">
        <v>56</v>
      </c>
    </row>
    <row r="33" spans="1:19" x14ac:dyDescent="0.25">
      <c r="A33" t="s">
        <v>50</v>
      </c>
      <c r="B33" t="s">
        <v>51</v>
      </c>
      <c r="C33" s="1"/>
      <c r="D33" s="1"/>
      <c r="E33" s="1"/>
      <c r="F33" s="1"/>
      <c r="G33" s="1"/>
      <c r="H33" s="1"/>
      <c r="I33" s="1"/>
      <c r="J33" s="1"/>
      <c r="L33" s="13">
        <v>600</v>
      </c>
      <c r="M33" s="13" t="s">
        <v>58</v>
      </c>
      <c r="N33" s="13">
        <v>1354</v>
      </c>
      <c r="O33" s="13">
        <v>0</v>
      </c>
      <c r="P33" s="13">
        <v>0</v>
      </c>
      <c r="Q33" s="13">
        <v>0</v>
      </c>
      <c r="R33" s="13">
        <v>0</v>
      </c>
      <c r="S33" s="13">
        <v>2243</v>
      </c>
    </row>
    <row r="34" spans="1:19" x14ac:dyDescent="0.25">
      <c r="A34" t="s">
        <v>52</v>
      </c>
      <c r="B34" t="s">
        <v>53</v>
      </c>
      <c r="C34" s="1"/>
      <c r="D34" s="1"/>
      <c r="E34" s="1"/>
      <c r="F34" s="1"/>
      <c r="G34" s="1"/>
      <c r="H34" s="1"/>
      <c r="I34" s="1"/>
      <c r="J34" s="1"/>
      <c r="L34" s="13">
        <v>139</v>
      </c>
      <c r="M34" s="13" t="s">
        <v>60</v>
      </c>
      <c r="N34" s="13">
        <v>2597</v>
      </c>
      <c r="O34" s="13">
        <v>0</v>
      </c>
      <c r="P34" s="13">
        <v>0</v>
      </c>
      <c r="Q34" s="13">
        <v>0</v>
      </c>
      <c r="R34" s="13">
        <v>0</v>
      </c>
      <c r="S34" s="13">
        <v>2327</v>
      </c>
    </row>
    <row r="35" spans="1:19" x14ac:dyDescent="0.25">
      <c r="A35" t="s">
        <v>54</v>
      </c>
      <c r="B35" t="s">
        <v>55</v>
      </c>
      <c r="C35" s="1"/>
      <c r="D35" s="1"/>
      <c r="E35" s="1"/>
      <c r="F35" s="1"/>
      <c r="G35" s="1"/>
      <c r="H35" s="1"/>
      <c r="I35" s="1"/>
      <c r="J35" s="1"/>
      <c r="L35" s="13">
        <v>143</v>
      </c>
      <c r="M35" s="13" t="s">
        <v>62</v>
      </c>
      <c r="N35" s="13">
        <v>4321</v>
      </c>
      <c r="O35" s="13">
        <v>13</v>
      </c>
      <c r="P35" s="13">
        <v>0</v>
      </c>
      <c r="Q35" s="13">
        <v>0</v>
      </c>
      <c r="R35" s="13">
        <v>0</v>
      </c>
      <c r="S35" s="13">
        <v>4211</v>
      </c>
    </row>
    <row r="36" spans="1:19" x14ac:dyDescent="0.25">
      <c r="A36" t="s">
        <v>788</v>
      </c>
      <c r="B36" t="s">
        <v>56</v>
      </c>
      <c r="C36" s="1">
        <f>22222+1+1+2+1+12264</f>
        <v>34491</v>
      </c>
      <c r="D36" s="1">
        <f>38+84+1</f>
        <v>123</v>
      </c>
      <c r="E36" s="1">
        <v>0</v>
      </c>
      <c r="F36" s="1">
        <v>0</v>
      </c>
      <c r="G36" s="1">
        <v>0</v>
      </c>
      <c r="H36" s="1">
        <v>6577</v>
      </c>
      <c r="I36" s="1">
        <v>6103</v>
      </c>
      <c r="J36" s="1"/>
      <c r="L36" s="13">
        <v>147</v>
      </c>
      <c r="M36" s="13" t="s">
        <v>63</v>
      </c>
      <c r="N36" s="13">
        <v>12963</v>
      </c>
      <c r="O36" s="13">
        <v>119</v>
      </c>
      <c r="P36" s="13">
        <v>0</v>
      </c>
      <c r="Q36" s="13">
        <v>0</v>
      </c>
      <c r="R36" s="13">
        <v>0</v>
      </c>
      <c r="S36" s="13">
        <v>4709</v>
      </c>
    </row>
    <row r="37" spans="1:19" x14ac:dyDescent="0.25">
      <c r="A37" t="s">
        <v>495</v>
      </c>
      <c r="B37" t="s">
        <v>57</v>
      </c>
      <c r="C37" s="1">
        <f>472+84</f>
        <v>556</v>
      </c>
      <c r="D37" s="1">
        <v>0</v>
      </c>
      <c r="E37" s="1">
        <v>0</v>
      </c>
      <c r="F37" s="1">
        <v>0</v>
      </c>
      <c r="G37" s="1">
        <v>0</v>
      </c>
      <c r="H37" s="1">
        <v>56</v>
      </c>
      <c r="I37" s="1">
        <v>29</v>
      </c>
      <c r="J37" s="1"/>
      <c r="L37" s="13">
        <v>152</v>
      </c>
      <c r="M37" s="13" t="s">
        <v>64</v>
      </c>
      <c r="N37" s="13">
        <v>3191</v>
      </c>
      <c r="O37" s="13">
        <v>0</v>
      </c>
      <c r="P37" s="13">
        <v>0</v>
      </c>
      <c r="Q37" s="13">
        <v>0</v>
      </c>
      <c r="R37" s="13">
        <v>0</v>
      </c>
      <c r="S37" s="13">
        <v>6240</v>
      </c>
    </row>
    <row r="38" spans="1:19" x14ac:dyDescent="0.25">
      <c r="A38" t="s">
        <v>248</v>
      </c>
      <c r="B38" t="s">
        <v>58</v>
      </c>
      <c r="C38" s="1">
        <f>920+20+72+342</f>
        <v>1354</v>
      </c>
      <c r="D38" s="1">
        <v>0</v>
      </c>
      <c r="E38" s="1">
        <v>0</v>
      </c>
      <c r="F38" s="1">
        <v>0</v>
      </c>
      <c r="G38" s="1">
        <v>0</v>
      </c>
      <c r="H38" s="1">
        <v>2243</v>
      </c>
      <c r="I38" s="1">
        <v>195</v>
      </c>
      <c r="J38" s="1"/>
      <c r="L38" s="13">
        <v>610</v>
      </c>
      <c r="M38" s="13" t="s">
        <v>65</v>
      </c>
      <c r="N38" s="13">
        <v>8379</v>
      </c>
      <c r="O38" s="13">
        <v>32</v>
      </c>
      <c r="P38" s="13">
        <v>0</v>
      </c>
      <c r="Q38" s="13">
        <v>0</v>
      </c>
      <c r="R38" s="13">
        <v>0</v>
      </c>
      <c r="S38" s="13">
        <v>8491</v>
      </c>
    </row>
    <row r="39" spans="1:19" x14ac:dyDescent="0.25">
      <c r="A39" t="s">
        <v>59</v>
      </c>
      <c r="B39" t="s">
        <v>60</v>
      </c>
      <c r="C39" s="1"/>
      <c r="D39" s="1"/>
      <c r="E39" s="1"/>
      <c r="F39" s="1"/>
      <c r="G39" s="1"/>
      <c r="H39" s="1"/>
      <c r="I39" s="1"/>
      <c r="J39" s="1"/>
      <c r="L39" s="13">
        <v>712</v>
      </c>
      <c r="M39" s="13" t="s">
        <v>66</v>
      </c>
      <c r="N39" s="13">
        <v>2482</v>
      </c>
      <c r="O39" s="13">
        <v>14</v>
      </c>
      <c r="P39" s="13">
        <v>0</v>
      </c>
      <c r="Q39" s="13">
        <v>0</v>
      </c>
      <c r="R39" s="13">
        <v>0</v>
      </c>
      <c r="S39" s="13">
        <v>506</v>
      </c>
    </row>
    <row r="40" spans="1:19" x14ac:dyDescent="0.25">
      <c r="A40" t="s">
        <v>61</v>
      </c>
      <c r="B40" t="s">
        <v>62</v>
      </c>
      <c r="C40" s="1"/>
      <c r="D40" s="1"/>
      <c r="E40" s="1"/>
      <c r="F40" s="1"/>
      <c r="G40" s="1"/>
      <c r="H40" s="1"/>
      <c r="I40" s="1"/>
      <c r="J40" s="1"/>
      <c r="L40" s="13">
        <v>310</v>
      </c>
      <c r="M40" s="13" t="s">
        <v>68</v>
      </c>
      <c r="N40" s="13">
        <v>1950</v>
      </c>
      <c r="O40" s="13">
        <v>146</v>
      </c>
      <c r="P40" s="13">
        <v>0</v>
      </c>
      <c r="Q40" s="13">
        <v>0</v>
      </c>
      <c r="R40" s="13">
        <v>0</v>
      </c>
      <c r="S40" s="13">
        <v>1354</v>
      </c>
    </row>
    <row r="41" spans="1:19" x14ac:dyDescent="0.25">
      <c r="A41" t="s">
        <v>789</v>
      </c>
      <c r="B41" t="s">
        <v>63</v>
      </c>
      <c r="C41" s="1"/>
      <c r="D41" s="1"/>
      <c r="E41" s="1"/>
      <c r="F41" s="1"/>
      <c r="G41" s="1"/>
      <c r="H41" s="1"/>
      <c r="I41" s="1"/>
      <c r="J41" s="1"/>
      <c r="L41" s="13">
        <v>710</v>
      </c>
      <c r="M41" s="13" t="s">
        <v>70</v>
      </c>
      <c r="N41" s="13">
        <v>62423</v>
      </c>
      <c r="O41" s="13">
        <v>61</v>
      </c>
      <c r="P41" s="13">
        <v>0</v>
      </c>
      <c r="Q41" s="13">
        <v>0</v>
      </c>
      <c r="R41" s="13">
        <v>0</v>
      </c>
      <c r="S41" s="13">
        <v>53091</v>
      </c>
    </row>
    <row r="42" spans="1:19" x14ac:dyDescent="0.25">
      <c r="A42" t="s">
        <v>790</v>
      </c>
      <c r="B42" t="s">
        <v>64</v>
      </c>
      <c r="C42" s="1"/>
      <c r="D42" s="1"/>
      <c r="E42" s="1"/>
      <c r="F42" s="1"/>
      <c r="G42" s="1"/>
      <c r="H42" s="1"/>
      <c r="I42" s="1"/>
      <c r="J42" s="1"/>
      <c r="L42" s="13">
        <v>712</v>
      </c>
      <c r="M42" s="13" t="s">
        <v>71</v>
      </c>
      <c r="N42" s="13"/>
      <c r="O42" s="13"/>
      <c r="P42" s="13"/>
      <c r="Q42" s="13"/>
      <c r="R42" s="13"/>
      <c r="S42" s="13"/>
    </row>
    <row r="43" spans="1:19" x14ac:dyDescent="0.25">
      <c r="A43" t="s">
        <v>788</v>
      </c>
      <c r="B43" t="s">
        <v>65</v>
      </c>
      <c r="C43" s="1"/>
      <c r="D43" s="1"/>
      <c r="E43" s="1"/>
      <c r="F43" s="1"/>
      <c r="G43" s="1"/>
      <c r="H43" s="1"/>
      <c r="I43" s="1"/>
      <c r="J43" s="1"/>
      <c r="L43" s="13">
        <v>312</v>
      </c>
      <c r="M43" s="13" t="s">
        <v>73</v>
      </c>
      <c r="N43" s="13">
        <v>5950</v>
      </c>
      <c r="O43" s="13">
        <v>66</v>
      </c>
      <c r="P43" s="13">
        <v>0</v>
      </c>
      <c r="Q43" s="13">
        <v>0</v>
      </c>
      <c r="R43" s="13">
        <v>0</v>
      </c>
      <c r="S43" s="13">
        <v>3263</v>
      </c>
    </row>
    <row r="44" spans="1:19" x14ac:dyDescent="0.25">
      <c r="A44" t="s">
        <v>76</v>
      </c>
      <c r="B44" t="s">
        <v>66</v>
      </c>
      <c r="C44" s="1">
        <f>1670+12+800</f>
        <v>2482</v>
      </c>
      <c r="D44" s="1">
        <v>14</v>
      </c>
      <c r="E44" s="1">
        <v>0</v>
      </c>
      <c r="F44" s="1">
        <v>0</v>
      </c>
      <c r="G44" s="1">
        <v>0</v>
      </c>
      <c r="H44" s="1">
        <v>506</v>
      </c>
      <c r="I44" s="1">
        <v>435</v>
      </c>
      <c r="J44" s="1"/>
      <c r="L44" s="13" t="s">
        <v>808</v>
      </c>
      <c r="M44" s="13" t="s">
        <v>74</v>
      </c>
      <c r="N44" s="13">
        <v>10955</v>
      </c>
      <c r="O44" s="13">
        <v>83</v>
      </c>
      <c r="P44" s="13">
        <v>0</v>
      </c>
      <c r="Q44" s="13">
        <v>0</v>
      </c>
      <c r="R44" s="13">
        <v>0</v>
      </c>
      <c r="S44" s="13">
        <v>13092</v>
      </c>
    </row>
    <row r="45" spans="1:19" x14ac:dyDescent="0.25">
      <c r="A45" t="s">
        <v>67</v>
      </c>
      <c r="B45" t="s">
        <v>68</v>
      </c>
      <c r="C45" s="1"/>
      <c r="D45" s="1"/>
      <c r="E45" s="1"/>
      <c r="F45" s="1"/>
      <c r="G45" s="1"/>
      <c r="H45" s="1"/>
      <c r="I45" s="1"/>
      <c r="J45" s="1"/>
      <c r="L45" s="13">
        <v>611</v>
      </c>
      <c r="M45" s="13" t="s">
        <v>75</v>
      </c>
      <c r="N45" s="13">
        <v>5446</v>
      </c>
      <c r="O45" s="13">
        <v>2</v>
      </c>
      <c r="P45" s="13">
        <v>0</v>
      </c>
      <c r="Q45" s="13">
        <v>0</v>
      </c>
      <c r="R45" s="13">
        <v>0</v>
      </c>
      <c r="S45" s="13">
        <v>4998</v>
      </c>
    </row>
    <row r="46" spans="1:19" x14ac:dyDescent="0.25">
      <c r="A46" t="s">
        <v>69</v>
      </c>
      <c r="B46" t="s">
        <v>70</v>
      </c>
      <c r="C46" s="1">
        <f>44749+18+4+17652</f>
        <v>62423</v>
      </c>
      <c r="D46" s="1">
        <f>41+4+1+1+14</f>
        <v>61</v>
      </c>
      <c r="E46" s="1">
        <v>0</v>
      </c>
      <c r="F46" s="1">
        <v>0</v>
      </c>
      <c r="G46" s="1">
        <v>0</v>
      </c>
      <c r="H46" s="1">
        <v>53091</v>
      </c>
      <c r="I46" s="1">
        <v>14161</v>
      </c>
      <c r="J46" s="1"/>
      <c r="L46" s="13">
        <v>712</v>
      </c>
      <c r="M46" s="13" t="s">
        <v>77</v>
      </c>
      <c r="N46" s="13">
        <v>6425</v>
      </c>
      <c r="O46" s="13">
        <v>29</v>
      </c>
      <c r="P46" s="13">
        <v>0</v>
      </c>
      <c r="Q46" s="13">
        <v>0</v>
      </c>
      <c r="R46" s="13">
        <v>0</v>
      </c>
      <c r="S46" s="13">
        <v>1064</v>
      </c>
    </row>
    <row r="47" spans="1:19" x14ac:dyDescent="0.25">
      <c r="A47" t="s">
        <v>803</v>
      </c>
      <c r="B47" t="s">
        <v>71</v>
      </c>
      <c r="C47" s="1"/>
      <c r="D47" s="1"/>
      <c r="E47" s="1"/>
      <c r="F47" s="1"/>
      <c r="G47" s="1"/>
      <c r="H47" s="1"/>
      <c r="I47" s="1"/>
      <c r="J47" s="1"/>
      <c r="L47" s="13">
        <v>711</v>
      </c>
      <c r="M47" s="13" t="s">
        <v>78</v>
      </c>
      <c r="N47" s="13">
        <v>14615</v>
      </c>
      <c r="O47" s="13">
        <v>2</v>
      </c>
      <c r="P47" s="13">
        <v>0</v>
      </c>
      <c r="Q47" s="13">
        <v>0</v>
      </c>
      <c r="R47" s="13">
        <v>0</v>
      </c>
      <c r="S47" s="13">
        <v>28652</v>
      </c>
    </row>
    <row r="48" spans="1:19" x14ac:dyDescent="0.25">
      <c r="A48" t="s">
        <v>72</v>
      </c>
      <c r="B48" t="s">
        <v>73</v>
      </c>
      <c r="C48" s="1">
        <f>5353+13+584</f>
        <v>5950</v>
      </c>
      <c r="D48" s="1">
        <v>66</v>
      </c>
      <c r="E48" s="1">
        <v>0</v>
      </c>
      <c r="F48" s="1">
        <v>0</v>
      </c>
      <c r="G48" s="1">
        <v>0</v>
      </c>
      <c r="H48" s="1">
        <v>3263</v>
      </c>
      <c r="I48" s="1">
        <v>512</v>
      </c>
      <c r="J48" s="1"/>
      <c r="L48" s="13">
        <v>131</v>
      </c>
      <c r="M48" s="13" t="s">
        <v>79</v>
      </c>
      <c r="N48" s="13">
        <v>2060</v>
      </c>
      <c r="O48" s="13">
        <v>0</v>
      </c>
      <c r="P48" s="13">
        <v>0</v>
      </c>
      <c r="Q48" s="13">
        <v>0</v>
      </c>
      <c r="R48" s="13">
        <v>0</v>
      </c>
      <c r="S48" s="13">
        <v>274</v>
      </c>
    </row>
    <row r="49" spans="1:19" x14ac:dyDescent="0.25">
      <c r="A49" t="s">
        <v>809</v>
      </c>
      <c r="B49" t="s">
        <v>74</v>
      </c>
      <c r="C49" s="1"/>
      <c r="D49" s="1"/>
      <c r="E49" s="1"/>
      <c r="F49" s="1"/>
      <c r="G49" s="1"/>
      <c r="H49" s="1"/>
      <c r="I49" s="1"/>
      <c r="J49" s="1"/>
      <c r="L49" s="13">
        <v>300</v>
      </c>
      <c r="M49" s="13" t="s">
        <v>80</v>
      </c>
      <c r="N49" s="13">
        <v>3560</v>
      </c>
      <c r="O49" s="13">
        <v>7</v>
      </c>
      <c r="P49" s="13">
        <v>0</v>
      </c>
      <c r="Q49" s="13">
        <v>0</v>
      </c>
      <c r="R49" s="13">
        <v>0</v>
      </c>
      <c r="S49" s="13">
        <v>1453</v>
      </c>
    </row>
    <row r="50" spans="1:19" x14ac:dyDescent="0.25">
      <c r="A50" t="s">
        <v>146</v>
      </c>
      <c r="B50" t="s">
        <v>75</v>
      </c>
      <c r="C50" s="1">
        <f>1740+3706</f>
        <v>5446</v>
      </c>
      <c r="D50" s="1">
        <v>2</v>
      </c>
      <c r="E50" s="1">
        <v>0</v>
      </c>
      <c r="F50" s="1">
        <v>0</v>
      </c>
      <c r="G50" s="1">
        <v>0</v>
      </c>
      <c r="H50" s="1">
        <v>4998</v>
      </c>
      <c r="I50" s="1">
        <v>3439</v>
      </c>
      <c r="J50" s="1"/>
      <c r="L50" s="13">
        <v>120</v>
      </c>
      <c r="M50" s="13" t="s">
        <v>81</v>
      </c>
      <c r="N50" s="13">
        <v>3196</v>
      </c>
      <c r="O50" s="13">
        <v>0</v>
      </c>
      <c r="P50" s="13">
        <v>0</v>
      </c>
      <c r="Q50" s="13">
        <v>0</v>
      </c>
      <c r="R50" s="13">
        <v>0</v>
      </c>
      <c r="S50" s="13">
        <v>1434</v>
      </c>
    </row>
    <row r="51" spans="1:19" x14ac:dyDescent="0.25">
      <c r="A51" t="s">
        <v>76</v>
      </c>
      <c r="B51" t="s">
        <v>77</v>
      </c>
      <c r="C51" s="1">
        <f>4561+1864</f>
        <v>6425</v>
      </c>
      <c r="D51" s="1">
        <v>29</v>
      </c>
      <c r="E51" s="1">
        <v>0</v>
      </c>
      <c r="F51" s="1">
        <v>0</v>
      </c>
      <c r="G51" s="1">
        <v>0</v>
      </c>
      <c r="H51" s="1">
        <v>1064</v>
      </c>
      <c r="I51" s="1">
        <v>1266</v>
      </c>
      <c r="J51" s="1"/>
      <c r="L51" s="13">
        <v>712</v>
      </c>
      <c r="M51" s="13" t="s">
        <v>82</v>
      </c>
      <c r="N51" s="13">
        <v>15957</v>
      </c>
      <c r="O51" s="13">
        <v>146</v>
      </c>
      <c r="P51" s="13">
        <v>0</v>
      </c>
      <c r="Q51" s="13">
        <v>0</v>
      </c>
      <c r="R51" s="13">
        <v>0</v>
      </c>
      <c r="S51" s="13">
        <v>2728</v>
      </c>
    </row>
    <row r="52" spans="1:19" x14ac:dyDescent="0.25">
      <c r="A52" t="s">
        <v>801</v>
      </c>
      <c r="B52" t="s">
        <v>78</v>
      </c>
      <c r="C52" s="1">
        <f>11014+2+1+1+3597</f>
        <v>14615</v>
      </c>
      <c r="D52" s="1">
        <v>2</v>
      </c>
      <c r="E52" s="1">
        <v>0</v>
      </c>
      <c r="F52" s="1">
        <v>0</v>
      </c>
      <c r="G52" s="1">
        <v>0</v>
      </c>
      <c r="H52" s="1">
        <v>28652</v>
      </c>
      <c r="I52" s="1">
        <v>3398</v>
      </c>
      <c r="J52" s="1"/>
      <c r="L52" s="13">
        <v>700</v>
      </c>
      <c r="M52" s="13" t="s">
        <v>84</v>
      </c>
      <c r="N52" s="13">
        <v>13863</v>
      </c>
      <c r="O52" s="13">
        <v>1</v>
      </c>
      <c r="P52" s="13">
        <v>0</v>
      </c>
      <c r="Q52" s="13">
        <v>0</v>
      </c>
      <c r="R52" s="13">
        <v>0</v>
      </c>
      <c r="S52" s="13">
        <v>11089</v>
      </c>
    </row>
    <row r="53" spans="1:19" x14ac:dyDescent="0.25">
      <c r="A53" t="s">
        <v>810</v>
      </c>
      <c r="B53" t="s">
        <v>79</v>
      </c>
      <c r="C53" s="1"/>
      <c r="D53" s="1"/>
      <c r="E53" s="1"/>
      <c r="F53" s="1"/>
      <c r="G53" s="1"/>
      <c r="H53" s="1"/>
      <c r="I53" s="1"/>
      <c r="J53" s="1"/>
      <c r="L53" s="13" t="s">
        <v>808</v>
      </c>
      <c r="M53" s="13" t="s">
        <v>85</v>
      </c>
      <c r="N53" s="13">
        <v>1500</v>
      </c>
      <c r="O53" s="13">
        <v>0</v>
      </c>
      <c r="P53" s="13">
        <v>0</v>
      </c>
      <c r="Q53" s="13">
        <v>0</v>
      </c>
      <c r="R53" s="13">
        <v>0</v>
      </c>
      <c r="S53" s="13">
        <v>1229</v>
      </c>
    </row>
    <row r="54" spans="1:19" x14ac:dyDescent="0.25">
      <c r="A54" t="s">
        <v>226</v>
      </c>
      <c r="B54" t="s">
        <v>80</v>
      </c>
      <c r="C54" s="1">
        <f>2090+2+1468</f>
        <v>3560</v>
      </c>
      <c r="D54" s="1">
        <v>7</v>
      </c>
      <c r="E54" s="1">
        <v>0</v>
      </c>
      <c r="F54" s="1">
        <v>0</v>
      </c>
      <c r="G54" s="1">
        <v>0</v>
      </c>
      <c r="H54" s="1">
        <v>1453</v>
      </c>
      <c r="I54" s="1">
        <v>1461</v>
      </c>
      <c r="J54" s="1"/>
      <c r="L54" s="13">
        <v>111</v>
      </c>
      <c r="M54" s="13" t="s">
        <v>86</v>
      </c>
      <c r="N54" s="13">
        <v>21857</v>
      </c>
      <c r="O54" s="13">
        <v>2917</v>
      </c>
      <c r="P54" s="13">
        <v>0</v>
      </c>
      <c r="Q54" s="13">
        <v>0</v>
      </c>
      <c r="R54" s="13">
        <v>0</v>
      </c>
      <c r="S54" s="13">
        <v>1249</v>
      </c>
    </row>
    <row r="55" spans="1:19" x14ac:dyDescent="0.25">
      <c r="A55" t="s">
        <v>802</v>
      </c>
      <c r="B55" t="s">
        <v>81</v>
      </c>
      <c r="C55" s="1"/>
      <c r="D55" s="1"/>
      <c r="E55" s="1"/>
      <c r="F55" s="1"/>
      <c r="G55" s="1"/>
      <c r="H55" s="1"/>
      <c r="I55" s="1"/>
      <c r="J55" s="1"/>
      <c r="L55" s="13">
        <v>111</v>
      </c>
      <c r="M55" s="13" t="s">
        <v>87</v>
      </c>
      <c r="N55" s="13">
        <v>8508</v>
      </c>
      <c r="O55" s="13">
        <v>1317</v>
      </c>
      <c r="P55" s="13">
        <v>0</v>
      </c>
      <c r="Q55" s="13">
        <v>0</v>
      </c>
      <c r="R55" s="13">
        <v>0</v>
      </c>
      <c r="S55" s="13">
        <v>1792</v>
      </c>
    </row>
    <row r="56" spans="1:19" x14ac:dyDescent="0.25">
      <c r="A56" t="s">
        <v>76</v>
      </c>
      <c r="B56" t="s">
        <v>82</v>
      </c>
      <c r="C56" s="1">
        <f>13535+1+8+2411+2</f>
        <v>15957</v>
      </c>
      <c r="D56" s="1">
        <f>75+55+16</f>
        <v>146</v>
      </c>
      <c r="E56" s="1">
        <v>0</v>
      </c>
      <c r="F56" s="1">
        <v>0</v>
      </c>
      <c r="G56" s="1">
        <v>0</v>
      </c>
      <c r="H56" s="1">
        <v>2728</v>
      </c>
      <c r="I56" s="1">
        <v>1754</v>
      </c>
      <c r="J56" s="1"/>
      <c r="L56" s="13">
        <v>100</v>
      </c>
      <c r="M56" s="13" t="s">
        <v>88</v>
      </c>
      <c r="N56" s="13">
        <v>6015</v>
      </c>
      <c r="O56" s="13">
        <v>362</v>
      </c>
      <c r="P56" s="13">
        <v>0</v>
      </c>
      <c r="Q56" s="13">
        <v>0</v>
      </c>
      <c r="R56" s="13">
        <v>0</v>
      </c>
      <c r="S56" s="13">
        <v>1270</v>
      </c>
    </row>
    <row r="57" spans="1:19" x14ac:dyDescent="0.25">
      <c r="A57" t="s">
        <v>83</v>
      </c>
      <c r="B57" t="s">
        <v>84</v>
      </c>
      <c r="C57" s="1"/>
      <c r="D57" s="1"/>
      <c r="E57" s="1"/>
      <c r="F57" s="1"/>
      <c r="G57" s="1"/>
      <c r="H57" s="1"/>
      <c r="I57" s="1"/>
      <c r="J57" s="1"/>
      <c r="L57" s="13" t="s">
        <v>808</v>
      </c>
      <c r="M57" s="13" t="s">
        <v>89</v>
      </c>
      <c r="N57" s="13">
        <v>41</v>
      </c>
      <c r="O57" s="13">
        <v>0</v>
      </c>
      <c r="P57" s="13">
        <v>0</v>
      </c>
      <c r="Q57" s="13">
        <v>0</v>
      </c>
      <c r="R57" s="13">
        <v>0</v>
      </c>
      <c r="S57" s="13">
        <v>600</v>
      </c>
    </row>
    <row r="58" spans="1:19" x14ac:dyDescent="0.25">
      <c r="A58" t="s">
        <v>809</v>
      </c>
      <c r="B58" t="s">
        <v>85</v>
      </c>
      <c r="C58" s="1"/>
      <c r="D58" s="1"/>
      <c r="E58" s="1"/>
      <c r="F58" s="1"/>
      <c r="G58" s="1"/>
      <c r="H58" s="1"/>
      <c r="I58" s="1"/>
      <c r="J58" s="1"/>
      <c r="L58" s="13">
        <v>161</v>
      </c>
      <c r="M58" s="13" t="s">
        <v>90</v>
      </c>
      <c r="N58" s="13">
        <v>13531</v>
      </c>
      <c r="O58" s="13">
        <v>80</v>
      </c>
      <c r="P58" s="13">
        <v>0</v>
      </c>
      <c r="Q58" s="13">
        <v>0</v>
      </c>
      <c r="R58" s="13">
        <v>0</v>
      </c>
      <c r="S58" s="13">
        <v>3077</v>
      </c>
    </row>
    <row r="59" spans="1:19" x14ac:dyDescent="0.25">
      <c r="A59" t="s">
        <v>811</v>
      </c>
      <c r="B59" t="s">
        <v>86</v>
      </c>
      <c r="C59" s="1"/>
      <c r="D59" s="1"/>
      <c r="E59" s="1"/>
      <c r="F59" s="1"/>
      <c r="G59" s="1"/>
      <c r="H59" s="1"/>
      <c r="I59" s="1"/>
      <c r="J59" s="1"/>
      <c r="L59" s="13">
        <v>111</v>
      </c>
      <c r="M59" s="13" t="s">
        <v>91</v>
      </c>
      <c r="N59" s="13">
        <v>61403</v>
      </c>
      <c r="O59" s="13">
        <v>786</v>
      </c>
      <c r="P59" s="13">
        <v>0</v>
      </c>
      <c r="Q59" s="13">
        <v>0</v>
      </c>
      <c r="R59" s="13">
        <v>0</v>
      </c>
      <c r="S59" s="13">
        <v>19400</v>
      </c>
    </row>
    <row r="60" spans="1:19" x14ac:dyDescent="0.25">
      <c r="A60" t="s">
        <v>811</v>
      </c>
      <c r="B60" t="s">
        <v>87</v>
      </c>
      <c r="C60" s="1"/>
      <c r="D60" s="1"/>
      <c r="E60" s="1"/>
      <c r="F60" s="1"/>
      <c r="G60" s="1"/>
      <c r="H60" s="1"/>
      <c r="I60" s="1"/>
      <c r="J60" s="1"/>
      <c r="L60" s="13">
        <v>120</v>
      </c>
      <c r="M60" s="13" t="s">
        <v>92</v>
      </c>
      <c r="N60" s="13">
        <v>18822</v>
      </c>
      <c r="O60" s="13">
        <v>214</v>
      </c>
      <c r="P60" s="13">
        <v>0</v>
      </c>
      <c r="Q60" s="13">
        <v>0</v>
      </c>
      <c r="R60" s="13">
        <v>0</v>
      </c>
      <c r="S60" s="13">
        <v>1550</v>
      </c>
    </row>
    <row r="61" spans="1:19" x14ac:dyDescent="0.25">
      <c r="A61" t="s">
        <v>791</v>
      </c>
      <c r="B61" t="s">
        <v>88</v>
      </c>
      <c r="C61" s="1"/>
      <c r="D61" s="1"/>
      <c r="E61" s="1"/>
      <c r="F61" s="1"/>
      <c r="G61" s="1"/>
      <c r="H61" s="1"/>
      <c r="I61" s="1"/>
      <c r="J61" s="1"/>
      <c r="L61" s="13">
        <v>132</v>
      </c>
      <c r="M61" s="13" t="s">
        <v>93</v>
      </c>
      <c r="N61" s="13">
        <v>740</v>
      </c>
      <c r="O61" s="13">
        <v>0</v>
      </c>
      <c r="P61" s="13">
        <v>0</v>
      </c>
      <c r="Q61" s="13">
        <v>0</v>
      </c>
      <c r="R61" s="13">
        <v>0</v>
      </c>
      <c r="S61" s="13">
        <v>770</v>
      </c>
    </row>
    <row r="62" spans="1:19" x14ac:dyDescent="0.25">
      <c r="A62" t="s">
        <v>809</v>
      </c>
      <c r="B62" t="s">
        <v>89</v>
      </c>
      <c r="C62" s="1"/>
      <c r="D62" s="1"/>
      <c r="E62" s="1"/>
      <c r="F62" s="1"/>
      <c r="G62" s="1"/>
      <c r="H62" s="1"/>
      <c r="I62" s="1"/>
      <c r="J62" s="1"/>
      <c r="L62" s="13">
        <v>100</v>
      </c>
      <c r="M62" s="13" t="s">
        <v>94</v>
      </c>
      <c r="N62" s="13">
        <v>4790</v>
      </c>
      <c r="O62" s="13">
        <v>2</v>
      </c>
      <c r="P62" s="13">
        <v>0</v>
      </c>
      <c r="Q62" s="13">
        <v>0</v>
      </c>
      <c r="R62" s="13">
        <v>0</v>
      </c>
      <c r="S62" s="13">
        <v>2459</v>
      </c>
    </row>
    <row r="63" spans="1:19" x14ac:dyDescent="0.25">
      <c r="A63" t="s">
        <v>792</v>
      </c>
      <c r="B63" t="s">
        <v>90</v>
      </c>
      <c r="C63" s="1"/>
      <c r="D63" s="1"/>
      <c r="E63" s="1"/>
      <c r="F63" s="1"/>
      <c r="G63" s="1"/>
      <c r="H63" s="1"/>
      <c r="I63" s="1"/>
      <c r="J63" s="1"/>
      <c r="L63" s="13">
        <v>161</v>
      </c>
      <c r="M63" s="13" t="s">
        <v>95</v>
      </c>
      <c r="N63" s="13">
        <v>1212</v>
      </c>
      <c r="O63" s="13">
        <v>22</v>
      </c>
      <c r="P63" s="13">
        <v>0</v>
      </c>
      <c r="Q63" s="13">
        <v>0</v>
      </c>
      <c r="R63" s="13">
        <v>0</v>
      </c>
      <c r="S63" s="13">
        <v>350</v>
      </c>
    </row>
    <row r="64" spans="1:19" x14ac:dyDescent="0.25">
      <c r="A64" t="s">
        <v>811</v>
      </c>
      <c r="B64" t="s">
        <v>91</v>
      </c>
      <c r="C64" s="1"/>
      <c r="D64" s="1"/>
      <c r="E64" s="1"/>
      <c r="F64" s="1"/>
      <c r="G64" s="1"/>
      <c r="H64" s="1"/>
      <c r="I64" s="1"/>
      <c r="J64" s="1"/>
      <c r="L64" s="13">
        <v>120</v>
      </c>
      <c r="M64" s="13" t="s">
        <v>96</v>
      </c>
      <c r="N64" s="13"/>
      <c r="O64" s="13"/>
      <c r="P64" s="13"/>
      <c r="Q64" s="13"/>
      <c r="R64" s="13"/>
      <c r="S64" s="13"/>
    </row>
    <row r="65" spans="1:19" x14ac:dyDescent="0.25">
      <c r="A65" t="s">
        <v>802</v>
      </c>
      <c r="B65" t="s">
        <v>92</v>
      </c>
      <c r="C65" s="1"/>
      <c r="D65" s="1"/>
      <c r="E65" s="1"/>
      <c r="F65" s="1"/>
      <c r="G65" s="1"/>
      <c r="H65" s="1"/>
      <c r="I65" s="1"/>
      <c r="J65" s="1"/>
      <c r="L65" s="13">
        <v>126</v>
      </c>
      <c r="M65" s="13" t="s">
        <v>98</v>
      </c>
      <c r="N65" s="13">
        <v>3039</v>
      </c>
      <c r="O65" s="13">
        <v>1</v>
      </c>
      <c r="P65" s="13">
        <v>0</v>
      </c>
      <c r="Q65" s="13">
        <v>0</v>
      </c>
      <c r="R65" s="13">
        <v>0</v>
      </c>
      <c r="S65" s="13">
        <v>1615</v>
      </c>
    </row>
    <row r="66" spans="1:19" x14ac:dyDescent="0.25">
      <c r="A66" t="s">
        <v>812</v>
      </c>
      <c r="B66" t="s">
        <v>93</v>
      </c>
      <c r="C66" s="1"/>
      <c r="D66" s="1"/>
      <c r="E66" s="1"/>
      <c r="F66" s="1"/>
      <c r="G66" s="1"/>
      <c r="H66" s="1"/>
      <c r="I66" s="1"/>
      <c r="J66" s="1"/>
      <c r="L66" s="13">
        <v>134</v>
      </c>
      <c r="M66" s="13" t="s">
        <v>100</v>
      </c>
      <c r="N66" s="13"/>
      <c r="O66" s="13"/>
      <c r="P66" s="13"/>
      <c r="Q66" s="13"/>
      <c r="R66" s="13"/>
      <c r="S66" s="13"/>
    </row>
    <row r="67" spans="1:19" x14ac:dyDescent="0.25">
      <c r="A67" t="s">
        <v>791</v>
      </c>
      <c r="B67" t="s">
        <v>94</v>
      </c>
      <c r="C67" s="1"/>
      <c r="D67" s="1"/>
      <c r="E67" s="1"/>
      <c r="F67" s="1"/>
      <c r="G67" s="1"/>
      <c r="H67" s="1"/>
      <c r="I67" s="1"/>
      <c r="J67" s="1"/>
      <c r="L67" s="13">
        <v>511</v>
      </c>
      <c r="M67" s="13" t="s">
        <v>102</v>
      </c>
      <c r="N67" s="13">
        <v>11615</v>
      </c>
      <c r="O67" s="13">
        <v>2</v>
      </c>
      <c r="P67" s="13">
        <v>0</v>
      </c>
      <c r="Q67" s="13">
        <v>0</v>
      </c>
      <c r="R67" s="13">
        <v>0</v>
      </c>
      <c r="S67" s="13">
        <v>11660</v>
      </c>
    </row>
    <row r="68" spans="1:19" x14ac:dyDescent="0.25">
      <c r="A68" t="s">
        <v>792</v>
      </c>
      <c r="B68" t="s">
        <v>95</v>
      </c>
      <c r="C68" s="1"/>
      <c r="D68" s="1"/>
      <c r="E68" s="1"/>
      <c r="F68" s="1"/>
      <c r="G68" s="1"/>
      <c r="H68" s="1"/>
      <c r="I68" s="1"/>
      <c r="J68" s="1"/>
      <c r="L68" s="13">
        <v>313</v>
      </c>
      <c r="M68" s="13" t="s">
        <v>103</v>
      </c>
      <c r="N68" s="13">
        <v>3421</v>
      </c>
      <c r="O68" s="13">
        <v>0</v>
      </c>
      <c r="P68" s="13">
        <v>0</v>
      </c>
      <c r="Q68" s="13">
        <v>0</v>
      </c>
      <c r="R68" s="13">
        <v>0</v>
      </c>
      <c r="S68" s="13">
        <v>59</v>
      </c>
    </row>
    <row r="69" spans="1:19" x14ac:dyDescent="0.25">
      <c r="A69" t="s">
        <v>802</v>
      </c>
      <c r="B69" t="s">
        <v>96</v>
      </c>
      <c r="C69" s="1"/>
      <c r="D69" s="1"/>
      <c r="E69" s="1"/>
      <c r="F69" s="1"/>
      <c r="G69" s="1"/>
      <c r="H69" s="1"/>
      <c r="I69" s="1"/>
      <c r="J69" s="1"/>
      <c r="L69" s="13">
        <v>121</v>
      </c>
      <c r="M69" s="13" t="s">
        <v>105</v>
      </c>
      <c r="N69" s="13">
        <v>4531</v>
      </c>
      <c r="O69" s="13">
        <v>6</v>
      </c>
      <c r="P69" s="13">
        <v>0</v>
      </c>
      <c r="Q69" s="13">
        <v>0</v>
      </c>
      <c r="R69" s="13">
        <v>0</v>
      </c>
      <c r="S69" s="13">
        <v>2201</v>
      </c>
    </row>
    <row r="70" spans="1:19" x14ac:dyDescent="0.25">
      <c r="A70" t="s">
        <v>97</v>
      </c>
      <c r="B70" t="s">
        <v>98</v>
      </c>
      <c r="C70" s="1"/>
      <c r="D70" s="1"/>
      <c r="E70" s="1"/>
      <c r="F70" s="1"/>
      <c r="G70" s="1"/>
      <c r="H70" s="1"/>
      <c r="I70" s="1"/>
      <c r="J70" s="1"/>
      <c r="L70" s="13">
        <v>133</v>
      </c>
      <c r="M70" s="13" t="s">
        <v>107</v>
      </c>
      <c r="N70" s="13">
        <v>17500</v>
      </c>
      <c r="O70" s="13">
        <v>123</v>
      </c>
      <c r="P70" s="13">
        <v>0</v>
      </c>
      <c r="Q70" s="13">
        <v>0</v>
      </c>
      <c r="R70" s="13">
        <v>0</v>
      </c>
      <c r="S70" s="13">
        <v>8266</v>
      </c>
    </row>
    <row r="71" spans="1:19" x14ac:dyDescent="0.25">
      <c r="A71" t="s">
        <v>99</v>
      </c>
      <c r="B71" t="s">
        <v>100</v>
      </c>
      <c r="C71" s="1"/>
      <c r="D71" s="1"/>
      <c r="E71" s="1"/>
      <c r="F71" s="1"/>
      <c r="G71" s="1"/>
      <c r="H71" s="1"/>
      <c r="I71" s="1"/>
      <c r="J71" s="1"/>
      <c r="L71" s="13">
        <v>127</v>
      </c>
      <c r="M71" s="13" t="s">
        <v>109</v>
      </c>
      <c r="N71" s="13">
        <v>5529</v>
      </c>
      <c r="O71" s="13">
        <v>100</v>
      </c>
      <c r="P71" s="13">
        <v>0</v>
      </c>
      <c r="Q71" s="13">
        <v>0</v>
      </c>
      <c r="R71" s="13">
        <v>0</v>
      </c>
      <c r="S71" s="13">
        <v>4182</v>
      </c>
    </row>
    <row r="72" spans="1:19" x14ac:dyDescent="0.25">
      <c r="A72" t="s">
        <v>101</v>
      </c>
      <c r="B72" t="s">
        <v>102</v>
      </c>
      <c r="C72" s="1">
        <f>9291+2324</f>
        <v>11615</v>
      </c>
      <c r="D72" s="1">
        <v>2</v>
      </c>
      <c r="E72" s="1">
        <v>0</v>
      </c>
      <c r="F72" s="1">
        <v>0</v>
      </c>
      <c r="G72" s="1">
        <v>0</v>
      </c>
      <c r="H72" s="1">
        <v>11660</v>
      </c>
      <c r="I72" s="1">
        <v>1819</v>
      </c>
      <c r="J72" s="1"/>
      <c r="L72" s="13">
        <v>123</v>
      </c>
      <c r="M72" s="13" t="s">
        <v>111</v>
      </c>
      <c r="N72" s="13">
        <v>2916</v>
      </c>
      <c r="O72" s="13">
        <v>26</v>
      </c>
      <c r="P72" s="13">
        <v>0</v>
      </c>
      <c r="Q72" s="13">
        <v>0</v>
      </c>
      <c r="R72" s="13">
        <v>0</v>
      </c>
      <c r="S72" s="13">
        <v>2563</v>
      </c>
    </row>
    <row r="73" spans="1:19" x14ac:dyDescent="0.25">
      <c r="A73" t="s">
        <v>512</v>
      </c>
      <c r="B73" t="s">
        <v>103</v>
      </c>
      <c r="C73" s="1"/>
      <c r="D73" s="1"/>
      <c r="E73" s="1"/>
      <c r="F73" s="1"/>
      <c r="G73" s="1"/>
      <c r="H73" s="1"/>
      <c r="I73" s="1"/>
      <c r="J73" s="1"/>
      <c r="L73" s="13">
        <v>511</v>
      </c>
      <c r="M73" s="13" t="s">
        <v>112</v>
      </c>
      <c r="N73" s="13">
        <v>6708</v>
      </c>
      <c r="O73" s="13">
        <v>3</v>
      </c>
      <c r="P73" s="13">
        <v>0</v>
      </c>
      <c r="Q73" s="13">
        <v>0</v>
      </c>
      <c r="R73" s="13">
        <v>0</v>
      </c>
      <c r="S73" s="13">
        <v>18916</v>
      </c>
    </row>
    <row r="74" spans="1:19" x14ac:dyDescent="0.25">
      <c r="A74" t="s">
        <v>104</v>
      </c>
      <c r="B74" t="s">
        <v>105</v>
      </c>
      <c r="C74" s="1"/>
      <c r="D74" s="1"/>
      <c r="E74" s="1"/>
      <c r="F74" s="1"/>
      <c r="G74" s="1"/>
      <c r="H74" s="1"/>
      <c r="I74" s="1"/>
      <c r="J74" s="1"/>
      <c r="L74" s="13">
        <v>135</v>
      </c>
      <c r="M74" s="13" t="s">
        <v>114</v>
      </c>
      <c r="N74" s="13">
        <v>3121</v>
      </c>
      <c r="O74" s="13">
        <v>8</v>
      </c>
      <c r="P74" s="13">
        <v>0</v>
      </c>
      <c r="Q74" s="13">
        <v>0</v>
      </c>
      <c r="R74" s="13">
        <v>0</v>
      </c>
      <c r="S74" s="13">
        <v>9803</v>
      </c>
    </row>
    <row r="75" spans="1:19" x14ac:dyDescent="0.25">
      <c r="A75" t="s">
        <v>106</v>
      </c>
      <c r="B75" t="s">
        <v>107</v>
      </c>
      <c r="C75" s="1"/>
      <c r="D75" s="1"/>
      <c r="E75" s="1"/>
      <c r="F75" s="1"/>
      <c r="G75" s="1"/>
      <c r="H75" s="1"/>
      <c r="I75" s="1"/>
      <c r="J75" s="1"/>
      <c r="L75" s="13">
        <v>122</v>
      </c>
      <c r="M75" s="13" t="s">
        <v>116</v>
      </c>
      <c r="N75" s="13">
        <v>6560</v>
      </c>
      <c r="O75" s="13">
        <v>83</v>
      </c>
      <c r="P75" s="13">
        <v>0</v>
      </c>
      <c r="Q75" s="13">
        <v>0</v>
      </c>
      <c r="R75" s="13">
        <v>0</v>
      </c>
      <c r="S75" s="13">
        <v>1324</v>
      </c>
    </row>
    <row r="76" spans="1:19" x14ac:dyDescent="0.25">
      <c r="A76" t="s">
        <v>108</v>
      </c>
      <c r="B76" t="s">
        <v>109</v>
      </c>
      <c r="C76" s="1"/>
      <c r="D76" s="1"/>
      <c r="E76" s="1"/>
      <c r="F76" s="1"/>
      <c r="G76" s="1"/>
      <c r="H76" s="1"/>
      <c r="I76" s="1"/>
      <c r="J76" s="1"/>
      <c r="L76" s="13">
        <v>113</v>
      </c>
      <c r="M76" s="13" t="s">
        <v>117</v>
      </c>
      <c r="N76" s="13">
        <v>89</v>
      </c>
      <c r="O76" s="13">
        <v>0</v>
      </c>
      <c r="P76" s="13">
        <v>0</v>
      </c>
      <c r="Q76" s="13">
        <v>0</v>
      </c>
      <c r="R76" s="13">
        <v>0</v>
      </c>
      <c r="S76" s="13">
        <v>1</v>
      </c>
    </row>
    <row r="77" spans="1:19" x14ac:dyDescent="0.25">
      <c r="A77" t="s">
        <v>110</v>
      </c>
      <c r="B77" t="s">
        <v>111</v>
      </c>
      <c r="C77" s="1"/>
      <c r="D77" s="1"/>
      <c r="E77" s="1"/>
      <c r="F77" s="1"/>
      <c r="G77" s="1"/>
      <c r="H77" s="1"/>
      <c r="I77" s="1"/>
      <c r="J77" s="1"/>
      <c r="L77" s="13">
        <v>137</v>
      </c>
      <c r="M77" s="13" t="s">
        <v>119</v>
      </c>
      <c r="N77" s="13">
        <v>5975</v>
      </c>
      <c r="O77" s="13">
        <v>31</v>
      </c>
      <c r="P77" s="13">
        <v>0</v>
      </c>
      <c r="Q77" s="13">
        <v>0</v>
      </c>
      <c r="R77" s="13">
        <v>0</v>
      </c>
      <c r="S77" s="13">
        <v>2877</v>
      </c>
    </row>
    <row r="78" spans="1:19" x14ac:dyDescent="0.25">
      <c r="A78" t="s">
        <v>101</v>
      </c>
      <c r="B78" t="s">
        <v>112</v>
      </c>
      <c r="C78" s="1">
        <f>6207+91+12+398</f>
        <v>6708</v>
      </c>
      <c r="D78" s="1">
        <v>3</v>
      </c>
      <c r="E78" s="1">
        <v>0</v>
      </c>
      <c r="F78" s="1">
        <v>0</v>
      </c>
      <c r="G78" s="1">
        <v>0</v>
      </c>
      <c r="H78" s="1">
        <v>18916</v>
      </c>
      <c r="I78" s="1">
        <v>321</v>
      </c>
      <c r="J78" s="1"/>
      <c r="L78" s="13">
        <v>311</v>
      </c>
      <c r="M78" s="13" t="s">
        <v>121</v>
      </c>
      <c r="N78" s="13">
        <v>3378</v>
      </c>
      <c r="O78" s="13">
        <v>2</v>
      </c>
      <c r="P78" s="13">
        <v>0</v>
      </c>
      <c r="Q78" s="13">
        <v>0</v>
      </c>
      <c r="R78" s="13">
        <v>0</v>
      </c>
      <c r="S78" s="13">
        <v>6308</v>
      </c>
    </row>
    <row r="79" spans="1:19" x14ac:dyDescent="0.25">
      <c r="A79" t="s">
        <v>113</v>
      </c>
      <c r="B79" t="s">
        <v>114</v>
      </c>
      <c r="C79" s="1"/>
      <c r="D79" s="1"/>
      <c r="E79" s="1"/>
      <c r="F79" s="1"/>
      <c r="G79" s="1"/>
      <c r="H79" s="1"/>
      <c r="I79" s="1"/>
      <c r="J79" s="1"/>
      <c r="L79" s="13">
        <v>130</v>
      </c>
      <c r="M79" s="13" t="s">
        <v>122</v>
      </c>
      <c r="N79" s="13">
        <v>5532</v>
      </c>
      <c r="O79" s="13">
        <v>1</v>
      </c>
      <c r="P79" s="13">
        <v>0</v>
      </c>
      <c r="Q79" s="13">
        <v>0</v>
      </c>
      <c r="R79" s="13">
        <v>0</v>
      </c>
      <c r="S79" s="13">
        <v>2383</v>
      </c>
    </row>
    <row r="80" spans="1:19" x14ac:dyDescent="0.25">
      <c r="A80" t="s">
        <v>115</v>
      </c>
      <c r="B80" t="s">
        <v>116</v>
      </c>
      <c r="C80" s="1"/>
      <c r="D80" s="1"/>
      <c r="E80" s="1"/>
      <c r="F80" s="1"/>
      <c r="G80" s="1"/>
      <c r="H80" s="1"/>
      <c r="I80" s="1"/>
      <c r="J80" s="1"/>
      <c r="L80" s="13">
        <v>124</v>
      </c>
      <c r="M80" s="13" t="s">
        <v>124</v>
      </c>
      <c r="N80" s="13">
        <v>4980</v>
      </c>
      <c r="O80" s="13">
        <v>0</v>
      </c>
      <c r="P80" s="13">
        <v>0</v>
      </c>
      <c r="Q80" s="13">
        <v>0</v>
      </c>
      <c r="R80" s="13">
        <v>0</v>
      </c>
      <c r="S80" s="13">
        <v>3120</v>
      </c>
    </row>
    <row r="81" spans="1:19" x14ac:dyDescent="0.25">
      <c r="A81" t="s">
        <v>823</v>
      </c>
      <c r="B81" t="s">
        <v>117</v>
      </c>
      <c r="C81" s="1">
        <f>86+3</f>
        <v>89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3</v>
      </c>
      <c r="J81" s="1"/>
      <c r="L81" s="13">
        <v>113</v>
      </c>
      <c r="M81" s="13" t="s">
        <v>125</v>
      </c>
      <c r="N81" s="13">
        <v>3027</v>
      </c>
      <c r="O81" s="13">
        <v>0</v>
      </c>
      <c r="P81" s="13">
        <v>0</v>
      </c>
      <c r="Q81" s="13">
        <v>0</v>
      </c>
      <c r="R81" s="13">
        <v>0</v>
      </c>
      <c r="S81" s="13">
        <v>117</v>
      </c>
    </row>
    <row r="82" spans="1:19" x14ac:dyDescent="0.25">
      <c r="A82" t="s">
        <v>118</v>
      </c>
      <c r="B82" t="s">
        <v>119</v>
      </c>
      <c r="C82" s="1"/>
      <c r="D82" s="1"/>
      <c r="E82" s="1"/>
      <c r="F82" s="1"/>
      <c r="G82" s="1"/>
      <c r="H82" s="1"/>
      <c r="I82" s="1"/>
      <c r="J82" s="1"/>
      <c r="L82" s="13">
        <v>600</v>
      </c>
      <c r="M82" s="13" t="s">
        <v>126</v>
      </c>
      <c r="N82" s="13">
        <v>7486</v>
      </c>
      <c r="O82" s="13">
        <v>6</v>
      </c>
      <c r="P82" s="13">
        <v>0</v>
      </c>
      <c r="Q82" s="13">
        <v>0</v>
      </c>
      <c r="R82" s="13">
        <v>0</v>
      </c>
      <c r="S82" s="13">
        <v>8723</v>
      </c>
    </row>
    <row r="83" spans="1:19" x14ac:dyDescent="0.25">
      <c r="A83" t="s">
        <v>120</v>
      </c>
      <c r="B83" t="s">
        <v>121</v>
      </c>
      <c r="C83" s="1"/>
      <c r="D83" s="1"/>
      <c r="E83" s="1"/>
      <c r="F83" s="1"/>
      <c r="G83" s="1"/>
      <c r="H83" s="1"/>
      <c r="I83" s="1"/>
      <c r="J83" s="1"/>
      <c r="L83" s="13">
        <v>128</v>
      </c>
      <c r="M83" s="13" t="s">
        <v>127</v>
      </c>
      <c r="N83" s="13"/>
      <c r="O83" s="13"/>
      <c r="P83" s="13"/>
      <c r="Q83" s="13"/>
      <c r="R83" s="13"/>
      <c r="S83" s="13"/>
    </row>
    <row r="84" spans="1:19" x14ac:dyDescent="0.25">
      <c r="A84" t="s">
        <v>793</v>
      </c>
      <c r="B84" t="s">
        <v>122</v>
      </c>
      <c r="C84" s="1"/>
      <c r="D84" s="1"/>
      <c r="E84" s="1"/>
      <c r="F84" s="1"/>
      <c r="G84" s="1"/>
      <c r="H84" s="1"/>
      <c r="I84" s="1"/>
      <c r="J84" s="1"/>
      <c r="L84" s="13">
        <v>136</v>
      </c>
      <c r="M84" s="13" t="s">
        <v>129</v>
      </c>
      <c r="N84" s="13">
        <v>8342</v>
      </c>
      <c r="O84" s="13">
        <v>106</v>
      </c>
      <c r="P84" s="13">
        <v>0</v>
      </c>
      <c r="Q84" s="13">
        <v>0</v>
      </c>
      <c r="R84" s="13">
        <v>0</v>
      </c>
      <c r="S84" s="13">
        <v>2549</v>
      </c>
    </row>
    <row r="85" spans="1:19" x14ac:dyDescent="0.25">
      <c r="A85" t="s">
        <v>123</v>
      </c>
      <c r="B85" t="s">
        <v>124</v>
      </c>
      <c r="C85" s="1"/>
      <c r="D85" s="1"/>
      <c r="E85" s="1"/>
      <c r="F85" s="1"/>
      <c r="G85" s="1"/>
      <c r="H85" s="1"/>
      <c r="I85" s="1"/>
      <c r="J85" s="1"/>
      <c r="L85" s="13" t="s">
        <v>814</v>
      </c>
      <c r="M85" s="13" t="s">
        <v>130</v>
      </c>
      <c r="N85" s="13">
        <v>12410</v>
      </c>
      <c r="O85" s="13">
        <v>76</v>
      </c>
      <c r="P85" s="13">
        <v>0</v>
      </c>
      <c r="Q85" s="13">
        <v>0</v>
      </c>
      <c r="R85" s="13">
        <v>0</v>
      </c>
      <c r="S85" s="13">
        <v>1203</v>
      </c>
    </row>
    <row r="86" spans="1:19" x14ac:dyDescent="0.25">
      <c r="A86" t="s">
        <v>823</v>
      </c>
      <c r="B86" t="s">
        <v>125</v>
      </c>
      <c r="C86" s="1">
        <f>2377+650</f>
        <v>3027</v>
      </c>
      <c r="D86" s="1">
        <v>0</v>
      </c>
      <c r="E86" s="1">
        <v>0</v>
      </c>
      <c r="F86" s="1">
        <v>0</v>
      </c>
      <c r="G86" s="1">
        <v>0</v>
      </c>
      <c r="H86" s="1">
        <v>117</v>
      </c>
      <c r="I86" s="1">
        <v>394</v>
      </c>
      <c r="J86" s="1"/>
      <c r="L86" s="13">
        <v>211</v>
      </c>
      <c r="M86" s="13" t="s">
        <v>132</v>
      </c>
      <c r="N86" s="13">
        <v>7365</v>
      </c>
      <c r="O86" s="13">
        <v>26</v>
      </c>
      <c r="P86" s="13">
        <v>0</v>
      </c>
      <c r="Q86" s="13">
        <v>0</v>
      </c>
      <c r="R86" s="13">
        <v>0</v>
      </c>
      <c r="S86" s="13">
        <v>14680</v>
      </c>
    </row>
    <row r="87" spans="1:19" x14ac:dyDescent="0.25">
      <c r="A87" t="s">
        <v>248</v>
      </c>
      <c r="B87" t="s">
        <v>126</v>
      </c>
      <c r="C87" s="1">
        <f>6047+2+1437</f>
        <v>7486</v>
      </c>
      <c r="D87" s="1">
        <v>6</v>
      </c>
      <c r="E87" s="1">
        <v>0</v>
      </c>
      <c r="F87" s="1">
        <v>0</v>
      </c>
      <c r="G87" s="1">
        <v>0</v>
      </c>
      <c r="H87" s="1">
        <v>8723</v>
      </c>
      <c r="I87" s="1">
        <v>1210</v>
      </c>
      <c r="J87" s="1"/>
      <c r="L87" s="13">
        <v>313</v>
      </c>
      <c r="M87" s="13" t="s">
        <v>133</v>
      </c>
      <c r="N87" s="13">
        <v>5629</v>
      </c>
      <c r="O87" s="13">
        <v>0</v>
      </c>
      <c r="P87" s="13">
        <v>0</v>
      </c>
      <c r="Q87" s="13">
        <v>0</v>
      </c>
      <c r="R87" s="13">
        <v>0</v>
      </c>
      <c r="S87" s="13">
        <v>219</v>
      </c>
    </row>
    <row r="88" spans="1:19" x14ac:dyDescent="0.25">
      <c r="A88" t="s">
        <v>813</v>
      </c>
      <c r="B88" t="s">
        <v>127</v>
      </c>
      <c r="C88" s="1"/>
      <c r="D88" s="1"/>
      <c r="E88" s="1"/>
      <c r="F88" s="1"/>
      <c r="G88" s="1"/>
      <c r="H88" s="1"/>
      <c r="I88" s="1"/>
      <c r="J88" s="1"/>
      <c r="L88" s="13">
        <v>514</v>
      </c>
      <c r="M88" s="13" t="s">
        <v>135</v>
      </c>
      <c r="N88" s="13">
        <v>12099</v>
      </c>
      <c r="O88" s="13">
        <v>10</v>
      </c>
      <c r="P88" s="13">
        <v>0</v>
      </c>
      <c r="Q88" s="13">
        <v>0</v>
      </c>
      <c r="R88" s="13">
        <v>0</v>
      </c>
      <c r="S88" s="13">
        <v>8415</v>
      </c>
    </row>
    <row r="89" spans="1:19" x14ac:dyDescent="0.25">
      <c r="A89" t="s">
        <v>128</v>
      </c>
      <c r="B89" t="s">
        <v>129</v>
      </c>
      <c r="C89" s="1"/>
      <c r="D89" s="1"/>
      <c r="E89" s="1"/>
      <c r="F89" s="1"/>
      <c r="G89" s="1"/>
      <c r="H89" s="1"/>
      <c r="I89" s="1"/>
      <c r="J89" s="1"/>
      <c r="L89" s="13">
        <v>116</v>
      </c>
      <c r="M89" s="13" t="s">
        <v>136</v>
      </c>
      <c r="N89" s="13">
        <v>5661</v>
      </c>
      <c r="O89" s="13">
        <v>85</v>
      </c>
      <c r="P89" s="13">
        <v>0</v>
      </c>
      <c r="Q89" s="13">
        <v>0</v>
      </c>
      <c r="R89" s="13">
        <v>0</v>
      </c>
      <c r="S89" s="13">
        <v>2465</v>
      </c>
    </row>
    <row r="90" spans="1:19" x14ac:dyDescent="0.25">
      <c r="A90" t="s">
        <v>794</v>
      </c>
      <c r="B90" t="s">
        <v>130</v>
      </c>
      <c r="C90" s="1">
        <f>10679+614+1117</f>
        <v>12410</v>
      </c>
      <c r="D90" s="1">
        <f>7+69</f>
        <v>76</v>
      </c>
      <c r="E90" s="1">
        <v>0</v>
      </c>
      <c r="F90" s="1">
        <v>0</v>
      </c>
      <c r="G90" s="1">
        <v>0</v>
      </c>
      <c r="H90" s="1">
        <v>1203</v>
      </c>
      <c r="I90" s="1">
        <v>1009</v>
      </c>
      <c r="J90" s="1"/>
      <c r="L90" s="13">
        <v>311</v>
      </c>
      <c r="M90" s="13" t="s">
        <v>137</v>
      </c>
      <c r="N90" s="13">
        <v>5744</v>
      </c>
      <c r="O90" s="13">
        <v>45</v>
      </c>
      <c r="P90" s="13">
        <v>0</v>
      </c>
      <c r="Q90" s="13">
        <v>0</v>
      </c>
      <c r="R90" s="13">
        <v>0</v>
      </c>
      <c r="S90" s="13">
        <v>12675</v>
      </c>
    </row>
    <row r="91" spans="1:19" x14ac:dyDescent="0.25">
      <c r="A91" t="s">
        <v>131</v>
      </c>
      <c r="B91" t="s">
        <v>132</v>
      </c>
      <c r="C91" s="1">
        <f>5880+1485</f>
        <v>7365</v>
      </c>
      <c r="D91" s="1">
        <f>2+24</f>
        <v>26</v>
      </c>
      <c r="E91" s="1">
        <v>0</v>
      </c>
      <c r="F91" s="1">
        <v>0</v>
      </c>
      <c r="G91" s="1">
        <v>0</v>
      </c>
      <c r="H91" s="1">
        <v>14680</v>
      </c>
      <c r="I91" s="1">
        <v>1221</v>
      </c>
      <c r="J91" s="1"/>
      <c r="L91" s="13" t="s">
        <v>815</v>
      </c>
      <c r="M91" s="13" t="s">
        <v>139</v>
      </c>
      <c r="N91" s="13">
        <v>7264</v>
      </c>
      <c r="O91" s="13">
        <v>15</v>
      </c>
      <c r="P91" s="13">
        <v>0</v>
      </c>
      <c r="Q91" s="13">
        <v>0</v>
      </c>
      <c r="R91" s="13">
        <v>0</v>
      </c>
      <c r="S91" s="13">
        <v>1991</v>
      </c>
    </row>
    <row r="92" spans="1:19" x14ac:dyDescent="0.25">
      <c r="A92" t="s">
        <v>512</v>
      </c>
      <c r="B92" t="s">
        <v>133</v>
      </c>
      <c r="C92" s="1"/>
      <c r="D92" s="1"/>
      <c r="E92" s="1"/>
      <c r="F92" s="1"/>
      <c r="G92" s="1"/>
      <c r="H92" s="1"/>
      <c r="I92" s="1"/>
      <c r="J92" s="1"/>
      <c r="L92" s="13">
        <v>200</v>
      </c>
      <c r="M92" s="13" t="s">
        <v>141</v>
      </c>
      <c r="N92" s="13">
        <v>455</v>
      </c>
      <c r="O92" s="13">
        <v>0</v>
      </c>
      <c r="P92" s="13">
        <v>0</v>
      </c>
      <c r="Q92" s="13">
        <v>0</v>
      </c>
      <c r="R92" s="13">
        <v>0</v>
      </c>
      <c r="S92" s="13">
        <v>184</v>
      </c>
    </row>
    <row r="93" spans="1:19" x14ac:dyDescent="0.25">
      <c r="A93" t="s">
        <v>134</v>
      </c>
      <c r="B93" t="s">
        <v>135</v>
      </c>
      <c r="C93" s="1">
        <f>8182+44+3873</f>
        <v>12099</v>
      </c>
      <c r="D93" s="1">
        <f>7+3</f>
        <v>10</v>
      </c>
      <c r="E93" s="1">
        <v>0</v>
      </c>
      <c r="F93" s="1">
        <v>0</v>
      </c>
      <c r="G93" s="1">
        <v>0</v>
      </c>
      <c r="H93" s="1">
        <v>8415</v>
      </c>
      <c r="I93" s="1">
        <v>3843</v>
      </c>
      <c r="J93" s="1"/>
      <c r="L93" s="13">
        <v>310</v>
      </c>
      <c r="M93" s="13" t="s">
        <v>142</v>
      </c>
      <c r="N93" s="13">
        <v>6352</v>
      </c>
      <c r="O93" s="13">
        <v>1</v>
      </c>
      <c r="P93" s="13">
        <v>0</v>
      </c>
      <c r="Q93" s="13">
        <v>0</v>
      </c>
      <c r="R93" s="13">
        <v>0</v>
      </c>
      <c r="S93" s="13">
        <v>666</v>
      </c>
    </row>
    <row r="94" spans="1:19" x14ac:dyDescent="0.25">
      <c r="A94" t="s">
        <v>795</v>
      </c>
      <c r="B94" t="s">
        <v>136</v>
      </c>
      <c r="C94" s="1"/>
      <c r="D94" s="1"/>
      <c r="E94" s="1"/>
      <c r="F94" s="1"/>
      <c r="G94" s="1"/>
      <c r="H94" s="1"/>
      <c r="I94" s="1"/>
      <c r="J94" s="1"/>
      <c r="L94" s="13">
        <v>113</v>
      </c>
      <c r="M94" s="13" t="s">
        <v>143</v>
      </c>
      <c r="N94" s="13">
        <v>871</v>
      </c>
      <c r="O94" s="13">
        <v>0</v>
      </c>
      <c r="P94" s="13">
        <v>0</v>
      </c>
      <c r="Q94" s="13">
        <v>0</v>
      </c>
      <c r="R94" s="13">
        <v>0</v>
      </c>
      <c r="S94" s="13">
        <v>14</v>
      </c>
    </row>
    <row r="95" spans="1:19" x14ac:dyDescent="0.25">
      <c r="A95" t="s">
        <v>120</v>
      </c>
      <c r="B95" t="s">
        <v>137</v>
      </c>
      <c r="C95" s="1"/>
      <c r="D95" s="1"/>
      <c r="E95" s="1"/>
      <c r="F95" s="1"/>
      <c r="G95" s="1"/>
      <c r="H95" s="1"/>
      <c r="I95" s="1"/>
      <c r="J95" s="1"/>
      <c r="L95" s="13">
        <v>161</v>
      </c>
      <c r="M95" s="13" t="s">
        <v>144</v>
      </c>
      <c r="N95" s="13">
        <v>3627</v>
      </c>
      <c r="O95" s="13">
        <v>214</v>
      </c>
      <c r="P95" s="13">
        <v>0</v>
      </c>
      <c r="Q95" s="13">
        <v>0</v>
      </c>
      <c r="R95" s="13">
        <v>0</v>
      </c>
      <c r="S95" s="13">
        <v>1054</v>
      </c>
    </row>
    <row r="96" spans="1:19" x14ac:dyDescent="0.25">
      <c r="A96" t="s">
        <v>138</v>
      </c>
      <c r="B96" t="s">
        <v>139</v>
      </c>
      <c r="C96" s="1"/>
      <c r="D96" s="1"/>
      <c r="E96" s="1"/>
      <c r="F96" s="1"/>
      <c r="G96" s="1"/>
      <c r="H96" s="1"/>
      <c r="I96" s="1"/>
      <c r="J96" s="1"/>
      <c r="L96" s="13">
        <v>515</v>
      </c>
      <c r="M96" s="13" t="s">
        <v>145</v>
      </c>
      <c r="N96" s="13"/>
      <c r="O96" s="13"/>
      <c r="P96" s="13"/>
      <c r="Q96" s="13"/>
      <c r="R96" s="13"/>
      <c r="S96" s="13"/>
    </row>
    <row r="97" spans="1:19" x14ac:dyDescent="0.25">
      <c r="A97" t="s">
        <v>140</v>
      </c>
      <c r="B97" t="s">
        <v>141</v>
      </c>
      <c r="C97" s="1">
        <f>418+4+33</f>
        <v>455</v>
      </c>
      <c r="D97" s="1">
        <v>0</v>
      </c>
      <c r="E97" s="1">
        <v>0</v>
      </c>
      <c r="F97" s="1">
        <v>0</v>
      </c>
      <c r="G97" s="1">
        <v>0</v>
      </c>
      <c r="H97" s="1">
        <v>184</v>
      </c>
      <c r="I97" s="1">
        <v>33</v>
      </c>
      <c r="J97" s="1"/>
      <c r="L97" s="13">
        <v>611</v>
      </c>
      <c r="M97" s="13" t="s">
        <v>147</v>
      </c>
      <c r="N97" s="13">
        <v>16946</v>
      </c>
      <c r="O97" s="13">
        <v>30</v>
      </c>
      <c r="P97" s="13">
        <v>0</v>
      </c>
      <c r="Q97" s="13">
        <v>0</v>
      </c>
      <c r="R97" s="13">
        <v>0</v>
      </c>
      <c r="S97" s="13">
        <v>16084</v>
      </c>
    </row>
    <row r="98" spans="1:19" x14ac:dyDescent="0.25">
      <c r="A98" t="s">
        <v>67</v>
      </c>
      <c r="B98" t="s">
        <v>142</v>
      </c>
      <c r="C98" s="1"/>
      <c r="D98" s="1"/>
      <c r="E98" s="1"/>
      <c r="F98" s="1"/>
      <c r="G98" s="1"/>
      <c r="H98" s="1"/>
      <c r="I98" s="1"/>
      <c r="J98" s="1"/>
      <c r="L98" s="13">
        <v>710</v>
      </c>
      <c r="M98" s="13" t="s">
        <v>148</v>
      </c>
      <c r="N98" s="13">
        <v>40342</v>
      </c>
      <c r="O98" s="13">
        <v>44</v>
      </c>
      <c r="P98" s="13">
        <v>0</v>
      </c>
      <c r="Q98" s="13">
        <v>0</v>
      </c>
      <c r="R98" s="13">
        <v>0</v>
      </c>
      <c r="S98" s="13">
        <v>54664</v>
      </c>
    </row>
    <row r="99" spans="1:19" x14ac:dyDescent="0.25">
      <c r="A99" t="s">
        <v>823</v>
      </c>
      <c r="B99" t="s">
        <v>143</v>
      </c>
      <c r="C99" s="1">
        <f>857+14</f>
        <v>871</v>
      </c>
      <c r="D99" s="1">
        <v>0</v>
      </c>
      <c r="E99" s="1">
        <v>0</v>
      </c>
      <c r="F99" s="1">
        <v>0</v>
      </c>
      <c r="G99" s="1">
        <v>0</v>
      </c>
      <c r="H99" s="1">
        <v>14</v>
      </c>
      <c r="I99" s="1">
        <v>12</v>
      </c>
      <c r="J99" s="1"/>
      <c r="L99" s="13">
        <v>616</v>
      </c>
      <c r="M99" s="13" t="s">
        <v>149</v>
      </c>
      <c r="N99" s="13">
        <v>6451</v>
      </c>
      <c r="O99" s="13">
        <v>246</v>
      </c>
      <c r="P99" s="13">
        <v>0</v>
      </c>
      <c r="Q99" s="13">
        <v>0</v>
      </c>
      <c r="R99" s="13">
        <v>0</v>
      </c>
      <c r="S99" s="13">
        <v>10605</v>
      </c>
    </row>
    <row r="100" spans="1:19" x14ac:dyDescent="0.25">
      <c r="A100" t="s">
        <v>792</v>
      </c>
      <c r="B100" t="s">
        <v>144</v>
      </c>
      <c r="C100" s="1"/>
      <c r="D100" s="1"/>
      <c r="E100" s="1"/>
      <c r="F100" s="1"/>
      <c r="G100" s="1"/>
      <c r="H100" s="1"/>
      <c r="I100" s="1"/>
      <c r="J100" s="1"/>
      <c r="L100" s="13">
        <v>114</v>
      </c>
      <c r="M100" s="13" t="s">
        <v>151</v>
      </c>
      <c r="N100" s="13">
        <v>2552</v>
      </c>
      <c r="O100" s="13">
        <v>0</v>
      </c>
      <c r="P100" s="13">
        <v>0</v>
      </c>
      <c r="Q100" s="13">
        <v>0</v>
      </c>
      <c r="R100" s="13">
        <v>0</v>
      </c>
      <c r="S100" s="13">
        <v>210</v>
      </c>
    </row>
    <row r="101" spans="1:19" x14ac:dyDescent="0.25">
      <c r="A101" t="s">
        <v>816</v>
      </c>
      <c r="B101" t="s">
        <v>145</v>
      </c>
      <c r="C101" s="1"/>
      <c r="D101" s="1"/>
      <c r="E101" s="1"/>
      <c r="F101" s="1"/>
      <c r="G101" s="1"/>
      <c r="H101" s="1"/>
      <c r="I101" s="1"/>
      <c r="J101" s="1"/>
      <c r="L101" s="13">
        <v>611</v>
      </c>
      <c r="M101" s="13" t="s">
        <v>152</v>
      </c>
      <c r="N101" s="13">
        <v>5067</v>
      </c>
      <c r="O101" s="13">
        <v>6</v>
      </c>
      <c r="P101" s="13">
        <v>0</v>
      </c>
      <c r="Q101" s="13">
        <v>0</v>
      </c>
      <c r="R101" s="13">
        <v>0</v>
      </c>
      <c r="S101" s="13">
        <v>2579</v>
      </c>
    </row>
    <row r="102" spans="1:19" x14ac:dyDescent="0.25">
      <c r="A102" t="s">
        <v>146</v>
      </c>
      <c r="B102" t="s">
        <v>147</v>
      </c>
      <c r="C102" s="1">
        <f>12288+22+4636</f>
        <v>16946</v>
      </c>
      <c r="D102" s="1">
        <f>28+2</f>
        <v>30</v>
      </c>
      <c r="E102" s="1">
        <v>0</v>
      </c>
      <c r="F102" s="1">
        <v>0</v>
      </c>
      <c r="G102" s="1">
        <v>0</v>
      </c>
      <c r="H102" s="1">
        <v>16084</v>
      </c>
      <c r="I102" s="1">
        <v>3998</v>
      </c>
      <c r="J102" s="1"/>
      <c r="L102" s="13">
        <v>613</v>
      </c>
      <c r="M102" s="13" t="s">
        <v>153</v>
      </c>
      <c r="N102" s="13">
        <v>2854</v>
      </c>
      <c r="O102" s="13">
        <v>0</v>
      </c>
      <c r="P102" s="13">
        <v>0</v>
      </c>
      <c r="Q102" s="13">
        <v>0</v>
      </c>
      <c r="R102" s="13">
        <v>0</v>
      </c>
      <c r="S102" s="13">
        <v>205</v>
      </c>
    </row>
    <row r="103" spans="1:19" x14ac:dyDescent="0.25">
      <c r="A103" t="s">
        <v>69</v>
      </c>
      <c r="B103" t="s">
        <v>148</v>
      </c>
      <c r="C103" s="1">
        <f>30230+2+26+10084</f>
        <v>40342</v>
      </c>
      <c r="D103" s="1">
        <f>4+3+6+30+1</f>
        <v>44</v>
      </c>
      <c r="E103" s="1">
        <v>0</v>
      </c>
      <c r="F103" s="1">
        <v>0</v>
      </c>
      <c r="G103" s="1">
        <v>0</v>
      </c>
      <c r="H103" s="1">
        <v>54664</v>
      </c>
      <c r="I103" s="1">
        <v>8623</v>
      </c>
      <c r="J103" s="1"/>
      <c r="L103" s="13">
        <v>712</v>
      </c>
      <c r="M103" s="13" t="s">
        <v>154</v>
      </c>
      <c r="N103" s="13">
        <v>9922</v>
      </c>
      <c r="O103" s="13">
        <v>2</v>
      </c>
      <c r="P103" s="13">
        <v>0</v>
      </c>
      <c r="Q103" s="13">
        <v>0</v>
      </c>
      <c r="R103" s="13">
        <v>0</v>
      </c>
      <c r="S103" s="13">
        <v>1918</v>
      </c>
    </row>
    <row r="104" spans="1:19" x14ac:dyDescent="0.25">
      <c r="A104" t="s">
        <v>817</v>
      </c>
      <c r="B104" t="s">
        <v>149</v>
      </c>
      <c r="C104" s="1">
        <f>3864+1+2584+2</f>
        <v>6451</v>
      </c>
      <c r="D104" s="1">
        <f>202+14+28+2</f>
        <v>246</v>
      </c>
      <c r="E104" s="1">
        <v>0</v>
      </c>
      <c r="F104" s="1">
        <v>0</v>
      </c>
      <c r="G104" s="1">
        <v>0</v>
      </c>
      <c r="H104" s="1">
        <v>10605</v>
      </c>
      <c r="I104" s="1">
        <v>2355</v>
      </c>
      <c r="J104" s="1"/>
      <c r="L104" s="13">
        <v>700</v>
      </c>
      <c r="M104" s="13" t="s">
        <v>155</v>
      </c>
      <c r="N104" s="13">
        <v>5087</v>
      </c>
      <c r="O104" s="13">
        <v>0</v>
      </c>
      <c r="P104" s="13">
        <v>0</v>
      </c>
      <c r="Q104" s="13">
        <v>0</v>
      </c>
      <c r="R104" s="13">
        <v>0</v>
      </c>
      <c r="S104" s="13">
        <v>20570</v>
      </c>
    </row>
    <row r="105" spans="1:19" x14ac:dyDescent="0.25">
      <c r="A105" t="s">
        <v>150</v>
      </c>
      <c r="B105" t="s">
        <v>151</v>
      </c>
      <c r="C105" s="1"/>
      <c r="D105" s="1"/>
      <c r="E105" s="1"/>
      <c r="F105" s="1"/>
      <c r="G105" s="1"/>
      <c r="H105" s="1"/>
      <c r="I105" s="1"/>
      <c r="J105" s="1"/>
      <c r="L105" s="13" t="s">
        <v>815</v>
      </c>
      <c r="M105" s="13" t="s">
        <v>156</v>
      </c>
      <c r="N105" s="13">
        <v>11496</v>
      </c>
      <c r="O105" s="13">
        <v>15</v>
      </c>
      <c r="P105" s="13">
        <v>0</v>
      </c>
      <c r="Q105" s="13">
        <v>0</v>
      </c>
      <c r="R105" s="13">
        <v>0</v>
      </c>
      <c r="S105" s="13">
        <v>5204</v>
      </c>
    </row>
    <row r="106" spans="1:19" x14ac:dyDescent="0.25">
      <c r="A106" t="s">
        <v>146</v>
      </c>
      <c r="B106" t="s">
        <v>152</v>
      </c>
      <c r="C106" s="1">
        <f>2248+2+2817</f>
        <v>5067</v>
      </c>
      <c r="D106" s="1">
        <v>6</v>
      </c>
      <c r="E106" s="1">
        <v>0</v>
      </c>
      <c r="F106" s="1">
        <v>0</v>
      </c>
      <c r="G106" s="1">
        <v>0</v>
      </c>
      <c r="H106" s="1">
        <v>2579</v>
      </c>
      <c r="I106" s="1">
        <v>1930</v>
      </c>
      <c r="J106" s="1"/>
      <c r="L106" s="13">
        <v>114</v>
      </c>
      <c r="M106" s="13" t="s">
        <v>157</v>
      </c>
      <c r="N106" s="13">
        <v>4240</v>
      </c>
      <c r="O106" s="13">
        <v>0</v>
      </c>
      <c r="P106" s="13">
        <v>0</v>
      </c>
      <c r="Q106" s="13">
        <v>0</v>
      </c>
      <c r="R106" s="13">
        <v>0</v>
      </c>
      <c r="S106" s="13">
        <v>2928</v>
      </c>
    </row>
    <row r="107" spans="1:19" x14ac:dyDescent="0.25">
      <c r="A107" t="s">
        <v>495</v>
      </c>
      <c r="B107" t="s">
        <v>153</v>
      </c>
      <c r="C107" s="1">
        <f>2712+142</f>
        <v>2854</v>
      </c>
      <c r="D107" s="1">
        <v>0</v>
      </c>
      <c r="E107" s="1">
        <v>0</v>
      </c>
      <c r="F107" s="1">
        <v>0</v>
      </c>
      <c r="G107" s="1">
        <v>0</v>
      </c>
      <c r="H107" s="1">
        <v>205</v>
      </c>
      <c r="I107" s="1">
        <v>135</v>
      </c>
      <c r="J107" s="1"/>
      <c r="L107" s="13">
        <v>715</v>
      </c>
      <c r="M107" s="13" t="s">
        <v>158</v>
      </c>
      <c r="N107" s="13">
        <v>5981</v>
      </c>
      <c r="O107" s="13">
        <v>0</v>
      </c>
      <c r="P107" s="13">
        <v>0</v>
      </c>
      <c r="Q107" s="13">
        <v>0</v>
      </c>
      <c r="R107" s="13">
        <v>0</v>
      </c>
      <c r="S107" s="13">
        <v>3828</v>
      </c>
    </row>
    <row r="108" spans="1:19" x14ac:dyDescent="0.25">
      <c r="A108" t="s">
        <v>76</v>
      </c>
      <c r="B108" t="s">
        <v>154</v>
      </c>
      <c r="C108" s="1">
        <f>5847+4075</f>
        <v>9922</v>
      </c>
      <c r="D108" s="1">
        <f>1+1</f>
        <v>2</v>
      </c>
      <c r="E108" s="1">
        <v>0</v>
      </c>
      <c r="F108" s="1">
        <v>0</v>
      </c>
      <c r="G108" s="1">
        <v>0</v>
      </c>
      <c r="H108" s="1">
        <v>1918</v>
      </c>
      <c r="I108" s="1">
        <v>2987</v>
      </c>
      <c r="J108" s="1"/>
      <c r="L108" s="13">
        <v>514</v>
      </c>
      <c r="M108" s="13" t="s">
        <v>159</v>
      </c>
      <c r="N108" s="13">
        <v>656</v>
      </c>
      <c r="O108" s="13">
        <v>0</v>
      </c>
      <c r="P108" s="13">
        <v>0</v>
      </c>
      <c r="Q108" s="13">
        <v>0</v>
      </c>
      <c r="R108" s="13">
        <v>0</v>
      </c>
      <c r="S108" s="13">
        <v>1019</v>
      </c>
    </row>
    <row r="109" spans="1:19" x14ac:dyDescent="0.25">
      <c r="A109" t="s">
        <v>83</v>
      </c>
      <c r="B109" t="s">
        <v>155</v>
      </c>
      <c r="C109" s="1"/>
      <c r="D109" s="1"/>
      <c r="E109" s="1"/>
      <c r="F109" s="1"/>
      <c r="G109" s="1"/>
      <c r="H109" s="1"/>
      <c r="I109" s="1"/>
      <c r="J109" s="1"/>
      <c r="L109" s="13">
        <v>116</v>
      </c>
      <c r="M109" s="13" t="s">
        <v>160</v>
      </c>
      <c r="N109" s="13">
        <v>17382</v>
      </c>
      <c r="O109" s="13">
        <v>811</v>
      </c>
      <c r="P109" s="13">
        <v>0</v>
      </c>
      <c r="Q109" s="13">
        <v>0</v>
      </c>
      <c r="R109" s="13">
        <v>0</v>
      </c>
      <c r="S109" s="13">
        <v>1463</v>
      </c>
    </row>
    <row r="110" spans="1:19" x14ac:dyDescent="0.25">
      <c r="A110" t="s">
        <v>138</v>
      </c>
      <c r="B110" t="s">
        <v>156</v>
      </c>
      <c r="C110" s="1"/>
      <c r="D110" s="1"/>
      <c r="E110" s="1"/>
      <c r="F110" s="1"/>
      <c r="G110" s="1"/>
      <c r="H110" s="1"/>
      <c r="I110" s="1"/>
      <c r="J110" s="1"/>
      <c r="L110" s="13">
        <v>300</v>
      </c>
      <c r="M110" s="13" t="s">
        <v>161</v>
      </c>
      <c r="N110" s="13">
        <v>1698</v>
      </c>
      <c r="O110" s="13">
        <v>0</v>
      </c>
      <c r="P110" s="13">
        <v>0</v>
      </c>
      <c r="Q110" s="13">
        <v>0</v>
      </c>
      <c r="R110" s="13">
        <v>0</v>
      </c>
      <c r="S110" s="13">
        <v>370</v>
      </c>
    </row>
    <row r="111" spans="1:19" x14ac:dyDescent="0.25">
      <c r="A111" t="s">
        <v>150</v>
      </c>
      <c r="B111" t="s">
        <v>157</v>
      </c>
      <c r="C111" s="1"/>
      <c r="D111" s="1"/>
      <c r="E111" s="1"/>
      <c r="F111" s="1"/>
      <c r="G111" s="1"/>
      <c r="H111" s="1"/>
      <c r="I111" s="1"/>
      <c r="J111" s="1"/>
      <c r="L111" s="13">
        <v>100</v>
      </c>
      <c r="M111" s="13" t="s">
        <v>162</v>
      </c>
      <c r="N111" s="13">
        <v>2915</v>
      </c>
      <c r="O111" s="13">
        <v>10</v>
      </c>
      <c r="P111" s="13">
        <v>0</v>
      </c>
      <c r="Q111" s="13">
        <v>0</v>
      </c>
      <c r="R111" s="13">
        <v>0</v>
      </c>
      <c r="S111" s="13">
        <v>1230</v>
      </c>
    </row>
    <row r="112" spans="1:19" x14ac:dyDescent="0.25">
      <c r="A112" t="s">
        <v>818</v>
      </c>
      <c r="B112" t="s">
        <v>158</v>
      </c>
      <c r="C112" s="1">
        <f>5150+3+828</f>
        <v>5981</v>
      </c>
      <c r="D112" s="1">
        <v>0</v>
      </c>
      <c r="E112" s="1">
        <v>0</v>
      </c>
      <c r="F112" s="1">
        <v>0</v>
      </c>
      <c r="G112" s="1">
        <v>0</v>
      </c>
      <c r="H112" s="1">
        <v>3828</v>
      </c>
      <c r="I112" s="1">
        <v>772</v>
      </c>
      <c r="J112" s="1"/>
      <c r="L112" s="13">
        <v>111</v>
      </c>
      <c r="M112" s="13" t="s">
        <v>163</v>
      </c>
      <c r="N112" s="13">
        <v>15759</v>
      </c>
      <c r="O112" s="13">
        <v>489</v>
      </c>
      <c r="P112" s="13">
        <v>0</v>
      </c>
      <c r="Q112" s="13">
        <v>0</v>
      </c>
      <c r="R112" s="13">
        <v>0</v>
      </c>
      <c r="S112" s="13">
        <v>4216</v>
      </c>
    </row>
    <row r="113" spans="1:19" x14ac:dyDescent="0.25">
      <c r="A113" t="s">
        <v>134</v>
      </c>
      <c r="B113" t="s">
        <v>159</v>
      </c>
      <c r="C113" s="1">
        <f>627+4+25</f>
        <v>656</v>
      </c>
      <c r="D113" s="1">
        <v>0</v>
      </c>
      <c r="E113" s="1">
        <v>0</v>
      </c>
      <c r="F113" s="1">
        <v>0</v>
      </c>
      <c r="G113" s="1">
        <v>0</v>
      </c>
      <c r="H113" s="1">
        <v>1019</v>
      </c>
      <c r="I113" s="1">
        <v>26</v>
      </c>
      <c r="J113" s="1"/>
      <c r="L113" s="13" t="s">
        <v>815</v>
      </c>
      <c r="M113" s="13" t="s">
        <v>164</v>
      </c>
      <c r="N113" s="13">
        <v>16688</v>
      </c>
      <c r="O113" s="13">
        <v>38</v>
      </c>
      <c r="P113" s="13">
        <v>0</v>
      </c>
      <c r="Q113" s="13">
        <v>0</v>
      </c>
      <c r="R113" s="13">
        <v>0</v>
      </c>
      <c r="S113" s="13">
        <v>5294</v>
      </c>
    </row>
    <row r="114" spans="1:19" x14ac:dyDescent="0.25">
      <c r="A114" t="s">
        <v>795</v>
      </c>
      <c r="B114" t="s">
        <v>160</v>
      </c>
      <c r="C114" s="1"/>
      <c r="D114" s="1"/>
      <c r="E114" s="1"/>
      <c r="F114" s="1"/>
      <c r="G114" s="1"/>
      <c r="H114" s="1"/>
      <c r="I114" s="1"/>
      <c r="J114" s="1"/>
      <c r="L114" s="13">
        <v>700</v>
      </c>
      <c r="M114" s="13" t="s">
        <v>165</v>
      </c>
      <c r="N114" s="13">
        <v>3797</v>
      </c>
      <c r="O114" s="13">
        <v>123</v>
      </c>
      <c r="P114" s="13">
        <v>0</v>
      </c>
      <c r="Q114" s="13">
        <v>0</v>
      </c>
      <c r="R114" s="13">
        <v>0</v>
      </c>
      <c r="S114" s="13">
        <v>540</v>
      </c>
    </row>
    <row r="115" spans="1:19" x14ac:dyDescent="0.25">
      <c r="A115" t="s">
        <v>226</v>
      </c>
      <c r="B115" t="s">
        <v>161</v>
      </c>
      <c r="C115" s="1">
        <f>1512+15+44+127</f>
        <v>1698</v>
      </c>
      <c r="D115" s="1">
        <v>0</v>
      </c>
      <c r="E115" s="1">
        <v>0</v>
      </c>
      <c r="F115" s="1">
        <v>0</v>
      </c>
      <c r="G115" s="1">
        <v>0</v>
      </c>
      <c r="H115" s="1">
        <v>370</v>
      </c>
      <c r="I115" s="1">
        <v>118</v>
      </c>
      <c r="J115" s="1"/>
      <c r="L115" s="13">
        <v>715</v>
      </c>
      <c r="M115" s="13" t="s">
        <v>166</v>
      </c>
      <c r="N115" s="13">
        <v>816</v>
      </c>
      <c r="O115" s="13">
        <v>0</v>
      </c>
      <c r="P115" s="13">
        <v>0</v>
      </c>
      <c r="Q115" s="13">
        <v>0</v>
      </c>
      <c r="R115" s="13">
        <v>0</v>
      </c>
      <c r="S115" s="13">
        <v>70</v>
      </c>
    </row>
    <row r="116" spans="1:19" x14ac:dyDescent="0.25">
      <c r="A116" t="s">
        <v>791</v>
      </c>
      <c r="B116" t="s">
        <v>162</v>
      </c>
      <c r="C116" s="1"/>
      <c r="D116" s="1"/>
      <c r="E116" s="1"/>
      <c r="F116" s="1"/>
      <c r="G116" s="1"/>
      <c r="H116" s="1"/>
      <c r="I116" s="1"/>
      <c r="J116" s="1"/>
      <c r="L116" s="13">
        <v>711</v>
      </c>
      <c r="M116" s="13" t="s">
        <v>167</v>
      </c>
      <c r="N116" s="13">
        <v>12864</v>
      </c>
      <c r="O116" s="13">
        <v>3</v>
      </c>
      <c r="P116" s="13">
        <v>0</v>
      </c>
      <c r="Q116" s="13">
        <v>0</v>
      </c>
      <c r="R116" s="13">
        <v>0</v>
      </c>
      <c r="S116" s="13">
        <v>6495</v>
      </c>
    </row>
    <row r="117" spans="1:19" x14ac:dyDescent="0.25">
      <c r="A117" t="s">
        <v>811</v>
      </c>
      <c r="B117" t="s">
        <v>163</v>
      </c>
      <c r="C117" s="1"/>
      <c r="D117" s="1"/>
      <c r="E117" s="1"/>
      <c r="F117" s="1"/>
      <c r="G117" s="1"/>
      <c r="H117" s="1"/>
      <c r="I117" s="1"/>
      <c r="J117" s="1"/>
      <c r="L117" s="13">
        <v>120</v>
      </c>
      <c r="M117" s="13" t="s">
        <v>168</v>
      </c>
      <c r="N117" s="13">
        <v>7045</v>
      </c>
      <c r="O117" s="13">
        <v>98</v>
      </c>
      <c r="P117" s="13">
        <v>0</v>
      </c>
      <c r="Q117" s="13">
        <v>0</v>
      </c>
      <c r="R117" s="13">
        <v>0</v>
      </c>
      <c r="S117" s="13">
        <v>2169</v>
      </c>
    </row>
    <row r="118" spans="1:19" x14ac:dyDescent="0.25">
      <c r="A118" t="s">
        <v>138</v>
      </c>
      <c r="B118" t="s">
        <v>164</v>
      </c>
      <c r="C118" s="1"/>
      <c r="D118" s="1"/>
      <c r="E118" s="1"/>
      <c r="F118" s="1"/>
      <c r="G118" s="1"/>
      <c r="H118" s="1"/>
      <c r="I118" s="1"/>
      <c r="J118" s="1"/>
      <c r="L118" s="13">
        <v>161</v>
      </c>
      <c r="M118" s="13" t="s">
        <v>169</v>
      </c>
      <c r="N118" s="13">
        <v>3246</v>
      </c>
      <c r="O118" s="13">
        <v>75</v>
      </c>
      <c r="P118" s="13">
        <v>0</v>
      </c>
      <c r="Q118" s="13">
        <v>0</v>
      </c>
      <c r="R118" s="13">
        <v>0</v>
      </c>
      <c r="S118" s="13">
        <v>451</v>
      </c>
    </row>
    <row r="119" spans="1:19" x14ac:dyDescent="0.25">
      <c r="A119" t="s">
        <v>83</v>
      </c>
      <c r="B119" t="s">
        <v>165</v>
      </c>
      <c r="C119" s="1"/>
      <c r="D119" s="1"/>
      <c r="E119" s="1"/>
      <c r="F119" s="1"/>
      <c r="G119" s="1"/>
      <c r="H119" s="1"/>
      <c r="I119" s="1"/>
      <c r="J119" s="1"/>
      <c r="L119" s="13">
        <v>111</v>
      </c>
      <c r="M119" s="13" t="s">
        <v>170</v>
      </c>
      <c r="N119" s="13">
        <v>5944</v>
      </c>
      <c r="O119" s="13">
        <v>8</v>
      </c>
      <c r="P119" s="13">
        <v>0</v>
      </c>
      <c r="Q119" s="13">
        <v>0</v>
      </c>
      <c r="R119" s="13">
        <v>0</v>
      </c>
      <c r="S119" s="13">
        <v>3725</v>
      </c>
    </row>
    <row r="120" spans="1:19" x14ac:dyDescent="0.25">
      <c r="A120" t="s">
        <v>818</v>
      </c>
      <c r="B120" t="s">
        <v>166</v>
      </c>
      <c r="C120" s="1">
        <f>720+96</f>
        <v>816</v>
      </c>
      <c r="D120" s="1">
        <v>0</v>
      </c>
      <c r="E120" s="1">
        <v>0</v>
      </c>
      <c r="F120" s="1">
        <v>0</v>
      </c>
      <c r="G120" s="1">
        <v>0</v>
      </c>
      <c r="H120" s="1">
        <v>70</v>
      </c>
      <c r="I120" s="1">
        <v>97</v>
      </c>
      <c r="J120" s="1"/>
      <c r="L120" s="13">
        <v>313</v>
      </c>
      <c r="M120" s="13" t="s">
        <v>171</v>
      </c>
      <c r="N120" s="13">
        <v>1490</v>
      </c>
      <c r="O120" s="13">
        <v>0</v>
      </c>
      <c r="P120" s="13">
        <v>0</v>
      </c>
      <c r="Q120" s="13">
        <v>0</v>
      </c>
      <c r="R120" s="13">
        <v>0</v>
      </c>
      <c r="S120" s="13">
        <v>1471</v>
      </c>
    </row>
    <row r="121" spans="1:19" x14ac:dyDescent="0.25">
      <c r="A121" t="s">
        <v>801</v>
      </c>
      <c r="B121" t="s">
        <v>167</v>
      </c>
      <c r="C121" s="1">
        <f>11633+14+2+1215</f>
        <v>12864</v>
      </c>
      <c r="D121" s="1">
        <v>3</v>
      </c>
      <c r="E121" s="1">
        <v>0</v>
      </c>
      <c r="F121" s="1">
        <v>0</v>
      </c>
      <c r="G121" s="1">
        <v>0</v>
      </c>
      <c r="H121" s="1">
        <v>6495</v>
      </c>
      <c r="I121" s="1">
        <v>1187</v>
      </c>
      <c r="J121" s="1"/>
      <c r="L121" s="13">
        <v>161</v>
      </c>
      <c r="M121" s="13" t="s">
        <v>172</v>
      </c>
      <c r="N121" s="13"/>
      <c r="O121" s="13"/>
      <c r="P121" s="13"/>
      <c r="Q121" s="13"/>
      <c r="R121" s="13"/>
      <c r="S121" s="13"/>
    </row>
    <row r="122" spans="1:19" x14ac:dyDescent="0.25">
      <c r="A122" t="s">
        <v>802</v>
      </c>
      <c r="B122" t="s">
        <v>168</v>
      </c>
      <c r="C122" s="1"/>
      <c r="D122" s="1"/>
      <c r="E122" s="1"/>
      <c r="F122" s="1"/>
      <c r="G122" s="1"/>
      <c r="H122" s="1"/>
      <c r="I122" s="1"/>
      <c r="J122" s="1"/>
      <c r="L122" s="13">
        <v>711</v>
      </c>
      <c r="M122" s="13" t="s">
        <v>173</v>
      </c>
      <c r="N122" s="13">
        <v>15631</v>
      </c>
      <c r="O122" s="13">
        <v>209</v>
      </c>
      <c r="P122" s="13">
        <v>0</v>
      </c>
      <c r="Q122" s="13">
        <v>0</v>
      </c>
      <c r="R122" s="13">
        <v>0</v>
      </c>
      <c r="S122" s="13">
        <v>15358</v>
      </c>
    </row>
    <row r="123" spans="1:19" x14ac:dyDescent="0.25">
      <c r="A123" t="s">
        <v>792</v>
      </c>
      <c r="B123" t="s">
        <v>169</v>
      </c>
      <c r="C123" s="1"/>
      <c r="D123" s="1"/>
      <c r="E123" s="1"/>
      <c r="F123" s="1"/>
      <c r="G123" s="1"/>
      <c r="H123" s="1"/>
      <c r="I123" s="1"/>
      <c r="J123" s="1"/>
      <c r="L123" s="13">
        <v>211</v>
      </c>
      <c r="M123" s="13" t="s">
        <v>174</v>
      </c>
      <c r="N123" s="13">
        <v>1568</v>
      </c>
      <c r="O123" s="13">
        <v>2</v>
      </c>
      <c r="P123" s="13">
        <v>0</v>
      </c>
      <c r="Q123" s="13">
        <v>0</v>
      </c>
      <c r="R123" s="13">
        <v>0</v>
      </c>
      <c r="S123" s="13">
        <v>1618</v>
      </c>
    </row>
    <row r="124" spans="1:19" x14ac:dyDescent="0.25">
      <c r="A124" t="s">
        <v>811</v>
      </c>
      <c r="B124" t="s">
        <v>170</v>
      </c>
      <c r="C124" s="1"/>
      <c r="D124" s="1"/>
      <c r="E124" s="1"/>
      <c r="F124" s="1"/>
      <c r="G124" s="1"/>
      <c r="H124" s="1"/>
      <c r="I124" s="1"/>
      <c r="J124" s="1"/>
      <c r="L124" s="13">
        <v>300</v>
      </c>
      <c r="M124" s="13" t="s">
        <v>175</v>
      </c>
      <c r="N124" s="13">
        <v>1463</v>
      </c>
      <c r="O124" s="13">
        <v>0</v>
      </c>
      <c r="P124" s="13">
        <v>0</v>
      </c>
      <c r="Q124" s="13">
        <v>0</v>
      </c>
      <c r="R124" s="13">
        <v>0</v>
      </c>
      <c r="S124" s="13">
        <v>466</v>
      </c>
    </row>
    <row r="125" spans="1:19" x14ac:dyDescent="0.25">
      <c r="A125" t="s">
        <v>512</v>
      </c>
      <c r="B125" t="s">
        <v>171</v>
      </c>
      <c r="C125" s="1"/>
      <c r="D125" s="1"/>
      <c r="E125" s="1"/>
      <c r="F125" s="1"/>
      <c r="G125" s="1"/>
      <c r="H125" s="1"/>
      <c r="I125" s="1"/>
      <c r="J125" s="1"/>
      <c r="L125" s="13" t="s">
        <v>814</v>
      </c>
      <c r="M125" s="13" t="s">
        <v>176</v>
      </c>
      <c r="N125" s="13">
        <v>35686</v>
      </c>
      <c r="O125" s="13">
        <v>0</v>
      </c>
      <c r="P125" s="13">
        <v>0</v>
      </c>
      <c r="Q125" s="13">
        <v>0</v>
      </c>
      <c r="R125" s="13">
        <v>0</v>
      </c>
      <c r="S125" s="13">
        <v>2762</v>
      </c>
    </row>
    <row r="126" spans="1:19" x14ac:dyDescent="0.25">
      <c r="A126" t="s">
        <v>792</v>
      </c>
      <c r="B126" t="s">
        <v>172</v>
      </c>
      <c r="C126" s="1"/>
      <c r="D126" s="1"/>
      <c r="E126" s="1"/>
      <c r="F126" s="1"/>
      <c r="G126" s="1"/>
      <c r="H126" s="1"/>
      <c r="I126" s="1"/>
      <c r="J126" s="1"/>
      <c r="L126" s="13">
        <v>600</v>
      </c>
      <c r="M126" s="13" t="s">
        <v>177</v>
      </c>
      <c r="N126" s="13">
        <v>4818</v>
      </c>
      <c r="O126" s="13">
        <v>0</v>
      </c>
      <c r="P126" s="13">
        <v>0</v>
      </c>
      <c r="Q126" s="13">
        <v>0</v>
      </c>
      <c r="R126" s="13">
        <v>0</v>
      </c>
      <c r="S126" s="13">
        <v>2339</v>
      </c>
    </row>
    <row r="127" spans="1:19" x14ac:dyDescent="0.25">
      <c r="A127" t="s">
        <v>801</v>
      </c>
      <c r="B127" t="s">
        <v>173</v>
      </c>
      <c r="C127" s="1">
        <f>10081+1+936+6+3+4604</f>
        <v>15631</v>
      </c>
      <c r="D127" s="1">
        <f>64+145</f>
        <v>209</v>
      </c>
      <c r="E127" s="1">
        <v>0</v>
      </c>
      <c r="F127" s="1">
        <v>0</v>
      </c>
      <c r="G127" s="1">
        <v>0</v>
      </c>
      <c r="H127" s="1">
        <v>15358</v>
      </c>
      <c r="I127" s="1">
        <v>4577</v>
      </c>
      <c r="J127" s="1"/>
      <c r="L127" s="13">
        <v>700</v>
      </c>
      <c r="M127" s="13" t="s">
        <v>178</v>
      </c>
      <c r="N127" s="13">
        <v>15190</v>
      </c>
      <c r="O127" s="13">
        <v>82</v>
      </c>
      <c r="P127" s="13">
        <v>0</v>
      </c>
      <c r="Q127" s="13">
        <v>0</v>
      </c>
      <c r="R127" s="13">
        <v>0</v>
      </c>
      <c r="S127" s="13">
        <v>18139</v>
      </c>
    </row>
    <row r="128" spans="1:19" x14ac:dyDescent="0.25">
      <c r="A128" t="s">
        <v>131</v>
      </c>
      <c r="B128" t="s">
        <v>174</v>
      </c>
      <c r="C128" s="1">
        <f>1190+378</f>
        <v>1568</v>
      </c>
      <c r="D128" s="1">
        <v>2</v>
      </c>
      <c r="E128" s="1">
        <v>0</v>
      </c>
      <c r="F128" s="1">
        <v>0</v>
      </c>
      <c r="G128" s="1">
        <v>0</v>
      </c>
      <c r="H128" s="1">
        <v>1618</v>
      </c>
      <c r="I128" s="1">
        <v>362</v>
      </c>
      <c r="J128" s="1"/>
      <c r="L128" s="13">
        <v>713</v>
      </c>
      <c r="M128" s="13" t="s">
        <v>179</v>
      </c>
      <c r="N128" s="13">
        <v>5144</v>
      </c>
      <c r="O128" s="13">
        <v>5</v>
      </c>
      <c r="P128" s="13">
        <v>0</v>
      </c>
      <c r="Q128" s="13">
        <v>0</v>
      </c>
      <c r="R128" s="13">
        <v>0</v>
      </c>
      <c r="S128" s="13">
        <v>11969</v>
      </c>
    </row>
    <row r="129" spans="1:19" x14ac:dyDescent="0.25">
      <c r="A129" t="s">
        <v>226</v>
      </c>
      <c r="B129" t="s">
        <v>175</v>
      </c>
      <c r="C129" s="1">
        <f>1390+24+8+41</f>
        <v>1463</v>
      </c>
      <c r="D129" s="1">
        <v>0</v>
      </c>
      <c r="E129" s="1">
        <v>0</v>
      </c>
      <c r="F129" s="1">
        <v>0</v>
      </c>
      <c r="G129" s="1">
        <v>0</v>
      </c>
      <c r="H129" s="1">
        <v>466</v>
      </c>
      <c r="I129" s="1">
        <v>36</v>
      </c>
      <c r="J129" s="1"/>
      <c r="L129" s="13">
        <v>116</v>
      </c>
      <c r="M129" s="13" t="s">
        <v>180</v>
      </c>
      <c r="N129" s="13">
        <v>32651</v>
      </c>
      <c r="O129" s="13">
        <v>23</v>
      </c>
      <c r="P129" s="13">
        <v>0</v>
      </c>
      <c r="Q129" s="13">
        <v>0</v>
      </c>
      <c r="R129" s="13">
        <v>0</v>
      </c>
      <c r="S129" s="13">
        <v>11640</v>
      </c>
    </row>
    <row r="130" spans="1:19" x14ac:dyDescent="0.25">
      <c r="A130" t="s">
        <v>794</v>
      </c>
      <c r="B130" t="s">
        <v>176</v>
      </c>
      <c r="C130" s="1">
        <f>34212+1474</f>
        <v>35686</v>
      </c>
      <c r="D130" s="1">
        <v>0</v>
      </c>
      <c r="E130" s="1">
        <v>0</v>
      </c>
      <c r="F130" s="1">
        <v>0</v>
      </c>
      <c r="G130" s="1">
        <v>0</v>
      </c>
      <c r="H130" s="1">
        <v>2762</v>
      </c>
      <c r="I130" s="1">
        <v>1105</v>
      </c>
      <c r="J130" s="1"/>
      <c r="L130" s="13">
        <v>100</v>
      </c>
      <c r="M130" s="13" t="s">
        <v>181</v>
      </c>
      <c r="N130" s="13">
        <v>2139</v>
      </c>
      <c r="O130" s="13">
        <v>505</v>
      </c>
      <c r="P130" s="13">
        <v>0</v>
      </c>
      <c r="Q130" s="13">
        <v>0</v>
      </c>
      <c r="R130" s="13">
        <v>0</v>
      </c>
      <c r="S130" s="13">
        <v>1408</v>
      </c>
    </row>
    <row r="131" spans="1:19" x14ac:dyDescent="0.25">
      <c r="A131" t="s">
        <v>248</v>
      </c>
      <c r="B131" t="s">
        <v>177</v>
      </c>
      <c r="C131" s="1">
        <f>3742+3+12+2+9+15+1035</f>
        <v>4818</v>
      </c>
      <c r="D131" s="1">
        <v>0</v>
      </c>
      <c r="E131" s="1">
        <v>0</v>
      </c>
      <c r="F131" s="1">
        <v>0</v>
      </c>
      <c r="G131" s="1">
        <v>0</v>
      </c>
      <c r="H131" s="1">
        <v>2339</v>
      </c>
      <c r="I131" s="1">
        <v>674</v>
      </c>
      <c r="J131" s="1"/>
      <c r="L131" s="13">
        <v>700</v>
      </c>
      <c r="M131" s="13" t="s">
        <v>182</v>
      </c>
      <c r="N131" s="13">
        <v>11303</v>
      </c>
      <c r="O131" s="13">
        <v>75</v>
      </c>
      <c r="P131" s="13">
        <v>0</v>
      </c>
      <c r="Q131" s="13">
        <v>0</v>
      </c>
      <c r="R131" s="13">
        <v>0</v>
      </c>
      <c r="S131" s="13">
        <v>1547</v>
      </c>
    </row>
    <row r="132" spans="1:19" x14ac:dyDescent="0.25">
      <c r="A132" t="s">
        <v>83</v>
      </c>
      <c r="B132" t="s">
        <v>178</v>
      </c>
      <c r="C132" s="1"/>
      <c r="D132" s="1"/>
      <c r="E132" s="1"/>
      <c r="F132" s="1"/>
      <c r="G132" s="1"/>
      <c r="H132" s="1"/>
      <c r="I132" s="1"/>
      <c r="J132" s="1"/>
      <c r="L132" s="13">
        <v>616</v>
      </c>
      <c r="M132" s="13" t="s">
        <v>183</v>
      </c>
      <c r="N132" s="13">
        <v>663</v>
      </c>
      <c r="O132" s="13">
        <v>1</v>
      </c>
      <c r="P132" s="13">
        <v>0</v>
      </c>
      <c r="Q132" s="13">
        <v>0</v>
      </c>
      <c r="R132" s="13">
        <v>0</v>
      </c>
      <c r="S132" s="13">
        <v>1937</v>
      </c>
    </row>
    <row r="133" spans="1:19" x14ac:dyDescent="0.25">
      <c r="A133" t="s">
        <v>796</v>
      </c>
      <c r="B133" t="s">
        <v>179</v>
      </c>
      <c r="C133" s="1">
        <f>3204+1940</f>
        <v>5144</v>
      </c>
      <c r="D133" s="1">
        <f>1+4</f>
        <v>5</v>
      </c>
      <c r="E133" s="1">
        <v>0</v>
      </c>
      <c r="F133" s="1">
        <v>0</v>
      </c>
      <c r="G133" s="1">
        <v>0</v>
      </c>
      <c r="H133" s="1">
        <v>11969</v>
      </c>
      <c r="I133" s="1">
        <v>0</v>
      </c>
      <c r="J133" s="1"/>
      <c r="L133" s="13">
        <v>310</v>
      </c>
      <c r="M133" s="13" t="s">
        <v>184</v>
      </c>
      <c r="N133" s="13">
        <v>12117</v>
      </c>
      <c r="O133" s="13">
        <v>112</v>
      </c>
      <c r="P133" s="13">
        <v>0</v>
      </c>
      <c r="Q133" s="13">
        <v>0</v>
      </c>
      <c r="R133" s="13">
        <v>0</v>
      </c>
      <c r="S133" s="13">
        <v>5915</v>
      </c>
    </row>
    <row r="134" spans="1:19" x14ac:dyDescent="0.25">
      <c r="A134" t="s">
        <v>795</v>
      </c>
      <c r="B134" t="s">
        <v>180</v>
      </c>
      <c r="C134" s="1"/>
      <c r="D134" s="1"/>
      <c r="E134" s="1"/>
      <c r="F134" s="1"/>
      <c r="G134" s="1"/>
      <c r="H134" s="1"/>
      <c r="I134" s="1"/>
      <c r="J134" s="1"/>
      <c r="L134" s="13">
        <v>210</v>
      </c>
      <c r="M134" s="13" t="s">
        <v>186</v>
      </c>
      <c r="N134" s="13">
        <v>3712</v>
      </c>
      <c r="O134" s="13">
        <v>0</v>
      </c>
      <c r="P134" s="13">
        <v>0</v>
      </c>
      <c r="Q134" s="13">
        <v>0</v>
      </c>
      <c r="R134" s="13">
        <v>0</v>
      </c>
      <c r="S134" s="13">
        <v>5107</v>
      </c>
    </row>
    <row r="135" spans="1:19" x14ac:dyDescent="0.25">
      <c r="A135" t="s">
        <v>791</v>
      </c>
      <c r="B135" t="s">
        <v>181</v>
      </c>
      <c r="C135" s="1"/>
      <c r="D135" s="1"/>
      <c r="E135" s="1"/>
      <c r="F135" s="1"/>
      <c r="G135" s="1"/>
      <c r="H135" s="1"/>
      <c r="I135" s="1"/>
      <c r="J135" s="1"/>
      <c r="L135" s="13">
        <v>313</v>
      </c>
      <c r="M135" s="13" t="s">
        <v>187</v>
      </c>
      <c r="N135" s="13">
        <v>6050</v>
      </c>
      <c r="O135" s="13">
        <v>0</v>
      </c>
      <c r="P135" s="13">
        <v>0</v>
      </c>
      <c r="Q135" s="13">
        <v>0</v>
      </c>
      <c r="R135" s="13">
        <v>0</v>
      </c>
      <c r="S135" s="13">
        <v>3434</v>
      </c>
    </row>
    <row r="136" spans="1:19" x14ac:dyDescent="0.25">
      <c r="A136" t="s">
        <v>83</v>
      </c>
      <c r="B136" t="s">
        <v>182</v>
      </c>
      <c r="C136" s="1"/>
      <c r="D136" s="1"/>
      <c r="E136" s="1"/>
      <c r="F136" s="1"/>
      <c r="G136" s="1"/>
      <c r="H136" s="1"/>
      <c r="I136" s="1"/>
      <c r="J136" s="1"/>
      <c r="L136" s="13">
        <v>118</v>
      </c>
      <c r="M136" s="13" t="s">
        <v>189</v>
      </c>
      <c r="N136" s="13">
        <v>16723</v>
      </c>
      <c r="O136" s="13">
        <v>1</v>
      </c>
      <c r="P136" s="13">
        <v>0</v>
      </c>
      <c r="Q136" s="13">
        <v>0</v>
      </c>
      <c r="R136" s="13">
        <v>0</v>
      </c>
      <c r="S136" s="13">
        <v>1357</v>
      </c>
    </row>
    <row r="137" spans="1:19" x14ac:dyDescent="0.25">
      <c r="A137" t="s">
        <v>817</v>
      </c>
      <c r="B137" t="s">
        <v>183</v>
      </c>
      <c r="C137" s="1">
        <f>6+657</f>
        <v>663</v>
      </c>
      <c r="D137" s="1">
        <v>1</v>
      </c>
      <c r="E137" s="1">
        <v>0</v>
      </c>
      <c r="F137" s="1">
        <v>0</v>
      </c>
      <c r="G137" s="1">
        <v>0</v>
      </c>
      <c r="H137" s="1">
        <v>1937</v>
      </c>
      <c r="I137" s="1">
        <v>507</v>
      </c>
      <c r="J137" s="1"/>
      <c r="L137" s="13">
        <v>700</v>
      </c>
      <c r="M137" s="13" t="s">
        <v>190</v>
      </c>
      <c r="N137" s="13">
        <v>16412</v>
      </c>
      <c r="O137" s="13">
        <v>11</v>
      </c>
      <c r="P137" s="13">
        <v>0</v>
      </c>
      <c r="Q137" s="13">
        <v>0</v>
      </c>
      <c r="R137" s="13">
        <v>0</v>
      </c>
      <c r="S137" s="13">
        <v>1231</v>
      </c>
    </row>
    <row r="138" spans="1:19" x14ac:dyDescent="0.25">
      <c r="A138" t="s">
        <v>67</v>
      </c>
      <c r="B138" t="s">
        <v>184</v>
      </c>
      <c r="C138" s="1"/>
      <c r="D138" s="1"/>
      <c r="E138" s="1"/>
      <c r="F138" s="1"/>
      <c r="G138" s="1"/>
      <c r="H138" s="1"/>
      <c r="I138" s="1"/>
      <c r="J138" s="1"/>
      <c r="L138" s="13">
        <v>712</v>
      </c>
      <c r="M138" s="13" t="s">
        <v>191</v>
      </c>
      <c r="N138" s="13">
        <v>18489</v>
      </c>
      <c r="O138" s="13">
        <v>274</v>
      </c>
      <c r="P138" s="13">
        <v>0</v>
      </c>
      <c r="Q138" s="13">
        <v>0</v>
      </c>
      <c r="R138" s="13">
        <v>0</v>
      </c>
      <c r="S138" s="13">
        <v>228</v>
      </c>
    </row>
    <row r="139" spans="1:19" x14ac:dyDescent="0.25">
      <c r="A139" t="s">
        <v>185</v>
      </c>
      <c r="B139" t="s">
        <v>186</v>
      </c>
      <c r="C139" s="1">
        <f>2668+1044</f>
        <v>3712</v>
      </c>
      <c r="D139" s="1">
        <v>0</v>
      </c>
      <c r="E139" s="1">
        <v>0</v>
      </c>
      <c r="F139" s="1">
        <v>0</v>
      </c>
      <c r="G139" s="1">
        <v>0</v>
      </c>
      <c r="H139" s="1">
        <v>5107</v>
      </c>
      <c r="I139" s="1">
        <v>573</v>
      </c>
      <c r="J139" s="1"/>
      <c r="L139" s="13">
        <v>511</v>
      </c>
      <c r="M139" s="13" t="s">
        <v>192</v>
      </c>
      <c r="N139" s="13">
        <v>19618</v>
      </c>
      <c r="O139" s="13">
        <v>87</v>
      </c>
      <c r="P139" s="13">
        <v>0</v>
      </c>
      <c r="Q139" s="13">
        <v>0</v>
      </c>
      <c r="R139" s="13">
        <v>0</v>
      </c>
      <c r="S139" s="13">
        <v>13819</v>
      </c>
    </row>
    <row r="140" spans="1:19" x14ac:dyDescent="0.25">
      <c r="A140" t="s">
        <v>512</v>
      </c>
      <c r="B140" t="s">
        <v>187</v>
      </c>
      <c r="C140" s="1"/>
      <c r="D140" s="1"/>
      <c r="E140" s="1"/>
      <c r="F140" s="1"/>
      <c r="G140" s="1"/>
      <c r="H140" s="1"/>
      <c r="I140" s="1"/>
      <c r="J140" s="1"/>
      <c r="L140" s="13">
        <v>114</v>
      </c>
      <c r="M140" s="13" t="s">
        <v>193</v>
      </c>
      <c r="N140" s="13">
        <v>1249</v>
      </c>
      <c r="O140" s="13">
        <v>0</v>
      </c>
      <c r="P140" s="13">
        <v>0</v>
      </c>
      <c r="Q140" s="13">
        <v>0</v>
      </c>
      <c r="R140" s="13">
        <v>0</v>
      </c>
      <c r="S140" s="13">
        <v>217</v>
      </c>
    </row>
    <row r="141" spans="1:19" x14ac:dyDescent="0.25">
      <c r="A141" t="s">
        <v>188</v>
      </c>
      <c r="B141" t="s">
        <v>189</v>
      </c>
      <c r="C141" s="1"/>
      <c r="D141" s="1"/>
      <c r="E141" s="1"/>
      <c r="F141" s="1"/>
      <c r="G141" s="1"/>
      <c r="H141" s="1"/>
      <c r="I141" s="1"/>
      <c r="J141" s="1"/>
      <c r="L141" s="13">
        <v>111</v>
      </c>
      <c r="M141" s="13" t="s">
        <v>194</v>
      </c>
      <c r="N141" s="13">
        <v>21200</v>
      </c>
      <c r="O141" s="13">
        <v>160</v>
      </c>
      <c r="P141" s="13">
        <v>0</v>
      </c>
      <c r="Q141" s="13">
        <v>0</v>
      </c>
      <c r="R141" s="13">
        <v>0</v>
      </c>
      <c r="S141" s="13">
        <v>564</v>
      </c>
    </row>
    <row r="142" spans="1:19" x14ac:dyDescent="0.25">
      <c r="A142" t="s">
        <v>83</v>
      </c>
      <c r="B142" t="s">
        <v>190</v>
      </c>
      <c r="C142" s="1"/>
      <c r="D142" s="1"/>
      <c r="E142" s="1"/>
      <c r="F142" s="1"/>
      <c r="G142" s="1"/>
      <c r="H142" s="1"/>
      <c r="I142" s="1"/>
      <c r="J142" s="1"/>
      <c r="L142" s="13">
        <v>712</v>
      </c>
      <c r="M142" s="13" t="s">
        <v>195</v>
      </c>
      <c r="N142" s="13">
        <v>27053</v>
      </c>
      <c r="O142" s="13">
        <v>31</v>
      </c>
      <c r="P142" s="13">
        <v>0</v>
      </c>
      <c r="Q142" s="13">
        <v>0</v>
      </c>
      <c r="R142" s="13">
        <v>0</v>
      </c>
      <c r="S142" s="13">
        <v>9587</v>
      </c>
    </row>
    <row r="143" spans="1:19" x14ac:dyDescent="0.25">
      <c r="A143" t="s">
        <v>76</v>
      </c>
      <c r="B143" t="s">
        <v>191</v>
      </c>
      <c r="C143" s="1">
        <f>10995+7494</f>
        <v>18489</v>
      </c>
      <c r="D143" s="1">
        <f>3+271</f>
        <v>274</v>
      </c>
      <c r="E143" s="1">
        <v>0</v>
      </c>
      <c r="F143" s="1">
        <v>0</v>
      </c>
      <c r="G143" s="1">
        <v>0</v>
      </c>
      <c r="H143" s="1">
        <v>228</v>
      </c>
      <c r="I143" s="1">
        <v>4767</v>
      </c>
      <c r="J143" s="1"/>
      <c r="L143" s="13">
        <v>610</v>
      </c>
      <c r="M143" s="13" t="s">
        <v>196</v>
      </c>
      <c r="N143" s="13">
        <v>14367</v>
      </c>
      <c r="O143" s="13">
        <v>159</v>
      </c>
      <c r="P143" s="13">
        <v>0</v>
      </c>
      <c r="Q143" s="13">
        <v>0</v>
      </c>
      <c r="R143" s="13">
        <v>0</v>
      </c>
      <c r="S143" s="13">
        <v>14621</v>
      </c>
    </row>
    <row r="144" spans="1:19" x14ac:dyDescent="0.25">
      <c r="A144" t="s">
        <v>101</v>
      </c>
      <c r="B144" t="s">
        <v>192</v>
      </c>
      <c r="C144" s="1">
        <f>16973+7+2638</f>
        <v>19618</v>
      </c>
      <c r="D144" s="1">
        <v>87</v>
      </c>
      <c r="E144" s="1">
        <v>0</v>
      </c>
      <c r="F144" s="1">
        <v>0</v>
      </c>
      <c r="G144" s="1">
        <v>0</v>
      </c>
      <c r="H144" s="1">
        <v>13819</v>
      </c>
      <c r="I144" s="1">
        <v>1940</v>
      </c>
      <c r="J144" s="1"/>
      <c r="L144" s="13">
        <v>616</v>
      </c>
      <c r="M144" s="13" t="s">
        <v>197</v>
      </c>
      <c r="N144" s="13">
        <v>7659</v>
      </c>
      <c r="O144" s="13">
        <v>74</v>
      </c>
      <c r="P144" s="13">
        <v>0</v>
      </c>
      <c r="Q144" s="13">
        <v>0</v>
      </c>
      <c r="R144" s="13">
        <v>0</v>
      </c>
      <c r="S144" s="13">
        <v>8727</v>
      </c>
    </row>
    <row r="145" spans="1:19" x14ac:dyDescent="0.25">
      <c r="A145" t="s">
        <v>150</v>
      </c>
      <c r="B145" t="s">
        <v>193</v>
      </c>
      <c r="C145" s="1"/>
      <c r="D145" s="1"/>
      <c r="E145" s="1"/>
      <c r="F145" s="1"/>
      <c r="G145" s="1"/>
      <c r="H145" s="1"/>
      <c r="I145" s="1"/>
      <c r="J145" s="1"/>
      <c r="L145" s="13">
        <v>616</v>
      </c>
      <c r="M145" s="13" t="s">
        <v>198</v>
      </c>
      <c r="N145" s="13">
        <v>6116</v>
      </c>
      <c r="O145" s="13">
        <v>84</v>
      </c>
      <c r="P145" s="13">
        <v>0</v>
      </c>
      <c r="Q145" s="13">
        <v>0</v>
      </c>
      <c r="R145" s="13">
        <v>0</v>
      </c>
      <c r="S145" s="13">
        <v>9100</v>
      </c>
    </row>
    <row r="146" spans="1:19" x14ac:dyDescent="0.25">
      <c r="A146" t="s">
        <v>811</v>
      </c>
      <c r="B146" t="s">
        <v>194</v>
      </c>
      <c r="C146" s="1"/>
      <c r="D146" s="1"/>
      <c r="E146" s="1"/>
      <c r="F146" s="1"/>
      <c r="G146" s="1"/>
      <c r="H146" s="1"/>
      <c r="I146" s="1"/>
      <c r="J146" s="1"/>
      <c r="L146" s="13">
        <v>710</v>
      </c>
      <c r="M146" s="13" t="s">
        <v>199</v>
      </c>
      <c r="N146" s="13">
        <v>10462</v>
      </c>
      <c r="O146" s="13">
        <v>7</v>
      </c>
      <c r="P146" s="13">
        <v>0</v>
      </c>
      <c r="Q146" s="13">
        <v>0</v>
      </c>
      <c r="R146" s="13">
        <v>0</v>
      </c>
      <c r="S146" s="13">
        <v>77091</v>
      </c>
    </row>
    <row r="147" spans="1:19" x14ac:dyDescent="0.25">
      <c r="A147" t="s">
        <v>76</v>
      </c>
      <c r="B147" t="s">
        <v>195</v>
      </c>
      <c r="C147" s="1">
        <f>24305+8+56+2684</f>
        <v>27053</v>
      </c>
      <c r="D147" s="1">
        <f>25+6</f>
        <v>31</v>
      </c>
      <c r="E147" s="1">
        <v>0</v>
      </c>
      <c r="F147" s="1">
        <v>0</v>
      </c>
      <c r="G147" s="1">
        <v>0</v>
      </c>
      <c r="H147" s="1">
        <v>9587</v>
      </c>
      <c r="I147" s="1">
        <v>2393</v>
      </c>
      <c r="J147" s="1"/>
      <c r="L147" s="13">
        <v>712</v>
      </c>
      <c r="M147" s="13" t="s">
        <v>200</v>
      </c>
      <c r="N147" s="13">
        <v>13380</v>
      </c>
      <c r="O147" s="13">
        <v>92</v>
      </c>
      <c r="P147" s="13">
        <v>0</v>
      </c>
      <c r="Q147" s="13">
        <v>0</v>
      </c>
      <c r="R147" s="13">
        <v>0</v>
      </c>
      <c r="S147" s="13">
        <v>8313</v>
      </c>
    </row>
    <row r="148" spans="1:19" x14ac:dyDescent="0.25">
      <c r="A148" t="s">
        <v>788</v>
      </c>
      <c r="B148" t="s">
        <v>196</v>
      </c>
      <c r="C148" s="1">
        <f>8084+5+4+1+6273</f>
        <v>14367</v>
      </c>
      <c r="D148" s="1">
        <f>2+2+155</f>
        <v>159</v>
      </c>
      <c r="E148" s="1">
        <v>0</v>
      </c>
      <c r="F148" s="1">
        <v>0</v>
      </c>
      <c r="G148" s="1">
        <v>0</v>
      </c>
      <c r="H148" s="1">
        <v>14621</v>
      </c>
      <c r="I148" s="1">
        <v>5314</v>
      </c>
      <c r="J148" s="1"/>
      <c r="L148" s="13">
        <v>311</v>
      </c>
      <c r="M148" s="13" t="s">
        <v>201</v>
      </c>
      <c r="N148" s="13">
        <v>12560</v>
      </c>
      <c r="O148" s="13">
        <v>151</v>
      </c>
      <c r="P148" s="13">
        <v>0</v>
      </c>
      <c r="Q148" s="13">
        <v>0</v>
      </c>
      <c r="R148" s="13">
        <v>0</v>
      </c>
      <c r="S148" s="13">
        <v>2896</v>
      </c>
    </row>
    <row r="149" spans="1:19" x14ac:dyDescent="0.25">
      <c r="A149" t="s">
        <v>817</v>
      </c>
      <c r="B149" t="s">
        <v>197</v>
      </c>
      <c r="C149" s="1">
        <f>1956+23+5680</f>
        <v>7659</v>
      </c>
      <c r="D149" s="1">
        <f>8+5+2+59</f>
        <v>74</v>
      </c>
      <c r="E149" s="1">
        <v>0</v>
      </c>
      <c r="F149" s="1">
        <v>0</v>
      </c>
      <c r="G149" s="1">
        <v>0</v>
      </c>
      <c r="H149" s="1">
        <v>8727</v>
      </c>
      <c r="I149" s="1">
        <v>4902</v>
      </c>
      <c r="J149" s="1"/>
      <c r="L149" s="13">
        <v>613</v>
      </c>
      <c r="M149" s="13" t="s">
        <v>202</v>
      </c>
      <c r="N149" s="13">
        <v>4251</v>
      </c>
      <c r="O149" s="13">
        <v>0</v>
      </c>
      <c r="P149" s="13">
        <v>0</v>
      </c>
      <c r="Q149" s="13">
        <v>0</v>
      </c>
      <c r="R149" s="13">
        <v>0</v>
      </c>
      <c r="S149" s="13">
        <v>1587</v>
      </c>
    </row>
    <row r="150" spans="1:19" x14ac:dyDescent="0.25">
      <c r="A150" t="s">
        <v>817</v>
      </c>
      <c r="B150" t="s">
        <v>198</v>
      </c>
      <c r="C150" s="1">
        <f>1968+4148</f>
        <v>6116</v>
      </c>
      <c r="D150" s="1">
        <f>3+37+44</f>
        <v>84</v>
      </c>
      <c r="E150" s="1">
        <v>0</v>
      </c>
      <c r="F150" s="1">
        <v>0</v>
      </c>
      <c r="G150" s="1">
        <v>0</v>
      </c>
      <c r="H150" s="1">
        <v>9100</v>
      </c>
      <c r="I150" s="1">
        <v>4189</v>
      </c>
      <c r="J150" s="1"/>
      <c r="L150" s="13">
        <v>610</v>
      </c>
      <c r="M150" s="13" t="s">
        <v>203</v>
      </c>
      <c r="N150" s="13">
        <v>44023</v>
      </c>
      <c r="O150" s="13">
        <v>2</v>
      </c>
      <c r="P150" s="13">
        <v>0</v>
      </c>
      <c r="Q150" s="13">
        <v>0</v>
      </c>
      <c r="R150" s="13">
        <v>0</v>
      </c>
      <c r="S150" s="13">
        <v>2528</v>
      </c>
    </row>
    <row r="151" spans="1:19" x14ac:dyDescent="0.25">
      <c r="A151" t="s">
        <v>69</v>
      </c>
      <c r="B151" t="s">
        <v>199</v>
      </c>
      <c r="C151" s="1">
        <f>7458+3004</f>
        <v>10462</v>
      </c>
      <c r="D151" s="1">
        <v>7</v>
      </c>
      <c r="E151" s="1">
        <v>0</v>
      </c>
      <c r="F151" s="1">
        <v>0</v>
      </c>
      <c r="G151" s="1">
        <v>0</v>
      </c>
      <c r="H151" s="1">
        <v>77091</v>
      </c>
      <c r="I151" s="1">
        <v>2621</v>
      </c>
      <c r="J151" s="1"/>
      <c r="L151" s="13">
        <v>312</v>
      </c>
      <c r="M151" s="13" t="s">
        <v>204</v>
      </c>
      <c r="N151" s="13">
        <v>6275</v>
      </c>
      <c r="O151" s="13">
        <v>0</v>
      </c>
      <c r="P151" s="13">
        <v>0</v>
      </c>
      <c r="Q151" s="13">
        <v>0</v>
      </c>
      <c r="R151" s="13">
        <v>0</v>
      </c>
      <c r="S151" s="13">
        <v>1392</v>
      </c>
    </row>
    <row r="152" spans="1:19" x14ac:dyDescent="0.25">
      <c r="A152" t="s">
        <v>76</v>
      </c>
      <c r="B152" t="s">
        <v>200</v>
      </c>
      <c r="C152" s="1">
        <f>9553+23+2+68+27+3707</f>
        <v>13380</v>
      </c>
      <c r="D152" s="1">
        <f>53+4+24+11</f>
        <v>92</v>
      </c>
      <c r="E152" s="1">
        <v>0</v>
      </c>
      <c r="F152" s="1">
        <v>0</v>
      </c>
      <c r="G152" s="1">
        <v>0</v>
      </c>
      <c r="H152" s="1">
        <v>8313</v>
      </c>
      <c r="I152" s="1">
        <v>3339</v>
      </c>
      <c r="J152" s="1"/>
      <c r="L152" s="13">
        <v>712</v>
      </c>
      <c r="M152" s="13" t="s">
        <v>205</v>
      </c>
      <c r="N152" s="13">
        <v>9546</v>
      </c>
      <c r="O152" s="13">
        <v>185</v>
      </c>
      <c r="P152" s="13">
        <v>0</v>
      </c>
      <c r="Q152" s="13">
        <v>0</v>
      </c>
      <c r="R152" s="13">
        <v>0</v>
      </c>
      <c r="S152" s="13">
        <v>16256</v>
      </c>
    </row>
    <row r="153" spans="1:19" x14ac:dyDescent="0.25">
      <c r="A153" t="s">
        <v>120</v>
      </c>
      <c r="B153" t="s">
        <v>201</v>
      </c>
      <c r="C153" s="1"/>
      <c r="D153" s="1"/>
      <c r="E153" s="1"/>
      <c r="F153" s="1"/>
      <c r="G153" s="1"/>
      <c r="H153" s="1"/>
      <c r="I153" s="1"/>
      <c r="J153" s="1"/>
      <c r="L153" s="13">
        <v>211</v>
      </c>
      <c r="M153" s="13" t="s">
        <v>206</v>
      </c>
      <c r="N153" s="13">
        <v>3598</v>
      </c>
      <c r="O153" s="13">
        <v>0</v>
      </c>
      <c r="P153" s="13">
        <v>0</v>
      </c>
      <c r="Q153" s="13">
        <v>0</v>
      </c>
      <c r="R153" s="13">
        <v>0</v>
      </c>
      <c r="S153" s="13">
        <v>8156</v>
      </c>
    </row>
    <row r="154" spans="1:19" x14ac:dyDescent="0.25">
      <c r="A154" t="s">
        <v>495</v>
      </c>
      <c r="B154" t="s">
        <v>202</v>
      </c>
      <c r="C154" s="1">
        <f>2296+1+75+1878+1</f>
        <v>4251</v>
      </c>
      <c r="D154" s="1">
        <v>0</v>
      </c>
      <c r="E154" s="1">
        <v>0</v>
      </c>
      <c r="F154" s="1">
        <v>0</v>
      </c>
      <c r="G154" s="1">
        <v>0</v>
      </c>
      <c r="H154" s="1">
        <v>1587</v>
      </c>
      <c r="I154" s="1">
        <v>1536</v>
      </c>
      <c r="J154" s="1"/>
      <c r="L154" s="13">
        <v>712</v>
      </c>
      <c r="M154" s="13" t="s">
        <v>207</v>
      </c>
      <c r="N154" s="13">
        <v>21400</v>
      </c>
      <c r="O154" s="13">
        <v>29</v>
      </c>
      <c r="P154" s="13">
        <v>0</v>
      </c>
      <c r="Q154" s="13">
        <v>0</v>
      </c>
      <c r="R154" s="13">
        <v>0</v>
      </c>
      <c r="S154" s="13">
        <v>5033</v>
      </c>
    </row>
    <row r="155" spans="1:19" x14ac:dyDescent="0.25">
      <c r="A155" t="s">
        <v>788</v>
      </c>
      <c r="B155" t="s">
        <v>203</v>
      </c>
      <c r="C155" s="1">
        <f>18783+9+25231</f>
        <v>44023</v>
      </c>
      <c r="D155" s="1">
        <f>1+1</f>
        <v>2</v>
      </c>
      <c r="E155" s="1">
        <v>0</v>
      </c>
      <c r="F155" s="1">
        <v>0</v>
      </c>
      <c r="G155" s="1">
        <v>0</v>
      </c>
      <c r="H155" s="1">
        <v>2528</v>
      </c>
      <c r="I155" s="1">
        <v>2213</v>
      </c>
      <c r="J155" s="1"/>
      <c r="L155" s="13" t="s">
        <v>820</v>
      </c>
      <c r="M155" s="13" t="s">
        <v>208</v>
      </c>
      <c r="N155" s="13">
        <v>2984</v>
      </c>
      <c r="O155" s="13">
        <v>0</v>
      </c>
      <c r="P155" s="13">
        <v>0</v>
      </c>
      <c r="Q155" s="13">
        <v>0</v>
      </c>
      <c r="R155" s="13">
        <v>0</v>
      </c>
      <c r="S155" s="13">
        <v>7843</v>
      </c>
    </row>
    <row r="156" spans="1:19" x14ac:dyDescent="0.25">
      <c r="A156" t="s">
        <v>72</v>
      </c>
      <c r="B156" t="s">
        <v>204</v>
      </c>
      <c r="C156" s="1">
        <f>5725+550</f>
        <v>6275</v>
      </c>
      <c r="D156" s="1">
        <v>0</v>
      </c>
      <c r="E156" s="1">
        <v>0</v>
      </c>
      <c r="F156" s="1">
        <v>0</v>
      </c>
      <c r="G156" s="1">
        <v>0</v>
      </c>
      <c r="H156" s="1">
        <v>1392</v>
      </c>
      <c r="I156" s="1">
        <v>550</v>
      </c>
      <c r="J156" s="1"/>
      <c r="L156" s="13">
        <v>711</v>
      </c>
      <c r="M156" s="13" t="s">
        <v>209</v>
      </c>
      <c r="N156" s="13">
        <v>12647</v>
      </c>
      <c r="O156" s="13">
        <v>215</v>
      </c>
      <c r="P156" s="13">
        <v>0</v>
      </c>
      <c r="Q156" s="13">
        <v>0</v>
      </c>
      <c r="R156" s="13">
        <v>0</v>
      </c>
      <c r="S156" s="13">
        <v>23386</v>
      </c>
    </row>
    <row r="157" spans="1:19" x14ac:dyDescent="0.25">
      <c r="A157" t="s">
        <v>76</v>
      </c>
      <c r="B157" t="s">
        <v>205</v>
      </c>
      <c r="C157" s="1">
        <f>3931+5615</f>
        <v>9546</v>
      </c>
      <c r="D157" s="1">
        <f>22+163</f>
        <v>185</v>
      </c>
      <c r="E157" s="1">
        <v>0</v>
      </c>
      <c r="F157" s="1">
        <v>0</v>
      </c>
      <c r="G157" s="1">
        <v>0</v>
      </c>
      <c r="H157" s="1">
        <v>16256</v>
      </c>
      <c r="I157" s="1">
        <v>3623</v>
      </c>
      <c r="J157" s="1"/>
      <c r="L157" s="13">
        <v>312</v>
      </c>
      <c r="M157" s="13" t="s">
        <v>210</v>
      </c>
      <c r="N157" s="13">
        <v>12736</v>
      </c>
      <c r="O157" s="13">
        <v>60</v>
      </c>
      <c r="P157" s="13">
        <v>0</v>
      </c>
      <c r="Q157" s="13">
        <v>0</v>
      </c>
      <c r="R157" s="13">
        <v>0</v>
      </c>
      <c r="S157" s="13">
        <v>9166</v>
      </c>
    </row>
    <row r="158" spans="1:19" x14ac:dyDescent="0.25">
      <c r="A158" t="s">
        <v>131</v>
      </c>
      <c r="B158" t="s">
        <v>206</v>
      </c>
      <c r="C158" s="1">
        <f>1751+1847</f>
        <v>3598</v>
      </c>
      <c r="D158" s="1">
        <v>0</v>
      </c>
      <c r="E158" s="1">
        <v>0</v>
      </c>
      <c r="F158" s="1">
        <v>0</v>
      </c>
      <c r="G158" s="1">
        <v>0</v>
      </c>
      <c r="H158" s="1">
        <v>8156</v>
      </c>
      <c r="I158" s="1">
        <v>1593</v>
      </c>
      <c r="J158" s="1"/>
      <c r="L158" s="13">
        <v>616</v>
      </c>
      <c r="M158" s="13" t="s">
        <v>211</v>
      </c>
      <c r="N158" s="13">
        <v>27917</v>
      </c>
      <c r="O158" s="13">
        <v>122</v>
      </c>
      <c r="P158" s="13">
        <v>0</v>
      </c>
      <c r="Q158" s="13">
        <v>0</v>
      </c>
      <c r="R158" s="13">
        <v>0</v>
      </c>
      <c r="S158" s="13">
        <v>17518</v>
      </c>
    </row>
    <row r="159" spans="1:19" x14ac:dyDescent="0.25">
      <c r="A159" t="s">
        <v>76</v>
      </c>
      <c r="B159" t="s">
        <v>207</v>
      </c>
      <c r="C159" s="1">
        <f>12160+9240</f>
        <v>21400</v>
      </c>
      <c r="D159" s="1">
        <f>5+24</f>
        <v>29</v>
      </c>
      <c r="E159" s="1">
        <v>0</v>
      </c>
      <c r="F159" s="1">
        <v>0</v>
      </c>
      <c r="G159" s="1">
        <v>0</v>
      </c>
      <c r="H159" s="1">
        <v>5033</v>
      </c>
      <c r="I159" s="1">
        <v>8189</v>
      </c>
      <c r="J159" s="1"/>
      <c r="L159" s="13">
        <v>312</v>
      </c>
      <c r="M159" s="13" t="s">
        <v>212</v>
      </c>
      <c r="N159" s="13">
        <v>8180</v>
      </c>
      <c r="O159" s="13">
        <v>1</v>
      </c>
      <c r="P159" s="13">
        <v>0</v>
      </c>
      <c r="Q159" s="13">
        <v>0</v>
      </c>
      <c r="R159" s="13">
        <v>0</v>
      </c>
      <c r="S159" s="13">
        <v>1080</v>
      </c>
    </row>
    <row r="160" spans="1:19" x14ac:dyDescent="0.25">
      <c r="A160" t="s">
        <v>265</v>
      </c>
      <c r="B160" t="s">
        <v>208</v>
      </c>
      <c r="C160" s="1">
        <f>2497+487</f>
        <v>2984</v>
      </c>
      <c r="D160" s="1">
        <v>0</v>
      </c>
      <c r="E160" s="1">
        <v>0</v>
      </c>
      <c r="F160" s="1">
        <v>0</v>
      </c>
      <c r="G160" s="1">
        <v>0</v>
      </c>
      <c r="H160" s="1">
        <v>7843</v>
      </c>
      <c r="I160" s="1">
        <v>485</v>
      </c>
      <c r="J160" s="1"/>
      <c r="L160" s="13">
        <v>514</v>
      </c>
      <c r="M160" s="13" t="s">
        <v>213</v>
      </c>
      <c r="N160" s="13">
        <v>1555</v>
      </c>
      <c r="O160" s="13">
        <v>0</v>
      </c>
      <c r="P160" s="13">
        <v>0</v>
      </c>
      <c r="Q160" s="13">
        <v>0</v>
      </c>
      <c r="R160" s="13">
        <v>0</v>
      </c>
      <c r="S160" s="13">
        <v>3547</v>
      </c>
    </row>
    <row r="161" spans="1:19" x14ac:dyDescent="0.25">
      <c r="A161" t="s">
        <v>801</v>
      </c>
      <c r="B161" t="s">
        <v>209</v>
      </c>
      <c r="C161" s="1">
        <f>6935+19+14+5677+2</f>
        <v>12647</v>
      </c>
      <c r="D161" s="1">
        <f>8+117+6+84</f>
        <v>215</v>
      </c>
      <c r="E161" s="1">
        <v>0</v>
      </c>
      <c r="F161" s="1">
        <v>0</v>
      </c>
      <c r="G161" s="1">
        <v>0</v>
      </c>
      <c r="H161" s="1">
        <v>23386</v>
      </c>
      <c r="I161" s="1">
        <v>5599</v>
      </c>
      <c r="J161" s="1"/>
      <c r="L161" s="13">
        <v>613</v>
      </c>
      <c r="M161" s="13" t="s">
        <v>214</v>
      </c>
      <c r="N161" s="13">
        <v>16120</v>
      </c>
      <c r="O161" s="13">
        <v>195</v>
      </c>
      <c r="P161" s="13">
        <v>0</v>
      </c>
      <c r="Q161" s="13">
        <v>0</v>
      </c>
      <c r="R161" s="13">
        <v>0</v>
      </c>
      <c r="S161" s="13">
        <v>7952</v>
      </c>
    </row>
    <row r="162" spans="1:19" x14ac:dyDescent="0.25">
      <c r="A162" t="s">
        <v>72</v>
      </c>
      <c r="B162" t="s">
        <v>210</v>
      </c>
      <c r="C162" s="1">
        <f>7542+40+1+12+5141</f>
        <v>12736</v>
      </c>
      <c r="D162" s="1">
        <f>25+34+1</f>
        <v>60</v>
      </c>
      <c r="E162" s="1">
        <v>0</v>
      </c>
      <c r="F162" s="1">
        <v>0</v>
      </c>
      <c r="G162" s="1">
        <v>0</v>
      </c>
      <c r="H162" s="1">
        <v>9166</v>
      </c>
      <c r="I162" s="1">
        <v>4687</v>
      </c>
      <c r="J162" s="1"/>
      <c r="L162" s="13">
        <v>611</v>
      </c>
      <c r="M162" s="13" t="s">
        <v>215</v>
      </c>
      <c r="N162" s="13">
        <v>18518</v>
      </c>
      <c r="O162" s="13">
        <v>0</v>
      </c>
      <c r="P162" s="13">
        <v>0</v>
      </c>
      <c r="Q162" s="13">
        <v>0</v>
      </c>
      <c r="R162" s="13">
        <v>0</v>
      </c>
      <c r="S162" s="13">
        <v>17994</v>
      </c>
    </row>
    <row r="163" spans="1:19" x14ac:dyDescent="0.25">
      <c r="A163" t="s">
        <v>817</v>
      </c>
      <c r="B163" t="s">
        <v>211</v>
      </c>
      <c r="C163" s="1">
        <f>1745+35+4+26133</f>
        <v>27917</v>
      </c>
      <c r="D163" s="1">
        <f>9+77+36</f>
        <v>122</v>
      </c>
      <c r="E163" s="1">
        <v>0</v>
      </c>
      <c r="F163" s="1">
        <v>0</v>
      </c>
      <c r="G163" s="1">
        <v>0</v>
      </c>
      <c r="H163" s="1">
        <v>17518</v>
      </c>
      <c r="I163" s="1">
        <v>22496</v>
      </c>
      <c r="J163" s="1"/>
      <c r="L163" s="13" t="s">
        <v>815</v>
      </c>
      <c r="M163" s="13" t="s">
        <v>216</v>
      </c>
      <c r="N163" s="13">
        <v>5503</v>
      </c>
      <c r="O163" s="13">
        <v>0</v>
      </c>
      <c r="P163" s="13">
        <v>0</v>
      </c>
      <c r="Q163" s="13">
        <v>0</v>
      </c>
      <c r="R163" s="13">
        <v>0</v>
      </c>
      <c r="S163" s="13">
        <v>780</v>
      </c>
    </row>
    <row r="164" spans="1:19" x14ac:dyDescent="0.25">
      <c r="A164" t="s">
        <v>72</v>
      </c>
      <c r="B164" t="s">
        <v>212</v>
      </c>
      <c r="C164" s="1">
        <f>7195+4+981</f>
        <v>8180</v>
      </c>
      <c r="D164" s="1">
        <v>1</v>
      </c>
      <c r="E164" s="1">
        <v>0</v>
      </c>
      <c r="F164" s="1">
        <v>0</v>
      </c>
      <c r="G164" s="1">
        <v>0</v>
      </c>
      <c r="H164" s="1">
        <v>1080</v>
      </c>
      <c r="I164" s="1">
        <v>959</v>
      </c>
      <c r="J164" s="1"/>
      <c r="L164" s="13" t="s">
        <v>814</v>
      </c>
      <c r="M164" s="13" t="s">
        <v>217</v>
      </c>
      <c r="N164" s="13">
        <v>2464</v>
      </c>
      <c r="O164" s="13">
        <v>0</v>
      </c>
      <c r="P164" s="13">
        <v>0</v>
      </c>
      <c r="Q164" s="13">
        <v>0</v>
      </c>
      <c r="R164" s="13">
        <v>0</v>
      </c>
      <c r="S164" s="13">
        <v>4330</v>
      </c>
    </row>
    <row r="165" spans="1:19" x14ac:dyDescent="0.25">
      <c r="A165" t="s">
        <v>134</v>
      </c>
      <c r="B165" t="s">
        <v>213</v>
      </c>
      <c r="C165" s="1">
        <f>1440+115</f>
        <v>1555</v>
      </c>
      <c r="D165" s="1">
        <v>0</v>
      </c>
      <c r="E165" s="1">
        <v>0</v>
      </c>
      <c r="F165" s="1">
        <v>0</v>
      </c>
      <c r="G165" s="1">
        <v>0</v>
      </c>
      <c r="H165" s="1">
        <v>3547</v>
      </c>
      <c r="I165" s="1">
        <v>117</v>
      </c>
      <c r="J165" s="1"/>
      <c r="L165" s="13" t="s">
        <v>820</v>
      </c>
      <c r="M165" s="13" t="s">
        <v>218</v>
      </c>
      <c r="N165" s="13">
        <v>3347</v>
      </c>
      <c r="O165" s="13">
        <v>0</v>
      </c>
      <c r="P165" s="13">
        <v>0</v>
      </c>
      <c r="Q165" s="13">
        <v>0</v>
      </c>
      <c r="R165" s="13">
        <v>0</v>
      </c>
      <c r="S165" s="13">
        <v>6484</v>
      </c>
    </row>
    <row r="166" spans="1:19" x14ac:dyDescent="0.25">
      <c r="A166" t="s">
        <v>495</v>
      </c>
      <c r="B166" t="s">
        <v>214</v>
      </c>
      <c r="C166" s="1">
        <f>12079+32+12+3997</f>
        <v>16120</v>
      </c>
      <c r="D166" s="1">
        <f>166+2+23+2+2</f>
        <v>195</v>
      </c>
      <c r="E166" s="1">
        <v>0</v>
      </c>
      <c r="F166" s="1">
        <v>0</v>
      </c>
      <c r="G166" s="1">
        <v>0</v>
      </c>
      <c r="H166" s="1">
        <v>7952</v>
      </c>
      <c r="I166" s="1">
        <v>3468</v>
      </c>
      <c r="J166" s="1"/>
      <c r="L166" s="13">
        <v>711</v>
      </c>
      <c r="M166" s="13" t="s">
        <v>219</v>
      </c>
      <c r="N166" s="13">
        <v>30192</v>
      </c>
      <c r="O166" s="13">
        <v>57</v>
      </c>
      <c r="P166" s="13">
        <v>0</v>
      </c>
      <c r="Q166" s="13">
        <v>0</v>
      </c>
      <c r="R166" s="13">
        <v>0</v>
      </c>
      <c r="S166" s="13">
        <v>16326</v>
      </c>
    </row>
    <row r="167" spans="1:19" x14ac:dyDescent="0.25">
      <c r="A167" t="s">
        <v>146</v>
      </c>
      <c r="B167" t="s">
        <v>215</v>
      </c>
      <c r="C167" s="1">
        <f>12892+5626</f>
        <v>18518</v>
      </c>
      <c r="D167" s="1">
        <v>0</v>
      </c>
      <c r="E167" s="1">
        <v>0</v>
      </c>
      <c r="F167" s="1">
        <v>0</v>
      </c>
      <c r="G167" s="1">
        <v>0</v>
      </c>
      <c r="H167" s="1">
        <v>17994</v>
      </c>
      <c r="I167" s="1">
        <v>5079</v>
      </c>
      <c r="J167" s="1"/>
      <c r="L167" s="13">
        <v>114</v>
      </c>
      <c r="M167" s="13" t="s">
        <v>220</v>
      </c>
      <c r="N167" s="13">
        <v>773</v>
      </c>
      <c r="O167" s="13">
        <v>0</v>
      </c>
      <c r="P167" s="13">
        <v>0</v>
      </c>
      <c r="Q167" s="13">
        <v>0</v>
      </c>
      <c r="R167" s="13">
        <v>0</v>
      </c>
      <c r="S167" s="13">
        <v>1391</v>
      </c>
    </row>
    <row r="168" spans="1:19" x14ac:dyDescent="0.25">
      <c r="A168" t="s">
        <v>138</v>
      </c>
      <c r="B168" t="s">
        <v>216</v>
      </c>
      <c r="C168" s="1"/>
      <c r="D168" s="1"/>
      <c r="E168" s="1"/>
      <c r="F168" s="1"/>
      <c r="G168" s="1"/>
      <c r="H168" s="1"/>
      <c r="I168" s="1"/>
      <c r="J168" s="1"/>
      <c r="L168" s="13" t="s">
        <v>814</v>
      </c>
      <c r="M168" s="13" t="s">
        <v>221</v>
      </c>
      <c r="N168" s="13">
        <v>8139</v>
      </c>
      <c r="O168" s="13">
        <v>33</v>
      </c>
      <c r="P168" s="13">
        <v>0</v>
      </c>
      <c r="Q168" s="13">
        <v>0</v>
      </c>
      <c r="R168" s="13">
        <v>0</v>
      </c>
      <c r="S168" s="13">
        <v>8576</v>
      </c>
    </row>
    <row r="169" spans="1:19" x14ac:dyDescent="0.25">
      <c r="A169" t="s">
        <v>794</v>
      </c>
      <c r="B169" t="s">
        <v>217</v>
      </c>
      <c r="C169" s="1">
        <f>1709+1+754</f>
        <v>2464</v>
      </c>
      <c r="D169" s="1">
        <v>0</v>
      </c>
      <c r="E169" s="1">
        <v>0</v>
      </c>
      <c r="F169" s="1">
        <v>0</v>
      </c>
      <c r="G169" s="1">
        <v>0</v>
      </c>
      <c r="H169" s="1">
        <v>4330</v>
      </c>
      <c r="I169" s="1">
        <v>564</v>
      </c>
      <c r="J169" s="1"/>
      <c r="L169" s="13">
        <v>311</v>
      </c>
      <c r="M169" s="13" t="s">
        <v>222</v>
      </c>
      <c r="N169" s="13">
        <v>8182</v>
      </c>
      <c r="O169" s="13">
        <v>15</v>
      </c>
      <c r="P169" s="13">
        <v>0</v>
      </c>
      <c r="Q169" s="13">
        <v>0</v>
      </c>
      <c r="R169" s="13">
        <v>0</v>
      </c>
      <c r="S169" s="13">
        <v>710</v>
      </c>
    </row>
    <row r="170" spans="1:19" x14ac:dyDescent="0.25">
      <c r="A170" t="s">
        <v>265</v>
      </c>
      <c r="B170" t="s">
        <v>218</v>
      </c>
      <c r="C170" s="1">
        <f>2875+2+5+3+4+1+457</f>
        <v>3347</v>
      </c>
      <c r="D170" s="1">
        <v>0</v>
      </c>
      <c r="E170" s="1">
        <v>0</v>
      </c>
      <c r="F170" s="1">
        <v>0</v>
      </c>
      <c r="G170" s="1">
        <v>0</v>
      </c>
      <c r="H170" s="1">
        <v>6484</v>
      </c>
      <c r="I170" s="1">
        <v>364</v>
      </c>
      <c r="J170" s="1"/>
      <c r="L170" s="13">
        <v>161</v>
      </c>
      <c r="M170" s="13" t="s">
        <v>223</v>
      </c>
      <c r="N170" s="13">
        <v>2039</v>
      </c>
      <c r="O170" s="13">
        <v>13</v>
      </c>
      <c r="P170" s="13">
        <v>0</v>
      </c>
      <c r="Q170" s="13">
        <v>0</v>
      </c>
      <c r="R170" s="13">
        <v>0</v>
      </c>
      <c r="S170" s="13">
        <v>333</v>
      </c>
    </row>
    <row r="171" spans="1:19" x14ac:dyDescent="0.25">
      <c r="A171" t="s">
        <v>801</v>
      </c>
      <c r="B171" t="s">
        <v>219</v>
      </c>
      <c r="C171" s="1">
        <f>28761+2+45+1384</f>
        <v>30192</v>
      </c>
      <c r="D171" s="1">
        <f>52+5</f>
        <v>57</v>
      </c>
      <c r="E171" s="1">
        <v>0</v>
      </c>
      <c r="F171" s="1">
        <v>0</v>
      </c>
      <c r="G171" s="1">
        <v>0</v>
      </c>
      <c r="H171" s="1">
        <v>16326</v>
      </c>
      <c r="I171" s="1">
        <v>991</v>
      </c>
      <c r="J171" s="1"/>
      <c r="L171" s="13">
        <v>412</v>
      </c>
      <c r="M171" s="13" t="s">
        <v>224</v>
      </c>
      <c r="N171" s="13"/>
      <c r="O171" s="13"/>
      <c r="P171" s="13"/>
      <c r="Q171" s="13"/>
      <c r="R171" s="13"/>
      <c r="S171" s="13"/>
    </row>
    <row r="172" spans="1:19" x14ac:dyDescent="0.25">
      <c r="A172" t="s">
        <v>150</v>
      </c>
      <c r="B172" t="s">
        <v>220</v>
      </c>
      <c r="C172" s="1"/>
      <c r="D172" s="1"/>
      <c r="E172" s="1"/>
      <c r="F172" s="1"/>
      <c r="G172" s="1"/>
      <c r="H172" s="1"/>
      <c r="I172" s="1"/>
      <c r="J172" s="1"/>
      <c r="L172" s="13">
        <v>710</v>
      </c>
      <c r="M172" s="13" t="s">
        <v>225</v>
      </c>
      <c r="N172" s="13">
        <v>15394</v>
      </c>
      <c r="O172" s="13">
        <v>35</v>
      </c>
      <c r="P172" s="13">
        <v>0</v>
      </c>
      <c r="Q172" s="13">
        <v>0</v>
      </c>
      <c r="R172" s="13">
        <v>0</v>
      </c>
      <c r="S172" s="13">
        <v>49461</v>
      </c>
    </row>
    <row r="173" spans="1:19" x14ac:dyDescent="0.25">
      <c r="A173" t="s">
        <v>794</v>
      </c>
      <c r="B173" t="s">
        <v>221</v>
      </c>
      <c r="C173" s="1">
        <f>4733+4+3400+2</f>
        <v>8139</v>
      </c>
      <c r="D173" s="1">
        <v>33</v>
      </c>
      <c r="E173" s="1">
        <v>0</v>
      </c>
      <c r="F173" s="1">
        <v>0</v>
      </c>
      <c r="G173" s="1">
        <v>0</v>
      </c>
      <c r="H173" s="1">
        <v>8576</v>
      </c>
      <c r="I173" s="1">
        <v>2155</v>
      </c>
      <c r="J173" s="1"/>
      <c r="L173" s="13">
        <v>300</v>
      </c>
      <c r="M173" s="13" t="s">
        <v>227</v>
      </c>
      <c r="N173" s="13">
        <v>3714</v>
      </c>
      <c r="O173" s="13">
        <v>1</v>
      </c>
      <c r="P173" s="13">
        <v>0</v>
      </c>
      <c r="Q173" s="13">
        <v>0</v>
      </c>
      <c r="R173" s="13">
        <v>0</v>
      </c>
      <c r="S173" s="13">
        <v>1034</v>
      </c>
    </row>
    <row r="174" spans="1:19" x14ac:dyDescent="0.25">
      <c r="A174" t="s">
        <v>120</v>
      </c>
      <c r="B174" t="s">
        <v>222</v>
      </c>
      <c r="C174" s="1"/>
      <c r="D174" s="1"/>
      <c r="E174" s="1"/>
      <c r="F174" s="1"/>
      <c r="G174" s="1"/>
      <c r="H174" s="1"/>
      <c r="I174" s="1"/>
      <c r="J174" s="1"/>
      <c r="L174" s="13">
        <v>300</v>
      </c>
      <c r="M174" s="13" t="s">
        <v>228</v>
      </c>
      <c r="N174" s="13">
        <v>6085</v>
      </c>
      <c r="O174" s="13">
        <v>20</v>
      </c>
      <c r="P174" s="13">
        <v>0</v>
      </c>
      <c r="Q174" s="13">
        <v>0</v>
      </c>
      <c r="R174" s="13">
        <v>0</v>
      </c>
      <c r="S174" s="13">
        <v>7232</v>
      </c>
    </row>
    <row r="175" spans="1:19" x14ac:dyDescent="0.25">
      <c r="A175" t="s">
        <v>792</v>
      </c>
      <c r="B175" t="s">
        <v>223</v>
      </c>
      <c r="C175" s="1"/>
      <c r="D175" s="1"/>
      <c r="E175" s="1"/>
      <c r="F175" s="1"/>
      <c r="G175" s="1"/>
      <c r="H175" s="1"/>
      <c r="I175" s="1"/>
      <c r="J175" s="1"/>
      <c r="L175" s="13">
        <v>173</v>
      </c>
      <c r="M175" s="13" t="s">
        <v>230</v>
      </c>
      <c r="N175" s="13">
        <v>2150</v>
      </c>
      <c r="O175" s="13">
        <v>20</v>
      </c>
      <c r="P175" s="13">
        <v>0</v>
      </c>
      <c r="Q175" s="13">
        <v>0</v>
      </c>
      <c r="R175" s="13">
        <v>0</v>
      </c>
      <c r="S175" s="13">
        <v>246</v>
      </c>
    </row>
    <row r="176" spans="1:19" x14ac:dyDescent="0.25">
      <c r="A176" t="s">
        <v>825</v>
      </c>
      <c r="B176" t="s">
        <v>224</v>
      </c>
      <c r="C176" s="1"/>
      <c r="D176" s="1"/>
      <c r="E176" s="1"/>
      <c r="F176" s="1"/>
      <c r="G176" s="1"/>
      <c r="H176" s="1"/>
      <c r="I176" s="1"/>
      <c r="J176" s="1"/>
      <c r="L176" s="13">
        <v>118</v>
      </c>
      <c r="M176" s="13" t="s">
        <v>232</v>
      </c>
      <c r="N176" s="13">
        <v>3357</v>
      </c>
      <c r="O176" s="13">
        <v>0</v>
      </c>
      <c r="P176" s="13">
        <v>0</v>
      </c>
      <c r="Q176" s="13">
        <v>0</v>
      </c>
      <c r="R176" s="13">
        <v>0</v>
      </c>
      <c r="S176" s="13">
        <v>182</v>
      </c>
    </row>
    <row r="177" spans="1:19" x14ac:dyDescent="0.25">
      <c r="A177" t="s">
        <v>69</v>
      </c>
      <c r="B177" t="s">
        <v>225</v>
      </c>
      <c r="C177" s="1">
        <f>2857+1+12536</f>
        <v>15394</v>
      </c>
      <c r="D177" s="1">
        <v>35</v>
      </c>
      <c r="E177" s="1">
        <v>0</v>
      </c>
      <c r="F177" s="1">
        <v>0</v>
      </c>
      <c r="G177" s="1">
        <v>0</v>
      </c>
      <c r="H177" s="1">
        <v>49461</v>
      </c>
      <c r="I177" s="1">
        <v>10642</v>
      </c>
      <c r="J177" s="1"/>
      <c r="L177" s="13">
        <v>600</v>
      </c>
      <c r="M177" s="13" t="s">
        <v>233</v>
      </c>
      <c r="N177" s="13">
        <v>4655</v>
      </c>
      <c r="O177" s="13">
        <v>21</v>
      </c>
      <c r="P177" s="13">
        <v>0</v>
      </c>
      <c r="Q177" s="13">
        <v>0</v>
      </c>
      <c r="R177" s="13">
        <v>0</v>
      </c>
      <c r="S177" s="13">
        <v>5138</v>
      </c>
    </row>
    <row r="178" spans="1:19" x14ac:dyDescent="0.25">
      <c r="A178" t="s">
        <v>226</v>
      </c>
      <c r="B178" t="s">
        <v>227</v>
      </c>
      <c r="C178" s="1">
        <f>3013+1+700</f>
        <v>3714</v>
      </c>
      <c r="D178" s="1">
        <v>1</v>
      </c>
      <c r="E178" s="1">
        <v>0</v>
      </c>
      <c r="F178" s="1">
        <v>0</v>
      </c>
      <c r="G178" s="1">
        <v>0</v>
      </c>
      <c r="H178" s="1">
        <v>1034</v>
      </c>
      <c r="I178" s="1">
        <v>575</v>
      </c>
      <c r="J178" s="1"/>
      <c r="L178" s="13">
        <v>710</v>
      </c>
      <c r="M178" s="13" t="s">
        <v>234</v>
      </c>
      <c r="N178" s="13">
        <v>68681</v>
      </c>
      <c r="O178" s="13">
        <v>61</v>
      </c>
      <c r="P178" s="13">
        <v>0</v>
      </c>
      <c r="Q178" s="13">
        <v>0</v>
      </c>
      <c r="R178" s="13">
        <v>0</v>
      </c>
      <c r="S178" s="13">
        <v>54520</v>
      </c>
    </row>
    <row r="179" spans="1:19" x14ac:dyDescent="0.25">
      <c r="A179" t="s">
        <v>226</v>
      </c>
      <c r="B179" t="s">
        <v>228</v>
      </c>
      <c r="C179" s="1">
        <f>4556+1+1528</f>
        <v>6085</v>
      </c>
      <c r="D179" s="1">
        <f>19+1</f>
        <v>20</v>
      </c>
      <c r="E179" s="1">
        <v>0</v>
      </c>
      <c r="F179" s="1">
        <v>0</v>
      </c>
      <c r="G179" s="1">
        <v>0</v>
      </c>
      <c r="H179" s="1">
        <v>7232</v>
      </c>
      <c r="I179" s="1">
        <v>1426</v>
      </c>
      <c r="J179" s="1"/>
      <c r="L179" s="13">
        <v>116</v>
      </c>
      <c r="M179" s="13" t="s">
        <v>235</v>
      </c>
      <c r="N179" s="13">
        <v>13122</v>
      </c>
      <c r="O179" s="13">
        <v>30</v>
      </c>
      <c r="P179" s="13">
        <v>0</v>
      </c>
      <c r="Q179" s="13">
        <v>0</v>
      </c>
      <c r="R179" s="13">
        <v>0</v>
      </c>
      <c r="S179" s="13">
        <v>489</v>
      </c>
    </row>
    <row r="180" spans="1:19" x14ac:dyDescent="0.25">
      <c r="A180" t="s">
        <v>229</v>
      </c>
      <c r="B180" t="s">
        <v>230</v>
      </c>
      <c r="C180" s="1">
        <f>1888+1+261</f>
        <v>2150</v>
      </c>
      <c r="D180" s="1">
        <f>10+10</f>
        <v>20</v>
      </c>
      <c r="E180" s="1">
        <v>0</v>
      </c>
      <c r="F180" s="1">
        <v>0</v>
      </c>
      <c r="G180" s="1">
        <v>0</v>
      </c>
      <c r="H180" s="1">
        <v>246</v>
      </c>
      <c r="I180" s="1">
        <v>214</v>
      </c>
      <c r="J180" s="1"/>
      <c r="L180" s="13">
        <v>116</v>
      </c>
      <c r="M180" s="13" t="s">
        <v>236</v>
      </c>
      <c r="N180" s="13">
        <v>9216</v>
      </c>
      <c r="O180" s="13">
        <v>41</v>
      </c>
      <c r="P180" s="13">
        <v>0</v>
      </c>
      <c r="Q180" s="13">
        <v>0</v>
      </c>
      <c r="R180" s="13">
        <v>0</v>
      </c>
      <c r="S180" s="13">
        <v>7322</v>
      </c>
    </row>
    <row r="181" spans="1:19" x14ac:dyDescent="0.25">
      <c r="A181" t="s">
        <v>188</v>
      </c>
      <c r="B181" t="s">
        <v>232</v>
      </c>
      <c r="C181" s="1"/>
      <c r="D181" s="1"/>
      <c r="E181" s="1"/>
      <c r="F181" s="1"/>
      <c r="G181" s="1"/>
      <c r="H181" s="1"/>
      <c r="I181" s="1"/>
      <c r="J181" s="1"/>
      <c r="L181" s="13">
        <v>711</v>
      </c>
      <c r="M181" s="13" t="s">
        <v>237</v>
      </c>
      <c r="N181" s="13">
        <v>12426</v>
      </c>
      <c r="O181" s="13">
        <v>143</v>
      </c>
      <c r="P181" s="13">
        <v>0</v>
      </c>
      <c r="Q181" s="13">
        <v>0</v>
      </c>
      <c r="R181" s="13">
        <v>0</v>
      </c>
      <c r="S181" s="13">
        <v>8403</v>
      </c>
    </row>
    <row r="182" spans="1:19" x14ac:dyDescent="0.25">
      <c r="A182" t="s">
        <v>248</v>
      </c>
      <c r="B182" t="s">
        <v>233</v>
      </c>
      <c r="C182" s="1"/>
      <c r="D182" s="1"/>
      <c r="E182" s="1"/>
      <c r="F182" s="1"/>
      <c r="G182" s="1"/>
      <c r="H182" s="1"/>
      <c r="I182" s="1"/>
      <c r="J182" s="1"/>
      <c r="L182" s="13">
        <v>610</v>
      </c>
      <c r="M182" s="13" t="s">
        <v>238</v>
      </c>
      <c r="N182" s="13"/>
      <c r="O182" s="13"/>
      <c r="P182" s="13"/>
      <c r="Q182" s="13"/>
      <c r="R182" s="13"/>
      <c r="S182" s="13"/>
    </row>
    <row r="183" spans="1:19" x14ac:dyDescent="0.25">
      <c r="A183" t="s">
        <v>69</v>
      </c>
      <c r="B183" t="s">
        <v>234</v>
      </c>
      <c r="C183" s="1">
        <f>57648+82+293+10658</f>
        <v>68681</v>
      </c>
      <c r="D183" s="1">
        <f>10+11+39+1</f>
        <v>61</v>
      </c>
      <c r="E183" s="1">
        <v>0</v>
      </c>
      <c r="F183" s="1">
        <v>0</v>
      </c>
      <c r="G183" s="1">
        <v>0</v>
      </c>
      <c r="H183" s="1">
        <v>54520</v>
      </c>
      <c r="I183" s="1">
        <v>9015</v>
      </c>
      <c r="J183" s="1"/>
      <c r="L183" s="13">
        <v>100</v>
      </c>
      <c r="M183" s="13" t="s">
        <v>239</v>
      </c>
      <c r="N183" s="13">
        <v>2670</v>
      </c>
      <c r="O183" s="13">
        <v>0</v>
      </c>
      <c r="P183" s="13">
        <v>0</v>
      </c>
      <c r="Q183" s="13">
        <v>0</v>
      </c>
      <c r="R183" s="13">
        <v>0</v>
      </c>
      <c r="S183" s="13">
        <v>548</v>
      </c>
    </row>
    <row r="184" spans="1:19" x14ac:dyDescent="0.25">
      <c r="A184" t="s">
        <v>795</v>
      </c>
      <c r="B184" t="s">
        <v>235</v>
      </c>
      <c r="C184" s="1"/>
      <c r="D184" s="1"/>
      <c r="E184" s="1"/>
      <c r="F184" s="1"/>
      <c r="G184" s="1"/>
      <c r="H184" s="1"/>
      <c r="I184" s="1"/>
      <c r="J184" s="1"/>
      <c r="L184" s="13">
        <v>711</v>
      </c>
      <c r="M184" s="13" t="s">
        <v>240</v>
      </c>
      <c r="N184" s="13">
        <v>19328</v>
      </c>
      <c r="O184" s="13">
        <v>77</v>
      </c>
      <c r="P184" s="13">
        <v>0</v>
      </c>
      <c r="Q184" s="13">
        <v>0</v>
      </c>
      <c r="R184" s="13">
        <v>0</v>
      </c>
      <c r="S184" s="13">
        <v>2965</v>
      </c>
    </row>
    <row r="185" spans="1:19" x14ac:dyDescent="0.25">
      <c r="A185" t="s">
        <v>795</v>
      </c>
      <c r="B185" t="s">
        <v>236</v>
      </c>
      <c r="C185" s="1"/>
      <c r="D185" s="1"/>
      <c r="E185" s="1"/>
      <c r="F185" s="1"/>
      <c r="G185" s="1"/>
      <c r="H185" s="1"/>
      <c r="I185" s="1"/>
      <c r="J185" s="1"/>
      <c r="L185" s="13">
        <v>610</v>
      </c>
      <c r="M185" s="13" t="s">
        <v>241</v>
      </c>
      <c r="N185" s="13">
        <v>19254</v>
      </c>
      <c r="O185" s="13">
        <v>15</v>
      </c>
      <c r="P185" s="13">
        <v>0</v>
      </c>
      <c r="Q185" s="13">
        <v>0</v>
      </c>
      <c r="R185" s="13">
        <v>0</v>
      </c>
      <c r="S185" s="13">
        <v>4321</v>
      </c>
    </row>
    <row r="186" spans="1:19" x14ac:dyDescent="0.25">
      <c r="A186" t="s">
        <v>801</v>
      </c>
      <c r="B186" t="s">
        <v>237</v>
      </c>
      <c r="C186" s="1">
        <f>11350+1076</f>
        <v>12426</v>
      </c>
      <c r="D186" s="1">
        <f>141+2</f>
        <v>143</v>
      </c>
      <c r="E186" s="1">
        <v>0</v>
      </c>
      <c r="F186" s="1">
        <v>0</v>
      </c>
      <c r="G186" s="1">
        <v>0</v>
      </c>
      <c r="H186" s="1">
        <v>8403</v>
      </c>
      <c r="I186" s="1">
        <v>931</v>
      </c>
      <c r="J186" s="1"/>
      <c r="L186" s="13" t="s">
        <v>815</v>
      </c>
      <c r="M186" s="13" t="s">
        <v>242</v>
      </c>
      <c r="N186" s="13">
        <v>16412</v>
      </c>
      <c r="O186" s="13">
        <v>9</v>
      </c>
      <c r="P186" s="13">
        <v>0</v>
      </c>
      <c r="Q186" s="13">
        <v>0</v>
      </c>
      <c r="R186" s="13">
        <v>0</v>
      </c>
      <c r="S186" s="13">
        <v>8797</v>
      </c>
    </row>
    <row r="187" spans="1:19" x14ac:dyDescent="0.25">
      <c r="A187" t="s">
        <v>788</v>
      </c>
      <c r="B187" t="s">
        <v>238</v>
      </c>
      <c r="C187" s="1"/>
      <c r="D187" s="1"/>
      <c r="E187" s="1"/>
      <c r="F187" s="1"/>
      <c r="G187" s="1"/>
      <c r="H187" s="1"/>
      <c r="I187" s="1"/>
      <c r="J187" s="1"/>
      <c r="L187" s="13">
        <v>313</v>
      </c>
      <c r="M187" s="13" t="s">
        <v>243</v>
      </c>
      <c r="N187" s="13">
        <v>1740</v>
      </c>
      <c r="O187" s="13">
        <v>0</v>
      </c>
      <c r="P187" s="13">
        <v>0</v>
      </c>
      <c r="Q187" s="13">
        <v>0</v>
      </c>
      <c r="R187" s="13">
        <v>0</v>
      </c>
      <c r="S187" s="13">
        <v>82</v>
      </c>
    </row>
    <row r="188" spans="1:19" x14ac:dyDescent="0.25">
      <c r="A188" t="s">
        <v>791</v>
      </c>
      <c r="B188" t="s">
        <v>239</v>
      </c>
      <c r="C188" s="1"/>
      <c r="D188" s="1"/>
      <c r="E188" s="1"/>
      <c r="F188" s="1"/>
      <c r="G188" s="1"/>
      <c r="H188" s="1"/>
      <c r="I188" s="1"/>
      <c r="J188" s="1"/>
      <c r="L188" s="13">
        <v>713</v>
      </c>
      <c r="M188" s="13" t="s">
        <v>244</v>
      </c>
      <c r="N188" s="13">
        <v>22741</v>
      </c>
      <c r="O188" s="13">
        <v>51</v>
      </c>
      <c r="P188" s="13">
        <v>0</v>
      </c>
      <c r="Q188" s="13">
        <v>0</v>
      </c>
      <c r="R188" s="13">
        <v>0</v>
      </c>
      <c r="S188" s="13">
        <v>26994</v>
      </c>
    </row>
    <row r="189" spans="1:19" x14ac:dyDescent="0.25">
      <c r="A189" t="s">
        <v>801</v>
      </c>
      <c r="B189" t="s">
        <v>240</v>
      </c>
      <c r="C189" s="1">
        <f>18815+513</f>
        <v>19328</v>
      </c>
      <c r="D189" s="1">
        <v>77</v>
      </c>
      <c r="E189" s="1">
        <v>0</v>
      </c>
      <c r="F189" s="1">
        <v>0</v>
      </c>
      <c r="G189" s="1">
        <v>0</v>
      </c>
      <c r="H189" s="1">
        <v>2966</v>
      </c>
      <c r="I189" s="1">
        <v>458</v>
      </c>
      <c r="J189" s="1" t="s">
        <v>819</v>
      </c>
      <c r="L189" s="13">
        <v>611</v>
      </c>
      <c r="M189" s="13" t="s">
        <v>245</v>
      </c>
      <c r="N189" s="13">
        <v>3455</v>
      </c>
      <c r="O189" s="13">
        <v>1</v>
      </c>
      <c r="P189" s="13">
        <v>0</v>
      </c>
      <c r="Q189" s="13">
        <v>0</v>
      </c>
      <c r="R189" s="13">
        <v>0</v>
      </c>
      <c r="S189" s="13">
        <v>5216</v>
      </c>
    </row>
    <row r="190" spans="1:19" x14ac:dyDescent="0.25">
      <c r="A190" t="s">
        <v>788</v>
      </c>
      <c r="B190" t="s">
        <v>241</v>
      </c>
      <c r="C190" s="1">
        <f>13716+3+5535</f>
        <v>19254</v>
      </c>
      <c r="D190" s="1">
        <f>5+10</f>
        <v>15</v>
      </c>
      <c r="E190" s="1">
        <v>0</v>
      </c>
      <c r="F190" s="1">
        <v>0</v>
      </c>
      <c r="G190" s="1">
        <v>0</v>
      </c>
      <c r="H190" s="1">
        <v>4321</v>
      </c>
      <c r="I190" s="1">
        <v>4941</v>
      </c>
      <c r="J190" s="1"/>
      <c r="L190" s="13">
        <v>114</v>
      </c>
      <c r="M190" s="13" t="s">
        <v>246</v>
      </c>
      <c r="N190" s="13">
        <v>1834</v>
      </c>
      <c r="O190" s="13">
        <v>8</v>
      </c>
      <c r="P190" s="13">
        <v>0</v>
      </c>
      <c r="Q190" s="13">
        <v>0</v>
      </c>
      <c r="R190" s="13">
        <v>0</v>
      </c>
      <c r="S190" s="13">
        <v>351</v>
      </c>
    </row>
    <row r="191" spans="1:19" x14ac:dyDescent="0.25">
      <c r="A191" t="s">
        <v>138</v>
      </c>
      <c r="B191" t="s">
        <v>242</v>
      </c>
      <c r="C191" s="1"/>
      <c r="D191" s="1"/>
      <c r="E191" s="1"/>
      <c r="F191" s="1"/>
      <c r="G191" s="1"/>
      <c r="H191" s="1"/>
      <c r="I191" s="1"/>
      <c r="J191" s="1"/>
      <c r="L191" s="13">
        <v>100</v>
      </c>
      <c r="M191" s="13" t="s">
        <v>247</v>
      </c>
      <c r="N191" s="13">
        <v>2331</v>
      </c>
      <c r="O191" s="13">
        <v>3</v>
      </c>
      <c r="P191" s="13">
        <v>0</v>
      </c>
      <c r="Q191" s="13">
        <v>0</v>
      </c>
      <c r="R191" s="13">
        <v>0</v>
      </c>
      <c r="S191" s="13">
        <v>1280</v>
      </c>
    </row>
    <row r="192" spans="1:19" x14ac:dyDescent="0.25">
      <c r="A192" t="s">
        <v>512</v>
      </c>
      <c r="B192" t="s">
        <v>243</v>
      </c>
      <c r="C192" s="1"/>
      <c r="D192" s="1"/>
      <c r="E192" s="1"/>
      <c r="F192" s="1"/>
      <c r="G192" s="1"/>
      <c r="H192" s="1"/>
      <c r="I192" s="1"/>
      <c r="J192" s="1"/>
      <c r="L192" s="13">
        <v>600</v>
      </c>
      <c r="M192" s="13" t="s">
        <v>249</v>
      </c>
      <c r="N192" s="13">
        <v>14088</v>
      </c>
      <c r="O192" s="13">
        <v>11</v>
      </c>
      <c r="P192" s="13">
        <v>0</v>
      </c>
      <c r="Q192" s="13">
        <v>0</v>
      </c>
      <c r="R192" s="13">
        <v>0</v>
      </c>
      <c r="S192" s="13">
        <v>13385</v>
      </c>
    </row>
    <row r="193" spans="1:19" x14ac:dyDescent="0.25">
      <c r="A193" t="s">
        <v>796</v>
      </c>
      <c r="B193" t="s">
        <v>244</v>
      </c>
      <c r="C193" s="1">
        <f>18458+2+9+4272</f>
        <v>22741</v>
      </c>
      <c r="D193" s="1">
        <f>27+2+4+1+15+2</f>
        <v>51</v>
      </c>
      <c r="E193" s="1">
        <v>0</v>
      </c>
      <c r="F193" s="1">
        <v>0</v>
      </c>
      <c r="G193" s="1">
        <v>0</v>
      </c>
      <c r="H193" s="1">
        <v>26994</v>
      </c>
      <c r="I193" s="1">
        <v>0</v>
      </c>
      <c r="J193" s="1"/>
      <c r="L193" s="13">
        <v>210</v>
      </c>
      <c r="M193" s="13" t="s">
        <v>250</v>
      </c>
      <c r="N193" s="13">
        <v>1320</v>
      </c>
      <c r="O193" s="13">
        <v>0</v>
      </c>
      <c r="P193" s="13">
        <v>0</v>
      </c>
      <c r="Q193" s="13">
        <v>0</v>
      </c>
      <c r="R193" s="13">
        <v>0</v>
      </c>
      <c r="S193" s="13">
        <v>867</v>
      </c>
    </row>
    <row r="194" spans="1:19" x14ac:dyDescent="0.25">
      <c r="A194" t="s">
        <v>146</v>
      </c>
      <c r="B194" t="s">
        <v>245</v>
      </c>
      <c r="C194" s="1">
        <f>2756+699</f>
        <v>3455</v>
      </c>
      <c r="D194" s="1">
        <v>1</v>
      </c>
      <c r="E194" s="1">
        <v>0</v>
      </c>
      <c r="F194" s="1">
        <v>0</v>
      </c>
      <c r="G194" s="1">
        <v>0</v>
      </c>
      <c r="H194" s="1">
        <v>5216</v>
      </c>
      <c r="I194" s="1">
        <v>674</v>
      </c>
      <c r="J194" s="1"/>
      <c r="L194" s="13">
        <v>600</v>
      </c>
      <c r="M194" s="13" t="s">
        <v>251</v>
      </c>
      <c r="N194" s="13">
        <v>8552</v>
      </c>
      <c r="O194" s="13">
        <v>342</v>
      </c>
      <c r="P194" s="13">
        <v>0</v>
      </c>
      <c r="Q194" s="13">
        <v>0</v>
      </c>
      <c r="R194" s="13">
        <v>0</v>
      </c>
      <c r="S194" s="13">
        <v>19509</v>
      </c>
    </row>
    <row r="195" spans="1:19" x14ac:dyDescent="0.25">
      <c r="A195" t="s">
        <v>150</v>
      </c>
      <c r="B195" t="s">
        <v>246</v>
      </c>
      <c r="C195" s="1"/>
      <c r="D195" s="1"/>
      <c r="E195" s="1"/>
      <c r="F195" s="1"/>
      <c r="G195" s="1"/>
      <c r="H195" s="1"/>
      <c r="I195" s="1"/>
      <c r="J195" s="1"/>
      <c r="L195" s="13">
        <v>116</v>
      </c>
      <c r="M195" s="13" t="s">
        <v>252</v>
      </c>
      <c r="N195" s="13">
        <v>8758</v>
      </c>
      <c r="O195" s="13">
        <v>17</v>
      </c>
      <c r="P195" s="13">
        <v>0</v>
      </c>
      <c r="Q195" s="13">
        <v>0</v>
      </c>
      <c r="R195" s="13">
        <v>0</v>
      </c>
      <c r="S195" s="13">
        <v>4231</v>
      </c>
    </row>
    <row r="196" spans="1:19" x14ac:dyDescent="0.25">
      <c r="A196" t="s">
        <v>791</v>
      </c>
      <c r="B196" t="s">
        <v>247</v>
      </c>
      <c r="C196" s="1"/>
      <c r="D196" s="1"/>
      <c r="E196" s="1"/>
      <c r="F196" s="1"/>
      <c r="G196" s="1"/>
      <c r="H196" s="1"/>
      <c r="I196" s="1"/>
      <c r="J196" s="1"/>
      <c r="L196" s="13">
        <v>600</v>
      </c>
      <c r="M196" s="13" t="s">
        <v>253</v>
      </c>
      <c r="N196" s="13">
        <v>12817</v>
      </c>
      <c r="O196" s="13">
        <v>47</v>
      </c>
      <c r="P196" s="13">
        <v>0</v>
      </c>
      <c r="Q196" s="13">
        <v>0</v>
      </c>
      <c r="R196" s="13">
        <v>0</v>
      </c>
      <c r="S196" s="13">
        <v>2147</v>
      </c>
    </row>
    <row r="197" spans="1:19" x14ac:dyDescent="0.25">
      <c r="A197" t="s">
        <v>248</v>
      </c>
      <c r="B197" t="s">
        <v>249</v>
      </c>
      <c r="C197" s="1">
        <f>11879+4+10+2+2193</f>
        <v>14088</v>
      </c>
      <c r="D197" s="1">
        <v>11</v>
      </c>
      <c r="E197" s="1">
        <v>0</v>
      </c>
      <c r="F197" s="1">
        <v>0</v>
      </c>
      <c r="G197" s="1">
        <v>0</v>
      </c>
      <c r="H197" s="1">
        <v>13385</v>
      </c>
      <c r="I197" s="1">
        <v>2005</v>
      </c>
      <c r="J197" s="1"/>
      <c r="L197" s="13" t="s">
        <v>820</v>
      </c>
      <c r="M197" s="13" t="s">
        <v>254</v>
      </c>
      <c r="N197" s="13"/>
      <c r="O197" s="13"/>
      <c r="P197" s="13"/>
      <c r="Q197" s="13"/>
      <c r="R197" s="13"/>
      <c r="S197" s="13"/>
    </row>
    <row r="198" spans="1:19" x14ac:dyDescent="0.25">
      <c r="A198" t="s">
        <v>185</v>
      </c>
      <c r="B198" t="s">
        <v>250</v>
      </c>
      <c r="C198" s="1">
        <f>1178+142</f>
        <v>1320</v>
      </c>
      <c r="D198" s="1">
        <v>0</v>
      </c>
      <c r="E198" s="1">
        <v>0</v>
      </c>
      <c r="F198" s="1">
        <v>0</v>
      </c>
      <c r="G198" s="1">
        <v>0</v>
      </c>
      <c r="H198" s="1">
        <v>867</v>
      </c>
      <c r="I198" s="1">
        <v>160</v>
      </c>
      <c r="J198" s="1"/>
      <c r="L198" s="13">
        <v>310</v>
      </c>
      <c r="M198" s="13" t="s">
        <v>255</v>
      </c>
      <c r="N198" s="13">
        <v>11039</v>
      </c>
      <c r="O198" s="13">
        <v>0</v>
      </c>
      <c r="P198" s="13">
        <v>0</v>
      </c>
      <c r="Q198" s="13">
        <v>0</v>
      </c>
      <c r="R198" s="13">
        <v>0</v>
      </c>
      <c r="S198" s="13">
        <v>3864</v>
      </c>
    </row>
    <row r="199" spans="1:19" x14ac:dyDescent="0.25">
      <c r="A199" t="s">
        <v>248</v>
      </c>
      <c r="B199" t="s">
        <v>251</v>
      </c>
      <c r="C199" s="1"/>
      <c r="D199" s="1"/>
      <c r="E199" s="1"/>
      <c r="F199" s="1"/>
      <c r="G199" s="1"/>
      <c r="H199" s="1"/>
      <c r="I199" s="1"/>
      <c r="J199" s="1"/>
      <c r="L199" s="13">
        <v>312</v>
      </c>
      <c r="M199" s="13" t="s">
        <v>256</v>
      </c>
      <c r="N199" s="13">
        <v>5480</v>
      </c>
      <c r="O199" s="13">
        <v>0</v>
      </c>
      <c r="P199" s="13">
        <v>0</v>
      </c>
      <c r="Q199" s="13">
        <v>0</v>
      </c>
      <c r="R199" s="13">
        <v>0</v>
      </c>
      <c r="S199" s="13">
        <v>2149</v>
      </c>
    </row>
    <row r="200" spans="1:19" x14ac:dyDescent="0.25">
      <c r="A200" t="s">
        <v>795</v>
      </c>
      <c r="B200" t="s">
        <v>252</v>
      </c>
      <c r="C200" s="1"/>
      <c r="D200" s="1"/>
      <c r="E200" s="1"/>
      <c r="F200" s="1"/>
      <c r="G200" s="1"/>
      <c r="H200" s="1"/>
      <c r="I200" s="1"/>
      <c r="J200" s="1"/>
      <c r="L200" s="13" t="s">
        <v>815</v>
      </c>
      <c r="M200" s="13" t="s">
        <v>257</v>
      </c>
      <c r="N200" s="13">
        <v>14202</v>
      </c>
      <c r="O200" s="13">
        <v>2252</v>
      </c>
      <c r="P200" s="13">
        <v>0</v>
      </c>
      <c r="Q200" s="13">
        <v>0</v>
      </c>
      <c r="R200" s="13">
        <v>0</v>
      </c>
      <c r="S200" s="13">
        <v>2114</v>
      </c>
    </row>
    <row r="201" spans="1:19" x14ac:dyDescent="0.25">
      <c r="A201" t="s">
        <v>248</v>
      </c>
      <c r="B201" t="s">
        <v>253</v>
      </c>
      <c r="C201" s="1">
        <f>10725+47+3+2042</f>
        <v>12817</v>
      </c>
      <c r="D201" s="1">
        <v>47</v>
      </c>
      <c r="E201" s="1">
        <v>0</v>
      </c>
      <c r="F201" s="1">
        <v>0</v>
      </c>
      <c r="G201" s="1">
        <v>0</v>
      </c>
      <c r="H201" s="1">
        <v>2147</v>
      </c>
      <c r="I201" s="1">
        <v>1681</v>
      </c>
      <c r="J201" s="1"/>
      <c r="L201" s="13">
        <v>616</v>
      </c>
      <c r="M201" s="13" t="s">
        <v>258</v>
      </c>
      <c r="N201" s="13">
        <v>10046</v>
      </c>
      <c r="O201" s="13">
        <v>122</v>
      </c>
      <c r="P201" s="13">
        <v>0</v>
      </c>
      <c r="Q201" s="13">
        <v>0</v>
      </c>
      <c r="R201" s="13">
        <v>0</v>
      </c>
      <c r="S201" s="13">
        <v>75973</v>
      </c>
    </row>
    <row r="202" spans="1:19" x14ac:dyDescent="0.25">
      <c r="A202" t="s">
        <v>265</v>
      </c>
      <c r="B202" t="s">
        <v>254</v>
      </c>
      <c r="C202" s="1"/>
      <c r="D202" s="1"/>
      <c r="E202" s="1"/>
      <c r="F202" s="1"/>
      <c r="G202" s="1"/>
      <c r="H202" s="1"/>
      <c r="I202" s="1"/>
      <c r="J202" s="1"/>
      <c r="L202" s="13">
        <v>116</v>
      </c>
      <c r="M202" s="13" t="s">
        <v>259</v>
      </c>
      <c r="N202" s="13">
        <v>43036</v>
      </c>
      <c r="O202" s="13">
        <v>272</v>
      </c>
      <c r="P202" s="13">
        <v>0</v>
      </c>
      <c r="Q202" s="13">
        <v>0</v>
      </c>
      <c r="R202" s="13">
        <v>0</v>
      </c>
      <c r="S202" s="13">
        <v>8834</v>
      </c>
    </row>
    <row r="203" spans="1:19" x14ac:dyDescent="0.25">
      <c r="A203" t="s">
        <v>67</v>
      </c>
      <c r="B203" t="s">
        <v>255</v>
      </c>
      <c r="C203" s="1"/>
      <c r="D203" s="1"/>
      <c r="E203" s="1"/>
      <c r="F203" s="1"/>
      <c r="G203" s="1"/>
      <c r="H203" s="1"/>
      <c r="I203" s="1"/>
      <c r="J203" s="1"/>
      <c r="L203" s="13">
        <v>211</v>
      </c>
      <c r="M203" s="13" t="s">
        <v>260</v>
      </c>
      <c r="N203" s="13">
        <v>9645</v>
      </c>
      <c r="O203" s="13">
        <v>176</v>
      </c>
      <c r="P203" s="13">
        <v>0</v>
      </c>
      <c r="Q203" s="13">
        <v>0</v>
      </c>
      <c r="R203" s="13">
        <v>0</v>
      </c>
      <c r="S203" s="13">
        <v>3998</v>
      </c>
    </row>
    <row r="204" spans="1:19" x14ac:dyDescent="0.25">
      <c r="A204" t="s">
        <v>72</v>
      </c>
      <c r="B204" t="s">
        <v>256</v>
      </c>
      <c r="C204" s="1">
        <f>4723+16+741</f>
        <v>5480</v>
      </c>
      <c r="D204" s="1">
        <v>0</v>
      </c>
      <c r="E204" s="1">
        <v>0</v>
      </c>
      <c r="F204" s="1">
        <v>0</v>
      </c>
      <c r="G204" s="1">
        <v>0</v>
      </c>
      <c r="H204" s="1">
        <v>2149</v>
      </c>
      <c r="I204" s="1">
        <v>711</v>
      </c>
      <c r="J204" s="1"/>
      <c r="L204" s="13">
        <v>120</v>
      </c>
      <c r="M204" s="13" t="s">
        <v>261</v>
      </c>
      <c r="N204" s="13"/>
      <c r="O204" s="13"/>
      <c r="P204" s="13"/>
      <c r="Q204" s="13"/>
      <c r="R204" s="13"/>
      <c r="S204" s="13"/>
    </row>
    <row r="205" spans="1:19" x14ac:dyDescent="0.25">
      <c r="A205" t="s">
        <v>138</v>
      </c>
      <c r="B205" t="s">
        <v>257</v>
      </c>
      <c r="C205" s="1"/>
      <c r="D205" s="1"/>
      <c r="E205" s="1"/>
      <c r="F205" s="1"/>
      <c r="G205" s="1"/>
      <c r="H205" s="1"/>
      <c r="I205" s="1"/>
      <c r="J205" s="1"/>
      <c r="L205" s="13">
        <v>711</v>
      </c>
      <c r="M205" s="13" t="s">
        <v>262</v>
      </c>
      <c r="N205" s="13">
        <v>25209</v>
      </c>
      <c r="O205" s="13">
        <v>289</v>
      </c>
      <c r="P205" s="13">
        <v>0</v>
      </c>
      <c r="Q205" s="13">
        <v>0</v>
      </c>
      <c r="R205" s="13">
        <v>0</v>
      </c>
      <c r="S205" s="13">
        <v>16544</v>
      </c>
    </row>
    <row r="206" spans="1:19" x14ac:dyDescent="0.25">
      <c r="A206" t="s">
        <v>817</v>
      </c>
      <c r="B206" t="s">
        <v>258</v>
      </c>
      <c r="C206" s="1">
        <f>6205+45+5+3790+1</f>
        <v>10046</v>
      </c>
      <c r="D206" s="1">
        <f>120+2</f>
        <v>122</v>
      </c>
      <c r="E206" s="1">
        <v>0</v>
      </c>
      <c r="F206" s="1">
        <v>0</v>
      </c>
      <c r="G206" s="1">
        <v>0</v>
      </c>
      <c r="H206" s="1">
        <v>75973</v>
      </c>
      <c r="I206" s="1">
        <v>2980</v>
      </c>
      <c r="J206" s="1"/>
      <c r="L206" s="13">
        <v>311</v>
      </c>
      <c r="M206" s="13" t="s">
        <v>263</v>
      </c>
      <c r="N206" s="13">
        <v>2401</v>
      </c>
      <c r="O206" s="13">
        <v>0</v>
      </c>
      <c r="P206" s="13">
        <v>0</v>
      </c>
      <c r="Q206" s="13">
        <v>0</v>
      </c>
      <c r="R206" s="13">
        <v>0</v>
      </c>
      <c r="S206" s="13">
        <v>269</v>
      </c>
    </row>
    <row r="207" spans="1:19" x14ac:dyDescent="0.25">
      <c r="A207" t="s">
        <v>795</v>
      </c>
      <c r="B207" t="s">
        <v>259</v>
      </c>
      <c r="C207" s="1"/>
      <c r="D207" s="1"/>
      <c r="E207" s="1"/>
      <c r="F207" s="1"/>
      <c r="G207" s="1"/>
      <c r="H207" s="1"/>
      <c r="I207" s="1"/>
      <c r="J207" s="1"/>
      <c r="L207" s="13">
        <v>200</v>
      </c>
      <c r="M207" s="13" t="s">
        <v>264</v>
      </c>
      <c r="N207" s="13">
        <v>3942</v>
      </c>
      <c r="O207" s="13">
        <v>0</v>
      </c>
      <c r="P207" s="13">
        <v>0</v>
      </c>
      <c r="Q207" s="13">
        <v>0</v>
      </c>
      <c r="R207" s="13">
        <v>0</v>
      </c>
      <c r="S207" s="13">
        <v>750</v>
      </c>
    </row>
    <row r="208" spans="1:19" x14ac:dyDescent="0.25">
      <c r="A208" t="s">
        <v>131</v>
      </c>
      <c r="B208" t="s">
        <v>260</v>
      </c>
      <c r="C208" s="1">
        <f>5352+23+4+4266</f>
        <v>9645</v>
      </c>
      <c r="D208" s="1">
        <f>12+152+12</f>
        <v>176</v>
      </c>
      <c r="E208" s="1">
        <v>0</v>
      </c>
      <c r="F208" s="1">
        <v>0</v>
      </c>
      <c r="G208" s="1">
        <v>0</v>
      </c>
      <c r="H208" s="1">
        <v>3998</v>
      </c>
      <c r="I208" s="1">
        <v>3598</v>
      </c>
      <c r="J208" s="1"/>
      <c r="L208" s="13" t="s">
        <v>820</v>
      </c>
      <c r="M208" s="13" t="s">
        <v>266</v>
      </c>
      <c r="N208" s="13">
        <v>25653</v>
      </c>
      <c r="O208" s="13">
        <v>124</v>
      </c>
      <c r="P208" s="13">
        <v>0</v>
      </c>
      <c r="Q208" s="13">
        <v>0</v>
      </c>
      <c r="R208" s="13">
        <v>0</v>
      </c>
      <c r="S208" s="13">
        <v>10800</v>
      </c>
    </row>
    <row r="209" spans="1:19" x14ac:dyDescent="0.25">
      <c r="A209" t="s">
        <v>802</v>
      </c>
      <c r="B209" t="s">
        <v>261</v>
      </c>
      <c r="C209" s="1"/>
      <c r="D209" s="1"/>
      <c r="E209" s="1"/>
      <c r="F209" s="1"/>
      <c r="G209" s="1"/>
      <c r="H209" s="1"/>
      <c r="I209" s="1"/>
      <c r="J209" s="1"/>
      <c r="L209" s="13" t="s">
        <v>822</v>
      </c>
      <c r="M209" s="13" t="s">
        <v>267</v>
      </c>
      <c r="N209" s="13">
        <v>34685</v>
      </c>
      <c r="O209" s="13">
        <v>1326</v>
      </c>
      <c r="P209" s="13">
        <v>0</v>
      </c>
      <c r="Q209" s="13">
        <v>0</v>
      </c>
      <c r="R209" s="13">
        <v>0</v>
      </c>
      <c r="S209" s="13">
        <v>14620</v>
      </c>
    </row>
    <row r="210" spans="1:19" x14ac:dyDescent="0.25">
      <c r="A210" t="s">
        <v>801</v>
      </c>
      <c r="B210" t="s">
        <v>262</v>
      </c>
      <c r="C210" s="1"/>
      <c r="D210" s="1"/>
      <c r="E210" s="1"/>
      <c r="F210" s="1"/>
      <c r="G210" s="1"/>
      <c r="H210" s="1"/>
      <c r="I210" s="1"/>
      <c r="J210" s="1"/>
      <c r="L210" s="13">
        <v>114</v>
      </c>
      <c r="M210" s="13" t="s">
        <v>268</v>
      </c>
      <c r="N210" s="13">
        <v>6753</v>
      </c>
      <c r="O210" s="13">
        <v>182</v>
      </c>
      <c r="P210" s="13">
        <v>0</v>
      </c>
      <c r="Q210" s="13">
        <v>0</v>
      </c>
      <c r="R210" s="13">
        <v>0</v>
      </c>
      <c r="S210" s="13">
        <v>1293</v>
      </c>
    </row>
    <row r="211" spans="1:19" x14ac:dyDescent="0.25">
      <c r="A211" t="s">
        <v>120</v>
      </c>
      <c r="B211" t="s">
        <v>263</v>
      </c>
      <c r="C211" s="1"/>
      <c r="D211" s="1"/>
      <c r="E211" s="1"/>
      <c r="F211" s="1"/>
      <c r="G211" s="1"/>
      <c r="H211" s="1"/>
      <c r="I211" s="1"/>
      <c r="J211" s="1"/>
      <c r="L211" s="13" t="s">
        <v>814</v>
      </c>
      <c r="M211" s="13" t="s">
        <v>269</v>
      </c>
      <c r="N211" s="13">
        <v>2141</v>
      </c>
      <c r="O211" s="13">
        <v>44</v>
      </c>
      <c r="P211" s="13">
        <v>0</v>
      </c>
      <c r="Q211" s="13">
        <v>0</v>
      </c>
      <c r="R211" s="13">
        <v>0</v>
      </c>
      <c r="S211" s="13">
        <v>139</v>
      </c>
    </row>
    <row r="212" spans="1:19" x14ac:dyDescent="0.25">
      <c r="A212" t="s">
        <v>140</v>
      </c>
      <c r="B212" t="s">
        <v>264</v>
      </c>
      <c r="C212" s="1">
        <f>2895+10+125+912</f>
        <v>3942</v>
      </c>
      <c r="D212" s="1">
        <v>0</v>
      </c>
      <c r="E212" s="1">
        <v>0</v>
      </c>
      <c r="F212" s="1">
        <v>0</v>
      </c>
      <c r="G212" s="1">
        <v>0</v>
      </c>
      <c r="H212" s="1">
        <v>750</v>
      </c>
      <c r="I212" s="1">
        <v>587</v>
      </c>
      <c r="J212" s="1"/>
      <c r="L212" s="13" t="s">
        <v>808</v>
      </c>
      <c r="M212" s="13" t="s">
        <v>270</v>
      </c>
      <c r="N212" s="13">
        <v>4942</v>
      </c>
      <c r="O212" s="13">
        <v>4</v>
      </c>
      <c r="P212" s="13">
        <v>0</v>
      </c>
      <c r="Q212" s="13">
        <v>0</v>
      </c>
      <c r="R212" s="13">
        <v>0</v>
      </c>
      <c r="S212" s="13">
        <v>6656</v>
      </c>
    </row>
    <row r="213" spans="1:19" x14ac:dyDescent="0.25">
      <c r="A213" t="s">
        <v>265</v>
      </c>
      <c r="B213" t="s">
        <v>266</v>
      </c>
      <c r="C213" s="1">
        <f>18067+7586</f>
        <v>25653</v>
      </c>
      <c r="D213" s="1">
        <f>47+77</f>
        <v>124</v>
      </c>
      <c r="E213" s="1">
        <v>0</v>
      </c>
      <c r="F213" s="1">
        <v>0</v>
      </c>
      <c r="G213" s="1">
        <v>0</v>
      </c>
      <c r="H213" s="1">
        <v>10800</v>
      </c>
      <c r="I213" s="1">
        <v>6844</v>
      </c>
      <c r="J213" s="1"/>
      <c r="L213" s="13">
        <v>600</v>
      </c>
      <c r="M213" s="13" t="s">
        <v>271</v>
      </c>
      <c r="N213" s="13">
        <v>20156</v>
      </c>
      <c r="O213" s="13">
        <v>702</v>
      </c>
      <c r="P213" s="13">
        <v>0</v>
      </c>
      <c r="Q213" s="13">
        <v>0</v>
      </c>
      <c r="R213" s="13">
        <v>0</v>
      </c>
      <c r="S213" s="13">
        <v>30431</v>
      </c>
    </row>
    <row r="214" spans="1:19" x14ac:dyDescent="0.25">
      <c r="A214" t="s">
        <v>798</v>
      </c>
      <c r="B214" t="s">
        <v>267</v>
      </c>
      <c r="C214" s="1"/>
      <c r="D214" s="1"/>
      <c r="E214" s="1"/>
      <c r="F214" s="1"/>
      <c r="G214" s="1"/>
      <c r="H214" s="1"/>
      <c r="I214" s="1"/>
      <c r="J214" s="1"/>
      <c r="L214" s="13">
        <v>113</v>
      </c>
      <c r="M214" s="13" t="s">
        <v>272</v>
      </c>
      <c r="N214" s="13">
        <v>2518</v>
      </c>
      <c r="O214" s="13">
        <v>10</v>
      </c>
      <c r="P214" s="13">
        <v>0</v>
      </c>
      <c r="Q214" s="13">
        <v>0</v>
      </c>
      <c r="R214" s="13">
        <v>0</v>
      </c>
      <c r="S214" s="13">
        <v>1181</v>
      </c>
    </row>
    <row r="215" spans="1:19" x14ac:dyDescent="0.25">
      <c r="A215" t="s">
        <v>150</v>
      </c>
      <c r="B215" t="s">
        <v>268</v>
      </c>
      <c r="C215" s="1"/>
      <c r="D215" s="1"/>
      <c r="E215" s="1"/>
      <c r="F215" s="1"/>
      <c r="G215" s="1"/>
      <c r="H215" s="1"/>
      <c r="I215" s="1"/>
      <c r="J215" s="1"/>
      <c r="L215" s="13">
        <v>611</v>
      </c>
      <c r="M215" s="13" t="s">
        <v>273</v>
      </c>
      <c r="N215" s="13">
        <v>5049</v>
      </c>
      <c r="O215" s="13">
        <v>128</v>
      </c>
      <c r="P215" s="13">
        <v>0</v>
      </c>
      <c r="Q215" s="13">
        <v>0</v>
      </c>
      <c r="R215" s="13">
        <v>0</v>
      </c>
      <c r="S215" s="13">
        <v>6536</v>
      </c>
    </row>
    <row r="216" spans="1:19" x14ac:dyDescent="0.25">
      <c r="A216" t="s">
        <v>794</v>
      </c>
      <c r="B216" t="s">
        <v>269</v>
      </c>
      <c r="C216" s="1">
        <f>2044+97</f>
        <v>2141</v>
      </c>
      <c r="D216" s="1">
        <v>44</v>
      </c>
      <c r="E216" s="1">
        <v>0</v>
      </c>
      <c r="F216" s="1">
        <v>0</v>
      </c>
      <c r="G216" s="1">
        <v>0</v>
      </c>
      <c r="H216" s="1">
        <v>139</v>
      </c>
      <c r="I216" s="1">
        <v>102</v>
      </c>
      <c r="J216" s="1"/>
      <c r="L216" s="13">
        <v>610</v>
      </c>
      <c r="M216" s="13" t="s">
        <v>274</v>
      </c>
      <c r="N216" s="13">
        <v>7506</v>
      </c>
      <c r="O216" s="13">
        <v>1</v>
      </c>
      <c r="P216" s="13">
        <v>0</v>
      </c>
      <c r="Q216" s="13">
        <v>0</v>
      </c>
      <c r="R216" s="13">
        <v>0</v>
      </c>
      <c r="S216" s="13">
        <v>7384</v>
      </c>
    </row>
    <row r="217" spans="1:19" x14ac:dyDescent="0.25">
      <c r="A217" t="s">
        <v>809</v>
      </c>
      <c r="B217" t="s">
        <v>270</v>
      </c>
      <c r="C217" s="1"/>
      <c r="D217" s="1"/>
      <c r="E217" s="1"/>
      <c r="F217" s="1"/>
      <c r="G217" s="1"/>
      <c r="H217" s="1"/>
      <c r="I217" s="1"/>
      <c r="J217" s="1"/>
      <c r="L217" s="13"/>
      <c r="M217" s="13" t="s">
        <v>275</v>
      </c>
      <c r="N217" s="13"/>
      <c r="O217" s="13"/>
      <c r="P217" s="13"/>
      <c r="Q217" s="13"/>
      <c r="R217" s="13"/>
      <c r="S217" s="13"/>
    </row>
    <row r="218" spans="1:19" x14ac:dyDescent="0.25">
      <c r="A218" t="s">
        <v>248</v>
      </c>
      <c r="B218" t="s">
        <v>271</v>
      </c>
      <c r="C218" s="1">
        <f>15352+21+4783</f>
        <v>20156</v>
      </c>
      <c r="D218" s="1">
        <f>686+10+6</f>
        <v>702</v>
      </c>
      <c r="E218" s="1">
        <v>0</v>
      </c>
      <c r="F218" s="1">
        <v>0</v>
      </c>
      <c r="G218" s="1">
        <v>0</v>
      </c>
      <c r="H218" s="1">
        <v>30431</v>
      </c>
      <c r="I218" s="1">
        <v>3735</v>
      </c>
      <c r="J218" s="1"/>
      <c r="L218" s="13"/>
      <c r="M218" s="13" t="s">
        <v>276</v>
      </c>
      <c r="N218" s="13"/>
      <c r="O218" s="13"/>
      <c r="P218" s="13"/>
      <c r="Q218" s="13"/>
      <c r="R218" s="13"/>
      <c r="S218" s="13"/>
    </row>
    <row r="219" spans="1:19" x14ac:dyDescent="0.25">
      <c r="A219" t="s">
        <v>823</v>
      </c>
      <c r="B219" t="s">
        <v>272</v>
      </c>
      <c r="C219" s="1">
        <f>1663+1+854</f>
        <v>2518</v>
      </c>
      <c r="D219" s="1">
        <v>10</v>
      </c>
      <c r="E219" s="1">
        <v>0</v>
      </c>
      <c r="F219" s="1">
        <v>0</v>
      </c>
      <c r="G219" s="1">
        <v>0</v>
      </c>
      <c r="H219" s="1">
        <v>1181</v>
      </c>
      <c r="I219" s="1">
        <v>436</v>
      </c>
      <c r="J219" s="1"/>
      <c r="L219" s="13">
        <v>712</v>
      </c>
      <c r="M219" s="13" t="s">
        <v>277</v>
      </c>
      <c r="N219" s="13">
        <v>25528</v>
      </c>
      <c r="O219" s="13">
        <v>335</v>
      </c>
      <c r="P219" s="13">
        <v>0</v>
      </c>
      <c r="Q219" s="13">
        <v>0</v>
      </c>
      <c r="R219" s="13">
        <v>0</v>
      </c>
      <c r="S219" s="13">
        <v>0</v>
      </c>
    </row>
    <row r="220" spans="1:19" x14ac:dyDescent="0.25">
      <c r="A220" t="s">
        <v>146</v>
      </c>
      <c r="B220" t="s">
        <v>273</v>
      </c>
      <c r="C220" s="1">
        <f>2253+1+67+8+2720</f>
        <v>5049</v>
      </c>
      <c r="D220" s="1">
        <f>2+124+2</f>
        <v>128</v>
      </c>
      <c r="E220" s="1">
        <v>0</v>
      </c>
      <c r="F220" s="1">
        <v>0</v>
      </c>
      <c r="G220" s="1">
        <v>0</v>
      </c>
      <c r="H220" s="1">
        <v>6536</v>
      </c>
      <c r="I220" s="1">
        <v>2714</v>
      </c>
      <c r="J220" s="1"/>
      <c r="L220" s="13"/>
      <c r="M220" s="13" t="s">
        <v>278</v>
      </c>
      <c r="N220" s="13"/>
      <c r="O220" s="13"/>
      <c r="P220" s="13"/>
      <c r="Q220" s="13"/>
      <c r="R220" s="13"/>
      <c r="S220" s="13"/>
    </row>
    <row r="221" spans="1:19" x14ac:dyDescent="0.25">
      <c r="A221" t="s">
        <v>788</v>
      </c>
      <c r="B221" t="s">
        <v>274</v>
      </c>
      <c r="C221" s="1">
        <f>4659+316+2531</f>
        <v>7506</v>
      </c>
      <c r="D221" s="1">
        <v>1</v>
      </c>
      <c r="E221" s="1">
        <v>0</v>
      </c>
      <c r="F221" s="1">
        <v>0</v>
      </c>
      <c r="G221" s="1">
        <v>0</v>
      </c>
      <c r="H221" s="1">
        <v>7384</v>
      </c>
      <c r="I221" s="1">
        <v>1898</v>
      </c>
      <c r="J221" s="1"/>
      <c r="L221" s="13"/>
      <c r="M221" s="13" t="s">
        <v>279</v>
      </c>
      <c r="N221" s="13"/>
      <c r="O221" s="13"/>
      <c r="P221" s="13"/>
      <c r="Q221" s="13"/>
      <c r="R221" s="13"/>
      <c r="S221" s="13"/>
    </row>
    <row r="222" spans="1:19" x14ac:dyDescent="0.25">
      <c r="A222" t="s">
        <v>805</v>
      </c>
      <c r="B222" t="s">
        <v>275</v>
      </c>
      <c r="C222" s="1"/>
      <c r="D222" s="1"/>
      <c r="E222" s="1"/>
      <c r="F222" s="1"/>
      <c r="G222" s="1"/>
      <c r="H222" s="1"/>
      <c r="I222" s="1"/>
      <c r="J222" s="1"/>
      <c r="L222" s="13">
        <v>613</v>
      </c>
      <c r="M222" s="13" t="s">
        <v>280</v>
      </c>
      <c r="N222" s="13">
        <v>381</v>
      </c>
      <c r="O222" s="13">
        <v>13</v>
      </c>
      <c r="P222" s="13">
        <v>0</v>
      </c>
      <c r="Q222" s="13">
        <v>0</v>
      </c>
      <c r="R222" s="13">
        <v>0</v>
      </c>
      <c r="S222" s="13">
        <v>0</v>
      </c>
    </row>
    <row r="223" spans="1:19" x14ac:dyDescent="0.25">
      <c r="A223" t="s">
        <v>805</v>
      </c>
      <c r="B223" s="1" t="s">
        <v>276</v>
      </c>
      <c r="C223" s="1"/>
      <c r="D223" s="1"/>
      <c r="E223" s="1"/>
      <c r="F223" s="1"/>
      <c r="G223" s="1"/>
      <c r="H223" s="1"/>
      <c r="I223" s="1"/>
      <c r="J223" s="1"/>
      <c r="L223" s="13">
        <v>100</v>
      </c>
      <c r="M223" s="13" t="s">
        <v>281</v>
      </c>
      <c r="N223" s="13">
        <v>777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</row>
    <row r="224" spans="1:19" x14ac:dyDescent="0.25">
      <c r="A224" t="s">
        <v>76</v>
      </c>
      <c r="B224" t="s">
        <v>277</v>
      </c>
      <c r="C224" s="1">
        <f>23176+1+32+2319</f>
        <v>25528</v>
      </c>
      <c r="D224" s="1">
        <v>335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/>
      <c r="L224" s="13">
        <v>711</v>
      </c>
      <c r="M224" s="13" t="s">
        <v>282</v>
      </c>
      <c r="N224" s="13">
        <v>8466</v>
      </c>
      <c r="O224" s="13">
        <v>22</v>
      </c>
      <c r="P224" s="13">
        <v>0</v>
      </c>
      <c r="Q224" s="13">
        <v>0</v>
      </c>
      <c r="R224" s="13">
        <v>0</v>
      </c>
      <c r="S224" s="13">
        <v>0</v>
      </c>
    </row>
    <row r="225" spans="1:19" x14ac:dyDescent="0.25">
      <c r="A225" t="s">
        <v>823</v>
      </c>
      <c r="B225" t="s">
        <v>278</v>
      </c>
      <c r="C225" s="1"/>
      <c r="D225" s="1"/>
      <c r="E225" s="1"/>
      <c r="F225" s="1"/>
      <c r="G225" s="1"/>
      <c r="H225" s="1"/>
      <c r="I225" s="1"/>
      <c r="J225" s="1"/>
      <c r="L225" s="13">
        <v>116</v>
      </c>
      <c r="M225" s="13" t="s">
        <v>283</v>
      </c>
      <c r="N225" s="13">
        <v>92055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</row>
    <row r="226" spans="1:19" x14ac:dyDescent="0.25">
      <c r="A226" t="s">
        <v>120</v>
      </c>
      <c r="B226" t="s">
        <v>279</v>
      </c>
      <c r="C226" s="1"/>
      <c r="D226" s="1"/>
      <c r="E226" s="1"/>
      <c r="F226" s="1"/>
      <c r="G226" s="1"/>
      <c r="H226" s="1"/>
      <c r="I226" s="1"/>
      <c r="J226" s="1"/>
      <c r="L226" s="13">
        <v>111</v>
      </c>
      <c r="M226" s="13" t="s">
        <v>284</v>
      </c>
      <c r="N226" s="13">
        <v>31356</v>
      </c>
      <c r="O226" s="13">
        <v>746</v>
      </c>
      <c r="P226" s="13">
        <v>0</v>
      </c>
      <c r="Q226" s="13">
        <v>0</v>
      </c>
      <c r="R226" s="13">
        <v>0</v>
      </c>
      <c r="S226" s="13">
        <v>0</v>
      </c>
    </row>
    <row r="227" spans="1:19" x14ac:dyDescent="0.25">
      <c r="A227" t="s">
        <v>495</v>
      </c>
      <c r="B227" t="s">
        <v>280</v>
      </c>
      <c r="C227" s="1">
        <f>373+8</f>
        <v>381</v>
      </c>
      <c r="D227" s="1">
        <f>6+7</f>
        <v>13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/>
      <c r="L227" s="13">
        <v>311</v>
      </c>
      <c r="M227" s="13" t="s">
        <v>285</v>
      </c>
      <c r="N227" s="13">
        <v>10147</v>
      </c>
      <c r="O227" s="13">
        <v>84</v>
      </c>
      <c r="P227" s="13">
        <v>0</v>
      </c>
      <c r="Q227" s="13">
        <v>0</v>
      </c>
      <c r="R227" s="13">
        <v>0</v>
      </c>
      <c r="S227" s="13">
        <v>0</v>
      </c>
    </row>
    <row r="228" spans="1:19" x14ac:dyDescent="0.25">
      <c r="A228" t="s">
        <v>791</v>
      </c>
      <c r="B228" t="s">
        <v>281</v>
      </c>
      <c r="C228" s="1"/>
      <c r="D228" s="1"/>
      <c r="E228" s="1"/>
      <c r="F228" s="1"/>
      <c r="G228" s="1"/>
      <c r="H228" s="1"/>
      <c r="I228" s="1"/>
      <c r="J228" s="1"/>
      <c r="L228" s="13">
        <v>511</v>
      </c>
      <c r="M228" s="13" t="s">
        <v>286</v>
      </c>
      <c r="N228" s="13">
        <v>10104</v>
      </c>
      <c r="O228" s="13">
        <v>86</v>
      </c>
      <c r="P228" s="13">
        <v>0</v>
      </c>
      <c r="Q228" s="13">
        <v>0</v>
      </c>
      <c r="R228" s="13">
        <v>0</v>
      </c>
      <c r="S228" s="13">
        <v>0</v>
      </c>
    </row>
    <row r="229" spans="1:19" x14ac:dyDescent="0.25">
      <c r="A229" t="s">
        <v>801</v>
      </c>
      <c r="B229" t="s">
        <v>282</v>
      </c>
      <c r="C229" s="1">
        <f>8446+20</f>
        <v>8466</v>
      </c>
      <c r="D229" s="1">
        <v>22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/>
      <c r="L229" s="13">
        <v>300</v>
      </c>
      <c r="M229" s="13" t="s">
        <v>287</v>
      </c>
      <c r="N229" s="13">
        <v>1349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</row>
    <row r="230" spans="1:19" x14ac:dyDescent="0.25">
      <c r="A230" t="s">
        <v>795</v>
      </c>
      <c r="B230" t="s">
        <v>283</v>
      </c>
      <c r="C230" s="1"/>
      <c r="D230" s="1"/>
      <c r="E230" s="1"/>
      <c r="F230" s="1"/>
      <c r="G230" s="1"/>
      <c r="H230" s="1"/>
      <c r="I230" s="1"/>
      <c r="J230" s="1"/>
      <c r="L230" s="13">
        <v>311</v>
      </c>
      <c r="M230" s="13" t="s">
        <v>288</v>
      </c>
      <c r="N230" s="13">
        <v>1468</v>
      </c>
      <c r="O230" s="13">
        <v>0</v>
      </c>
      <c r="P230" s="13">
        <v>0</v>
      </c>
      <c r="Q230" s="13">
        <v>11415</v>
      </c>
      <c r="R230" s="13">
        <v>46</v>
      </c>
      <c r="S230" s="13">
        <v>0</v>
      </c>
    </row>
    <row r="231" spans="1:19" x14ac:dyDescent="0.25">
      <c r="A231" t="s">
        <v>811</v>
      </c>
      <c r="B231" t="s">
        <v>284</v>
      </c>
      <c r="C231" s="1"/>
      <c r="D231" s="1"/>
      <c r="E231" s="1"/>
      <c r="F231" s="1"/>
      <c r="G231" s="1"/>
      <c r="H231" s="1"/>
      <c r="I231" s="1"/>
      <c r="J231" s="1"/>
      <c r="L231" s="13"/>
      <c r="M231" s="13" t="s">
        <v>289</v>
      </c>
      <c r="N231" s="13"/>
      <c r="O231" s="13"/>
      <c r="P231" s="13"/>
      <c r="Q231" s="13"/>
      <c r="R231" s="13"/>
      <c r="S231" s="13"/>
    </row>
    <row r="232" spans="1:19" x14ac:dyDescent="0.25">
      <c r="A232" t="s">
        <v>120</v>
      </c>
      <c r="B232" t="s">
        <v>285</v>
      </c>
      <c r="C232" s="1"/>
      <c r="D232" s="1"/>
      <c r="E232" s="1"/>
      <c r="F232" s="1"/>
      <c r="G232" s="1"/>
      <c r="H232" s="1"/>
      <c r="I232" s="1"/>
      <c r="J232" s="1"/>
      <c r="L232" s="13">
        <v>100</v>
      </c>
      <c r="M232" s="13" t="s">
        <v>290</v>
      </c>
      <c r="N232" s="13">
        <v>1429</v>
      </c>
      <c r="O232" s="13">
        <v>4</v>
      </c>
      <c r="P232" s="13">
        <v>0</v>
      </c>
      <c r="Q232" s="13">
        <v>7230</v>
      </c>
      <c r="R232" s="13">
        <v>27</v>
      </c>
      <c r="S232" s="13">
        <v>0</v>
      </c>
    </row>
    <row r="233" spans="1:19" x14ac:dyDescent="0.25">
      <c r="A233" t="s">
        <v>101</v>
      </c>
      <c r="B233" t="s">
        <v>286</v>
      </c>
      <c r="C233" s="1">
        <f>10092+10+2</f>
        <v>10104</v>
      </c>
      <c r="D233" s="1">
        <v>86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/>
      <c r="L233" s="13"/>
      <c r="M233" s="13" t="s">
        <v>291</v>
      </c>
      <c r="N233" s="13"/>
      <c r="O233" s="13"/>
      <c r="P233" s="13"/>
      <c r="Q233" s="13"/>
      <c r="R233" s="13"/>
      <c r="S233" s="13"/>
    </row>
    <row r="234" spans="1:19" x14ac:dyDescent="0.25">
      <c r="A234" t="s">
        <v>226</v>
      </c>
      <c r="B234" t="s">
        <v>287</v>
      </c>
      <c r="C234" s="1"/>
      <c r="D234" s="1"/>
      <c r="E234" s="1"/>
      <c r="F234" s="1"/>
      <c r="G234" s="1"/>
      <c r="H234" s="1"/>
      <c r="I234" s="1"/>
      <c r="J234" s="1"/>
      <c r="L234" s="13"/>
      <c r="M234" s="13" t="s">
        <v>292</v>
      </c>
      <c r="N234" s="13"/>
      <c r="O234" s="13"/>
      <c r="P234" s="13"/>
      <c r="Q234" s="13"/>
      <c r="R234" s="13"/>
      <c r="S234" s="13"/>
    </row>
    <row r="235" spans="1:19" x14ac:dyDescent="0.25">
      <c r="A235" t="s">
        <v>120</v>
      </c>
      <c r="B235" t="s">
        <v>288</v>
      </c>
      <c r="C235" s="1"/>
      <c r="D235" s="1"/>
      <c r="E235" s="1"/>
      <c r="F235" s="1"/>
      <c r="G235" s="1"/>
      <c r="H235" s="1"/>
      <c r="I235" s="1"/>
      <c r="J235" s="1"/>
      <c r="L235" s="13">
        <v>613</v>
      </c>
      <c r="M235" s="13" t="s">
        <v>293</v>
      </c>
      <c r="N235" s="13">
        <v>21</v>
      </c>
      <c r="O235" s="13">
        <v>0</v>
      </c>
      <c r="P235" s="13">
        <v>0</v>
      </c>
      <c r="Q235" s="13">
        <v>19</v>
      </c>
      <c r="R235" s="13">
        <v>0</v>
      </c>
      <c r="S235" s="13">
        <v>0</v>
      </c>
    </row>
    <row r="236" spans="1:19" x14ac:dyDescent="0.25">
      <c r="A236" t="s">
        <v>826</v>
      </c>
      <c r="B236" t="s">
        <v>289</v>
      </c>
      <c r="C236" s="1"/>
      <c r="D236" s="1"/>
      <c r="E236" s="1"/>
      <c r="F236" s="1"/>
      <c r="G236" s="1"/>
      <c r="H236" s="1"/>
      <c r="I236" s="1"/>
      <c r="J236" s="1"/>
      <c r="L236" s="13">
        <v>600</v>
      </c>
      <c r="M236" s="13" t="s">
        <v>294</v>
      </c>
      <c r="N236" s="13">
        <v>56</v>
      </c>
      <c r="O236" s="13">
        <v>0</v>
      </c>
      <c r="P236" s="13">
        <v>0</v>
      </c>
      <c r="Q236" s="13">
        <v>3823</v>
      </c>
      <c r="R236" s="13">
        <v>0</v>
      </c>
      <c r="S236" s="13">
        <v>0</v>
      </c>
    </row>
    <row r="237" spans="1:19" x14ac:dyDescent="0.25">
      <c r="A237" t="s">
        <v>791</v>
      </c>
      <c r="B237" t="s">
        <v>290</v>
      </c>
      <c r="C237" s="1"/>
      <c r="D237" s="1"/>
      <c r="E237" s="1"/>
      <c r="F237" s="1"/>
      <c r="G237" s="1"/>
      <c r="H237" s="1"/>
      <c r="I237" s="1"/>
      <c r="J237" s="1"/>
      <c r="L237" s="13">
        <v>210</v>
      </c>
      <c r="M237" s="13" t="s">
        <v>295</v>
      </c>
      <c r="N237" s="13">
        <v>59</v>
      </c>
      <c r="O237" s="13">
        <v>0</v>
      </c>
      <c r="P237" s="13">
        <v>0</v>
      </c>
      <c r="Q237" s="13">
        <v>4172</v>
      </c>
      <c r="R237" s="13">
        <v>0</v>
      </c>
      <c r="S237" s="13">
        <v>0</v>
      </c>
    </row>
    <row r="238" spans="1:19" x14ac:dyDescent="0.25">
      <c r="A238" t="s">
        <v>826</v>
      </c>
      <c r="B238" t="s">
        <v>291</v>
      </c>
      <c r="C238" s="1"/>
      <c r="D238" s="1"/>
      <c r="E238" s="1"/>
      <c r="F238" s="1"/>
      <c r="G238" s="1"/>
      <c r="H238" s="1"/>
      <c r="I238" s="1"/>
      <c r="J238" s="1"/>
      <c r="L238" s="13">
        <v>114</v>
      </c>
      <c r="M238" s="13" t="s">
        <v>296</v>
      </c>
      <c r="N238" s="13">
        <v>318</v>
      </c>
      <c r="O238" s="13">
        <v>0</v>
      </c>
      <c r="P238" s="13">
        <v>0</v>
      </c>
      <c r="Q238" s="13">
        <v>5718</v>
      </c>
      <c r="R238" s="13">
        <v>2</v>
      </c>
      <c r="S238" s="13">
        <v>0</v>
      </c>
    </row>
    <row r="239" spans="1:19" x14ac:dyDescent="0.25">
      <c r="A239" t="s">
        <v>226</v>
      </c>
      <c r="B239" t="s">
        <v>292</v>
      </c>
      <c r="C239" s="1"/>
      <c r="D239" s="1"/>
      <c r="E239" s="1"/>
      <c r="F239" s="1"/>
      <c r="G239" s="1"/>
      <c r="H239" s="1"/>
      <c r="I239" s="1"/>
      <c r="J239" s="1"/>
      <c r="L239" s="13">
        <v>715</v>
      </c>
      <c r="M239" s="13" t="s">
        <v>297</v>
      </c>
      <c r="N239" s="13">
        <v>944</v>
      </c>
      <c r="O239" s="13">
        <v>0</v>
      </c>
      <c r="P239" s="13">
        <v>0</v>
      </c>
      <c r="Q239" s="13">
        <v>1732</v>
      </c>
      <c r="R239" s="13">
        <v>2</v>
      </c>
      <c r="S239" s="13">
        <v>0</v>
      </c>
    </row>
    <row r="240" spans="1:19" x14ac:dyDescent="0.25">
      <c r="A240" t="s">
        <v>495</v>
      </c>
      <c r="B240" t="s">
        <v>293</v>
      </c>
      <c r="C240" s="1">
        <v>21</v>
      </c>
      <c r="D240" s="1">
        <v>0</v>
      </c>
      <c r="E240" s="1">
        <v>0</v>
      </c>
      <c r="F240" s="1">
        <v>19</v>
      </c>
      <c r="G240" s="1">
        <v>0</v>
      </c>
      <c r="H240" s="1">
        <v>0</v>
      </c>
      <c r="I240" s="1">
        <v>0</v>
      </c>
      <c r="J240" s="1"/>
      <c r="L240" s="13">
        <v>111</v>
      </c>
      <c r="M240" s="13" t="s">
        <v>298</v>
      </c>
      <c r="N240" s="13">
        <v>2102</v>
      </c>
      <c r="O240" s="13">
        <v>28</v>
      </c>
      <c r="P240" s="13">
        <v>0</v>
      </c>
      <c r="Q240" s="13">
        <v>5129</v>
      </c>
      <c r="R240" s="13">
        <v>10</v>
      </c>
      <c r="S240" s="13">
        <v>0</v>
      </c>
    </row>
    <row r="241" spans="1:19" x14ac:dyDescent="0.25">
      <c r="A241" t="s">
        <v>248</v>
      </c>
      <c r="B241" t="s">
        <v>294</v>
      </c>
      <c r="C241" s="1">
        <v>56</v>
      </c>
      <c r="D241" s="1">
        <v>0</v>
      </c>
      <c r="E241" s="1">
        <v>0</v>
      </c>
      <c r="F241" s="1">
        <f>3801+7+2+13</f>
        <v>3823</v>
      </c>
      <c r="G241" s="1">
        <v>0</v>
      </c>
      <c r="H241" s="1">
        <v>0</v>
      </c>
      <c r="I241" s="1">
        <v>0</v>
      </c>
      <c r="J241" s="1"/>
      <c r="L241" s="13">
        <v>312</v>
      </c>
      <c r="M241" s="13" t="s">
        <v>299</v>
      </c>
      <c r="N241" s="13">
        <v>150</v>
      </c>
      <c r="O241" s="13">
        <v>0</v>
      </c>
      <c r="P241" s="13">
        <v>0</v>
      </c>
      <c r="Q241" s="13">
        <v>3269</v>
      </c>
      <c r="R241" s="13">
        <v>19</v>
      </c>
      <c r="S241" s="13">
        <v>0</v>
      </c>
    </row>
    <row r="242" spans="1:19" x14ac:dyDescent="0.25">
      <c r="A242" t="s">
        <v>185</v>
      </c>
      <c r="B242" t="s">
        <v>295</v>
      </c>
      <c r="C242" s="1">
        <v>59</v>
      </c>
      <c r="D242" s="1">
        <v>0</v>
      </c>
      <c r="E242" s="1">
        <v>0</v>
      </c>
      <c r="F242" s="1">
        <f>4159+3+3+7</f>
        <v>4172</v>
      </c>
      <c r="G242" s="1">
        <v>0</v>
      </c>
      <c r="H242" s="1">
        <v>0</v>
      </c>
      <c r="I242" s="1">
        <v>0</v>
      </c>
      <c r="J242" s="1"/>
      <c r="L242" s="13"/>
      <c r="M242" s="13" t="s">
        <v>300</v>
      </c>
      <c r="N242" s="13"/>
      <c r="O242" s="13"/>
      <c r="P242" s="13"/>
      <c r="Q242" s="13"/>
      <c r="R242" s="13"/>
      <c r="S242" s="13"/>
    </row>
    <row r="243" spans="1:19" x14ac:dyDescent="0.25">
      <c r="A243" t="s">
        <v>150</v>
      </c>
      <c r="B243" t="s">
        <v>296</v>
      </c>
      <c r="C243" s="1"/>
      <c r="D243" s="1"/>
      <c r="E243" s="1"/>
      <c r="F243" s="1"/>
      <c r="G243" s="1"/>
      <c r="H243" s="1"/>
      <c r="I243" s="1"/>
      <c r="J243" s="1"/>
      <c r="L243" s="13" t="s">
        <v>822</v>
      </c>
      <c r="M243" s="13" t="s">
        <v>301</v>
      </c>
      <c r="N243" s="13">
        <v>727</v>
      </c>
      <c r="O243" s="13">
        <v>14</v>
      </c>
      <c r="P243" s="13">
        <v>0</v>
      </c>
      <c r="Q243" s="13">
        <v>4123</v>
      </c>
      <c r="R243" s="13">
        <v>14</v>
      </c>
      <c r="S243" s="13">
        <v>0</v>
      </c>
    </row>
    <row r="244" spans="1:19" x14ac:dyDescent="0.25">
      <c r="A244" t="s">
        <v>818</v>
      </c>
      <c r="B244" t="s">
        <v>297</v>
      </c>
      <c r="C244" s="1">
        <v>944</v>
      </c>
      <c r="D244" s="1">
        <v>0</v>
      </c>
      <c r="E244" s="1">
        <v>0</v>
      </c>
      <c r="F244" s="1">
        <f>1704+22+6</f>
        <v>1732</v>
      </c>
      <c r="G244" s="1">
        <f>1+1</f>
        <v>2</v>
      </c>
      <c r="H244" s="1">
        <v>0</v>
      </c>
      <c r="I244" s="1">
        <v>0</v>
      </c>
      <c r="J244" s="1"/>
      <c r="L244" s="13">
        <v>500</v>
      </c>
      <c r="M244" s="13" t="s">
        <v>302</v>
      </c>
      <c r="N244" s="13"/>
      <c r="O244" s="13"/>
      <c r="P244" s="13"/>
      <c r="Q244" s="13"/>
      <c r="R244" s="13"/>
      <c r="S244" s="13"/>
    </row>
    <row r="245" spans="1:19" x14ac:dyDescent="0.25">
      <c r="A245" t="s">
        <v>811</v>
      </c>
      <c r="B245" t="s">
        <v>298</v>
      </c>
      <c r="C245" s="1"/>
      <c r="D245" s="1"/>
      <c r="E245" s="1"/>
      <c r="F245" s="1"/>
      <c r="G245" s="1"/>
      <c r="H245" s="1"/>
      <c r="I245" s="1"/>
      <c r="J245" s="1"/>
      <c r="L245" s="13">
        <v>610</v>
      </c>
      <c r="M245" s="13" t="s">
        <v>303</v>
      </c>
      <c r="N245" s="13">
        <v>276</v>
      </c>
      <c r="O245" s="13">
        <v>0</v>
      </c>
      <c r="P245" s="13">
        <v>0</v>
      </c>
      <c r="Q245" s="13">
        <v>2053</v>
      </c>
      <c r="R245" s="13">
        <v>0</v>
      </c>
      <c r="S245" s="13">
        <v>0</v>
      </c>
    </row>
    <row r="246" spans="1:19" x14ac:dyDescent="0.25">
      <c r="A246" t="s">
        <v>72</v>
      </c>
      <c r="B246" t="s">
        <v>299</v>
      </c>
      <c r="C246" s="1">
        <f>145+5</f>
        <v>150</v>
      </c>
      <c r="D246" s="1">
        <v>0</v>
      </c>
      <c r="E246" s="1">
        <v>0</v>
      </c>
      <c r="F246" s="1">
        <f>3241+4+24</f>
        <v>3269</v>
      </c>
      <c r="G246" s="1">
        <v>19</v>
      </c>
      <c r="H246" s="1">
        <v>0</v>
      </c>
      <c r="I246" s="1">
        <v>0</v>
      </c>
      <c r="J246" s="1"/>
      <c r="L246" s="13">
        <v>311</v>
      </c>
      <c r="M246" s="13" t="s">
        <v>304</v>
      </c>
      <c r="N246" s="13">
        <v>290</v>
      </c>
      <c r="O246" s="13">
        <v>0</v>
      </c>
      <c r="P246" s="13">
        <v>0</v>
      </c>
      <c r="Q246" s="13">
        <v>3090</v>
      </c>
      <c r="R246" s="13">
        <v>0</v>
      </c>
      <c r="S246" s="13">
        <v>0</v>
      </c>
    </row>
    <row r="247" spans="1:19" x14ac:dyDescent="0.25">
      <c r="A247" t="s">
        <v>67</v>
      </c>
      <c r="B247" t="s">
        <v>300</v>
      </c>
      <c r="C247" s="1"/>
      <c r="D247" s="1"/>
      <c r="E247" s="1"/>
      <c r="F247" s="1"/>
      <c r="G247" s="1"/>
      <c r="H247" s="1"/>
      <c r="I247" s="1"/>
      <c r="J247" s="1"/>
      <c r="L247" s="13">
        <v>173</v>
      </c>
      <c r="M247" s="13" t="s">
        <v>306</v>
      </c>
      <c r="N247" s="13">
        <v>351</v>
      </c>
      <c r="O247" s="13">
        <v>0</v>
      </c>
      <c r="P247" s="13">
        <v>0</v>
      </c>
      <c r="Q247" s="13">
        <v>458</v>
      </c>
      <c r="R247" s="13">
        <v>0</v>
      </c>
      <c r="S247" s="13">
        <v>0</v>
      </c>
    </row>
    <row r="248" spans="1:19" x14ac:dyDescent="0.25">
      <c r="A248" t="s">
        <v>798</v>
      </c>
      <c r="B248" t="s">
        <v>301</v>
      </c>
      <c r="C248" s="1"/>
      <c r="D248" s="1"/>
      <c r="E248" s="1"/>
      <c r="F248" s="1"/>
      <c r="G248" s="1"/>
      <c r="H248" s="1"/>
      <c r="I248" s="1"/>
      <c r="J248" s="1"/>
      <c r="L248" s="13">
        <v>313</v>
      </c>
      <c r="M248" s="13" t="s">
        <v>307</v>
      </c>
      <c r="N248" s="13">
        <v>164</v>
      </c>
      <c r="O248" s="13">
        <v>1</v>
      </c>
      <c r="P248" s="13">
        <v>0</v>
      </c>
      <c r="Q248" s="13">
        <v>1772</v>
      </c>
      <c r="R248" s="13">
        <v>18</v>
      </c>
      <c r="S248" s="13">
        <v>0</v>
      </c>
    </row>
    <row r="249" spans="1:19" x14ac:dyDescent="0.25">
      <c r="A249" t="s">
        <v>824</v>
      </c>
      <c r="B249" t="s">
        <v>302</v>
      </c>
      <c r="C249" s="1"/>
      <c r="D249" s="1"/>
      <c r="E249" s="1"/>
      <c r="F249" s="1"/>
      <c r="G249" s="1"/>
      <c r="H249" s="1"/>
      <c r="I249" s="1"/>
      <c r="J249" s="1"/>
      <c r="L249" s="13">
        <v>100</v>
      </c>
      <c r="M249" s="13" t="s">
        <v>308</v>
      </c>
      <c r="N249" s="13">
        <v>317</v>
      </c>
      <c r="O249" s="13">
        <v>0</v>
      </c>
      <c r="P249" s="13">
        <v>0</v>
      </c>
      <c r="Q249" s="13">
        <v>1634</v>
      </c>
      <c r="R249" s="13">
        <v>0</v>
      </c>
      <c r="S249" s="13">
        <v>0</v>
      </c>
    </row>
    <row r="250" spans="1:19" x14ac:dyDescent="0.25">
      <c r="A250" t="s">
        <v>788</v>
      </c>
      <c r="B250" t="s">
        <v>303</v>
      </c>
      <c r="C250" s="1">
        <v>276</v>
      </c>
      <c r="D250" s="1">
        <v>0</v>
      </c>
      <c r="E250" s="1">
        <v>0</v>
      </c>
      <c r="F250" s="1">
        <v>2053</v>
      </c>
      <c r="G250" s="1">
        <v>0</v>
      </c>
      <c r="H250" s="1">
        <v>0</v>
      </c>
      <c r="I250" s="1">
        <v>0</v>
      </c>
      <c r="J250" s="1"/>
      <c r="L250" s="13">
        <v>149</v>
      </c>
      <c r="M250" s="13" t="s">
        <v>309</v>
      </c>
      <c r="N250" s="13">
        <v>1124</v>
      </c>
      <c r="O250" s="13">
        <v>3</v>
      </c>
      <c r="P250" s="13">
        <v>0</v>
      </c>
      <c r="Q250" s="13">
        <v>13889</v>
      </c>
      <c r="R250" s="13">
        <v>0</v>
      </c>
      <c r="S250" s="13">
        <v>0</v>
      </c>
    </row>
    <row r="251" spans="1:19" x14ac:dyDescent="0.25">
      <c r="A251" t="s">
        <v>120</v>
      </c>
      <c r="B251" t="s">
        <v>304</v>
      </c>
      <c r="C251" s="1"/>
      <c r="D251" s="1"/>
      <c r="E251" s="1"/>
      <c r="F251" s="1"/>
      <c r="G251" s="1"/>
      <c r="H251" s="1"/>
      <c r="I251" s="1"/>
      <c r="J251" s="1"/>
      <c r="L251" s="13">
        <v>114</v>
      </c>
      <c r="M251" s="13" t="s">
        <v>310</v>
      </c>
      <c r="N251" s="13">
        <v>88</v>
      </c>
      <c r="O251" s="13">
        <v>0</v>
      </c>
      <c r="P251" s="13">
        <v>0</v>
      </c>
      <c r="Q251" s="13">
        <v>710</v>
      </c>
      <c r="R251" s="13">
        <v>0</v>
      </c>
      <c r="S251" s="13">
        <v>0</v>
      </c>
    </row>
    <row r="252" spans="1:19" x14ac:dyDescent="0.25">
      <c r="A252" t="s">
        <v>229</v>
      </c>
      <c r="B252" t="s">
        <v>306</v>
      </c>
      <c r="C252" s="1">
        <v>351</v>
      </c>
      <c r="D252" s="1">
        <v>0</v>
      </c>
      <c r="E252" s="1">
        <v>0</v>
      </c>
      <c r="F252" s="1">
        <f>456+2</f>
        <v>458</v>
      </c>
      <c r="G252" s="1">
        <v>0</v>
      </c>
      <c r="H252" s="1">
        <v>0</v>
      </c>
      <c r="I252" s="1">
        <v>0</v>
      </c>
      <c r="J252" s="1"/>
      <c r="L252" s="13">
        <v>211</v>
      </c>
      <c r="M252" s="13" t="s">
        <v>311</v>
      </c>
      <c r="N252" s="13">
        <v>214</v>
      </c>
      <c r="O252" s="13">
        <v>0</v>
      </c>
      <c r="P252" s="13">
        <v>0</v>
      </c>
      <c r="Q252" s="13">
        <v>1514</v>
      </c>
      <c r="R252" s="13">
        <v>0</v>
      </c>
      <c r="S252" s="13">
        <v>0</v>
      </c>
    </row>
    <row r="253" spans="1:19" x14ac:dyDescent="0.25">
      <c r="A253" t="s">
        <v>512</v>
      </c>
      <c r="B253" t="s">
        <v>307</v>
      </c>
      <c r="C253" s="1"/>
      <c r="D253" s="1"/>
      <c r="E253" s="1"/>
      <c r="F253" s="1"/>
      <c r="G253" s="1"/>
      <c r="H253" s="1"/>
      <c r="I253" s="1"/>
      <c r="J253" s="1"/>
      <c r="L253" s="13">
        <v>151</v>
      </c>
      <c r="M253" s="13" t="s">
        <v>312</v>
      </c>
      <c r="N253" s="13">
        <v>3582</v>
      </c>
      <c r="O253" s="13">
        <v>3</v>
      </c>
      <c r="P253" s="13">
        <v>0</v>
      </c>
      <c r="Q253" s="13">
        <v>424</v>
      </c>
      <c r="R253" s="13">
        <v>0</v>
      </c>
      <c r="S253" s="13">
        <v>0</v>
      </c>
    </row>
    <row r="254" spans="1:19" x14ac:dyDescent="0.25">
      <c r="A254" t="s">
        <v>791</v>
      </c>
      <c r="B254" t="s">
        <v>308</v>
      </c>
      <c r="C254" s="1"/>
      <c r="D254" s="1"/>
      <c r="E254" s="1"/>
      <c r="F254" s="1"/>
      <c r="G254" s="1"/>
      <c r="H254" s="1"/>
      <c r="I254" s="1"/>
      <c r="J254" s="1"/>
      <c r="L254" s="13" t="s">
        <v>814</v>
      </c>
      <c r="M254" s="13" t="s">
        <v>313</v>
      </c>
      <c r="N254" s="13">
        <v>410</v>
      </c>
      <c r="O254" s="13">
        <v>0</v>
      </c>
      <c r="P254" s="13">
        <v>0</v>
      </c>
      <c r="Q254" s="13">
        <v>1526</v>
      </c>
      <c r="R254" s="13">
        <v>0</v>
      </c>
      <c r="S254" s="13">
        <v>0</v>
      </c>
    </row>
    <row r="255" spans="1:19" x14ac:dyDescent="0.25">
      <c r="A255" t="s">
        <v>52</v>
      </c>
      <c r="B255" t="s">
        <v>309</v>
      </c>
      <c r="C255" s="1"/>
      <c r="D255" s="1"/>
      <c r="E255" s="1"/>
      <c r="F255" s="1"/>
      <c r="G255" s="1"/>
      <c r="H255" s="1"/>
      <c r="I255" s="1"/>
      <c r="J255" s="1"/>
      <c r="L255" s="13">
        <v>148</v>
      </c>
      <c r="M255" s="13" t="s">
        <v>314</v>
      </c>
      <c r="N255" s="13"/>
      <c r="O255" s="13"/>
      <c r="P255" s="13"/>
      <c r="Q255" s="13"/>
      <c r="R255" s="13"/>
      <c r="S255" s="13"/>
    </row>
    <row r="256" spans="1:19" x14ac:dyDescent="0.25">
      <c r="A256" t="s">
        <v>150</v>
      </c>
      <c r="B256" t="s">
        <v>310</v>
      </c>
      <c r="C256" s="1"/>
      <c r="D256" s="1"/>
      <c r="E256" s="1"/>
      <c r="F256" s="1"/>
      <c r="G256" s="1"/>
      <c r="H256" s="1"/>
      <c r="I256" s="1"/>
      <c r="J256" s="1"/>
      <c r="L256" s="13">
        <v>143</v>
      </c>
      <c r="M256" s="13" t="s">
        <v>315</v>
      </c>
      <c r="N256" s="13">
        <v>72</v>
      </c>
      <c r="O256" s="13">
        <v>0</v>
      </c>
      <c r="P256" s="13">
        <v>0</v>
      </c>
      <c r="Q256" s="13">
        <v>677</v>
      </c>
      <c r="R256" s="13">
        <v>0</v>
      </c>
      <c r="S256" s="13">
        <v>0</v>
      </c>
    </row>
    <row r="257" spans="1:19" x14ac:dyDescent="0.25">
      <c r="A257" t="s">
        <v>131</v>
      </c>
      <c r="B257" t="s">
        <v>311</v>
      </c>
      <c r="C257" s="1">
        <f>202+12</f>
        <v>214</v>
      </c>
      <c r="D257" s="1">
        <v>0</v>
      </c>
      <c r="E257" s="1">
        <v>0</v>
      </c>
      <c r="F257" s="1">
        <f>1488+2+21+3</f>
        <v>1514</v>
      </c>
      <c r="G257" s="1">
        <v>0</v>
      </c>
      <c r="H257" s="1">
        <v>0</v>
      </c>
      <c r="I257" s="1">
        <v>0</v>
      </c>
      <c r="J257" s="1"/>
      <c r="L257" s="13">
        <v>150</v>
      </c>
      <c r="M257" s="13" t="s">
        <v>316</v>
      </c>
      <c r="N257" s="13">
        <v>91</v>
      </c>
      <c r="O257" s="13">
        <v>0</v>
      </c>
      <c r="P257" s="13">
        <v>0</v>
      </c>
      <c r="Q257" s="13">
        <v>600</v>
      </c>
      <c r="R257" s="13">
        <v>0</v>
      </c>
      <c r="S257" s="13">
        <v>0</v>
      </c>
    </row>
    <row r="258" spans="1:19" x14ac:dyDescent="0.25">
      <c r="A258" t="s">
        <v>47</v>
      </c>
      <c r="B258" t="s">
        <v>312</v>
      </c>
      <c r="C258" s="1"/>
      <c r="D258" s="1"/>
      <c r="E258" s="1"/>
      <c r="F258" s="1"/>
      <c r="G258" s="1"/>
      <c r="H258" s="1"/>
      <c r="I258" s="1"/>
      <c r="J258" s="1"/>
      <c r="L258" s="13">
        <v>147</v>
      </c>
      <c r="M258" s="13" t="s">
        <v>317</v>
      </c>
      <c r="N258" s="13">
        <v>1399</v>
      </c>
      <c r="O258" s="13">
        <v>0</v>
      </c>
      <c r="P258" s="13">
        <v>0</v>
      </c>
      <c r="Q258" s="13">
        <v>1361</v>
      </c>
      <c r="R258" s="13">
        <v>6</v>
      </c>
      <c r="S258" s="13">
        <v>0</v>
      </c>
    </row>
    <row r="259" spans="1:19" x14ac:dyDescent="0.25">
      <c r="A259" t="s">
        <v>794</v>
      </c>
      <c r="B259" t="s">
        <v>313</v>
      </c>
      <c r="C259" s="1">
        <v>410</v>
      </c>
      <c r="D259" s="1">
        <v>0</v>
      </c>
      <c r="E259" s="1">
        <v>0</v>
      </c>
      <c r="F259" s="1">
        <f>1504+22</f>
        <v>1526</v>
      </c>
      <c r="G259" s="1">
        <v>0</v>
      </c>
      <c r="H259" s="1">
        <v>0</v>
      </c>
      <c r="I259" s="1">
        <v>0</v>
      </c>
      <c r="J259" s="1"/>
      <c r="L259" s="13">
        <v>152</v>
      </c>
      <c r="M259" s="13" t="s">
        <v>318</v>
      </c>
      <c r="N259" s="13">
        <v>317</v>
      </c>
      <c r="O259" s="13">
        <v>13</v>
      </c>
      <c r="P259" s="13">
        <v>0</v>
      </c>
      <c r="Q259" s="13">
        <v>935</v>
      </c>
      <c r="R259" s="13">
        <v>4</v>
      </c>
      <c r="S259" s="13">
        <v>0</v>
      </c>
    </row>
    <row r="260" spans="1:19" x14ac:dyDescent="0.25">
      <c r="A260" t="s">
        <v>33</v>
      </c>
      <c r="B260" t="s">
        <v>314</v>
      </c>
      <c r="C260" s="1"/>
      <c r="D260" s="1"/>
      <c r="E260" s="1"/>
      <c r="F260" s="1"/>
      <c r="G260" s="1"/>
      <c r="H260" s="1"/>
      <c r="I260" s="1"/>
      <c r="J260" s="1"/>
      <c r="L260" s="13">
        <v>171</v>
      </c>
      <c r="M260" s="13" t="s">
        <v>319</v>
      </c>
      <c r="N260" s="13">
        <v>54</v>
      </c>
      <c r="O260" s="13">
        <v>0</v>
      </c>
      <c r="P260" s="13">
        <v>0</v>
      </c>
      <c r="Q260" s="13">
        <v>472</v>
      </c>
      <c r="R260" s="13">
        <v>0</v>
      </c>
      <c r="S260" s="13">
        <v>0</v>
      </c>
    </row>
    <row r="261" spans="1:19" x14ac:dyDescent="0.25">
      <c r="A261" t="s">
        <v>61</v>
      </c>
      <c r="B261" t="s">
        <v>315</v>
      </c>
      <c r="C261" s="1"/>
      <c r="D261" s="1"/>
      <c r="E261" s="1"/>
      <c r="F261" s="1"/>
      <c r="G261" s="1"/>
      <c r="H261" s="1"/>
      <c r="I261" s="1"/>
      <c r="J261" s="1"/>
      <c r="L261" s="13">
        <v>713</v>
      </c>
      <c r="M261" s="13" t="s">
        <v>320</v>
      </c>
      <c r="N261" s="13"/>
      <c r="O261" s="13"/>
      <c r="P261" s="13"/>
      <c r="Q261" s="13"/>
      <c r="R261" s="13"/>
      <c r="S261" s="13"/>
    </row>
    <row r="262" spans="1:19" x14ac:dyDescent="0.25">
      <c r="A262" t="s">
        <v>43</v>
      </c>
      <c r="B262" t="s">
        <v>316</v>
      </c>
      <c r="C262" s="1"/>
      <c r="D262" s="1"/>
      <c r="E262" s="1"/>
      <c r="F262" s="1"/>
      <c r="G262" s="1"/>
      <c r="H262" s="1"/>
      <c r="I262" s="1"/>
      <c r="J262" s="1"/>
      <c r="L262" s="13">
        <v>711</v>
      </c>
      <c r="M262" s="13" t="s">
        <v>321</v>
      </c>
      <c r="N262" s="13">
        <v>3784</v>
      </c>
      <c r="O262" s="13">
        <v>12</v>
      </c>
      <c r="P262" s="13">
        <v>0</v>
      </c>
      <c r="Q262" s="13">
        <v>6279</v>
      </c>
      <c r="R262" s="13">
        <v>124</v>
      </c>
      <c r="S262" s="13">
        <v>0</v>
      </c>
    </row>
    <row r="263" spans="1:19" x14ac:dyDescent="0.25">
      <c r="A263" t="s">
        <v>789</v>
      </c>
      <c r="B263" t="s">
        <v>317</v>
      </c>
      <c r="C263" s="1"/>
      <c r="D263" s="1"/>
      <c r="E263" s="1"/>
      <c r="F263" s="1"/>
      <c r="G263" s="1"/>
      <c r="H263" s="1"/>
      <c r="I263" s="1"/>
      <c r="J263" s="1"/>
      <c r="L263" s="13" t="s">
        <v>815</v>
      </c>
      <c r="M263" s="13" t="s">
        <v>322</v>
      </c>
      <c r="N263" s="13">
        <v>2962</v>
      </c>
      <c r="O263" s="13">
        <v>20</v>
      </c>
      <c r="P263" s="13">
        <v>0</v>
      </c>
      <c r="Q263" s="13">
        <v>21848</v>
      </c>
      <c r="R263" s="13">
        <v>40</v>
      </c>
      <c r="S263" s="13">
        <v>0</v>
      </c>
    </row>
    <row r="264" spans="1:19" x14ac:dyDescent="0.25">
      <c r="A264" t="s">
        <v>790</v>
      </c>
      <c r="B264" t="s">
        <v>318</v>
      </c>
      <c r="C264" s="1"/>
      <c r="D264" s="1"/>
      <c r="E264" s="1"/>
      <c r="F264" s="1"/>
      <c r="G264" s="1"/>
      <c r="H264" s="1"/>
      <c r="I264" s="1"/>
      <c r="J264" s="1"/>
      <c r="L264" s="13">
        <v>713</v>
      </c>
      <c r="M264" s="13" t="s">
        <v>323</v>
      </c>
      <c r="N264" s="13">
        <v>701</v>
      </c>
      <c r="O264" s="13">
        <v>18</v>
      </c>
      <c r="P264" s="13">
        <v>0</v>
      </c>
      <c r="Q264" s="13">
        <v>2459</v>
      </c>
      <c r="R264" s="13">
        <v>27</v>
      </c>
      <c r="S264" s="13">
        <v>0</v>
      </c>
    </row>
    <row r="265" spans="1:19" x14ac:dyDescent="0.25">
      <c r="A265" t="s">
        <v>804</v>
      </c>
      <c r="B265" t="s">
        <v>319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/>
      <c r="L265" s="13">
        <v>412</v>
      </c>
      <c r="M265" s="13" t="s">
        <v>324</v>
      </c>
      <c r="N265" s="13"/>
      <c r="O265" s="13"/>
      <c r="P265" s="13"/>
      <c r="Q265" s="13"/>
      <c r="R265" s="13"/>
      <c r="S265" s="13"/>
    </row>
    <row r="266" spans="1:19" x14ac:dyDescent="0.25">
      <c r="A266" t="s">
        <v>796</v>
      </c>
      <c r="B266" t="s">
        <v>320</v>
      </c>
      <c r="C266" s="1"/>
      <c r="D266" s="1"/>
      <c r="E266" s="1"/>
      <c r="F266" s="1"/>
      <c r="G266" s="1"/>
      <c r="H266" s="1"/>
      <c r="I266" s="1"/>
      <c r="J266" s="1"/>
      <c r="L266" s="13">
        <v>600</v>
      </c>
      <c r="M266" s="13" t="s">
        <v>325</v>
      </c>
      <c r="N266" s="13">
        <v>1</v>
      </c>
      <c r="O266" s="13">
        <v>0</v>
      </c>
      <c r="P266" s="13">
        <v>0</v>
      </c>
      <c r="Q266" s="13">
        <v>138</v>
      </c>
      <c r="R266" s="13">
        <v>0</v>
      </c>
      <c r="S266" s="13">
        <v>0</v>
      </c>
    </row>
    <row r="267" spans="1:19" x14ac:dyDescent="0.25">
      <c r="A267" t="s">
        <v>801</v>
      </c>
      <c r="B267" t="s">
        <v>321</v>
      </c>
      <c r="C267" s="1">
        <f>3778+5+1</f>
        <v>3784</v>
      </c>
      <c r="D267" s="1">
        <v>12</v>
      </c>
      <c r="E267" s="1">
        <v>0</v>
      </c>
      <c r="F267" s="1">
        <f>6224+1+44+4+6</f>
        <v>6279</v>
      </c>
      <c r="G267" s="1">
        <v>124</v>
      </c>
      <c r="H267" s="1">
        <v>0</v>
      </c>
      <c r="I267" s="1">
        <v>0</v>
      </c>
      <c r="J267" s="1"/>
      <c r="L267" s="13">
        <v>700</v>
      </c>
      <c r="M267" s="13" t="s">
        <v>326</v>
      </c>
      <c r="N267" s="13"/>
      <c r="O267" s="13"/>
      <c r="P267" s="13"/>
      <c r="Q267" s="13"/>
      <c r="R267" s="13"/>
      <c r="S267" s="13"/>
    </row>
    <row r="268" spans="1:19" x14ac:dyDescent="0.25">
      <c r="A268" t="s">
        <v>138</v>
      </c>
      <c r="B268" t="s">
        <v>322</v>
      </c>
      <c r="C268" s="1"/>
      <c r="D268" s="1"/>
      <c r="E268" s="1"/>
      <c r="F268" s="1"/>
      <c r="G268" s="1"/>
      <c r="H268" s="1"/>
      <c r="I268" s="1"/>
      <c r="J268" s="1"/>
      <c r="L268" s="13">
        <v>116</v>
      </c>
      <c r="M268" s="13" t="s">
        <v>327</v>
      </c>
      <c r="N268" s="13">
        <v>32</v>
      </c>
      <c r="O268" s="13">
        <v>0</v>
      </c>
      <c r="P268" s="13">
        <v>0</v>
      </c>
      <c r="Q268" s="13">
        <v>593</v>
      </c>
      <c r="R268" s="13">
        <v>43</v>
      </c>
      <c r="S268" s="13">
        <v>0</v>
      </c>
    </row>
    <row r="269" spans="1:19" x14ac:dyDescent="0.25">
      <c r="A269" t="s">
        <v>796</v>
      </c>
      <c r="B269" t="s">
        <v>323</v>
      </c>
      <c r="C269" s="1">
        <f>699+2</f>
        <v>701</v>
      </c>
      <c r="D269" s="1">
        <f>18</f>
        <v>18</v>
      </c>
      <c r="E269" s="1">
        <v>0</v>
      </c>
      <c r="F269" s="1">
        <f>2333+1+125</f>
        <v>2459</v>
      </c>
      <c r="G269" s="1">
        <f>22+3+2</f>
        <v>27</v>
      </c>
      <c r="H269" s="1">
        <v>0</v>
      </c>
      <c r="I269" s="1">
        <v>0</v>
      </c>
      <c r="J269" s="1"/>
      <c r="L269" s="13">
        <v>712</v>
      </c>
      <c r="M269" s="13" t="s">
        <v>329</v>
      </c>
      <c r="N269" s="13">
        <v>2387</v>
      </c>
      <c r="O269" s="13">
        <v>35</v>
      </c>
      <c r="P269" s="13">
        <v>0</v>
      </c>
      <c r="Q269" s="13">
        <v>7942</v>
      </c>
      <c r="R269" s="13">
        <v>40</v>
      </c>
      <c r="S269" s="13">
        <v>0</v>
      </c>
    </row>
    <row r="270" spans="1:19" x14ac:dyDescent="0.25">
      <c r="A270" t="s">
        <v>825</v>
      </c>
      <c r="B270" t="s">
        <v>324</v>
      </c>
      <c r="C270" s="1"/>
      <c r="D270" s="1"/>
      <c r="E270" s="1"/>
      <c r="F270" s="1"/>
      <c r="G270" s="1"/>
      <c r="H270" s="1"/>
      <c r="I270" s="1"/>
      <c r="J270" s="1"/>
      <c r="L270" s="13" t="s">
        <v>808</v>
      </c>
      <c r="M270" s="13" t="s">
        <v>330</v>
      </c>
      <c r="N270" s="13">
        <v>1002</v>
      </c>
      <c r="O270" s="13">
        <v>72</v>
      </c>
      <c r="P270" s="13">
        <v>0</v>
      </c>
      <c r="Q270" s="13">
        <v>3000</v>
      </c>
      <c r="R270" s="13">
        <v>2</v>
      </c>
      <c r="S270" s="13">
        <v>0</v>
      </c>
    </row>
    <row r="271" spans="1:19" x14ac:dyDescent="0.25">
      <c r="A271" t="s">
        <v>248</v>
      </c>
      <c r="B271" t="s">
        <v>325</v>
      </c>
      <c r="C271" s="1">
        <v>1</v>
      </c>
      <c r="D271" s="1">
        <v>0</v>
      </c>
      <c r="E271" s="1">
        <v>0</v>
      </c>
      <c r="F271" s="1">
        <v>138</v>
      </c>
      <c r="G271" s="1">
        <v>0</v>
      </c>
      <c r="H271" s="1">
        <v>0</v>
      </c>
      <c r="I271" s="1">
        <v>0</v>
      </c>
      <c r="J271" s="1"/>
      <c r="L271" s="13">
        <v>315</v>
      </c>
      <c r="M271" s="13" t="s">
        <v>331</v>
      </c>
      <c r="N271" s="13"/>
      <c r="O271" s="13"/>
      <c r="P271" s="13"/>
      <c r="Q271" s="13"/>
      <c r="R271" s="13"/>
      <c r="S271" s="13"/>
    </row>
    <row r="272" spans="1:19" x14ac:dyDescent="0.25">
      <c r="A272" t="s">
        <v>83</v>
      </c>
      <c r="B272" t="s">
        <v>326</v>
      </c>
      <c r="C272" s="1"/>
      <c r="D272" s="1"/>
      <c r="E272" s="1"/>
      <c r="F272" s="1"/>
      <c r="G272" s="1"/>
      <c r="H272" s="1"/>
      <c r="I272" s="1"/>
      <c r="J272" s="1"/>
      <c r="L272" s="13">
        <v>600</v>
      </c>
      <c r="M272" s="13" t="s">
        <v>332</v>
      </c>
      <c r="N272" s="13">
        <v>1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</row>
    <row r="273" spans="1:19" x14ac:dyDescent="0.25">
      <c r="A273" t="s">
        <v>795</v>
      </c>
      <c r="B273" t="s">
        <v>327</v>
      </c>
      <c r="C273" s="1"/>
      <c r="D273" s="1"/>
      <c r="E273" s="1"/>
      <c r="F273" s="1"/>
      <c r="G273" s="1"/>
      <c r="H273" s="1"/>
      <c r="I273" s="1"/>
      <c r="J273" s="1"/>
      <c r="L273" s="13">
        <v>128</v>
      </c>
      <c r="M273" s="13" t="s">
        <v>333</v>
      </c>
      <c r="N273" s="13"/>
      <c r="O273" s="13"/>
      <c r="P273" s="13"/>
      <c r="Q273" s="13"/>
      <c r="R273" s="13"/>
      <c r="S273" s="13"/>
    </row>
    <row r="274" spans="1:19" x14ac:dyDescent="0.25">
      <c r="A274" t="s">
        <v>76</v>
      </c>
      <c r="B274" t="s">
        <v>329</v>
      </c>
      <c r="C274" s="1">
        <v>2387</v>
      </c>
      <c r="D274" s="1">
        <f>19+16</f>
        <v>35</v>
      </c>
      <c r="E274" s="1">
        <v>0</v>
      </c>
      <c r="F274" s="1">
        <f>7717+1+2+1+221</f>
        <v>7942</v>
      </c>
      <c r="G274" s="1">
        <f>22+18</f>
        <v>40</v>
      </c>
      <c r="H274" s="1">
        <v>0</v>
      </c>
      <c r="I274" s="1">
        <v>0</v>
      </c>
      <c r="J274" s="1"/>
      <c r="L274" s="13">
        <v>122</v>
      </c>
      <c r="M274" s="13" t="s">
        <v>334</v>
      </c>
      <c r="N274" s="13">
        <v>608</v>
      </c>
      <c r="O274" s="13">
        <v>0</v>
      </c>
      <c r="P274" s="13">
        <v>0</v>
      </c>
      <c r="Q274" s="13">
        <v>579</v>
      </c>
      <c r="R274" s="13">
        <v>0</v>
      </c>
      <c r="S274" s="13">
        <v>0</v>
      </c>
    </row>
    <row r="275" spans="1:19" x14ac:dyDescent="0.25">
      <c r="A275" t="s">
        <v>809</v>
      </c>
      <c r="B275" t="s">
        <v>330</v>
      </c>
      <c r="C275" s="1"/>
      <c r="D275" s="1"/>
      <c r="E275" s="1"/>
      <c r="F275" s="1"/>
      <c r="G275" s="1"/>
      <c r="H275" s="1"/>
      <c r="I275" s="1"/>
      <c r="J275" s="1"/>
      <c r="L275" s="13" t="s">
        <v>820</v>
      </c>
      <c r="M275" s="13" t="s">
        <v>335</v>
      </c>
      <c r="N275" s="13">
        <v>657</v>
      </c>
      <c r="O275" s="13">
        <v>0</v>
      </c>
      <c r="P275" s="13">
        <v>0</v>
      </c>
      <c r="Q275" s="13">
        <v>2461</v>
      </c>
      <c r="R275" s="13">
        <v>0</v>
      </c>
      <c r="S275" s="13">
        <v>0</v>
      </c>
    </row>
    <row r="276" spans="1:19" x14ac:dyDescent="0.25">
      <c r="A276" t="s">
        <v>807</v>
      </c>
      <c r="B276" t="s">
        <v>331</v>
      </c>
      <c r="C276" s="1"/>
      <c r="D276" s="1"/>
      <c r="E276" s="1"/>
      <c r="F276" s="1"/>
      <c r="G276" s="1"/>
      <c r="H276" s="1"/>
      <c r="I276" s="1"/>
      <c r="J276" s="1"/>
      <c r="L276" s="13">
        <v>123</v>
      </c>
      <c r="M276" s="13" t="s">
        <v>336</v>
      </c>
      <c r="N276" s="13">
        <v>596</v>
      </c>
      <c r="O276" s="13">
        <v>5</v>
      </c>
      <c r="P276" s="13">
        <v>0</v>
      </c>
      <c r="Q276" s="13">
        <v>2146</v>
      </c>
      <c r="R276" s="13">
        <v>10</v>
      </c>
      <c r="S276" s="13">
        <v>0</v>
      </c>
    </row>
    <row r="277" spans="1:19" x14ac:dyDescent="0.25">
      <c r="A277" t="s">
        <v>248</v>
      </c>
      <c r="B277" t="s">
        <v>332</v>
      </c>
      <c r="C277" s="1">
        <v>1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/>
      <c r="L277" s="13">
        <v>200</v>
      </c>
      <c r="M277" s="13" t="s">
        <v>337</v>
      </c>
      <c r="N277" s="13">
        <v>1809</v>
      </c>
      <c r="O277" s="13">
        <v>50</v>
      </c>
      <c r="P277" s="13">
        <v>0</v>
      </c>
      <c r="Q277" s="13">
        <v>7146</v>
      </c>
      <c r="R277" s="13">
        <v>71</v>
      </c>
      <c r="S277" s="13">
        <v>0</v>
      </c>
    </row>
    <row r="278" spans="1:19" x14ac:dyDescent="0.25">
      <c r="A278" t="s">
        <v>813</v>
      </c>
      <c r="B278" t="s">
        <v>333</v>
      </c>
      <c r="C278" s="1"/>
      <c r="D278" s="1"/>
      <c r="E278" s="1"/>
      <c r="F278" s="1"/>
      <c r="G278" s="1"/>
      <c r="H278" s="1"/>
      <c r="I278" s="1"/>
      <c r="J278" s="1"/>
      <c r="L278" s="13">
        <v>121</v>
      </c>
      <c r="M278" s="13" t="s">
        <v>338</v>
      </c>
      <c r="N278" s="13">
        <v>134</v>
      </c>
      <c r="O278" s="13">
        <v>0</v>
      </c>
      <c r="P278" s="13">
        <v>0</v>
      </c>
      <c r="Q278" s="13">
        <v>1504</v>
      </c>
      <c r="R278" s="13">
        <v>8</v>
      </c>
      <c r="S278" s="13">
        <v>0</v>
      </c>
    </row>
    <row r="279" spans="1:19" x14ac:dyDescent="0.25">
      <c r="A279" t="s">
        <v>115</v>
      </c>
      <c r="B279" t="s">
        <v>334</v>
      </c>
      <c r="C279" s="1"/>
      <c r="D279" s="1"/>
      <c r="E279" s="1"/>
      <c r="F279" s="1"/>
      <c r="G279" s="1"/>
      <c r="H279" s="1"/>
      <c r="I279" s="1"/>
      <c r="J279" s="1"/>
      <c r="L279" s="13">
        <v>130</v>
      </c>
      <c r="M279" s="13" t="s">
        <v>339</v>
      </c>
      <c r="N279" s="13">
        <v>588</v>
      </c>
      <c r="O279" s="13">
        <v>0</v>
      </c>
      <c r="P279" s="13">
        <v>0</v>
      </c>
      <c r="Q279" s="13">
        <v>1262</v>
      </c>
      <c r="R279" s="13">
        <v>0</v>
      </c>
      <c r="S279" s="13">
        <v>0</v>
      </c>
    </row>
    <row r="280" spans="1:19" x14ac:dyDescent="0.25">
      <c r="A280" t="s">
        <v>265</v>
      </c>
      <c r="B280" t="s">
        <v>335</v>
      </c>
      <c r="C280" s="1">
        <v>657</v>
      </c>
      <c r="D280" s="1">
        <v>0</v>
      </c>
      <c r="E280" s="1">
        <v>0</v>
      </c>
      <c r="F280" s="1">
        <v>2461</v>
      </c>
      <c r="G280" s="1">
        <v>0</v>
      </c>
      <c r="H280" s="1">
        <v>0</v>
      </c>
      <c r="I280" s="1">
        <v>0</v>
      </c>
      <c r="J280" s="1"/>
      <c r="L280" s="13">
        <v>124</v>
      </c>
      <c r="M280" s="13" t="s">
        <v>340</v>
      </c>
      <c r="N280" s="13">
        <v>69</v>
      </c>
      <c r="O280" s="13">
        <v>0</v>
      </c>
      <c r="P280" s="13">
        <v>0</v>
      </c>
      <c r="Q280" s="13">
        <v>349</v>
      </c>
      <c r="R280" s="13">
        <v>1</v>
      </c>
      <c r="S280" s="13">
        <v>0</v>
      </c>
    </row>
    <row r="281" spans="1:19" x14ac:dyDescent="0.25">
      <c r="A281" t="s">
        <v>110</v>
      </c>
      <c r="B281" t="s">
        <v>336</v>
      </c>
      <c r="C281" s="1"/>
      <c r="D281" s="1"/>
      <c r="E281" s="1"/>
      <c r="F281" s="1"/>
      <c r="G281" s="1"/>
      <c r="H281" s="1"/>
      <c r="I281" s="1"/>
      <c r="J281" s="1"/>
      <c r="L281" s="13">
        <v>125</v>
      </c>
      <c r="M281" s="13" t="s">
        <v>341</v>
      </c>
      <c r="N281" s="13">
        <v>215</v>
      </c>
      <c r="O281" s="13">
        <v>0</v>
      </c>
      <c r="P281" s="13">
        <v>0</v>
      </c>
      <c r="Q281" s="13">
        <v>2593</v>
      </c>
      <c r="R281" s="13">
        <v>0</v>
      </c>
      <c r="S281" s="13">
        <v>0</v>
      </c>
    </row>
    <row r="282" spans="1:19" x14ac:dyDescent="0.25">
      <c r="A282" t="s">
        <v>140</v>
      </c>
      <c r="B282" t="s">
        <v>337</v>
      </c>
      <c r="C282" s="1">
        <f>1768+1+21+19</f>
        <v>1809</v>
      </c>
      <c r="D282" s="1">
        <v>50</v>
      </c>
      <c r="E282" s="1">
        <v>0</v>
      </c>
      <c r="F282" s="1">
        <f>7091+2+45+3+2+2+1</f>
        <v>7146</v>
      </c>
      <c r="G282" s="1">
        <f>70+1</f>
        <v>71</v>
      </c>
      <c r="H282" s="1">
        <v>0</v>
      </c>
      <c r="I282" s="1">
        <v>0</v>
      </c>
      <c r="J282" s="1"/>
      <c r="L282" s="13">
        <v>126</v>
      </c>
      <c r="M282" s="13" t="s">
        <v>342</v>
      </c>
      <c r="N282" s="13">
        <v>56</v>
      </c>
      <c r="O282" s="13">
        <v>7</v>
      </c>
      <c r="P282" s="13">
        <v>0</v>
      </c>
      <c r="Q282" s="13">
        <v>468</v>
      </c>
      <c r="R282" s="13">
        <v>0</v>
      </c>
      <c r="S282" s="13">
        <v>0</v>
      </c>
    </row>
    <row r="283" spans="1:19" x14ac:dyDescent="0.25">
      <c r="A283" t="s">
        <v>104</v>
      </c>
      <c r="B283" t="s">
        <v>338</v>
      </c>
      <c r="C283" s="1"/>
      <c r="D283" s="1"/>
      <c r="E283" s="1"/>
      <c r="F283" s="1"/>
      <c r="G283" s="1"/>
      <c r="H283" s="1"/>
      <c r="I283" s="1"/>
      <c r="J283" s="1"/>
      <c r="L283" s="13">
        <v>711</v>
      </c>
      <c r="M283" s="13" t="s">
        <v>343</v>
      </c>
      <c r="N283" s="13">
        <v>143</v>
      </c>
      <c r="O283" s="13">
        <v>0</v>
      </c>
      <c r="P283" s="13">
        <v>0</v>
      </c>
      <c r="Q283" s="13">
        <v>919</v>
      </c>
      <c r="R283" s="13">
        <v>1</v>
      </c>
      <c r="S283" s="13">
        <v>0</v>
      </c>
    </row>
    <row r="284" spans="1:19" x14ac:dyDescent="0.25">
      <c r="A284" t="s">
        <v>793</v>
      </c>
      <c r="B284" t="s">
        <v>339</v>
      </c>
      <c r="C284" s="1"/>
      <c r="D284" s="1"/>
      <c r="E284" s="1"/>
      <c r="F284" s="1"/>
      <c r="G284" s="1"/>
      <c r="H284" s="1"/>
      <c r="I284" s="1"/>
      <c r="J284" s="1"/>
      <c r="L284" s="13" t="s">
        <v>815</v>
      </c>
      <c r="M284" s="13" t="s">
        <v>344</v>
      </c>
      <c r="N284" s="13">
        <v>380</v>
      </c>
      <c r="O284" s="13">
        <v>0</v>
      </c>
      <c r="P284" s="13">
        <v>0</v>
      </c>
      <c r="Q284" s="13">
        <v>5416</v>
      </c>
      <c r="R284" s="13">
        <v>0</v>
      </c>
      <c r="S284" s="13">
        <v>0</v>
      </c>
    </row>
    <row r="285" spans="1:19" x14ac:dyDescent="0.25">
      <c r="A285" t="s">
        <v>123</v>
      </c>
      <c r="B285" t="s">
        <v>340</v>
      </c>
      <c r="C285" s="1"/>
      <c r="D285" s="1"/>
      <c r="E285" s="1"/>
      <c r="F285" s="1"/>
      <c r="G285" s="1"/>
      <c r="H285" s="1"/>
      <c r="I285" s="1"/>
      <c r="J285" s="1"/>
      <c r="L285" s="13">
        <v>200</v>
      </c>
      <c r="M285" s="13" t="s">
        <v>345</v>
      </c>
      <c r="N285" s="13">
        <v>240</v>
      </c>
      <c r="O285" s="13">
        <v>0</v>
      </c>
      <c r="P285" s="13">
        <v>0</v>
      </c>
      <c r="Q285" s="13">
        <v>2088</v>
      </c>
      <c r="R285" s="13">
        <v>0</v>
      </c>
      <c r="S285" s="13">
        <v>0</v>
      </c>
    </row>
    <row r="286" spans="1:19" x14ac:dyDescent="0.25">
      <c r="A286" t="s">
        <v>40</v>
      </c>
      <c r="B286" t="s">
        <v>341</v>
      </c>
      <c r="C286" s="1"/>
      <c r="D286" s="1"/>
      <c r="E286" s="1"/>
      <c r="F286" s="1"/>
      <c r="G286" s="1"/>
      <c r="H286" s="1"/>
      <c r="I286" s="1"/>
      <c r="J286" s="1"/>
      <c r="L286" s="13">
        <v>710</v>
      </c>
      <c r="M286" s="13" t="s">
        <v>346</v>
      </c>
      <c r="N286" s="13">
        <v>1658</v>
      </c>
      <c r="O286" s="13">
        <v>0</v>
      </c>
      <c r="P286" s="13">
        <v>0</v>
      </c>
      <c r="Q286" s="13">
        <v>10784</v>
      </c>
      <c r="R286" s="13">
        <v>36</v>
      </c>
      <c r="S286" s="13">
        <v>0</v>
      </c>
    </row>
    <row r="287" spans="1:19" x14ac:dyDescent="0.25">
      <c r="A287" t="s">
        <v>97</v>
      </c>
      <c r="B287" t="s">
        <v>342</v>
      </c>
      <c r="C287" s="1"/>
      <c r="D287" s="1"/>
      <c r="E287" s="1"/>
      <c r="F287" s="1"/>
      <c r="G287" s="1"/>
      <c r="H287" s="1"/>
      <c r="I287" s="1"/>
      <c r="J287" s="1"/>
      <c r="L287" s="13">
        <v>700</v>
      </c>
      <c r="M287" s="13" t="s">
        <v>347</v>
      </c>
      <c r="N287" s="13">
        <v>17</v>
      </c>
      <c r="O287" s="13">
        <v>0</v>
      </c>
      <c r="P287" s="13">
        <v>0</v>
      </c>
      <c r="Q287" s="13">
        <v>6</v>
      </c>
      <c r="R287" s="13">
        <v>0</v>
      </c>
      <c r="S287" s="13">
        <v>0</v>
      </c>
    </row>
    <row r="288" spans="1:19" x14ac:dyDescent="0.25">
      <c r="A288" t="s">
        <v>801</v>
      </c>
      <c r="B288" t="s">
        <v>343</v>
      </c>
      <c r="C288" s="1">
        <v>143</v>
      </c>
      <c r="D288" s="1">
        <v>0</v>
      </c>
      <c r="E288" s="1">
        <v>0</v>
      </c>
      <c r="F288" s="1">
        <v>919</v>
      </c>
      <c r="G288" s="1">
        <v>1</v>
      </c>
      <c r="H288" s="1">
        <v>0</v>
      </c>
      <c r="I288" s="1">
        <v>0</v>
      </c>
      <c r="J288" s="1"/>
      <c r="L288" s="13">
        <v>511</v>
      </c>
      <c r="M288" s="13" t="s">
        <v>348</v>
      </c>
      <c r="N288" s="13">
        <v>886</v>
      </c>
      <c r="O288" s="13">
        <v>0</v>
      </c>
      <c r="P288" s="13">
        <v>0</v>
      </c>
      <c r="Q288" s="13">
        <v>5994</v>
      </c>
      <c r="R288" s="13">
        <v>3</v>
      </c>
      <c r="S288" s="13">
        <v>0</v>
      </c>
    </row>
    <row r="289" spans="1:19" x14ac:dyDescent="0.25">
      <c r="A289" t="s">
        <v>138</v>
      </c>
      <c r="B289" t="s">
        <v>344</v>
      </c>
      <c r="C289" s="1"/>
      <c r="D289" s="1"/>
      <c r="E289" s="1"/>
      <c r="F289" s="1"/>
      <c r="G289" s="1"/>
      <c r="H289" s="1"/>
      <c r="I289" s="1"/>
      <c r="J289" s="1"/>
      <c r="L289" s="13">
        <v>110</v>
      </c>
      <c r="M289" s="13" t="s">
        <v>349</v>
      </c>
      <c r="N289" s="13">
        <v>182</v>
      </c>
      <c r="O289" s="13">
        <v>0</v>
      </c>
      <c r="P289" s="13">
        <v>0</v>
      </c>
      <c r="Q289" s="13">
        <v>2331</v>
      </c>
      <c r="R289" s="13">
        <v>0</v>
      </c>
      <c r="S289" s="13">
        <v>0</v>
      </c>
    </row>
    <row r="290" spans="1:19" x14ac:dyDescent="0.25">
      <c r="A290" t="s">
        <v>140</v>
      </c>
      <c r="B290" t="s">
        <v>345</v>
      </c>
      <c r="C290" s="1">
        <v>240</v>
      </c>
      <c r="D290" s="1">
        <v>0</v>
      </c>
      <c r="E290" s="1">
        <v>0</v>
      </c>
      <c r="F290" s="1">
        <f>2081+3+4</f>
        <v>2088</v>
      </c>
      <c r="G290" s="1">
        <v>0</v>
      </c>
      <c r="H290" s="1">
        <v>0</v>
      </c>
      <c r="I290" s="1">
        <v>0</v>
      </c>
      <c r="J290" s="1"/>
      <c r="L290" s="13">
        <v>111</v>
      </c>
      <c r="M290" s="13" t="s">
        <v>350</v>
      </c>
      <c r="N290" s="13">
        <v>476</v>
      </c>
      <c r="O290" s="13">
        <v>3</v>
      </c>
      <c r="P290" s="13">
        <v>0</v>
      </c>
      <c r="Q290" s="13">
        <v>5933</v>
      </c>
      <c r="R290" s="13">
        <v>9</v>
      </c>
      <c r="S290" s="13">
        <v>0</v>
      </c>
    </row>
    <row r="291" spans="1:19" x14ac:dyDescent="0.25">
      <c r="A291" t="s">
        <v>69</v>
      </c>
      <c r="B291" t="s">
        <v>346</v>
      </c>
      <c r="C291" s="1">
        <f>1641+17</f>
        <v>1658</v>
      </c>
      <c r="D291" s="1">
        <v>0</v>
      </c>
      <c r="E291" s="1">
        <v>0</v>
      </c>
      <c r="F291" s="1">
        <f>10782+2</f>
        <v>10784</v>
      </c>
      <c r="G291" s="1">
        <v>36</v>
      </c>
      <c r="H291" s="1">
        <v>0</v>
      </c>
      <c r="I291" s="1">
        <v>0</v>
      </c>
      <c r="J291" s="1"/>
      <c r="L291" s="13">
        <v>140</v>
      </c>
      <c r="M291" s="13" t="s">
        <v>351</v>
      </c>
      <c r="N291" s="13">
        <v>346</v>
      </c>
      <c r="O291" s="13">
        <v>0</v>
      </c>
      <c r="P291" s="13">
        <v>0</v>
      </c>
      <c r="Q291" s="13">
        <v>837</v>
      </c>
      <c r="R291" s="13">
        <v>0</v>
      </c>
      <c r="S291" s="13">
        <v>0</v>
      </c>
    </row>
    <row r="292" spans="1:19" x14ac:dyDescent="0.25">
      <c r="A292" t="s">
        <v>83</v>
      </c>
      <c r="B292" t="s">
        <v>347</v>
      </c>
      <c r="C292" s="1"/>
      <c r="D292" s="1"/>
      <c r="E292" s="1"/>
      <c r="F292" s="1"/>
      <c r="G292" s="1"/>
      <c r="H292" s="1"/>
      <c r="I292" s="1"/>
      <c r="J292" s="1"/>
      <c r="L292" s="13">
        <v>500</v>
      </c>
      <c r="M292" s="13" t="s">
        <v>352</v>
      </c>
      <c r="N292" s="13"/>
      <c r="O292" s="13"/>
      <c r="P292" s="13"/>
      <c r="Q292" s="13"/>
      <c r="R292" s="13"/>
      <c r="S292" s="13"/>
    </row>
    <row r="293" spans="1:19" x14ac:dyDescent="0.25">
      <c r="A293" t="s">
        <v>101</v>
      </c>
      <c r="B293" t="s">
        <v>348</v>
      </c>
      <c r="C293" s="1">
        <v>886</v>
      </c>
      <c r="D293" s="1">
        <v>0</v>
      </c>
      <c r="E293" s="1">
        <v>0</v>
      </c>
      <c r="F293" s="1">
        <f>5988+6</f>
        <v>5994</v>
      </c>
      <c r="G293" s="1">
        <v>3</v>
      </c>
      <c r="H293" s="1">
        <v>0</v>
      </c>
      <c r="I293" s="1">
        <v>0</v>
      </c>
      <c r="J293" s="1"/>
      <c r="L293" s="13">
        <v>141</v>
      </c>
      <c r="M293" s="13" t="s">
        <v>353</v>
      </c>
      <c r="N293" s="13">
        <v>5549</v>
      </c>
      <c r="O293" s="13">
        <v>0</v>
      </c>
      <c r="P293" s="13">
        <v>0</v>
      </c>
      <c r="Q293" s="13">
        <v>2944</v>
      </c>
      <c r="R293" s="13">
        <v>1</v>
      </c>
      <c r="S293" s="13">
        <v>0</v>
      </c>
    </row>
    <row r="294" spans="1:19" x14ac:dyDescent="0.25">
      <c r="A294" t="s">
        <v>797</v>
      </c>
      <c r="B294" t="s">
        <v>349</v>
      </c>
      <c r="C294" s="1"/>
      <c r="D294" s="1"/>
      <c r="E294" s="1"/>
      <c r="F294" s="1"/>
      <c r="G294" s="1"/>
      <c r="H294" s="1"/>
      <c r="I294" s="1"/>
      <c r="J294" s="1"/>
      <c r="L294" s="13">
        <v>146</v>
      </c>
      <c r="M294" s="13" t="s">
        <v>354</v>
      </c>
      <c r="N294" s="13">
        <v>207</v>
      </c>
      <c r="O294" s="13">
        <v>0</v>
      </c>
      <c r="P294" s="13">
        <v>0</v>
      </c>
      <c r="Q294" s="13">
        <v>455</v>
      </c>
      <c r="R294" s="13">
        <v>4</v>
      </c>
      <c r="S294" s="13">
        <v>0</v>
      </c>
    </row>
    <row r="295" spans="1:19" x14ac:dyDescent="0.25">
      <c r="A295" t="s">
        <v>811</v>
      </c>
      <c r="B295" t="s">
        <v>350</v>
      </c>
      <c r="C295" s="1"/>
      <c r="D295" s="1"/>
      <c r="E295" s="1"/>
      <c r="F295" s="1"/>
      <c r="G295" s="1"/>
      <c r="H295" s="1"/>
      <c r="I295" s="1"/>
      <c r="J295" s="1"/>
      <c r="L295" s="13">
        <v>145</v>
      </c>
      <c r="M295" s="13" t="s">
        <v>355</v>
      </c>
      <c r="N295" s="13">
        <v>138</v>
      </c>
      <c r="O295" s="13">
        <v>0</v>
      </c>
      <c r="P295" s="13">
        <v>0</v>
      </c>
      <c r="Q295" s="13">
        <v>438</v>
      </c>
      <c r="R295" s="13">
        <v>0</v>
      </c>
      <c r="S295" s="13">
        <v>0</v>
      </c>
    </row>
    <row r="296" spans="1:19" x14ac:dyDescent="0.25">
      <c r="A296" t="s">
        <v>45</v>
      </c>
      <c r="B296" t="s">
        <v>351</v>
      </c>
      <c r="C296" s="1"/>
      <c r="D296" s="1"/>
      <c r="E296" s="1"/>
      <c r="F296" s="1"/>
      <c r="G296" s="1"/>
      <c r="H296" s="1"/>
      <c r="I296" s="1"/>
      <c r="J296" s="1"/>
      <c r="L296" s="13">
        <v>138</v>
      </c>
      <c r="M296" s="13" t="s">
        <v>356</v>
      </c>
      <c r="N296" s="13">
        <v>684</v>
      </c>
      <c r="O296" s="13">
        <v>0</v>
      </c>
      <c r="P296" s="13">
        <v>0</v>
      </c>
      <c r="Q296" s="13">
        <v>3622</v>
      </c>
      <c r="R296" s="13">
        <v>8</v>
      </c>
      <c r="S296" s="13">
        <v>0</v>
      </c>
    </row>
    <row r="297" spans="1:19" x14ac:dyDescent="0.25">
      <c r="A297" t="s">
        <v>824</v>
      </c>
      <c r="B297" t="s">
        <v>352</v>
      </c>
      <c r="C297" s="1"/>
      <c r="D297" s="1"/>
      <c r="E297" s="1"/>
      <c r="F297" s="1"/>
      <c r="G297" s="1"/>
      <c r="H297" s="1"/>
      <c r="I297" s="1"/>
      <c r="J297" s="1"/>
      <c r="L297" s="13">
        <v>139</v>
      </c>
      <c r="M297" s="13" t="s">
        <v>357</v>
      </c>
      <c r="N297" s="13">
        <v>287</v>
      </c>
      <c r="O297" s="13">
        <v>0</v>
      </c>
      <c r="P297" s="13">
        <v>0</v>
      </c>
      <c r="Q297" s="13">
        <v>1799</v>
      </c>
      <c r="R297" s="13">
        <v>0</v>
      </c>
      <c r="S297" s="13">
        <v>0</v>
      </c>
    </row>
    <row r="298" spans="1:19" x14ac:dyDescent="0.25">
      <c r="A298" t="s">
        <v>31</v>
      </c>
      <c r="B298" t="s">
        <v>353</v>
      </c>
      <c r="C298" s="1"/>
      <c r="D298" s="1"/>
      <c r="E298" s="1"/>
      <c r="F298" s="1"/>
      <c r="G298" s="1"/>
      <c r="H298" s="1"/>
      <c r="I298" s="1"/>
      <c r="J298" s="1"/>
      <c r="L298" s="13">
        <v>100</v>
      </c>
      <c r="M298" s="13" t="s">
        <v>358</v>
      </c>
      <c r="N298" s="13">
        <v>4605</v>
      </c>
      <c r="O298" s="13">
        <v>0</v>
      </c>
      <c r="P298" s="13">
        <v>0</v>
      </c>
      <c r="Q298" s="13">
        <v>4291</v>
      </c>
      <c r="R298" s="13">
        <v>31</v>
      </c>
      <c r="S298" s="13">
        <v>0</v>
      </c>
    </row>
    <row r="299" spans="1:19" x14ac:dyDescent="0.25">
      <c r="A299" t="s">
        <v>36</v>
      </c>
      <c r="B299" t="s">
        <v>354</v>
      </c>
      <c r="C299" s="1"/>
      <c r="D299" s="1"/>
      <c r="E299" s="1"/>
      <c r="F299" s="1"/>
      <c r="G299" s="1"/>
      <c r="H299" s="1"/>
      <c r="I299" s="1"/>
      <c r="J299" s="1"/>
      <c r="L299" s="13">
        <v>142</v>
      </c>
      <c r="M299" s="13" t="s">
        <v>359</v>
      </c>
      <c r="N299" s="13">
        <v>1170</v>
      </c>
      <c r="O299" s="13">
        <v>0</v>
      </c>
      <c r="P299" s="13">
        <v>0</v>
      </c>
      <c r="Q299" s="13">
        <v>2523</v>
      </c>
      <c r="R299" s="13">
        <v>0</v>
      </c>
      <c r="S299" s="13">
        <v>0</v>
      </c>
    </row>
    <row r="300" spans="1:19" x14ac:dyDescent="0.25">
      <c r="A300" t="s">
        <v>38</v>
      </c>
      <c r="B300" t="s">
        <v>355</v>
      </c>
      <c r="C300" s="1"/>
      <c r="D300" s="1"/>
      <c r="E300" s="1"/>
      <c r="F300" s="1"/>
      <c r="G300" s="1"/>
      <c r="H300" s="1"/>
      <c r="I300" s="1"/>
      <c r="J300" s="1"/>
      <c r="L300" s="13">
        <v>144</v>
      </c>
      <c r="M300" s="13" t="s">
        <v>360</v>
      </c>
      <c r="N300" s="13">
        <v>336</v>
      </c>
      <c r="O300" s="13">
        <v>0</v>
      </c>
      <c r="P300" s="13">
        <v>0</v>
      </c>
      <c r="Q300" s="13">
        <v>2399</v>
      </c>
      <c r="R300" s="13">
        <v>15</v>
      </c>
      <c r="S300" s="13">
        <v>0</v>
      </c>
    </row>
    <row r="301" spans="1:19" x14ac:dyDescent="0.25">
      <c r="A301" t="s">
        <v>50</v>
      </c>
      <c r="B301" t="s">
        <v>356</v>
      </c>
      <c r="C301" s="1"/>
      <c r="D301" s="1"/>
      <c r="E301" s="1"/>
      <c r="F301" s="1"/>
      <c r="G301" s="1"/>
      <c r="H301" s="1"/>
      <c r="I301" s="1"/>
      <c r="J301" s="1"/>
      <c r="L301" s="13">
        <v>120</v>
      </c>
      <c r="M301" s="13" t="s">
        <v>361</v>
      </c>
      <c r="N301" s="13">
        <v>5074</v>
      </c>
      <c r="O301" s="13">
        <v>55</v>
      </c>
      <c r="P301" s="13">
        <v>0</v>
      </c>
      <c r="Q301" s="13">
        <v>12686</v>
      </c>
      <c r="R301" s="13">
        <v>223</v>
      </c>
      <c r="S301" s="13">
        <v>0</v>
      </c>
    </row>
    <row r="302" spans="1:19" x14ac:dyDescent="0.25">
      <c r="A302" t="s">
        <v>59</v>
      </c>
      <c r="B302" t="s">
        <v>357</v>
      </c>
      <c r="C302" s="1"/>
      <c r="D302" s="1"/>
      <c r="E302" s="1"/>
      <c r="F302" s="1"/>
      <c r="G302" s="1"/>
      <c r="H302" s="1"/>
      <c r="I302" s="1"/>
      <c r="J302" s="1"/>
      <c r="L302" s="13">
        <v>310</v>
      </c>
      <c r="M302" s="13" t="s">
        <v>362</v>
      </c>
      <c r="N302" s="13">
        <v>1705</v>
      </c>
      <c r="O302" s="13">
        <v>0</v>
      </c>
      <c r="P302" s="13">
        <v>0</v>
      </c>
      <c r="Q302" s="13">
        <v>15564</v>
      </c>
      <c r="R302" s="13">
        <v>9</v>
      </c>
      <c r="S302" s="13">
        <v>0</v>
      </c>
    </row>
    <row r="303" spans="1:19" x14ac:dyDescent="0.25">
      <c r="A303" t="s">
        <v>791</v>
      </c>
      <c r="B303" t="s">
        <v>358</v>
      </c>
      <c r="C303" s="1"/>
      <c r="D303" s="1"/>
      <c r="E303" s="1"/>
      <c r="F303" s="1"/>
      <c r="G303" s="1"/>
      <c r="H303" s="1"/>
      <c r="I303" s="1"/>
      <c r="J303" s="1"/>
      <c r="L303" s="13">
        <v>114</v>
      </c>
      <c r="M303" s="13" t="s">
        <v>363</v>
      </c>
      <c r="N303" s="13">
        <v>112</v>
      </c>
      <c r="O303" s="13">
        <v>0</v>
      </c>
      <c r="P303" s="13">
        <v>0</v>
      </c>
      <c r="Q303" s="13">
        <v>1581</v>
      </c>
      <c r="R303" s="13">
        <v>2</v>
      </c>
      <c r="S303" s="13">
        <v>0</v>
      </c>
    </row>
    <row r="304" spans="1:19" x14ac:dyDescent="0.25">
      <c r="A304" t="s">
        <v>54</v>
      </c>
      <c r="B304" t="s">
        <v>359</v>
      </c>
      <c r="C304" s="1"/>
      <c r="D304" s="1"/>
      <c r="E304" s="1"/>
      <c r="F304" s="1"/>
      <c r="G304" s="1"/>
      <c r="H304" s="1"/>
      <c r="I304" s="1"/>
      <c r="J304" s="1"/>
      <c r="L304" s="13">
        <v>600</v>
      </c>
      <c r="M304" s="13" t="s">
        <v>364</v>
      </c>
      <c r="N304" s="13">
        <v>172</v>
      </c>
      <c r="O304" s="13">
        <v>0</v>
      </c>
      <c r="P304" s="13">
        <v>0</v>
      </c>
      <c r="Q304" s="13">
        <v>2443</v>
      </c>
      <c r="R304" s="13">
        <v>0</v>
      </c>
      <c r="S304" s="13">
        <v>0</v>
      </c>
    </row>
    <row r="305" spans="1:19" x14ac:dyDescent="0.25">
      <c r="A305" t="s">
        <v>787</v>
      </c>
      <c r="B305" t="s">
        <v>360</v>
      </c>
      <c r="C305" s="1"/>
      <c r="D305" s="1"/>
      <c r="E305" s="1"/>
      <c r="F305" s="1"/>
      <c r="G305" s="1"/>
      <c r="H305" s="1"/>
      <c r="I305" s="1"/>
      <c r="J305" s="1"/>
      <c r="L305" s="13">
        <v>100</v>
      </c>
      <c r="M305" s="13" t="s">
        <v>365</v>
      </c>
      <c r="N305" s="13">
        <v>2090</v>
      </c>
      <c r="O305" s="13">
        <v>78</v>
      </c>
      <c r="P305" s="13">
        <v>0</v>
      </c>
      <c r="Q305" s="13">
        <v>3195</v>
      </c>
      <c r="R305" s="13">
        <v>259</v>
      </c>
      <c r="S305" s="13">
        <v>0</v>
      </c>
    </row>
    <row r="306" spans="1:19" x14ac:dyDescent="0.25">
      <c r="A306" t="s">
        <v>802</v>
      </c>
      <c r="B306" t="s">
        <v>361</v>
      </c>
      <c r="C306" s="1"/>
      <c r="D306" s="1"/>
      <c r="E306" s="1"/>
      <c r="F306" s="1"/>
      <c r="G306" s="1"/>
      <c r="H306" s="1"/>
      <c r="I306" s="1"/>
      <c r="J306" s="1"/>
      <c r="L306" s="13">
        <v>110</v>
      </c>
      <c r="M306" s="13" t="s">
        <v>366</v>
      </c>
      <c r="N306" s="13">
        <v>100</v>
      </c>
      <c r="O306" s="13">
        <v>0</v>
      </c>
      <c r="P306" s="13">
        <v>0</v>
      </c>
      <c r="Q306" s="13">
        <v>666</v>
      </c>
      <c r="R306" s="13">
        <v>38</v>
      </c>
      <c r="S306" s="13">
        <v>0</v>
      </c>
    </row>
    <row r="307" spans="1:19" x14ac:dyDescent="0.25">
      <c r="A307" t="s">
        <v>67</v>
      </c>
      <c r="B307" t="s">
        <v>362</v>
      </c>
      <c r="C307" s="1"/>
      <c r="D307" s="1"/>
      <c r="E307" s="1"/>
      <c r="F307" s="1"/>
      <c r="G307" s="1"/>
      <c r="H307" s="1"/>
      <c r="I307" s="1"/>
      <c r="J307" s="1"/>
      <c r="L307" s="13">
        <v>311</v>
      </c>
      <c r="M307" s="13" t="s">
        <v>367</v>
      </c>
      <c r="N307" s="13">
        <v>1352</v>
      </c>
      <c r="O307" s="13">
        <v>4</v>
      </c>
      <c r="P307" s="13">
        <v>0</v>
      </c>
      <c r="Q307" s="13">
        <v>11230</v>
      </c>
      <c r="R307" s="13">
        <v>152</v>
      </c>
      <c r="S307" s="13">
        <v>0</v>
      </c>
    </row>
    <row r="308" spans="1:19" x14ac:dyDescent="0.25">
      <c r="A308" t="s">
        <v>150</v>
      </c>
      <c r="B308" t="s">
        <v>363</v>
      </c>
      <c r="C308" s="1"/>
      <c r="D308" s="1"/>
      <c r="E308" s="1"/>
      <c r="F308" s="1"/>
      <c r="G308" s="1"/>
      <c r="H308" s="1"/>
      <c r="I308" s="1"/>
      <c r="J308" s="1"/>
      <c r="L308" s="13">
        <v>118</v>
      </c>
      <c r="M308" s="13" t="s">
        <v>368</v>
      </c>
      <c r="N308" s="13">
        <v>1220</v>
      </c>
      <c r="O308" s="13">
        <v>0</v>
      </c>
      <c r="P308" s="13">
        <v>0</v>
      </c>
      <c r="Q308" s="13">
        <v>4606</v>
      </c>
      <c r="R308" s="13">
        <v>0</v>
      </c>
      <c r="S308" s="13">
        <v>0</v>
      </c>
    </row>
    <row r="309" spans="1:19" x14ac:dyDescent="0.25">
      <c r="A309" t="s">
        <v>248</v>
      </c>
      <c r="B309" t="s">
        <v>364</v>
      </c>
      <c r="C309" s="1"/>
      <c r="D309" s="1"/>
      <c r="E309" s="1"/>
      <c r="F309" s="1"/>
      <c r="G309" s="1"/>
      <c r="H309" s="1"/>
      <c r="I309" s="1"/>
      <c r="J309" s="1"/>
      <c r="L309" s="13" t="s">
        <v>808</v>
      </c>
      <c r="M309" s="13" t="s">
        <v>369</v>
      </c>
      <c r="N309" s="13">
        <v>1899</v>
      </c>
      <c r="O309" s="13">
        <v>0</v>
      </c>
      <c r="P309" s="13">
        <v>0</v>
      </c>
      <c r="Q309" s="13">
        <v>10510</v>
      </c>
      <c r="R309" s="13">
        <v>1</v>
      </c>
      <c r="S309" s="13">
        <v>0</v>
      </c>
    </row>
    <row r="310" spans="1:19" x14ac:dyDescent="0.25">
      <c r="A310" t="s">
        <v>791</v>
      </c>
      <c r="B310" t="s">
        <v>365</v>
      </c>
      <c r="C310" s="1"/>
      <c r="D310" s="1"/>
      <c r="E310" s="1"/>
      <c r="F310" s="1"/>
      <c r="G310" s="1"/>
      <c r="H310" s="1"/>
      <c r="I310" s="1"/>
      <c r="J310" s="1"/>
      <c r="L310" s="13">
        <v>161</v>
      </c>
      <c r="M310" s="13" t="s">
        <v>370</v>
      </c>
      <c r="N310" s="13">
        <v>538</v>
      </c>
      <c r="O310" s="13">
        <v>47</v>
      </c>
      <c r="P310" s="13">
        <v>0</v>
      </c>
      <c r="Q310" s="13">
        <v>2833</v>
      </c>
      <c r="R310" s="13">
        <v>7</v>
      </c>
      <c r="S310" s="13">
        <v>0</v>
      </c>
    </row>
    <row r="311" spans="1:19" x14ac:dyDescent="0.25">
      <c r="A311" t="s">
        <v>797</v>
      </c>
      <c r="B311" t="s">
        <v>366</v>
      </c>
      <c r="C311" s="1"/>
      <c r="D311" s="1"/>
      <c r="E311" s="1"/>
      <c r="F311" s="1"/>
      <c r="G311" s="1"/>
      <c r="H311" s="1"/>
      <c r="I311" s="1"/>
      <c r="J311" s="1"/>
      <c r="L311" s="13">
        <v>300</v>
      </c>
      <c r="M311" s="13" t="s">
        <v>371</v>
      </c>
      <c r="N311" s="13">
        <v>768</v>
      </c>
      <c r="O311" s="13">
        <v>2</v>
      </c>
      <c r="P311" s="13">
        <v>0</v>
      </c>
      <c r="Q311" s="13">
        <v>6581</v>
      </c>
      <c r="R311" s="13">
        <v>12</v>
      </c>
      <c r="S311" s="13">
        <v>0</v>
      </c>
    </row>
    <row r="312" spans="1:19" x14ac:dyDescent="0.25">
      <c r="A312" t="s">
        <v>120</v>
      </c>
      <c r="B312" t="s">
        <v>367</v>
      </c>
      <c r="C312" s="1"/>
      <c r="D312" s="1"/>
      <c r="E312" s="1"/>
      <c r="F312" s="1"/>
      <c r="G312" s="1"/>
      <c r="H312" s="1"/>
      <c r="I312" s="1"/>
      <c r="J312" s="1"/>
      <c r="L312" s="13">
        <v>110</v>
      </c>
      <c r="M312" s="13" t="s">
        <v>372</v>
      </c>
      <c r="N312" s="13">
        <v>477</v>
      </c>
      <c r="O312" s="13">
        <v>8</v>
      </c>
      <c r="P312" s="13">
        <v>0</v>
      </c>
      <c r="Q312" s="13">
        <v>3731</v>
      </c>
      <c r="R312" s="13">
        <v>138</v>
      </c>
      <c r="S312" s="13">
        <v>0</v>
      </c>
    </row>
    <row r="313" spans="1:19" x14ac:dyDescent="0.25">
      <c r="A313" t="s">
        <v>188</v>
      </c>
      <c r="B313" t="s">
        <v>368</v>
      </c>
      <c r="C313" s="1"/>
      <c r="D313" s="1"/>
      <c r="E313" s="1"/>
      <c r="F313" s="1"/>
      <c r="G313" s="1"/>
      <c r="H313" s="1"/>
      <c r="I313" s="1"/>
      <c r="J313" s="1"/>
      <c r="L313" s="13">
        <v>100</v>
      </c>
      <c r="M313" s="13" t="s">
        <v>373</v>
      </c>
      <c r="N313" s="13">
        <v>1454</v>
      </c>
      <c r="O313" s="13">
        <v>0</v>
      </c>
      <c r="P313" s="13">
        <v>0</v>
      </c>
      <c r="Q313" s="13">
        <v>4746</v>
      </c>
      <c r="R313" s="13">
        <v>4</v>
      </c>
      <c r="S313" s="13">
        <v>0</v>
      </c>
    </row>
    <row r="314" spans="1:19" x14ac:dyDescent="0.25">
      <c r="A314" t="s">
        <v>809</v>
      </c>
      <c r="B314" t="s">
        <v>369</v>
      </c>
      <c r="C314" s="1"/>
      <c r="D314" s="1"/>
      <c r="E314" s="1"/>
      <c r="F314" s="1"/>
      <c r="G314" s="1"/>
      <c r="H314" s="1"/>
      <c r="I314" s="1"/>
      <c r="J314" s="1"/>
      <c r="L314" s="13">
        <v>120</v>
      </c>
      <c r="M314" s="13" t="s">
        <v>374</v>
      </c>
      <c r="N314" s="13">
        <v>901</v>
      </c>
      <c r="O314" s="13">
        <v>8</v>
      </c>
      <c r="P314" s="13">
        <v>0</v>
      </c>
      <c r="Q314" s="13">
        <v>4088</v>
      </c>
      <c r="R314" s="13">
        <v>65</v>
      </c>
      <c r="S314" s="13">
        <v>0</v>
      </c>
    </row>
    <row r="315" spans="1:19" x14ac:dyDescent="0.25">
      <c r="A315" t="s">
        <v>792</v>
      </c>
      <c r="B315" t="s">
        <v>370</v>
      </c>
      <c r="C315" s="1"/>
      <c r="D315" s="1"/>
      <c r="E315" s="1"/>
      <c r="F315" s="1"/>
      <c r="G315" s="1"/>
      <c r="H315" s="1"/>
      <c r="I315" s="1"/>
      <c r="J315" s="1"/>
      <c r="L315" s="13">
        <v>313</v>
      </c>
      <c r="M315" s="13" t="s">
        <v>375</v>
      </c>
      <c r="N315" s="13">
        <v>139</v>
      </c>
      <c r="O315" s="13">
        <v>0</v>
      </c>
      <c r="P315" s="13">
        <v>0</v>
      </c>
      <c r="Q315" s="13">
        <v>943</v>
      </c>
      <c r="R315" s="13">
        <v>51</v>
      </c>
      <c r="S315" s="13">
        <v>0</v>
      </c>
    </row>
    <row r="316" spans="1:19" x14ac:dyDescent="0.25">
      <c r="A316" t="s">
        <v>226</v>
      </c>
      <c r="B316" t="s">
        <v>371</v>
      </c>
      <c r="C316" s="1">
        <f>762+1+4+1</f>
        <v>768</v>
      </c>
      <c r="D316" s="1">
        <v>2</v>
      </c>
      <c r="E316" s="1">
        <v>0</v>
      </c>
      <c r="F316" s="1">
        <f>6427+1+1+42+52+58</f>
        <v>6581</v>
      </c>
      <c r="G316" s="1">
        <v>12</v>
      </c>
      <c r="H316" s="1">
        <v>0</v>
      </c>
      <c r="I316" s="1">
        <v>0</v>
      </c>
      <c r="J316" s="1"/>
      <c r="L316" s="13">
        <v>616</v>
      </c>
      <c r="M316" s="13" t="s">
        <v>376</v>
      </c>
      <c r="N316" s="13">
        <v>122</v>
      </c>
      <c r="O316" s="13">
        <v>0</v>
      </c>
      <c r="P316" s="13">
        <v>0</v>
      </c>
      <c r="Q316" s="13">
        <v>572</v>
      </c>
      <c r="R316" s="13">
        <v>0</v>
      </c>
      <c r="S316" s="13">
        <v>0</v>
      </c>
    </row>
    <row r="317" spans="1:19" x14ac:dyDescent="0.25">
      <c r="A317" t="s">
        <v>797</v>
      </c>
      <c r="B317" t="s">
        <v>372</v>
      </c>
      <c r="C317" s="1"/>
      <c r="D317" s="1"/>
      <c r="E317" s="1"/>
      <c r="F317" s="1"/>
      <c r="G317" s="1"/>
      <c r="H317" s="1"/>
      <c r="I317" s="1"/>
      <c r="J317" s="1"/>
      <c r="L317" s="13">
        <v>700</v>
      </c>
      <c r="M317" s="13" t="s">
        <v>377</v>
      </c>
      <c r="N317" s="13">
        <v>1055</v>
      </c>
      <c r="O317" s="13">
        <v>158</v>
      </c>
      <c r="P317" s="13">
        <v>0</v>
      </c>
      <c r="Q317" s="13">
        <v>5349</v>
      </c>
      <c r="R317" s="13">
        <v>35</v>
      </c>
      <c r="S317" s="13">
        <v>0</v>
      </c>
    </row>
    <row r="318" spans="1:19" x14ac:dyDescent="0.25">
      <c r="A318" t="s">
        <v>791</v>
      </c>
      <c r="B318" t="s">
        <v>373</v>
      </c>
      <c r="C318" s="1"/>
      <c r="D318" s="1"/>
      <c r="E318" s="1"/>
      <c r="F318" s="1"/>
      <c r="G318" s="1"/>
      <c r="H318" s="1"/>
      <c r="I318" s="1"/>
      <c r="J318" s="1"/>
      <c r="L318" s="13">
        <v>116</v>
      </c>
      <c r="M318" s="13" t="s">
        <v>378</v>
      </c>
      <c r="N318" s="13">
        <v>454</v>
      </c>
      <c r="O318" s="13">
        <v>0</v>
      </c>
      <c r="P318" s="13">
        <v>0</v>
      </c>
      <c r="Q318" s="13">
        <v>3373</v>
      </c>
      <c r="R318" s="13">
        <v>1</v>
      </c>
      <c r="S318" s="13">
        <v>0</v>
      </c>
    </row>
    <row r="319" spans="1:19" x14ac:dyDescent="0.25">
      <c r="A319" t="s">
        <v>802</v>
      </c>
      <c r="B319" t="s">
        <v>374</v>
      </c>
      <c r="C319" s="1"/>
      <c r="D319" s="1"/>
      <c r="E319" s="1"/>
      <c r="F319" s="1"/>
      <c r="G319" s="1"/>
      <c r="H319" s="1"/>
      <c r="I319" s="1"/>
      <c r="J319" s="1"/>
      <c r="L319" s="13">
        <v>137</v>
      </c>
      <c r="M319" s="13" t="s">
        <v>379</v>
      </c>
      <c r="N319" s="13">
        <v>412</v>
      </c>
      <c r="O319" s="13">
        <v>0</v>
      </c>
      <c r="P319" s="13">
        <v>0</v>
      </c>
      <c r="Q319" s="13">
        <v>644</v>
      </c>
      <c r="R319" s="13">
        <v>0</v>
      </c>
      <c r="S319" s="13">
        <v>0</v>
      </c>
    </row>
    <row r="320" spans="1:19" x14ac:dyDescent="0.25">
      <c r="A320" t="s">
        <v>512</v>
      </c>
      <c r="B320" t="s">
        <v>375</v>
      </c>
      <c r="C320" s="1"/>
      <c r="D320" s="1"/>
      <c r="E320" s="1"/>
      <c r="F320" s="1"/>
      <c r="G320" s="1"/>
      <c r="H320" s="1"/>
      <c r="I320" s="1"/>
      <c r="J320" s="1"/>
      <c r="L320" s="13">
        <v>161</v>
      </c>
      <c r="M320" s="13" t="s">
        <v>380</v>
      </c>
      <c r="N320" s="13">
        <v>285</v>
      </c>
      <c r="O320" s="13">
        <v>0</v>
      </c>
      <c r="P320" s="13">
        <v>0</v>
      </c>
      <c r="Q320" s="13">
        <v>2813</v>
      </c>
      <c r="R320" s="13">
        <v>0</v>
      </c>
      <c r="S320" s="13">
        <v>0</v>
      </c>
    </row>
    <row r="321" spans="1:19" x14ac:dyDescent="0.25">
      <c r="A321" t="s">
        <v>817</v>
      </c>
      <c r="B321" t="s">
        <v>376</v>
      </c>
      <c r="C321" s="1">
        <v>122</v>
      </c>
      <c r="D321" s="1">
        <v>0</v>
      </c>
      <c r="E321" s="1">
        <v>0</v>
      </c>
      <c r="F321" s="1">
        <f>567+5</f>
        <v>572</v>
      </c>
      <c r="G321" s="1">
        <v>0</v>
      </c>
      <c r="H321" s="1">
        <v>0</v>
      </c>
      <c r="I321" s="1">
        <v>0</v>
      </c>
      <c r="J321" s="1"/>
      <c r="L321" s="13">
        <v>136</v>
      </c>
      <c r="M321" s="13" t="s">
        <v>381</v>
      </c>
      <c r="N321" s="13">
        <v>645</v>
      </c>
      <c r="O321" s="13">
        <v>0</v>
      </c>
      <c r="P321" s="13">
        <v>0</v>
      </c>
      <c r="Q321" s="13">
        <v>2601</v>
      </c>
      <c r="R321" s="13">
        <v>0</v>
      </c>
      <c r="S321" s="13">
        <v>0</v>
      </c>
    </row>
    <row r="322" spans="1:19" x14ac:dyDescent="0.25">
      <c r="A322" t="s">
        <v>83</v>
      </c>
      <c r="B322" t="s">
        <v>377</v>
      </c>
      <c r="C322" s="1"/>
      <c r="D322" s="1"/>
      <c r="E322" s="1"/>
      <c r="F322" s="1"/>
      <c r="G322" s="1"/>
      <c r="H322" s="1"/>
      <c r="I322" s="1"/>
      <c r="J322" s="1"/>
      <c r="L322" s="13">
        <v>127</v>
      </c>
      <c r="M322" s="13" t="s">
        <v>382</v>
      </c>
      <c r="N322" s="13">
        <v>2183</v>
      </c>
      <c r="O322" s="13">
        <v>18</v>
      </c>
      <c r="P322" s="13">
        <v>0</v>
      </c>
      <c r="Q322" s="13">
        <v>2349</v>
      </c>
      <c r="R322" s="13">
        <v>4</v>
      </c>
      <c r="S322" s="13">
        <v>0</v>
      </c>
    </row>
    <row r="323" spans="1:19" x14ac:dyDescent="0.25">
      <c r="A323" t="s">
        <v>795</v>
      </c>
      <c r="B323" t="s">
        <v>378</v>
      </c>
      <c r="C323" s="1"/>
      <c r="D323" s="1"/>
      <c r="E323" s="1"/>
      <c r="F323" s="1"/>
      <c r="G323" s="1"/>
      <c r="H323" s="1"/>
      <c r="I323" s="1"/>
      <c r="J323" s="1"/>
      <c r="L323" s="13">
        <v>133</v>
      </c>
      <c r="M323" s="13" t="s">
        <v>383</v>
      </c>
      <c r="N323" s="13">
        <v>2182</v>
      </c>
      <c r="O323" s="13">
        <v>27</v>
      </c>
      <c r="P323" s="13">
        <v>0</v>
      </c>
      <c r="Q323" s="13">
        <v>12367</v>
      </c>
      <c r="R323" s="13">
        <v>134</v>
      </c>
      <c r="S323" s="13">
        <v>0</v>
      </c>
    </row>
    <row r="324" spans="1:19" x14ac:dyDescent="0.25">
      <c r="A324" t="s">
        <v>118</v>
      </c>
      <c r="B324" t="s">
        <v>379</v>
      </c>
      <c r="C324" s="1"/>
      <c r="D324" s="1"/>
      <c r="E324" s="1"/>
      <c r="F324" s="1"/>
      <c r="G324" s="1"/>
      <c r="H324" s="1"/>
      <c r="I324" s="1"/>
      <c r="J324" s="1"/>
      <c r="L324" s="13">
        <v>134</v>
      </c>
      <c r="M324" s="13" t="s">
        <v>384</v>
      </c>
      <c r="N324" s="13"/>
      <c r="O324" s="13"/>
      <c r="P324" s="13"/>
      <c r="Q324" s="13"/>
      <c r="R324" s="13"/>
      <c r="S324" s="13"/>
    </row>
    <row r="325" spans="1:19" x14ac:dyDescent="0.25">
      <c r="A325" t="s">
        <v>792</v>
      </c>
      <c r="B325" t="s">
        <v>380</v>
      </c>
      <c r="C325" s="1"/>
      <c r="D325" s="1"/>
      <c r="E325" s="1"/>
      <c r="F325" s="1"/>
      <c r="G325" s="1"/>
      <c r="H325" s="1"/>
      <c r="I325" s="1"/>
      <c r="J325" s="1"/>
      <c r="L325" s="13">
        <v>135</v>
      </c>
      <c r="M325" s="13" t="s">
        <v>385</v>
      </c>
      <c r="N325" s="13">
        <v>1320</v>
      </c>
      <c r="O325" s="13">
        <v>0</v>
      </c>
      <c r="P325" s="13">
        <v>0</v>
      </c>
      <c r="Q325" s="13">
        <v>985</v>
      </c>
      <c r="R325" s="13">
        <v>17</v>
      </c>
      <c r="S325" s="13">
        <v>0</v>
      </c>
    </row>
    <row r="326" spans="1:19" x14ac:dyDescent="0.25">
      <c r="A326" t="s">
        <v>128</v>
      </c>
      <c r="B326" t="s">
        <v>381</v>
      </c>
      <c r="C326" s="1"/>
      <c r="D326" s="1"/>
      <c r="E326" s="1"/>
      <c r="F326" s="1"/>
      <c r="G326" s="1"/>
      <c r="H326" s="1"/>
      <c r="I326" s="1"/>
      <c r="J326" s="1"/>
      <c r="L326" s="13">
        <v>131</v>
      </c>
      <c r="M326" s="13" t="s">
        <v>386</v>
      </c>
      <c r="N326" s="13">
        <v>328</v>
      </c>
      <c r="O326" s="13">
        <v>0</v>
      </c>
      <c r="P326" s="13">
        <v>0</v>
      </c>
      <c r="Q326" s="13">
        <v>173</v>
      </c>
      <c r="R326" s="13">
        <v>0</v>
      </c>
      <c r="S326" s="13">
        <v>0</v>
      </c>
    </row>
    <row r="327" spans="1:19" x14ac:dyDescent="0.25">
      <c r="A327" t="s">
        <v>108</v>
      </c>
      <c r="B327" t="s">
        <v>382</v>
      </c>
      <c r="C327" s="1"/>
      <c r="D327" s="1"/>
      <c r="E327" s="1"/>
      <c r="F327" s="1"/>
      <c r="G327" s="1"/>
      <c r="H327" s="1"/>
      <c r="I327" s="1"/>
      <c r="J327" s="1"/>
      <c r="L327" s="13">
        <v>132</v>
      </c>
      <c r="M327" s="13" t="s">
        <v>387</v>
      </c>
      <c r="N327" s="13">
        <v>57</v>
      </c>
      <c r="O327" s="13">
        <v>0</v>
      </c>
      <c r="P327" s="13">
        <v>0</v>
      </c>
      <c r="Q327" s="13">
        <v>252</v>
      </c>
      <c r="R327" s="13">
        <v>0</v>
      </c>
      <c r="S327" s="13">
        <v>0</v>
      </c>
    </row>
    <row r="328" spans="1:19" x14ac:dyDescent="0.25">
      <c r="A328" t="s">
        <v>106</v>
      </c>
      <c r="B328" t="s">
        <v>383</v>
      </c>
      <c r="C328" s="1"/>
      <c r="D328" s="1"/>
      <c r="E328" s="1"/>
      <c r="F328" s="1"/>
      <c r="G328" s="1"/>
      <c r="H328" s="1"/>
      <c r="I328" s="1"/>
      <c r="J328" s="1"/>
      <c r="L328" s="13"/>
      <c r="M328" s="13" t="s">
        <v>388</v>
      </c>
      <c r="N328" s="13"/>
      <c r="O328" s="13"/>
      <c r="P328" s="13"/>
      <c r="Q328" s="13"/>
      <c r="R328" s="13"/>
      <c r="S328" s="13"/>
    </row>
    <row r="329" spans="1:19" x14ac:dyDescent="0.25">
      <c r="A329" t="s">
        <v>99</v>
      </c>
      <c r="B329" t="s">
        <v>384</v>
      </c>
      <c r="C329" s="1"/>
      <c r="D329" s="1"/>
      <c r="E329" s="1"/>
      <c r="F329" s="1"/>
      <c r="G329" s="1"/>
      <c r="H329" s="1"/>
      <c r="I329" s="1"/>
      <c r="J329" s="1"/>
      <c r="L329" s="13"/>
      <c r="M329" s="13" t="s">
        <v>391</v>
      </c>
      <c r="N329" s="13"/>
      <c r="O329" s="13"/>
      <c r="P329" s="13"/>
      <c r="Q329" s="13"/>
      <c r="R329" s="13"/>
      <c r="S329" s="13"/>
    </row>
    <row r="330" spans="1:19" x14ac:dyDescent="0.25">
      <c r="A330" t="s">
        <v>113</v>
      </c>
      <c r="B330" t="s">
        <v>385</v>
      </c>
      <c r="C330" s="1"/>
      <c r="D330" s="1"/>
      <c r="E330" s="1"/>
      <c r="F330" s="1"/>
      <c r="G330" s="1"/>
      <c r="H330" s="1"/>
      <c r="I330" s="1"/>
      <c r="J330" s="1"/>
      <c r="L330" s="13"/>
      <c r="M330" s="13" t="s">
        <v>392</v>
      </c>
      <c r="N330" s="13"/>
      <c r="O330" s="13"/>
      <c r="P330" s="13"/>
      <c r="Q330" s="13"/>
      <c r="R330" s="13"/>
      <c r="S330" s="13"/>
    </row>
    <row r="331" spans="1:19" x14ac:dyDescent="0.25">
      <c r="A331" t="s">
        <v>810</v>
      </c>
      <c r="B331" t="s">
        <v>386</v>
      </c>
      <c r="C331" s="1"/>
      <c r="D331" s="1"/>
      <c r="E331" s="1"/>
      <c r="F331" s="1"/>
      <c r="G331" s="1"/>
      <c r="H331" s="1"/>
      <c r="I331" s="1"/>
      <c r="J331" s="1"/>
      <c r="L331" s="13"/>
      <c r="M331" s="13" t="s">
        <v>395</v>
      </c>
      <c r="N331" s="13"/>
      <c r="O331" s="13"/>
      <c r="P331" s="13"/>
      <c r="Q331" s="13"/>
      <c r="R331" s="13"/>
      <c r="S331" s="13"/>
    </row>
    <row r="332" spans="1:19" x14ac:dyDescent="0.25">
      <c r="A332" t="s">
        <v>812</v>
      </c>
      <c r="B332" t="s">
        <v>387</v>
      </c>
      <c r="C332" s="1"/>
      <c r="D332" s="1"/>
      <c r="E332" s="1"/>
      <c r="F332" s="1"/>
      <c r="G332" s="1"/>
      <c r="H332" s="1"/>
      <c r="I332" s="1"/>
      <c r="J332" s="1"/>
      <c r="L332" s="13"/>
      <c r="M332" s="13" t="s">
        <v>397</v>
      </c>
      <c r="N332" s="13"/>
      <c r="O332" s="13"/>
      <c r="P332" s="13"/>
      <c r="Q332" s="13"/>
      <c r="R332" s="13"/>
      <c r="S332" s="13"/>
    </row>
    <row r="333" spans="1:19" x14ac:dyDescent="0.25">
      <c r="A333" t="s">
        <v>794</v>
      </c>
      <c r="B333" t="s">
        <v>388</v>
      </c>
      <c r="C333" s="1"/>
      <c r="D333" s="1"/>
      <c r="E333" s="1"/>
      <c r="F333" s="1"/>
      <c r="G333" s="1"/>
      <c r="H333" s="1"/>
      <c r="I333" s="1"/>
      <c r="J333" s="1"/>
      <c r="L333" s="13"/>
      <c r="M333" s="13" t="s">
        <v>400</v>
      </c>
      <c r="N333" s="13"/>
      <c r="O333" s="13"/>
      <c r="P333" s="13"/>
      <c r="Q333" s="13"/>
      <c r="R333" s="13"/>
      <c r="S333" s="13"/>
    </row>
    <row r="334" spans="1:19" x14ac:dyDescent="0.25">
      <c r="A334" t="s">
        <v>805</v>
      </c>
      <c r="B334" t="s">
        <v>389</v>
      </c>
      <c r="C334" s="1"/>
      <c r="D334" s="1"/>
      <c r="E334" s="1"/>
      <c r="F334" s="1"/>
      <c r="G334" s="1"/>
      <c r="H334" s="1"/>
      <c r="I334" s="1"/>
      <c r="J334" s="1"/>
      <c r="L334" s="13"/>
      <c r="M334" s="13" t="s">
        <v>402</v>
      </c>
      <c r="N334" s="13"/>
      <c r="O334" s="13"/>
      <c r="P334" s="13"/>
      <c r="Q334" s="13"/>
      <c r="R334" s="13"/>
      <c r="S334" s="13"/>
    </row>
    <row r="335" spans="1:19" x14ac:dyDescent="0.25">
      <c r="A335" t="s">
        <v>10</v>
      </c>
      <c r="B335" s="1" t="s">
        <v>390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/>
      <c r="L335" s="13"/>
      <c r="M335" s="13" t="s">
        <v>404</v>
      </c>
      <c r="N335" s="13"/>
      <c r="O335" s="13"/>
      <c r="P335" s="13"/>
      <c r="Q335" s="13"/>
      <c r="R335" s="13"/>
      <c r="S335" s="13"/>
    </row>
    <row r="336" spans="1:19" x14ac:dyDescent="0.25">
      <c r="A336" t="s">
        <v>226</v>
      </c>
      <c r="B336" t="s">
        <v>391</v>
      </c>
      <c r="C336" s="1"/>
      <c r="D336" s="1"/>
      <c r="E336" s="1"/>
      <c r="F336" s="1"/>
      <c r="G336" s="1"/>
      <c r="H336" s="1"/>
      <c r="I336" s="1"/>
      <c r="J336" s="1"/>
      <c r="L336" s="13">
        <v>700</v>
      </c>
      <c r="M336" s="13" t="s">
        <v>405</v>
      </c>
      <c r="N336" s="13"/>
      <c r="O336" s="13"/>
      <c r="P336" s="13"/>
      <c r="Q336" s="13"/>
      <c r="R336" s="13"/>
      <c r="S336" s="13"/>
    </row>
    <row r="337" spans="1:19" x14ac:dyDescent="0.25">
      <c r="A337" t="s">
        <v>798</v>
      </c>
      <c r="B337" t="s">
        <v>392</v>
      </c>
      <c r="C337" s="1"/>
      <c r="D337" s="1"/>
      <c r="E337" s="1"/>
      <c r="F337" s="1"/>
      <c r="G337" s="1"/>
      <c r="H337" s="1"/>
      <c r="I337" s="1"/>
      <c r="J337" s="1"/>
      <c r="L337" s="13">
        <v>600</v>
      </c>
      <c r="M337" s="13" t="s">
        <v>406</v>
      </c>
      <c r="N337" s="13">
        <v>15959</v>
      </c>
      <c r="O337" s="13">
        <v>358</v>
      </c>
      <c r="P337" s="13">
        <v>0</v>
      </c>
      <c r="Q337" s="13">
        <v>0</v>
      </c>
      <c r="R337" s="13">
        <v>0</v>
      </c>
      <c r="S337" s="13">
        <v>17794</v>
      </c>
    </row>
    <row r="338" spans="1:19" x14ac:dyDescent="0.25">
      <c r="A338" t="s">
        <v>10</v>
      </c>
      <c r="B338" s="1" t="s">
        <v>393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/>
      <c r="L338" s="13">
        <v>161</v>
      </c>
      <c r="M338" s="13" t="s">
        <v>407</v>
      </c>
      <c r="N338" s="13">
        <v>7338</v>
      </c>
      <c r="O338" s="13">
        <v>62</v>
      </c>
      <c r="P338" s="13">
        <v>0</v>
      </c>
      <c r="Q338" s="13">
        <v>0</v>
      </c>
      <c r="R338" s="13">
        <v>0</v>
      </c>
      <c r="S338" s="13">
        <v>463</v>
      </c>
    </row>
    <row r="339" spans="1:19" x14ac:dyDescent="0.25">
      <c r="A339" t="s">
        <v>10</v>
      </c>
      <c r="B339" s="1" t="s">
        <v>394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/>
      <c r="L339" s="13">
        <v>711</v>
      </c>
      <c r="M339" s="13" t="s">
        <v>408</v>
      </c>
      <c r="N339" s="13">
        <v>21498</v>
      </c>
      <c r="O339" s="13">
        <v>181</v>
      </c>
      <c r="P339" s="13">
        <v>0</v>
      </c>
      <c r="Q339" s="13">
        <v>0</v>
      </c>
      <c r="R339" s="13">
        <v>0</v>
      </c>
      <c r="S339" s="13">
        <v>17764</v>
      </c>
    </row>
    <row r="340" spans="1:19" x14ac:dyDescent="0.25">
      <c r="A340" s="27" t="s">
        <v>10</v>
      </c>
      <c r="B340" s="32" t="s">
        <v>778</v>
      </c>
      <c r="C340" s="1"/>
      <c r="D340" s="1"/>
      <c r="E340" s="1"/>
      <c r="F340" s="1"/>
      <c r="G340" s="1"/>
      <c r="H340" s="1"/>
      <c r="I340" s="1"/>
      <c r="J340" s="1"/>
      <c r="L340" s="13">
        <v>111</v>
      </c>
      <c r="M340" s="13" t="s">
        <v>409</v>
      </c>
      <c r="N340" s="13">
        <v>32940</v>
      </c>
      <c r="O340" s="13">
        <v>158</v>
      </c>
      <c r="P340" s="13">
        <v>0</v>
      </c>
      <c r="Q340" s="13">
        <v>0</v>
      </c>
      <c r="R340" s="13">
        <v>0</v>
      </c>
      <c r="S340" s="13">
        <v>12296</v>
      </c>
    </row>
    <row r="341" spans="1:19" x14ac:dyDescent="0.25">
      <c r="A341" t="s">
        <v>69</v>
      </c>
      <c r="B341" t="s">
        <v>395</v>
      </c>
      <c r="C341" s="1"/>
      <c r="D341" s="1"/>
      <c r="E341" s="1"/>
      <c r="F341" s="1"/>
      <c r="G341" s="1"/>
      <c r="H341" s="1"/>
      <c r="I341" s="1"/>
      <c r="J341" s="1"/>
      <c r="L341" s="13">
        <v>700</v>
      </c>
      <c r="M341" s="13" t="s">
        <v>410</v>
      </c>
      <c r="N341" s="13">
        <v>1549</v>
      </c>
      <c r="O341" s="13">
        <v>16</v>
      </c>
      <c r="P341" s="13">
        <v>0</v>
      </c>
      <c r="Q341" s="13">
        <v>0</v>
      </c>
      <c r="R341" s="13">
        <v>0</v>
      </c>
      <c r="S341" s="13">
        <v>5302</v>
      </c>
    </row>
    <row r="342" spans="1:19" x14ac:dyDescent="0.25">
      <c r="A342" t="s">
        <v>796</v>
      </c>
      <c r="B342" s="1" t="s">
        <v>396</v>
      </c>
      <c r="C342" s="1"/>
      <c r="D342" s="1"/>
      <c r="E342" s="1"/>
      <c r="F342" s="1"/>
      <c r="G342" s="1"/>
      <c r="H342" s="1"/>
      <c r="I342" s="1"/>
      <c r="J342" s="1"/>
      <c r="L342" s="13">
        <v>311</v>
      </c>
      <c r="M342" s="13" t="s">
        <v>411</v>
      </c>
      <c r="N342" s="13">
        <v>23720</v>
      </c>
      <c r="O342" s="13">
        <v>15</v>
      </c>
      <c r="P342" s="13">
        <v>0</v>
      </c>
      <c r="Q342" s="13">
        <v>0</v>
      </c>
      <c r="R342" s="13">
        <v>0</v>
      </c>
      <c r="S342" s="13">
        <v>6994</v>
      </c>
    </row>
    <row r="343" spans="1:19" x14ac:dyDescent="0.25">
      <c r="A343" t="s">
        <v>512</v>
      </c>
      <c r="B343" t="s">
        <v>397</v>
      </c>
      <c r="C343" s="1"/>
      <c r="D343" s="1"/>
      <c r="E343" s="1"/>
      <c r="F343" s="1"/>
      <c r="G343" s="1"/>
      <c r="H343" s="1"/>
      <c r="I343" s="1"/>
      <c r="J343" s="1"/>
      <c r="L343" s="13">
        <v>514</v>
      </c>
      <c r="M343" s="13" t="s">
        <v>412</v>
      </c>
      <c r="N343" s="13">
        <v>2315</v>
      </c>
      <c r="O343" s="13">
        <v>14</v>
      </c>
      <c r="P343" s="13">
        <v>0</v>
      </c>
      <c r="Q343" s="13">
        <v>0</v>
      </c>
      <c r="R343" s="13">
        <v>0</v>
      </c>
      <c r="S343" s="13">
        <v>1608</v>
      </c>
    </row>
    <row r="344" spans="1:19" x14ac:dyDescent="0.25">
      <c r="A344" t="s">
        <v>805</v>
      </c>
      <c r="B344" t="s">
        <v>398</v>
      </c>
      <c r="C344" s="1"/>
      <c r="D344" s="1"/>
      <c r="E344" s="1"/>
      <c r="F344" s="1"/>
      <c r="G344" s="1"/>
      <c r="H344" s="1"/>
      <c r="I344" s="1"/>
      <c r="J344" s="1"/>
      <c r="L344" s="13">
        <v>311</v>
      </c>
      <c r="M344" s="13" t="s">
        <v>413</v>
      </c>
      <c r="N344" s="13">
        <v>6203</v>
      </c>
      <c r="O344" s="13">
        <v>13</v>
      </c>
      <c r="P344" s="13">
        <v>0</v>
      </c>
      <c r="Q344" s="13">
        <v>0</v>
      </c>
      <c r="R344" s="13">
        <v>0</v>
      </c>
      <c r="S344" s="13">
        <v>330</v>
      </c>
    </row>
    <row r="345" spans="1:19" x14ac:dyDescent="0.25">
      <c r="A345" t="s">
        <v>10</v>
      </c>
      <c r="B345" s="1" t="s">
        <v>399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/>
      <c r="L345" s="13" t="s">
        <v>815</v>
      </c>
      <c r="M345" s="13" t="s">
        <v>414</v>
      </c>
      <c r="N345" s="13">
        <v>15451</v>
      </c>
      <c r="O345" s="13">
        <v>28</v>
      </c>
      <c r="P345" s="13">
        <v>0</v>
      </c>
      <c r="Q345" s="13">
        <v>0</v>
      </c>
      <c r="R345" s="13">
        <v>0</v>
      </c>
      <c r="S345" s="13">
        <v>11981</v>
      </c>
    </row>
    <row r="346" spans="1:19" x14ac:dyDescent="0.25">
      <c r="A346" t="s">
        <v>805</v>
      </c>
      <c r="B346" t="s">
        <v>400</v>
      </c>
      <c r="C346" s="1"/>
      <c r="D346" s="1"/>
      <c r="E346" s="1"/>
      <c r="F346" s="1"/>
      <c r="G346" s="1"/>
      <c r="H346" s="1"/>
      <c r="I346" s="1"/>
      <c r="J346" s="1"/>
      <c r="L346" s="13">
        <v>713</v>
      </c>
      <c r="M346" s="13" t="s">
        <v>415</v>
      </c>
      <c r="N346" s="13">
        <v>3309</v>
      </c>
      <c r="O346" s="13">
        <v>141</v>
      </c>
      <c r="P346" s="13">
        <v>0</v>
      </c>
      <c r="Q346" s="13">
        <v>0</v>
      </c>
      <c r="R346" s="13">
        <v>0</v>
      </c>
      <c r="S346" s="13">
        <v>6376</v>
      </c>
    </row>
    <row r="347" spans="1:19" x14ac:dyDescent="0.25">
      <c r="A347" t="s">
        <v>10</v>
      </c>
      <c r="B347" s="1" t="s">
        <v>401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/>
      <c r="L347" s="13">
        <v>300</v>
      </c>
      <c r="M347" s="13" t="s">
        <v>416</v>
      </c>
      <c r="N347" s="13">
        <v>3909</v>
      </c>
      <c r="O347" s="13">
        <v>1</v>
      </c>
      <c r="P347" s="13">
        <v>0</v>
      </c>
      <c r="Q347" s="13">
        <v>0</v>
      </c>
      <c r="R347" s="13">
        <v>0</v>
      </c>
      <c r="S347" s="13">
        <v>17087</v>
      </c>
    </row>
    <row r="348" spans="1:19" x14ac:dyDescent="0.25">
      <c r="A348" t="s">
        <v>805</v>
      </c>
      <c r="B348" t="s">
        <v>402</v>
      </c>
      <c r="C348" s="1"/>
      <c r="D348" s="1"/>
      <c r="E348" s="1"/>
      <c r="F348" s="1"/>
      <c r="G348" s="1"/>
      <c r="H348" s="1"/>
      <c r="I348" s="1"/>
      <c r="J348" s="1"/>
      <c r="L348" s="13" t="s">
        <v>815</v>
      </c>
      <c r="M348" s="13" t="s">
        <v>417</v>
      </c>
      <c r="N348" s="13">
        <v>21584</v>
      </c>
      <c r="O348" s="13">
        <v>329</v>
      </c>
      <c r="P348" s="13">
        <v>0</v>
      </c>
      <c r="Q348" s="13">
        <v>0</v>
      </c>
      <c r="R348" s="13">
        <v>0</v>
      </c>
      <c r="S348" s="13">
        <v>14654</v>
      </c>
    </row>
    <row r="349" spans="1:19" x14ac:dyDescent="0.25">
      <c r="A349" t="s">
        <v>10</v>
      </c>
      <c r="B349" s="1" t="s">
        <v>403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/>
      <c r="L349" s="13" t="s">
        <v>815</v>
      </c>
      <c r="M349" s="13" t="s">
        <v>418</v>
      </c>
      <c r="N349" s="13">
        <v>14407</v>
      </c>
      <c r="O349" s="13">
        <v>373</v>
      </c>
      <c r="P349" s="13">
        <v>0</v>
      </c>
      <c r="Q349" s="13">
        <v>0</v>
      </c>
      <c r="R349" s="13">
        <v>0</v>
      </c>
      <c r="S349" s="13">
        <v>3571</v>
      </c>
    </row>
    <row r="350" spans="1:19" x14ac:dyDescent="0.25">
      <c r="A350" t="s">
        <v>797</v>
      </c>
      <c r="B350" t="s">
        <v>404</v>
      </c>
      <c r="C350" s="1"/>
      <c r="D350" s="1"/>
      <c r="E350" s="1"/>
      <c r="F350" s="1"/>
      <c r="G350" s="1"/>
      <c r="H350" s="1"/>
      <c r="I350" s="1"/>
      <c r="J350" s="1"/>
      <c r="L350" s="13">
        <v>713</v>
      </c>
      <c r="M350" s="13" t="s">
        <v>419</v>
      </c>
      <c r="N350" s="13">
        <v>15720</v>
      </c>
      <c r="O350" s="13">
        <v>656</v>
      </c>
      <c r="P350" s="13">
        <v>0</v>
      </c>
      <c r="Q350" s="13">
        <v>0</v>
      </c>
      <c r="R350" s="13">
        <v>0</v>
      </c>
      <c r="S350" s="13">
        <v>30702</v>
      </c>
    </row>
    <row r="351" spans="1:19" x14ac:dyDescent="0.25">
      <c r="A351" t="s">
        <v>83</v>
      </c>
      <c r="B351" t="s">
        <v>405</v>
      </c>
      <c r="C351" s="1"/>
      <c r="D351" s="1"/>
      <c r="E351" s="1"/>
      <c r="F351" s="1"/>
      <c r="G351" s="1"/>
      <c r="H351" s="1"/>
      <c r="I351" s="1"/>
      <c r="J351" s="1"/>
      <c r="L351" s="13">
        <v>114</v>
      </c>
      <c r="M351" s="13" t="s">
        <v>420</v>
      </c>
      <c r="N351" s="13">
        <v>11423</v>
      </c>
      <c r="O351" s="13">
        <v>31</v>
      </c>
      <c r="P351" s="13">
        <v>0</v>
      </c>
      <c r="Q351" s="13">
        <v>0</v>
      </c>
      <c r="R351" s="13">
        <v>0</v>
      </c>
      <c r="S351" s="13">
        <v>13853</v>
      </c>
    </row>
    <row r="352" spans="1:19" x14ac:dyDescent="0.25">
      <c r="A352" t="s">
        <v>248</v>
      </c>
      <c r="B352" t="s">
        <v>406</v>
      </c>
      <c r="C352" s="1"/>
      <c r="D352" s="1"/>
      <c r="E352" s="1"/>
      <c r="F352" s="1"/>
      <c r="G352" s="1"/>
      <c r="H352" s="1"/>
      <c r="I352" s="1"/>
      <c r="J352" s="1"/>
      <c r="L352" s="13">
        <v>710</v>
      </c>
      <c r="M352" s="13" t="s">
        <v>421</v>
      </c>
      <c r="N352" s="13">
        <v>9277</v>
      </c>
      <c r="O352" s="13">
        <v>75</v>
      </c>
      <c r="P352" s="13">
        <v>0</v>
      </c>
      <c r="Q352" s="13">
        <v>0</v>
      </c>
      <c r="R352" s="13">
        <v>0</v>
      </c>
      <c r="S352" s="13">
        <v>3439</v>
      </c>
    </row>
    <row r="353" spans="1:19" x14ac:dyDescent="0.25">
      <c r="A353" s="27" t="s">
        <v>10</v>
      </c>
      <c r="B353" s="32" t="s">
        <v>779</v>
      </c>
      <c r="C353" s="1"/>
      <c r="D353" s="1"/>
      <c r="E353" s="1"/>
      <c r="F353" s="1"/>
      <c r="G353" s="1"/>
      <c r="H353" s="1"/>
      <c r="I353" s="1"/>
      <c r="J353" s="1"/>
      <c r="L353" s="13">
        <v>611</v>
      </c>
      <c r="M353" s="13" t="s">
        <v>422</v>
      </c>
      <c r="N353" s="13">
        <v>5440</v>
      </c>
      <c r="O353" s="13">
        <v>168</v>
      </c>
      <c r="P353" s="13">
        <v>0</v>
      </c>
      <c r="Q353" s="13">
        <v>0</v>
      </c>
      <c r="R353" s="13">
        <v>0</v>
      </c>
      <c r="S353" s="13">
        <v>8403</v>
      </c>
    </row>
    <row r="354" spans="1:19" x14ac:dyDescent="0.25">
      <c r="A354" t="s">
        <v>792</v>
      </c>
      <c r="B354" t="s">
        <v>407</v>
      </c>
      <c r="C354" s="1"/>
      <c r="D354" s="1"/>
      <c r="E354" s="1"/>
      <c r="F354" s="1"/>
      <c r="G354" s="1"/>
      <c r="H354" s="1"/>
      <c r="I354" s="1"/>
      <c r="J354" s="1"/>
      <c r="L354" s="13">
        <v>611</v>
      </c>
      <c r="M354" s="13" t="s">
        <v>423</v>
      </c>
      <c r="N354" s="13">
        <v>3855</v>
      </c>
      <c r="O354" s="13">
        <v>23</v>
      </c>
      <c r="P354" s="13">
        <v>0</v>
      </c>
      <c r="Q354" s="13">
        <v>0</v>
      </c>
      <c r="R354" s="13">
        <v>0</v>
      </c>
      <c r="S354" s="13">
        <v>2280</v>
      </c>
    </row>
    <row r="355" spans="1:19" x14ac:dyDescent="0.25">
      <c r="A355" t="s">
        <v>801</v>
      </c>
      <c r="B355" t="s">
        <v>408</v>
      </c>
      <c r="C355" s="1"/>
      <c r="D355" s="1"/>
      <c r="E355" s="1"/>
      <c r="F355" s="1"/>
      <c r="G355" s="1"/>
      <c r="H355" s="1"/>
      <c r="I355" s="1"/>
      <c r="J355" s="1"/>
      <c r="L355" s="13">
        <v>712</v>
      </c>
      <c r="M355" s="13" t="s">
        <v>424</v>
      </c>
      <c r="N355" s="13">
        <v>28170</v>
      </c>
      <c r="O355" s="13">
        <v>41</v>
      </c>
      <c r="P355" s="13">
        <v>0</v>
      </c>
      <c r="Q355" s="13">
        <v>0</v>
      </c>
      <c r="R355" s="13">
        <v>0</v>
      </c>
      <c r="S355" s="13">
        <v>52973</v>
      </c>
    </row>
    <row r="356" spans="1:19" x14ac:dyDescent="0.25">
      <c r="A356" t="s">
        <v>811</v>
      </c>
      <c r="B356" t="s">
        <v>409</v>
      </c>
      <c r="C356" s="1"/>
      <c r="D356" s="1"/>
      <c r="E356" s="1"/>
      <c r="F356" s="1"/>
      <c r="G356" s="1"/>
      <c r="H356" s="1"/>
      <c r="I356" s="1"/>
      <c r="J356" s="1"/>
      <c r="L356" s="13">
        <v>116</v>
      </c>
      <c r="M356" s="13" t="s">
        <v>425</v>
      </c>
      <c r="N356" s="13">
        <v>65394</v>
      </c>
      <c r="O356" s="13">
        <v>37</v>
      </c>
      <c r="P356" s="13">
        <v>0</v>
      </c>
      <c r="Q356" s="13">
        <v>0</v>
      </c>
      <c r="R356" s="13">
        <v>0</v>
      </c>
      <c r="S356" s="13">
        <v>41129</v>
      </c>
    </row>
    <row r="357" spans="1:19" x14ac:dyDescent="0.25">
      <c r="A357" t="s">
        <v>83</v>
      </c>
      <c r="B357" t="s">
        <v>410</v>
      </c>
      <c r="C357" s="1"/>
      <c r="D357" s="1"/>
      <c r="E357" s="1"/>
      <c r="F357" s="1"/>
      <c r="G357" s="1"/>
      <c r="H357" s="1"/>
      <c r="I357" s="1"/>
      <c r="J357" s="1"/>
      <c r="L357" s="13">
        <v>500</v>
      </c>
      <c r="M357" s="13" t="s">
        <v>426</v>
      </c>
      <c r="N357" s="13"/>
      <c r="O357" s="13"/>
      <c r="P357" s="13"/>
      <c r="Q357" s="13"/>
      <c r="R357" s="13"/>
      <c r="S357" s="13"/>
    </row>
    <row r="358" spans="1:19" x14ac:dyDescent="0.25">
      <c r="A358" t="s">
        <v>120</v>
      </c>
      <c r="B358" t="s">
        <v>411</v>
      </c>
      <c r="C358" s="1"/>
      <c r="D358" s="1"/>
      <c r="E358" s="1"/>
      <c r="F358" s="1"/>
      <c r="G358" s="1"/>
      <c r="H358" s="1"/>
      <c r="I358" s="1"/>
      <c r="J358" s="1"/>
      <c r="L358" s="13">
        <v>610</v>
      </c>
      <c r="M358" s="13" t="s">
        <v>427</v>
      </c>
      <c r="N358" s="13">
        <v>32661</v>
      </c>
      <c r="O358" s="13">
        <v>100</v>
      </c>
      <c r="P358" s="13">
        <v>0</v>
      </c>
      <c r="Q358" s="13">
        <v>0</v>
      </c>
      <c r="R358" s="13">
        <v>0</v>
      </c>
      <c r="S358" s="13">
        <v>36643</v>
      </c>
    </row>
    <row r="359" spans="1:19" x14ac:dyDescent="0.25">
      <c r="A359" t="s">
        <v>134</v>
      </c>
      <c r="B359" t="s">
        <v>412</v>
      </c>
      <c r="C359" s="1">
        <f>1929+386</f>
        <v>2315</v>
      </c>
      <c r="D359" s="1">
        <f>12+2</f>
        <v>14</v>
      </c>
      <c r="E359" s="1">
        <v>0</v>
      </c>
      <c r="F359" s="1">
        <v>0</v>
      </c>
      <c r="G359" s="1">
        <v>0</v>
      </c>
      <c r="H359" s="1">
        <v>1608</v>
      </c>
      <c r="I359" s="1">
        <v>331</v>
      </c>
      <c r="J359" s="1"/>
      <c r="L359" s="13">
        <v>300</v>
      </c>
      <c r="M359" s="13" t="s">
        <v>428</v>
      </c>
      <c r="N359" s="13">
        <v>5735</v>
      </c>
      <c r="O359" s="13">
        <v>1</v>
      </c>
      <c r="P359" s="13">
        <v>0</v>
      </c>
      <c r="Q359" s="13">
        <v>0</v>
      </c>
      <c r="R359" s="13">
        <v>0</v>
      </c>
      <c r="S359" s="13">
        <v>5325</v>
      </c>
    </row>
    <row r="360" spans="1:19" x14ac:dyDescent="0.25">
      <c r="A360" t="s">
        <v>120</v>
      </c>
      <c r="B360" t="s">
        <v>413</v>
      </c>
      <c r="C360" s="1"/>
      <c r="D360" s="1"/>
      <c r="E360" s="1"/>
      <c r="F360" s="1"/>
      <c r="G360" s="1"/>
      <c r="H360" s="1"/>
      <c r="I360" s="1"/>
      <c r="J360" s="1"/>
      <c r="L360" s="13">
        <v>100</v>
      </c>
      <c r="M360" s="13" t="s">
        <v>429</v>
      </c>
      <c r="N360" s="13">
        <v>1074</v>
      </c>
      <c r="O360" s="13">
        <v>0</v>
      </c>
      <c r="P360" s="13">
        <v>0</v>
      </c>
      <c r="Q360" s="13">
        <v>0</v>
      </c>
      <c r="R360" s="13">
        <v>0</v>
      </c>
      <c r="S360" s="13">
        <v>54</v>
      </c>
    </row>
    <row r="361" spans="1:19" x14ac:dyDescent="0.25">
      <c r="A361" t="s">
        <v>138</v>
      </c>
      <c r="B361" t="s">
        <v>414</v>
      </c>
      <c r="C361" s="1"/>
      <c r="D361" s="1"/>
      <c r="E361" s="1"/>
      <c r="F361" s="1"/>
      <c r="G361" s="1"/>
      <c r="H361" s="1"/>
      <c r="I361" s="1"/>
      <c r="J361" s="1"/>
      <c r="L361" s="13">
        <v>610</v>
      </c>
      <c r="M361" s="13" t="s">
        <v>430</v>
      </c>
      <c r="N361" s="13">
        <v>15702</v>
      </c>
      <c r="O361" s="13">
        <v>0</v>
      </c>
      <c r="P361" s="13">
        <v>0</v>
      </c>
      <c r="Q361" s="13">
        <v>0</v>
      </c>
      <c r="R361" s="13">
        <v>0</v>
      </c>
      <c r="S361" s="13">
        <v>4137</v>
      </c>
    </row>
    <row r="362" spans="1:19" x14ac:dyDescent="0.25">
      <c r="A362" t="s">
        <v>796</v>
      </c>
      <c r="B362" t="s">
        <v>415</v>
      </c>
      <c r="C362" s="1">
        <f>3303+6</f>
        <v>3309</v>
      </c>
      <c r="D362" s="1">
        <f>97+43+1</f>
        <v>141</v>
      </c>
      <c r="E362" s="1">
        <v>0</v>
      </c>
      <c r="F362" s="1">
        <v>0</v>
      </c>
      <c r="G362" s="1">
        <v>0</v>
      </c>
      <c r="H362" s="1">
        <v>6376</v>
      </c>
      <c r="I362" s="1">
        <v>0</v>
      </c>
      <c r="J362" s="1"/>
      <c r="L362" s="13">
        <v>412</v>
      </c>
      <c r="M362" s="13" t="s">
        <v>432</v>
      </c>
      <c r="N362" s="13"/>
      <c r="O362" s="13"/>
      <c r="P362" s="13"/>
      <c r="Q362" s="13"/>
      <c r="R362" s="13"/>
      <c r="S362" s="13"/>
    </row>
    <row r="363" spans="1:19" x14ac:dyDescent="0.25">
      <c r="A363" t="s">
        <v>226</v>
      </c>
      <c r="B363" t="s">
        <v>416</v>
      </c>
      <c r="C363" s="1">
        <f>3193+4+10+2+699+1</f>
        <v>3909</v>
      </c>
      <c r="D363" s="1">
        <v>1</v>
      </c>
      <c r="E363" s="1">
        <v>0</v>
      </c>
      <c r="F363" s="1">
        <v>0</v>
      </c>
      <c r="G363" s="1">
        <v>0</v>
      </c>
      <c r="H363" s="1">
        <v>17087</v>
      </c>
      <c r="I363" s="1">
        <v>705</v>
      </c>
      <c r="J363" s="1"/>
      <c r="L363" s="13">
        <v>300</v>
      </c>
      <c r="M363" s="13" t="s">
        <v>433</v>
      </c>
      <c r="N363" s="13">
        <v>14645</v>
      </c>
      <c r="O363" s="13">
        <v>16</v>
      </c>
      <c r="P363" s="13">
        <v>0</v>
      </c>
      <c r="Q363" s="13">
        <v>0</v>
      </c>
      <c r="R363" s="13">
        <v>0</v>
      </c>
      <c r="S363" s="13">
        <v>2764</v>
      </c>
    </row>
    <row r="364" spans="1:19" x14ac:dyDescent="0.25">
      <c r="A364" t="s">
        <v>138</v>
      </c>
      <c r="B364" t="s">
        <v>417</v>
      </c>
      <c r="C364" s="1"/>
      <c r="D364" s="1"/>
      <c r="E364" s="1"/>
      <c r="F364" s="1"/>
      <c r="G364" s="1"/>
      <c r="H364" s="1"/>
      <c r="I364" s="1"/>
      <c r="J364" s="1"/>
      <c r="L364" s="13">
        <v>211</v>
      </c>
      <c r="M364" s="13" t="s">
        <v>434</v>
      </c>
      <c r="N364" s="13">
        <v>6405</v>
      </c>
      <c r="O364" s="13">
        <v>54</v>
      </c>
      <c r="P364" s="13">
        <v>0</v>
      </c>
      <c r="Q364" s="13">
        <v>0</v>
      </c>
      <c r="R364" s="13">
        <v>0</v>
      </c>
      <c r="S364" s="13">
        <v>2390</v>
      </c>
    </row>
    <row r="365" spans="1:19" x14ac:dyDescent="0.25">
      <c r="A365" t="s">
        <v>138</v>
      </c>
      <c r="B365" t="s">
        <v>418</v>
      </c>
      <c r="C365" s="1"/>
      <c r="D365" s="1"/>
      <c r="E365" s="1"/>
      <c r="F365" s="1"/>
      <c r="G365" s="1"/>
      <c r="H365" s="1"/>
      <c r="I365" s="1"/>
      <c r="J365" s="1"/>
      <c r="L365" s="13" t="s">
        <v>808</v>
      </c>
      <c r="M365" s="13" t="s">
        <v>435</v>
      </c>
      <c r="N365" s="13">
        <v>21168</v>
      </c>
      <c r="O365" s="13">
        <v>21</v>
      </c>
      <c r="P365" s="13">
        <v>0</v>
      </c>
      <c r="Q365" s="13">
        <v>0</v>
      </c>
      <c r="R365" s="13">
        <v>0</v>
      </c>
      <c r="S365" s="13">
        <v>28196</v>
      </c>
    </row>
    <row r="366" spans="1:19" x14ac:dyDescent="0.25">
      <c r="A366" t="s">
        <v>796</v>
      </c>
      <c r="B366" t="s">
        <v>419</v>
      </c>
      <c r="C366" s="1">
        <f>12044+8+231+4+1+12+3420</f>
        <v>15720</v>
      </c>
      <c r="D366" s="1">
        <f>609+30+9+8</f>
        <v>656</v>
      </c>
      <c r="E366" s="1">
        <v>0</v>
      </c>
      <c r="F366" s="1">
        <v>0</v>
      </c>
      <c r="G366" s="1">
        <v>0</v>
      </c>
      <c r="H366" s="1">
        <v>30702</v>
      </c>
      <c r="I366" s="1">
        <v>0</v>
      </c>
      <c r="J366" s="1"/>
      <c r="L366" s="13" t="s">
        <v>815</v>
      </c>
      <c r="M366" s="13" t="s">
        <v>436</v>
      </c>
      <c r="N366" s="13">
        <v>27435</v>
      </c>
      <c r="O366" s="13">
        <v>403</v>
      </c>
      <c r="P366" s="13">
        <v>0</v>
      </c>
      <c r="Q366" s="13">
        <v>0</v>
      </c>
      <c r="R366" s="13">
        <v>0</v>
      </c>
      <c r="S366" s="13">
        <v>17913</v>
      </c>
    </row>
    <row r="367" spans="1:19" x14ac:dyDescent="0.25">
      <c r="A367" t="s">
        <v>150</v>
      </c>
      <c r="B367" t="s">
        <v>420</v>
      </c>
      <c r="C367" s="1"/>
      <c r="D367" s="1"/>
      <c r="E367" s="1"/>
      <c r="F367" s="1"/>
      <c r="G367" s="1"/>
      <c r="H367" s="1"/>
      <c r="I367" s="1"/>
      <c r="J367" s="1"/>
      <c r="L367" s="13">
        <v>173</v>
      </c>
      <c r="M367" s="13" t="s">
        <v>437</v>
      </c>
      <c r="N367" s="13">
        <v>10349</v>
      </c>
      <c r="O367" s="13">
        <v>3</v>
      </c>
      <c r="P367" s="13">
        <v>0</v>
      </c>
      <c r="Q367" s="13">
        <v>0</v>
      </c>
      <c r="R367" s="13">
        <v>0</v>
      </c>
      <c r="S367" s="13">
        <v>16943</v>
      </c>
    </row>
    <row r="368" spans="1:19" x14ac:dyDescent="0.25">
      <c r="A368" t="s">
        <v>69</v>
      </c>
      <c r="B368" t="s">
        <v>421</v>
      </c>
      <c r="C368" s="1">
        <f>5019+4254+4</f>
        <v>9277</v>
      </c>
      <c r="D368" s="1">
        <f>1+42+32</f>
        <v>75</v>
      </c>
      <c r="E368" s="1">
        <v>0</v>
      </c>
      <c r="F368" s="1">
        <v>0</v>
      </c>
      <c r="G368" s="1">
        <v>0</v>
      </c>
      <c r="H368" s="1">
        <v>3439</v>
      </c>
      <c r="I368" s="1">
        <v>3152</v>
      </c>
      <c r="J368" s="1"/>
      <c r="L368" s="13">
        <v>711</v>
      </c>
      <c r="M368" s="13" t="s">
        <v>438</v>
      </c>
      <c r="N368" s="13">
        <v>32222</v>
      </c>
      <c r="O368" s="13">
        <v>51</v>
      </c>
      <c r="P368" s="13">
        <v>0</v>
      </c>
      <c r="Q368" s="13">
        <v>0</v>
      </c>
      <c r="R368" s="13">
        <v>0</v>
      </c>
      <c r="S368" s="13">
        <v>103391</v>
      </c>
    </row>
    <row r="369" spans="1:19" x14ac:dyDescent="0.25">
      <c r="A369" t="s">
        <v>146</v>
      </c>
      <c r="B369" t="s">
        <v>422</v>
      </c>
      <c r="C369" s="1">
        <f>1569+35+156+3680</f>
        <v>5440</v>
      </c>
      <c r="D369" s="1">
        <f>4+8+156</f>
        <v>168</v>
      </c>
      <c r="E369" s="1">
        <v>0</v>
      </c>
      <c r="F369" s="1">
        <v>0</v>
      </c>
      <c r="G369" s="1">
        <v>0</v>
      </c>
      <c r="H369" s="1">
        <v>8403</v>
      </c>
      <c r="I369" s="1">
        <v>3164</v>
      </c>
      <c r="J369" s="1"/>
      <c r="L369" s="13"/>
      <c r="M369" s="13" t="s">
        <v>439</v>
      </c>
      <c r="N369" s="13"/>
      <c r="O369" s="13"/>
      <c r="P369" s="13"/>
      <c r="Q369" s="13"/>
      <c r="R369" s="13"/>
      <c r="S369" s="13"/>
    </row>
    <row r="370" spans="1:19" x14ac:dyDescent="0.25">
      <c r="A370" t="s">
        <v>146</v>
      </c>
      <c r="B370" t="s">
        <v>423</v>
      </c>
      <c r="C370" s="1">
        <f>1705+2+2148</f>
        <v>3855</v>
      </c>
      <c r="D370" s="1">
        <f>19+4</f>
        <v>23</v>
      </c>
      <c r="E370" s="1">
        <v>0</v>
      </c>
      <c r="F370" s="1">
        <v>0</v>
      </c>
      <c r="G370" s="1">
        <v>0</v>
      </c>
      <c r="H370" s="1">
        <v>2280</v>
      </c>
      <c r="I370" s="1">
        <v>1967</v>
      </c>
      <c r="J370" s="1"/>
      <c r="L370" s="13">
        <v>700</v>
      </c>
      <c r="M370" s="13" t="s">
        <v>440</v>
      </c>
      <c r="N370" s="13">
        <v>3370</v>
      </c>
      <c r="O370" s="13">
        <v>19</v>
      </c>
      <c r="P370" s="13">
        <v>0</v>
      </c>
      <c r="Q370" s="13">
        <v>0</v>
      </c>
      <c r="R370" s="13">
        <v>0</v>
      </c>
      <c r="S370" s="13">
        <v>7980</v>
      </c>
    </row>
    <row r="371" spans="1:19" x14ac:dyDescent="0.25">
      <c r="A371" t="s">
        <v>76</v>
      </c>
      <c r="B371" t="s">
        <v>424</v>
      </c>
      <c r="C371" s="1">
        <f>18109+1+212+3+9813+27+1+4</f>
        <v>28170</v>
      </c>
      <c r="D371" s="1">
        <f>9+32</f>
        <v>41</v>
      </c>
      <c r="E371" s="1">
        <v>0</v>
      </c>
      <c r="F371" s="1">
        <v>0</v>
      </c>
      <c r="G371" s="1">
        <v>0</v>
      </c>
      <c r="H371" s="1">
        <v>52973</v>
      </c>
      <c r="I371" s="1">
        <v>8156</v>
      </c>
      <c r="J371" s="1"/>
      <c r="L371" s="13" t="s">
        <v>808</v>
      </c>
      <c r="M371" s="13" t="s">
        <v>441</v>
      </c>
      <c r="N371" s="13">
        <v>11312</v>
      </c>
      <c r="O371" s="13">
        <v>140</v>
      </c>
      <c r="P371" s="13">
        <v>0</v>
      </c>
      <c r="Q371" s="13">
        <v>0</v>
      </c>
      <c r="R371" s="13">
        <v>0</v>
      </c>
      <c r="S371" s="13">
        <v>7212</v>
      </c>
    </row>
    <row r="372" spans="1:19" x14ac:dyDescent="0.25">
      <c r="A372" t="s">
        <v>795</v>
      </c>
      <c r="B372" t="s">
        <v>425</v>
      </c>
      <c r="C372" s="1"/>
      <c r="D372" s="1"/>
      <c r="E372" s="1"/>
      <c r="F372" s="1"/>
      <c r="G372" s="1"/>
      <c r="H372" s="1"/>
      <c r="I372" s="1"/>
      <c r="J372" s="1"/>
      <c r="L372" s="13" t="s">
        <v>814</v>
      </c>
      <c r="M372" s="13" t="s">
        <v>442</v>
      </c>
      <c r="N372" s="13">
        <v>20726</v>
      </c>
      <c r="O372" s="13">
        <v>69</v>
      </c>
      <c r="P372" s="13">
        <v>0</v>
      </c>
      <c r="Q372" s="13">
        <v>0</v>
      </c>
      <c r="R372" s="13">
        <v>0</v>
      </c>
      <c r="S372" s="13">
        <v>19664</v>
      </c>
    </row>
    <row r="373" spans="1:19" x14ac:dyDescent="0.25">
      <c r="A373" t="s">
        <v>824</v>
      </c>
      <c r="B373" t="s">
        <v>426</v>
      </c>
      <c r="C373" s="1"/>
      <c r="D373" s="1"/>
      <c r="E373" s="1"/>
      <c r="F373" s="1"/>
      <c r="G373" s="1"/>
      <c r="H373" s="1"/>
      <c r="I373" s="1"/>
      <c r="J373" s="1"/>
      <c r="L373" s="13">
        <v>713</v>
      </c>
      <c r="M373" s="13" t="s">
        <v>443</v>
      </c>
      <c r="N373" s="13">
        <v>19654</v>
      </c>
      <c r="O373" s="13">
        <v>17</v>
      </c>
      <c r="P373" s="13">
        <v>0</v>
      </c>
      <c r="Q373" s="13">
        <v>0</v>
      </c>
      <c r="R373" s="13">
        <v>0</v>
      </c>
      <c r="S373" s="13">
        <v>31191</v>
      </c>
    </row>
    <row r="374" spans="1:19" x14ac:dyDescent="0.25">
      <c r="A374" t="s">
        <v>788</v>
      </c>
      <c r="B374" t="s">
        <v>427</v>
      </c>
      <c r="C374" s="1">
        <f>20676+20+11965</f>
        <v>32661</v>
      </c>
      <c r="D374" s="1">
        <f>39+59+2</f>
        <v>100</v>
      </c>
      <c r="E374" s="1">
        <v>0</v>
      </c>
      <c r="F374" s="1">
        <v>0</v>
      </c>
      <c r="G374" s="1">
        <v>0</v>
      </c>
      <c r="H374" s="1">
        <v>36643</v>
      </c>
      <c r="I374" s="1">
        <v>11968</v>
      </c>
      <c r="J374" s="1"/>
      <c r="L374" s="13" t="s">
        <v>814</v>
      </c>
      <c r="M374" s="13" t="s">
        <v>444</v>
      </c>
      <c r="N374" s="13">
        <v>32156</v>
      </c>
      <c r="O374" s="13">
        <v>315</v>
      </c>
      <c r="P374" s="13">
        <v>0</v>
      </c>
      <c r="Q374" s="13">
        <v>0</v>
      </c>
      <c r="R374" s="13">
        <v>0</v>
      </c>
      <c r="S374" s="13">
        <v>11554</v>
      </c>
    </row>
    <row r="375" spans="1:19" x14ac:dyDescent="0.25">
      <c r="A375" t="s">
        <v>226</v>
      </c>
      <c r="B375" t="s">
        <v>428</v>
      </c>
      <c r="C375" s="1">
        <f>3828+14+7+1879+7</f>
        <v>5735</v>
      </c>
      <c r="D375" s="1">
        <v>1</v>
      </c>
      <c r="E375" s="1">
        <v>0</v>
      </c>
      <c r="F375" s="1">
        <v>0</v>
      </c>
      <c r="G375" s="1">
        <v>0</v>
      </c>
      <c r="H375" s="1">
        <v>5325</v>
      </c>
      <c r="I375" s="1">
        <v>1676</v>
      </c>
      <c r="J375" s="1"/>
      <c r="L375" s="13"/>
      <c r="M375" s="13" t="s">
        <v>445</v>
      </c>
      <c r="N375" s="13"/>
      <c r="O375" s="13"/>
      <c r="P375" s="13"/>
      <c r="Q375" s="13"/>
      <c r="R375" s="13"/>
      <c r="S375" s="13"/>
    </row>
    <row r="376" spans="1:19" x14ac:dyDescent="0.25">
      <c r="A376" t="s">
        <v>791</v>
      </c>
      <c r="B376" t="s">
        <v>429</v>
      </c>
      <c r="C376" s="1"/>
      <c r="D376" s="1"/>
      <c r="E376" s="1"/>
      <c r="F376" s="1"/>
      <c r="G376" s="1"/>
      <c r="H376" s="1"/>
      <c r="I376" s="1"/>
      <c r="J376" s="1"/>
      <c r="L376" s="13">
        <v>161</v>
      </c>
      <c r="M376" s="13" t="s">
        <v>446</v>
      </c>
      <c r="N376" s="13">
        <v>6231</v>
      </c>
      <c r="O376" s="13">
        <v>10</v>
      </c>
      <c r="P376" s="13">
        <v>0</v>
      </c>
      <c r="Q376" s="13">
        <v>0</v>
      </c>
      <c r="R376" s="13">
        <v>0</v>
      </c>
      <c r="S376" s="13">
        <v>600</v>
      </c>
    </row>
    <row r="377" spans="1:19" x14ac:dyDescent="0.25">
      <c r="A377" t="s">
        <v>788</v>
      </c>
      <c r="B377" t="s">
        <v>430</v>
      </c>
      <c r="C377" s="1">
        <f>6594+9108</f>
        <v>15702</v>
      </c>
      <c r="D377" s="1">
        <v>0</v>
      </c>
      <c r="E377" s="1">
        <v>0</v>
      </c>
      <c r="F377" s="1">
        <v>0</v>
      </c>
      <c r="G377" s="1">
        <v>0</v>
      </c>
      <c r="H377" s="1">
        <v>4137</v>
      </c>
      <c r="I377" s="1">
        <v>1708</v>
      </c>
      <c r="J377" s="1"/>
      <c r="L377" s="13"/>
      <c r="M377" s="13" t="s">
        <v>447</v>
      </c>
      <c r="N377" s="13"/>
      <c r="O377" s="13"/>
      <c r="P377" s="13"/>
      <c r="Q377" s="13"/>
      <c r="R377" s="13"/>
      <c r="S377" s="13"/>
    </row>
    <row r="378" spans="1:19" x14ac:dyDescent="0.25">
      <c r="A378" t="s">
        <v>10</v>
      </c>
      <c r="B378" s="1" t="s">
        <v>431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/>
      <c r="L378" s="13">
        <v>712</v>
      </c>
      <c r="M378" s="13" t="s">
        <v>448</v>
      </c>
      <c r="N378" s="13">
        <v>58100</v>
      </c>
      <c r="O378" s="13">
        <v>15</v>
      </c>
      <c r="P378" s="13">
        <v>0</v>
      </c>
      <c r="Q378" s="13">
        <v>0</v>
      </c>
      <c r="R378" s="13">
        <v>0</v>
      </c>
      <c r="S378" s="13">
        <v>27742</v>
      </c>
    </row>
    <row r="379" spans="1:19" x14ac:dyDescent="0.25">
      <c r="A379" t="s">
        <v>76</v>
      </c>
      <c r="B379" t="s">
        <v>432</v>
      </c>
      <c r="C379" s="1"/>
      <c r="D379" s="1"/>
      <c r="E379" s="1"/>
      <c r="F379" s="1"/>
      <c r="G379" s="1"/>
      <c r="H379" s="1"/>
      <c r="I379" s="1"/>
      <c r="J379" s="1"/>
      <c r="L379" s="13">
        <v>711</v>
      </c>
      <c r="M379" s="13" t="s">
        <v>449</v>
      </c>
      <c r="N379" s="13">
        <v>31448</v>
      </c>
      <c r="O379" s="13">
        <v>59</v>
      </c>
      <c r="P379" s="13">
        <v>0</v>
      </c>
      <c r="Q379" s="13">
        <v>0</v>
      </c>
      <c r="R379" s="13">
        <v>0</v>
      </c>
      <c r="S379" s="13">
        <v>32553</v>
      </c>
    </row>
    <row r="380" spans="1:19" x14ac:dyDescent="0.25">
      <c r="A380" t="s">
        <v>226</v>
      </c>
      <c r="B380" t="s">
        <v>433</v>
      </c>
      <c r="C380" s="1">
        <f>11857+56+16+1+1+2714</f>
        <v>14645</v>
      </c>
      <c r="D380" s="1">
        <f>14+2</f>
        <v>16</v>
      </c>
      <c r="E380" s="1">
        <v>0</v>
      </c>
      <c r="F380" s="1">
        <v>0</v>
      </c>
      <c r="G380" s="1">
        <v>0</v>
      </c>
      <c r="H380" s="1">
        <v>2764</v>
      </c>
      <c r="I380" s="1">
        <v>2463</v>
      </c>
      <c r="J380" s="1"/>
      <c r="L380" s="13">
        <v>610</v>
      </c>
      <c r="M380" s="13" t="s">
        <v>450</v>
      </c>
      <c r="N380" s="13">
        <v>17675</v>
      </c>
      <c r="O380" s="13">
        <v>209</v>
      </c>
      <c r="P380" s="13">
        <v>0</v>
      </c>
      <c r="Q380" s="13">
        <v>0</v>
      </c>
      <c r="R380" s="13">
        <v>0</v>
      </c>
      <c r="S380" s="13">
        <v>13762</v>
      </c>
    </row>
    <row r="381" spans="1:19" x14ac:dyDescent="0.25">
      <c r="A381" t="s">
        <v>131</v>
      </c>
      <c r="B381" t="s">
        <v>434</v>
      </c>
      <c r="C381" s="1">
        <f>4530+1875</f>
        <v>6405</v>
      </c>
      <c r="D381" s="1">
        <v>54</v>
      </c>
      <c r="E381" s="1">
        <v>0</v>
      </c>
      <c r="F381" s="1">
        <v>0</v>
      </c>
      <c r="G381" s="1">
        <v>0</v>
      </c>
      <c r="H381" s="1">
        <v>2390</v>
      </c>
      <c r="I381" s="1">
        <v>1585</v>
      </c>
      <c r="J381" s="1"/>
      <c r="L381" s="13">
        <v>116</v>
      </c>
      <c r="M381" s="13" t="s">
        <v>451</v>
      </c>
      <c r="N381" s="13">
        <v>94491</v>
      </c>
      <c r="O381" s="13">
        <v>1115</v>
      </c>
      <c r="P381" s="13">
        <v>0</v>
      </c>
      <c r="Q381" s="13">
        <v>0</v>
      </c>
      <c r="R381" s="13">
        <v>0</v>
      </c>
      <c r="S381" s="13">
        <v>33211</v>
      </c>
    </row>
    <row r="382" spans="1:19" x14ac:dyDescent="0.25">
      <c r="A382" t="s">
        <v>809</v>
      </c>
      <c r="B382" t="s">
        <v>435</v>
      </c>
      <c r="C382" s="1"/>
      <c r="D382" s="1"/>
      <c r="E382" s="1"/>
      <c r="F382" s="1"/>
      <c r="G382" s="1"/>
      <c r="H382" s="1"/>
      <c r="I382" s="1"/>
      <c r="J382" s="1"/>
      <c r="L382" s="13"/>
      <c r="M382" s="13" t="s">
        <v>452</v>
      </c>
      <c r="N382" s="13"/>
      <c r="O382" s="13"/>
      <c r="P382" s="13"/>
      <c r="Q382" s="13"/>
      <c r="R382" s="13"/>
      <c r="S382" s="13"/>
    </row>
    <row r="383" spans="1:19" x14ac:dyDescent="0.25">
      <c r="A383" t="s">
        <v>138</v>
      </c>
      <c r="B383" t="s">
        <v>436</v>
      </c>
      <c r="C383" s="1"/>
      <c r="D383" s="1"/>
      <c r="E383" s="1"/>
      <c r="F383" s="1"/>
      <c r="G383" s="1"/>
      <c r="H383" s="1"/>
      <c r="I383" s="1"/>
      <c r="J383" s="1"/>
      <c r="L383" s="13">
        <v>511</v>
      </c>
      <c r="M383" s="13" t="s">
        <v>453</v>
      </c>
      <c r="N383" s="13">
        <v>17022</v>
      </c>
      <c r="O383" s="13">
        <v>80</v>
      </c>
      <c r="P383" s="13">
        <v>0</v>
      </c>
      <c r="Q383" s="13">
        <v>0</v>
      </c>
      <c r="R383" s="13">
        <v>0</v>
      </c>
      <c r="S383" s="13">
        <v>10151</v>
      </c>
    </row>
    <row r="384" spans="1:19" x14ac:dyDescent="0.25">
      <c r="A384" t="s">
        <v>229</v>
      </c>
      <c r="B384" t="s">
        <v>437</v>
      </c>
      <c r="C384" s="1">
        <f>7973+55+2321</f>
        <v>10349</v>
      </c>
      <c r="D384" s="1">
        <v>3</v>
      </c>
      <c r="E384" s="1">
        <v>0</v>
      </c>
      <c r="F384" s="1">
        <v>0</v>
      </c>
      <c r="G384" s="1">
        <v>0</v>
      </c>
      <c r="H384" s="1">
        <v>16943</v>
      </c>
      <c r="I384" s="1">
        <v>2158</v>
      </c>
      <c r="J384" s="1"/>
      <c r="L384" s="13" t="s">
        <v>820</v>
      </c>
      <c r="M384" s="13" t="s">
        <v>454</v>
      </c>
      <c r="N384" s="13">
        <v>42506</v>
      </c>
      <c r="O384" s="13">
        <v>18</v>
      </c>
      <c r="P384" s="13">
        <v>0</v>
      </c>
      <c r="Q384" s="13">
        <v>0</v>
      </c>
      <c r="R384" s="13">
        <v>0</v>
      </c>
      <c r="S384" s="13">
        <v>46507</v>
      </c>
    </row>
    <row r="385" spans="1:19" x14ac:dyDescent="0.25">
      <c r="A385" t="s">
        <v>801</v>
      </c>
      <c r="B385" t="s">
        <v>438</v>
      </c>
      <c r="C385" s="1">
        <f>20844+11+19+12+11008+259+34+35</f>
        <v>32222</v>
      </c>
      <c r="D385" s="1">
        <f>8+1+34+8</f>
        <v>51</v>
      </c>
      <c r="E385" s="1">
        <v>0</v>
      </c>
      <c r="F385" s="1">
        <v>0</v>
      </c>
      <c r="G385" s="1">
        <v>0</v>
      </c>
      <c r="H385" s="1">
        <v>103391</v>
      </c>
      <c r="I385" s="1">
        <v>10705</v>
      </c>
      <c r="J385" s="1"/>
      <c r="L385" s="13">
        <v>600</v>
      </c>
      <c r="M385" s="13" t="s">
        <v>455</v>
      </c>
      <c r="N385" s="13"/>
      <c r="O385" s="13"/>
      <c r="P385" s="13"/>
      <c r="Q385" s="13"/>
      <c r="R385" s="13"/>
      <c r="S385" s="13"/>
    </row>
    <row r="386" spans="1:19" x14ac:dyDescent="0.25">
      <c r="A386" s="27" t="s">
        <v>10</v>
      </c>
      <c r="B386" s="32" t="s">
        <v>780</v>
      </c>
      <c r="C386" s="1"/>
      <c r="D386" s="1"/>
      <c r="E386" s="1"/>
      <c r="F386" s="1"/>
      <c r="G386" s="1"/>
      <c r="H386" s="1"/>
      <c r="I386" s="1"/>
      <c r="J386" s="1"/>
      <c r="L386" s="13">
        <v>712</v>
      </c>
      <c r="M386" s="13" t="s">
        <v>456</v>
      </c>
      <c r="N386" s="13">
        <v>35267</v>
      </c>
      <c r="O386" s="13">
        <v>61</v>
      </c>
      <c r="P386" s="13">
        <v>0</v>
      </c>
      <c r="Q386" s="13">
        <v>0</v>
      </c>
      <c r="R386" s="13">
        <v>0</v>
      </c>
      <c r="S386" s="13">
        <v>39881</v>
      </c>
    </row>
    <row r="387" spans="1:19" x14ac:dyDescent="0.25">
      <c r="A387" t="s">
        <v>69</v>
      </c>
      <c r="B387" t="s">
        <v>439</v>
      </c>
      <c r="C387" s="1"/>
      <c r="D387" s="1"/>
      <c r="E387" s="1"/>
      <c r="F387" s="1"/>
      <c r="G387" s="1"/>
      <c r="H387" s="1"/>
      <c r="I387" s="1"/>
      <c r="J387" s="1"/>
      <c r="L387" s="13">
        <v>712</v>
      </c>
      <c r="M387" s="13" t="s">
        <v>457</v>
      </c>
      <c r="N387" s="13">
        <v>24637</v>
      </c>
      <c r="O387" s="13">
        <v>43</v>
      </c>
      <c r="P387" s="13">
        <v>0</v>
      </c>
      <c r="Q387" s="13">
        <v>0</v>
      </c>
      <c r="R387" s="13">
        <v>0</v>
      </c>
      <c r="S387" s="13">
        <v>16581</v>
      </c>
    </row>
    <row r="388" spans="1:19" x14ac:dyDescent="0.25">
      <c r="A388" t="s">
        <v>83</v>
      </c>
      <c r="B388" t="s">
        <v>440</v>
      </c>
      <c r="C388" s="1"/>
      <c r="D388" s="1"/>
      <c r="E388" s="1"/>
      <c r="F388" s="1"/>
      <c r="G388" s="1"/>
      <c r="H388" s="1"/>
      <c r="I388" s="1"/>
      <c r="J388" s="1"/>
      <c r="L388" s="13">
        <v>611</v>
      </c>
      <c r="M388" s="13" t="s">
        <v>458</v>
      </c>
      <c r="N388" s="13">
        <v>5272</v>
      </c>
      <c r="O388" s="13">
        <v>541</v>
      </c>
      <c r="P388" s="13">
        <v>0</v>
      </c>
      <c r="Q388" s="13">
        <v>0</v>
      </c>
      <c r="R388" s="13">
        <v>0</v>
      </c>
      <c r="S388" s="13">
        <v>17850</v>
      </c>
    </row>
    <row r="389" spans="1:19" x14ac:dyDescent="0.25">
      <c r="A389" t="s">
        <v>809</v>
      </c>
      <c r="B389" t="s">
        <v>441</v>
      </c>
      <c r="C389" s="1"/>
      <c r="D389" s="1"/>
      <c r="E389" s="1"/>
      <c r="F389" s="1"/>
      <c r="G389" s="1"/>
      <c r="H389" s="1"/>
      <c r="I389" s="1"/>
      <c r="J389" s="1"/>
      <c r="L389" s="13">
        <v>700</v>
      </c>
      <c r="M389" s="13" t="s">
        <v>459</v>
      </c>
      <c r="N389" s="13">
        <v>3638</v>
      </c>
      <c r="O389" s="13">
        <v>44</v>
      </c>
      <c r="P389" s="13">
        <v>0</v>
      </c>
      <c r="Q389" s="13">
        <v>0</v>
      </c>
      <c r="R389" s="13">
        <v>0</v>
      </c>
      <c r="S389" s="13">
        <v>3606</v>
      </c>
    </row>
    <row r="390" spans="1:19" x14ac:dyDescent="0.25">
      <c r="A390" t="s">
        <v>794</v>
      </c>
      <c r="B390" t="s">
        <v>442</v>
      </c>
      <c r="C390" s="1">
        <f>14495+334+1+5893+2+1</f>
        <v>20726</v>
      </c>
      <c r="D390" s="1">
        <f>29+39+1</f>
        <v>69</v>
      </c>
      <c r="E390" s="1">
        <v>0</v>
      </c>
      <c r="F390" s="1">
        <v>0</v>
      </c>
      <c r="G390" s="1">
        <v>0</v>
      </c>
      <c r="H390" s="1">
        <v>19664</v>
      </c>
      <c r="I390" s="1">
        <v>5110</v>
      </c>
      <c r="J390" s="1"/>
      <c r="L390" s="13">
        <v>600</v>
      </c>
      <c r="M390" s="13" t="s">
        <v>460</v>
      </c>
      <c r="N390" s="13">
        <v>17354</v>
      </c>
      <c r="O390" s="13">
        <v>82</v>
      </c>
      <c r="P390" s="13">
        <v>0</v>
      </c>
      <c r="Q390" s="13">
        <v>0</v>
      </c>
      <c r="R390" s="13">
        <v>0</v>
      </c>
      <c r="S390" s="13">
        <v>78597</v>
      </c>
    </row>
    <row r="391" spans="1:19" x14ac:dyDescent="0.25">
      <c r="A391" t="s">
        <v>796</v>
      </c>
      <c r="B391" t="s">
        <v>443</v>
      </c>
      <c r="C391" s="1">
        <f>12056+2+2068+39+5477+12</f>
        <v>19654</v>
      </c>
      <c r="D391" s="1">
        <f>1+16</f>
        <v>17</v>
      </c>
      <c r="E391" s="1">
        <v>0</v>
      </c>
      <c r="F391" s="1">
        <v>0</v>
      </c>
      <c r="G391" s="1">
        <v>0</v>
      </c>
      <c r="H391" s="1">
        <v>31191</v>
      </c>
      <c r="I391" s="1">
        <v>0</v>
      </c>
      <c r="J391" s="1"/>
      <c r="L391" s="13">
        <v>600</v>
      </c>
      <c r="M391" s="13" t="s">
        <v>461</v>
      </c>
      <c r="N391" s="13">
        <v>24304</v>
      </c>
      <c r="O391" s="13">
        <v>47</v>
      </c>
      <c r="P391" s="13">
        <v>0</v>
      </c>
      <c r="Q391" s="13">
        <v>0</v>
      </c>
      <c r="R391" s="13">
        <v>0</v>
      </c>
      <c r="S391" s="13">
        <v>23778</v>
      </c>
    </row>
    <row r="392" spans="1:19" x14ac:dyDescent="0.25">
      <c r="A392" t="s">
        <v>794</v>
      </c>
      <c r="B392" t="s">
        <v>444</v>
      </c>
      <c r="C392" s="1">
        <f>22215+4+21+9916</f>
        <v>32156</v>
      </c>
      <c r="D392" s="1">
        <f>52+219+44</f>
        <v>315</v>
      </c>
      <c r="E392" s="1">
        <v>0</v>
      </c>
      <c r="F392" s="1">
        <v>0</v>
      </c>
      <c r="G392" s="1">
        <v>0</v>
      </c>
      <c r="H392" s="1">
        <v>11554</v>
      </c>
      <c r="I392" s="1">
        <v>9055</v>
      </c>
      <c r="J392" s="1"/>
      <c r="L392" s="13">
        <v>300</v>
      </c>
      <c r="M392" s="13" t="s">
        <v>462</v>
      </c>
      <c r="N392" s="13">
        <v>8138</v>
      </c>
      <c r="O392" s="13">
        <v>15</v>
      </c>
      <c r="P392" s="13">
        <v>0</v>
      </c>
      <c r="Q392" s="13">
        <v>0</v>
      </c>
      <c r="R392" s="13">
        <v>0</v>
      </c>
      <c r="S392" s="13">
        <v>405</v>
      </c>
    </row>
    <row r="393" spans="1:19" x14ac:dyDescent="0.25">
      <c r="A393" t="s">
        <v>811</v>
      </c>
      <c r="B393" t="s">
        <v>445</v>
      </c>
      <c r="C393" s="1"/>
      <c r="D393" s="1"/>
      <c r="E393" s="1"/>
      <c r="F393" s="1"/>
      <c r="G393" s="1"/>
      <c r="H393" s="1"/>
      <c r="I393" s="1"/>
      <c r="J393" s="1"/>
      <c r="L393" s="13">
        <v>120</v>
      </c>
      <c r="M393" s="13" t="s">
        <v>463</v>
      </c>
      <c r="N393" s="13">
        <v>6248</v>
      </c>
      <c r="O393" s="13">
        <v>16</v>
      </c>
      <c r="P393" s="13">
        <v>0</v>
      </c>
      <c r="Q393" s="13">
        <v>0</v>
      </c>
      <c r="R393" s="13">
        <v>0</v>
      </c>
      <c r="S393" s="13">
        <v>7534</v>
      </c>
    </row>
    <row r="394" spans="1:19" x14ac:dyDescent="0.25">
      <c r="A394" t="s">
        <v>792</v>
      </c>
      <c r="B394" t="s">
        <v>446</v>
      </c>
      <c r="C394" s="1"/>
      <c r="D394" s="1"/>
      <c r="E394" s="1"/>
      <c r="F394" s="1"/>
      <c r="G394" s="1"/>
      <c r="H394" s="1"/>
      <c r="I394" s="1"/>
      <c r="J394" s="1"/>
      <c r="L394" s="13">
        <v>600</v>
      </c>
      <c r="M394" s="13" t="s">
        <v>464</v>
      </c>
      <c r="N394" s="13">
        <v>9848</v>
      </c>
      <c r="O394" s="13">
        <v>7</v>
      </c>
      <c r="P394" s="13">
        <v>0</v>
      </c>
      <c r="Q394" s="13">
        <v>0</v>
      </c>
      <c r="R394" s="13">
        <v>0</v>
      </c>
      <c r="S394" s="13">
        <v>6065</v>
      </c>
    </row>
    <row r="395" spans="1:19" x14ac:dyDescent="0.25">
      <c r="A395" t="s">
        <v>134</v>
      </c>
      <c r="B395" t="s">
        <v>447</v>
      </c>
      <c r="C395" s="1"/>
      <c r="D395" s="1"/>
      <c r="E395" s="1"/>
      <c r="F395" s="1"/>
      <c r="G395" s="1"/>
      <c r="H395" s="1"/>
      <c r="I395" s="1"/>
      <c r="J395" s="1"/>
      <c r="L395" s="13">
        <v>511</v>
      </c>
      <c r="M395" s="13" t="s">
        <v>465</v>
      </c>
      <c r="N395" s="13">
        <v>11725</v>
      </c>
      <c r="O395" s="13">
        <v>7</v>
      </c>
      <c r="P395" s="13">
        <v>0</v>
      </c>
      <c r="Q395" s="13">
        <v>0</v>
      </c>
      <c r="R395" s="13">
        <v>0</v>
      </c>
      <c r="S395" s="13">
        <v>25452</v>
      </c>
    </row>
    <row r="396" spans="1:19" x14ac:dyDescent="0.25">
      <c r="A396" t="s">
        <v>76</v>
      </c>
      <c r="B396" t="s">
        <v>448</v>
      </c>
      <c r="C396" s="1">
        <f>52285+23+5792</f>
        <v>58100</v>
      </c>
      <c r="D396" s="1">
        <f>5+10</f>
        <v>15</v>
      </c>
      <c r="E396" s="1">
        <v>0</v>
      </c>
      <c r="F396" s="1">
        <v>0</v>
      </c>
      <c r="G396" s="1">
        <v>0</v>
      </c>
      <c r="H396" s="1">
        <v>27742</v>
      </c>
      <c r="I396" s="1">
        <v>4861</v>
      </c>
      <c r="J396" s="1"/>
      <c r="L396" s="13">
        <v>210</v>
      </c>
      <c r="M396" s="13" t="s">
        <v>466</v>
      </c>
      <c r="N396" s="13">
        <v>12963</v>
      </c>
      <c r="O396" s="13">
        <v>45</v>
      </c>
      <c r="P396" s="13">
        <v>0</v>
      </c>
      <c r="Q396" s="13">
        <v>0</v>
      </c>
      <c r="R396" s="13">
        <v>0</v>
      </c>
      <c r="S396" s="13">
        <v>3038</v>
      </c>
    </row>
    <row r="397" spans="1:19" x14ac:dyDescent="0.25">
      <c r="A397" t="s">
        <v>801</v>
      </c>
      <c r="B397" t="s">
        <v>449</v>
      </c>
      <c r="C397" s="1">
        <f>21167+843+1+9+7420+2007+1</f>
        <v>31448</v>
      </c>
      <c r="D397" s="1">
        <f>3+5+51</f>
        <v>59</v>
      </c>
      <c r="E397" s="1">
        <v>0</v>
      </c>
      <c r="F397" s="1">
        <v>0</v>
      </c>
      <c r="G397" s="1">
        <v>0</v>
      </c>
      <c r="H397" s="1">
        <v>32553</v>
      </c>
      <c r="I397" s="1">
        <v>8242</v>
      </c>
      <c r="J397" s="1"/>
      <c r="L397" s="13">
        <v>313</v>
      </c>
      <c r="M397" s="13" t="s">
        <v>467</v>
      </c>
      <c r="N397" s="13">
        <v>8957</v>
      </c>
      <c r="O397" s="13">
        <v>19</v>
      </c>
      <c r="P397" s="13">
        <v>0</v>
      </c>
      <c r="Q397" s="13">
        <v>0</v>
      </c>
      <c r="R397" s="13">
        <v>0</v>
      </c>
      <c r="S397" s="13">
        <v>9818</v>
      </c>
    </row>
    <row r="398" spans="1:19" x14ac:dyDescent="0.25">
      <c r="A398" t="s">
        <v>788</v>
      </c>
      <c r="B398" t="s">
        <v>450</v>
      </c>
      <c r="C398" s="1"/>
      <c r="D398" s="1"/>
      <c r="E398" s="1"/>
      <c r="F398" s="1"/>
      <c r="G398" s="1"/>
      <c r="H398" s="1"/>
      <c r="I398" s="1"/>
      <c r="J398" s="1"/>
      <c r="L398" s="13">
        <v>200</v>
      </c>
      <c r="M398" s="13" t="s">
        <v>468</v>
      </c>
      <c r="N398" s="13">
        <v>6135</v>
      </c>
      <c r="O398" s="13">
        <v>64</v>
      </c>
      <c r="P398" s="13">
        <v>0</v>
      </c>
      <c r="Q398" s="13">
        <v>0</v>
      </c>
      <c r="R398" s="13">
        <v>0</v>
      </c>
      <c r="S398" s="13">
        <v>2354</v>
      </c>
    </row>
    <row r="399" spans="1:19" x14ac:dyDescent="0.25">
      <c r="A399" t="s">
        <v>795</v>
      </c>
      <c r="B399" t="s">
        <v>451</v>
      </c>
      <c r="C399" s="1"/>
      <c r="D399" s="1"/>
      <c r="E399" s="1"/>
      <c r="F399" s="1"/>
      <c r="G399" s="1"/>
      <c r="H399" s="1"/>
      <c r="I399" s="1"/>
      <c r="J399" s="1"/>
      <c r="L399" s="13">
        <v>616</v>
      </c>
      <c r="M399" s="13" t="s">
        <v>469</v>
      </c>
      <c r="N399" s="13">
        <v>136878</v>
      </c>
      <c r="O399" s="13">
        <v>96</v>
      </c>
      <c r="P399" s="13">
        <v>0</v>
      </c>
      <c r="Q399" s="13">
        <v>0</v>
      </c>
      <c r="R399" s="13">
        <v>0</v>
      </c>
      <c r="S399" s="13">
        <v>23653</v>
      </c>
    </row>
    <row r="400" spans="1:19" x14ac:dyDescent="0.25">
      <c r="A400" t="s">
        <v>825</v>
      </c>
      <c r="B400" t="s">
        <v>452</v>
      </c>
      <c r="C400" s="1"/>
      <c r="D400" s="1"/>
      <c r="E400" s="1"/>
      <c r="F400" s="1"/>
      <c r="G400" s="1"/>
      <c r="H400" s="1"/>
      <c r="I400" s="1"/>
      <c r="J400" s="1"/>
      <c r="L400" s="13">
        <v>100</v>
      </c>
      <c r="M400" s="13" t="s">
        <v>470</v>
      </c>
      <c r="N400" s="13">
        <v>3111</v>
      </c>
      <c r="O400" s="13">
        <v>464</v>
      </c>
      <c r="P400" s="13">
        <v>0</v>
      </c>
      <c r="Q400" s="13">
        <v>0</v>
      </c>
      <c r="R400" s="13">
        <v>0</v>
      </c>
      <c r="S400" s="13">
        <v>2601</v>
      </c>
    </row>
    <row r="401" spans="1:19" x14ac:dyDescent="0.25">
      <c r="A401" t="s">
        <v>101</v>
      </c>
      <c r="B401" t="s">
        <v>453</v>
      </c>
      <c r="C401" s="1">
        <f>13163+1+1+3+3853+1</f>
        <v>17022</v>
      </c>
      <c r="D401" s="1">
        <f>20+5+45+10</f>
        <v>80</v>
      </c>
      <c r="E401" s="1">
        <v>0</v>
      </c>
      <c r="F401" s="1">
        <v>0</v>
      </c>
      <c r="G401" s="1">
        <v>0</v>
      </c>
      <c r="H401" s="1">
        <v>10151</v>
      </c>
      <c r="I401" s="1">
        <v>3232</v>
      </c>
      <c r="J401" s="1"/>
      <c r="L401" s="13">
        <v>610</v>
      </c>
      <c r="M401" s="13" t="s">
        <v>471</v>
      </c>
      <c r="N401" s="13"/>
      <c r="O401" s="13"/>
      <c r="P401" s="13"/>
      <c r="Q401" s="13"/>
      <c r="R401" s="13"/>
      <c r="S401" s="13"/>
    </row>
    <row r="402" spans="1:19" x14ac:dyDescent="0.25">
      <c r="A402" t="s">
        <v>265</v>
      </c>
      <c r="B402" t="s">
        <v>454</v>
      </c>
      <c r="C402" s="1">
        <f>35573+2+6558+373</f>
        <v>42506</v>
      </c>
      <c r="D402" s="1">
        <v>18</v>
      </c>
      <c r="E402" s="1">
        <v>0</v>
      </c>
      <c r="F402" s="1">
        <v>0</v>
      </c>
      <c r="G402" s="1">
        <v>0</v>
      </c>
      <c r="H402" s="1">
        <v>46507</v>
      </c>
      <c r="I402" s="1">
        <v>4844</v>
      </c>
      <c r="J402" s="1"/>
      <c r="L402" s="13">
        <v>116</v>
      </c>
      <c r="M402" s="13" t="s">
        <v>472</v>
      </c>
      <c r="N402" s="13">
        <v>18769</v>
      </c>
      <c r="O402" s="13">
        <v>371</v>
      </c>
      <c r="P402" s="13">
        <v>0</v>
      </c>
      <c r="Q402" s="13">
        <v>0</v>
      </c>
      <c r="R402" s="13">
        <v>0</v>
      </c>
      <c r="S402" s="13">
        <v>4432</v>
      </c>
    </row>
    <row r="403" spans="1:19" x14ac:dyDescent="0.25">
      <c r="A403" t="s">
        <v>248</v>
      </c>
      <c r="B403" t="s">
        <v>455</v>
      </c>
      <c r="C403" s="1"/>
      <c r="D403" s="1"/>
      <c r="E403" s="1"/>
      <c r="F403" s="1"/>
      <c r="G403" s="1"/>
      <c r="H403" s="1"/>
      <c r="I403" s="1"/>
      <c r="J403" s="1"/>
      <c r="L403" s="13">
        <v>610</v>
      </c>
      <c r="M403" s="13" t="s">
        <v>473</v>
      </c>
      <c r="N403" s="13">
        <v>27037</v>
      </c>
      <c r="O403" s="13">
        <v>587</v>
      </c>
      <c r="P403" s="13">
        <v>0</v>
      </c>
      <c r="Q403" s="13">
        <v>0</v>
      </c>
      <c r="R403" s="13">
        <v>0</v>
      </c>
      <c r="S403" s="13">
        <v>7902</v>
      </c>
    </row>
    <row r="404" spans="1:19" x14ac:dyDescent="0.25">
      <c r="A404" t="s">
        <v>76</v>
      </c>
      <c r="B404" t="s">
        <v>456</v>
      </c>
      <c r="C404" s="1">
        <f>29715+840+50+4662</f>
        <v>35267</v>
      </c>
      <c r="D404" s="1">
        <f>32+7+22</f>
        <v>61</v>
      </c>
      <c r="E404" s="1">
        <v>0</v>
      </c>
      <c r="F404" s="1">
        <v>0</v>
      </c>
      <c r="G404" s="1">
        <v>0</v>
      </c>
      <c r="H404" s="1">
        <v>39881</v>
      </c>
      <c r="I404" s="1">
        <v>4217</v>
      </c>
      <c r="J404" s="1"/>
      <c r="L404" s="13">
        <v>616</v>
      </c>
      <c r="M404" s="13" t="s">
        <v>474</v>
      </c>
      <c r="N404" s="13">
        <v>31988</v>
      </c>
      <c r="O404" s="13">
        <v>224</v>
      </c>
      <c r="P404" s="13">
        <v>0</v>
      </c>
      <c r="Q404" s="13">
        <v>0</v>
      </c>
      <c r="R404" s="13">
        <v>0</v>
      </c>
      <c r="S404" s="13">
        <v>117197</v>
      </c>
    </row>
    <row r="405" spans="1:19" x14ac:dyDescent="0.25">
      <c r="A405" t="s">
        <v>76</v>
      </c>
      <c r="B405" t="s">
        <v>457</v>
      </c>
      <c r="C405" s="1">
        <f>13403+11232+2</f>
        <v>24637</v>
      </c>
      <c r="D405" s="1">
        <f>19+24</f>
        <v>43</v>
      </c>
      <c r="E405" s="1">
        <v>0</v>
      </c>
      <c r="F405" s="1">
        <v>0</v>
      </c>
      <c r="G405" s="1">
        <v>0</v>
      </c>
      <c r="H405" s="1">
        <v>16581</v>
      </c>
      <c r="I405" s="1">
        <v>9612</v>
      </c>
      <c r="J405" s="1"/>
      <c r="L405" s="13">
        <v>313</v>
      </c>
      <c r="M405" s="13" t="s">
        <v>475</v>
      </c>
      <c r="N405" s="13">
        <v>3319</v>
      </c>
      <c r="O405" s="13">
        <v>27</v>
      </c>
      <c r="P405" s="13">
        <v>0</v>
      </c>
      <c r="Q405" s="13">
        <v>0</v>
      </c>
      <c r="R405" s="13">
        <v>0</v>
      </c>
      <c r="S405" s="13">
        <v>21819</v>
      </c>
    </row>
    <row r="406" spans="1:19" x14ac:dyDescent="0.25">
      <c r="A406" t="s">
        <v>146</v>
      </c>
      <c r="B406" t="s">
        <v>458</v>
      </c>
      <c r="C406" s="1">
        <f>2620+222+4+2426</f>
        <v>5272</v>
      </c>
      <c r="D406" s="1">
        <f>66+1+238+102+134</f>
        <v>541</v>
      </c>
      <c r="E406" s="1">
        <v>0</v>
      </c>
      <c r="F406" s="1">
        <v>0</v>
      </c>
      <c r="G406" s="1">
        <v>0</v>
      </c>
      <c r="H406" s="1">
        <v>17850</v>
      </c>
      <c r="I406" s="1">
        <v>2786</v>
      </c>
      <c r="J406" s="1"/>
      <c r="L406" s="13">
        <v>611</v>
      </c>
      <c r="M406" s="13" t="s">
        <v>476</v>
      </c>
      <c r="N406" s="13">
        <v>19135</v>
      </c>
      <c r="O406" s="13">
        <v>46</v>
      </c>
      <c r="P406" s="13">
        <v>0</v>
      </c>
      <c r="Q406" s="13">
        <v>0</v>
      </c>
      <c r="R406" s="13">
        <v>0</v>
      </c>
      <c r="S406" s="13">
        <v>7107</v>
      </c>
    </row>
    <row r="407" spans="1:19" x14ac:dyDescent="0.25">
      <c r="A407" t="s">
        <v>83</v>
      </c>
      <c r="B407" t="s">
        <v>459</v>
      </c>
      <c r="C407" s="1"/>
      <c r="D407" s="1"/>
      <c r="E407" s="1"/>
      <c r="F407" s="1"/>
      <c r="G407" s="1"/>
      <c r="H407" s="1"/>
      <c r="I407" s="1"/>
      <c r="J407" s="1"/>
      <c r="L407" s="13">
        <v>712</v>
      </c>
      <c r="M407" s="13" t="s">
        <v>477</v>
      </c>
      <c r="N407" s="13">
        <v>29032</v>
      </c>
      <c r="O407" s="13">
        <v>127</v>
      </c>
      <c r="P407" s="13">
        <v>0</v>
      </c>
      <c r="Q407" s="13">
        <v>0</v>
      </c>
      <c r="R407" s="13">
        <v>0</v>
      </c>
      <c r="S407" s="13">
        <v>18095</v>
      </c>
    </row>
    <row r="408" spans="1:19" x14ac:dyDescent="0.25">
      <c r="A408" t="s">
        <v>248</v>
      </c>
      <c r="B408" t="s">
        <v>460</v>
      </c>
      <c r="C408" s="1">
        <f>6972+49+7+10323+2+1</f>
        <v>17354</v>
      </c>
      <c r="D408" s="1">
        <f>1+81</f>
        <v>82</v>
      </c>
      <c r="E408" s="1">
        <v>0</v>
      </c>
      <c r="F408" s="1">
        <v>0</v>
      </c>
      <c r="G408" s="1">
        <v>0</v>
      </c>
      <c r="H408" s="1">
        <v>78597</v>
      </c>
      <c r="I408" s="1">
        <v>8696</v>
      </c>
      <c r="J408" s="1"/>
      <c r="L408" s="13">
        <v>712</v>
      </c>
      <c r="M408" s="13" t="s">
        <v>478</v>
      </c>
      <c r="N408" s="13">
        <v>26212</v>
      </c>
      <c r="O408" s="13">
        <v>198</v>
      </c>
      <c r="P408" s="13">
        <v>0</v>
      </c>
      <c r="Q408" s="13">
        <v>0</v>
      </c>
      <c r="R408" s="13">
        <v>0</v>
      </c>
      <c r="S408" s="13">
        <v>10560</v>
      </c>
    </row>
    <row r="409" spans="1:19" x14ac:dyDescent="0.25">
      <c r="A409" t="s">
        <v>248</v>
      </c>
      <c r="B409" t="s">
        <v>461</v>
      </c>
      <c r="C409" s="1">
        <f>18102+1+1+6200</f>
        <v>24304</v>
      </c>
      <c r="D409" s="1">
        <f>9+10+28</f>
        <v>47</v>
      </c>
      <c r="E409" s="1">
        <v>0</v>
      </c>
      <c r="F409" s="1">
        <v>0</v>
      </c>
      <c r="G409" s="1">
        <v>0</v>
      </c>
      <c r="H409" s="1">
        <v>23778</v>
      </c>
      <c r="I409" s="1">
        <v>4712</v>
      </c>
      <c r="J409" s="1"/>
      <c r="L409" s="13">
        <v>113</v>
      </c>
      <c r="M409" s="13" t="s">
        <v>479</v>
      </c>
      <c r="N409" s="13">
        <v>3476</v>
      </c>
      <c r="O409" s="13">
        <v>0</v>
      </c>
      <c r="P409" s="13">
        <v>0</v>
      </c>
      <c r="Q409" s="13">
        <v>0</v>
      </c>
      <c r="R409" s="13">
        <v>0</v>
      </c>
      <c r="S409" s="13">
        <v>333</v>
      </c>
    </row>
    <row r="410" spans="1:19" x14ac:dyDescent="0.25">
      <c r="A410" t="s">
        <v>226</v>
      </c>
      <c r="B410" t="s">
        <v>462</v>
      </c>
      <c r="C410" s="1">
        <f>7003+1+1+4+1129</f>
        <v>8138</v>
      </c>
      <c r="D410" s="1">
        <v>15</v>
      </c>
      <c r="E410" s="1">
        <v>0</v>
      </c>
      <c r="F410" s="1">
        <v>0</v>
      </c>
      <c r="G410" s="1">
        <v>0</v>
      </c>
      <c r="H410" s="1">
        <v>405</v>
      </c>
      <c r="I410" s="1">
        <v>917</v>
      </c>
      <c r="J410" s="1"/>
      <c r="L410" s="13">
        <v>700</v>
      </c>
      <c r="M410" s="13" t="s">
        <v>480</v>
      </c>
      <c r="N410" s="13">
        <v>17754</v>
      </c>
      <c r="O410" s="13">
        <v>0</v>
      </c>
      <c r="P410" s="13">
        <v>0</v>
      </c>
      <c r="Q410" s="13">
        <v>0</v>
      </c>
      <c r="R410" s="13">
        <v>0</v>
      </c>
      <c r="S410" s="13">
        <v>4803</v>
      </c>
    </row>
    <row r="411" spans="1:19" x14ac:dyDescent="0.25">
      <c r="A411" t="s">
        <v>802</v>
      </c>
      <c r="B411" t="s">
        <v>463</v>
      </c>
      <c r="C411" s="1"/>
      <c r="D411" s="1"/>
      <c r="E411" s="1"/>
      <c r="F411" s="1"/>
      <c r="G411" s="1"/>
      <c r="H411" s="1"/>
      <c r="I411" s="1"/>
      <c r="J411" s="1"/>
      <c r="L411" s="13">
        <v>313</v>
      </c>
      <c r="M411" s="13" t="s">
        <v>481</v>
      </c>
      <c r="N411" s="13">
        <v>8352</v>
      </c>
      <c r="O411" s="13">
        <v>64</v>
      </c>
      <c r="P411" s="13">
        <v>0</v>
      </c>
      <c r="Q411" s="13">
        <v>0</v>
      </c>
      <c r="R411" s="13">
        <v>0</v>
      </c>
      <c r="S411" s="13">
        <v>1262</v>
      </c>
    </row>
    <row r="412" spans="1:19" x14ac:dyDescent="0.25">
      <c r="A412" t="s">
        <v>248</v>
      </c>
      <c r="B412" t="s">
        <v>464</v>
      </c>
      <c r="C412" s="1"/>
      <c r="D412" s="1"/>
      <c r="E412" s="1"/>
      <c r="F412" s="1"/>
      <c r="G412" s="1"/>
      <c r="H412" s="1"/>
      <c r="I412" s="1"/>
      <c r="J412" s="1"/>
      <c r="L412" s="13">
        <v>500</v>
      </c>
      <c r="M412" s="13" t="s">
        <v>482</v>
      </c>
      <c r="N412" s="13"/>
      <c r="O412" s="13"/>
      <c r="P412" s="13"/>
      <c r="Q412" s="13"/>
      <c r="R412" s="13"/>
      <c r="S412" s="13"/>
    </row>
    <row r="413" spans="1:19" x14ac:dyDescent="0.25">
      <c r="A413" t="s">
        <v>101</v>
      </c>
      <c r="B413" t="s">
        <v>465</v>
      </c>
      <c r="C413" s="1">
        <f>8253+3+2+3465+2</f>
        <v>11725</v>
      </c>
      <c r="D413" s="1">
        <v>7</v>
      </c>
      <c r="E413" s="1">
        <v>0</v>
      </c>
      <c r="F413" s="1">
        <v>0</v>
      </c>
      <c r="G413" s="1">
        <v>0</v>
      </c>
      <c r="H413" s="1">
        <v>25452</v>
      </c>
      <c r="I413" s="1">
        <v>3555</v>
      </c>
      <c r="J413" s="1"/>
      <c r="L413" s="13">
        <v>312</v>
      </c>
      <c r="M413" s="13" t="s">
        <v>483</v>
      </c>
      <c r="N413" s="13">
        <v>18707</v>
      </c>
      <c r="O413" s="13">
        <v>66</v>
      </c>
      <c r="P413" s="13">
        <v>0</v>
      </c>
      <c r="Q413" s="13">
        <v>0</v>
      </c>
      <c r="R413" s="13">
        <v>0</v>
      </c>
      <c r="S413" s="13">
        <v>54883</v>
      </c>
    </row>
    <row r="414" spans="1:19" x14ac:dyDescent="0.25">
      <c r="A414" t="s">
        <v>185</v>
      </c>
      <c r="B414" t="s">
        <v>466</v>
      </c>
      <c r="C414" s="1">
        <f>10806+11+111+6+18+12+4+54+214+42+1647+38</f>
        <v>12963</v>
      </c>
      <c r="D414" s="1">
        <f>11+34</f>
        <v>45</v>
      </c>
      <c r="E414" s="1">
        <v>0</v>
      </c>
      <c r="F414" s="1">
        <v>0</v>
      </c>
      <c r="G414" s="1">
        <v>0</v>
      </c>
      <c r="H414" s="1">
        <v>3038</v>
      </c>
      <c r="I414" s="1">
        <v>1541</v>
      </c>
      <c r="J414" s="1"/>
      <c r="L414" s="13">
        <v>711</v>
      </c>
      <c r="M414" s="13" t="s">
        <v>484</v>
      </c>
      <c r="N414" s="13">
        <v>21150</v>
      </c>
      <c r="O414" s="13">
        <v>13</v>
      </c>
      <c r="P414" s="13">
        <v>0</v>
      </c>
      <c r="Q414" s="13">
        <v>0</v>
      </c>
      <c r="R414" s="13">
        <v>0</v>
      </c>
      <c r="S414" s="13">
        <v>44669</v>
      </c>
    </row>
    <row r="415" spans="1:19" x14ac:dyDescent="0.25">
      <c r="A415" t="s">
        <v>512</v>
      </c>
      <c r="B415" t="s">
        <v>467</v>
      </c>
      <c r="C415" s="1"/>
      <c r="D415" s="1"/>
      <c r="E415" s="1"/>
      <c r="F415" s="1"/>
      <c r="G415" s="1"/>
      <c r="H415" s="1"/>
      <c r="I415" s="1"/>
      <c r="J415" s="1"/>
      <c r="L415" s="13">
        <v>715</v>
      </c>
      <c r="M415" s="13" t="s">
        <v>485</v>
      </c>
      <c r="N415" s="13">
        <v>11365</v>
      </c>
      <c r="O415" s="13">
        <v>0</v>
      </c>
      <c r="P415" s="13">
        <v>0</v>
      </c>
      <c r="Q415" s="13">
        <v>0</v>
      </c>
      <c r="R415" s="13">
        <v>0</v>
      </c>
      <c r="S415" s="13">
        <v>6089</v>
      </c>
    </row>
    <row r="416" spans="1:19" x14ac:dyDescent="0.25">
      <c r="A416" s="27" t="s">
        <v>10</v>
      </c>
      <c r="B416" s="32" t="s">
        <v>781</v>
      </c>
      <c r="C416" s="1"/>
      <c r="D416" s="1"/>
      <c r="E416" s="1"/>
      <c r="F416" s="1"/>
      <c r="G416" s="1"/>
      <c r="H416" s="1"/>
      <c r="I416" s="1"/>
      <c r="J416" s="1"/>
      <c r="L416" s="13">
        <v>110</v>
      </c>
      <c r="M416" s="13" t="s">
        <v>486</v>
      </c>
      <c r="N416" s="13">
        <v>22158</v>
      </c>
      <c r="O416" s="13">
        <v>39</v>
      </c>
      <c r="P416" s="13">
        <v>0</v>
      </c>
      <c r="Q416" s="13">
        <v>0</v>
      </c>
      <c r="R416" s="13">
        <v>0</v>
      </c>
      <c r="S416" s="13">
        <v>396</v>
      </c>
    </row>
    <row r="417" spans="1:19" x14ac:dyDescent="0.25">
      <c r="A417" t="s">
        <v>140</v>
      </c>
      <c r="B417" t="s">
        <v>468</v>
      </c>
      <c r="C417" s="1">
        <f>3328+2+38+1+10+2737+17+1+1</f>
        <v>6135</v>
      </c>
      <c r="D417" s="1">
        <f>17+23+3+21</f>
        <v>64</v>
      </c>
      <c r="E417" s="1">
        <v>0</v>
      </c>
      <c r="F417" s="1">
        <v>0</v>
      </c>
      <c r="G417" s="1">
        <v>0</v>
      </c>
      <c r="H417" s="1">
        <v>2354</v>
      </c>
      <c r="I417" s="1">
        <v>2499</v>
      </c>
      <c r="J417" s="1"/>
      <c r="L417" s="13">
        <v>171</v>
      </c>
      <c r="M417" s="13" t="s">
        <v>487</v>
      </c>
      <c r="N417" s="13">
        <v>6857</v>
      </c>
      <c r="O417" s="13">
        <v>19</v>
      </c>
      <c r="P417" s="13">
        <v>0</v>
      </c>
      <c r="Q417" s="13">
        <v>0</v>
      </c>
      <c r="R417" s="13">
        <v>0</v>
      </c>
      <c r="S417" s="13">
        <v>5982</v>
      </c>
    </row>
    <row r="418" spans="1:19" x14ac:dyDescent="0.25">
      <c r="A418" t="s">
        <v>817</v>
      </c>
      <c r="B418" t="s">
        <v>469</v>
      </c>
      <c r="C418" s="1">
        <f>135283+2+1593</f>
        <v>136878</v>
      </c>
      <c r="D418" s="1">
        <f>95+1</f>
        <v>96</v>
      </c>
      <c r="E418" s="1">
        <v>0</v>
      </c>
      <c r="F418" s="1">
        <v>0</v>
      </c>
      <c r="G418" s="1">
        <v>0</v>
      </c>
      <c r="H418" s="1">
        <v>23653</v>
      </c>
      <c r="I418" s="1">
        <v>1249</v>
      </c>
      <c r="J418" s="1"/>
      <c r="L418" s="13">
        <v>300</v>
      </c>
      <c r="M418" s="13" t="s">
        <v>488</v>
      </c>
      <c r="N418" s="13">
        <v>23699</v>
      </c>
      <c r="O418" s="13">
        <v>60</v>
      </c>
      <c r="P418" s="13">
        <v>0</v>
      </c>
      <c r="Q418" s="13">
        <v>0</v>
      </c>
      <c r="R418" s="13">
        <v>0</v>
      </c>
      <c r="S418" s="13">
        <v>7781</v>
      </c>
    </row>
    <row r="419" spans="1:19" x14ac:dyDescent="0.25">
      <c r="A419" t="s">
        <v>791</v>
      </c>
      <c r="B419" t="s">
        <v>470</v>
      </c>
      <c r="C419" s="1"/>
      <c r="D419" s="1"/>
      <c r="E419" s="1"/>
      <c r="F419" s="1"/>
      <c r="G419" s="1"/>
      <c r="H419" s="1"/>
      <c r="I419" s="1"/>
      <c r="J419" s="1"/>
      <c r="L419" s="13" t="s">
        <v>820</v>
      </c>
      <c r="M419" s="13" t="s">
        <v>489</v>
      </c>
      <c r="N419" s="13">
        <v>12401</v>
      </c>
      <c r="O419" s="13">
        <v>7</v>
      </c>
      <c r="P419" s="13">
        <v>0</v>
      </c>
      <c r="Q419" s="13">
        <v>0</v>
      </c>
      <c r="R419" s="13">
        <v>0</v>
      </c>
      <c r="S419" s="13">
        <v>10635</v>
      </c>
    </row>
    <row r="420" spans="1:19" x14ac:dyDescent="0.25">
      <c r="A420" t="s">
        <v>788</v>
      </c>
      <c r="B420" t="s">
        <v>471</v>
      </c>
      <c r="C420" s="1"/>
      <c r="D420" s="1"/>
      <c r="E420" s="1"/>
      <c r="F420" s="1"/>
      <c r="G420" s="1"/>
      <c r="H420" s="1"/>
      <c r="I420" s="1"/>
      <c r="J420" s="1"/>
      <c r="L420" s="13">
        <v>711</v>
      </c>
      <c r="M420" s="13" t="s">
        <v>491</v>
      </c>
      <c r="N420" s="13">
        <v>11461</v>
      </c>
      <c r="O420" s="13">
        <v>436</v>
      </c>
      <c r="P420" s="13">
        <v>0</v>
      </c>
      <c r="Q420" s="13">
        <v>0</v>
      </c>
      <c r="R420" s="13">
        <v>0</v>
      </c>
      <c r="S420" s="13">
        <v>13462</v>
      </c>
    </row>
    <row r="421" spans="1:19" x14ac:dyDescent="0.25">
      <c r="A421" t="s">
        <v>795</v>
      </c>
      <c r="B421" t="s">
        <v>472</v>
      </c>
      <c r="C421" s="1"/>
      <c r="D421" s="1"/>
      <c r="E421" s="1"/>
      <c r="F421" s="1"/>
      <c r="G421" s="1"/>
      <c r="H421" s="1"/>
      <c r="I421" s="1"/>
      <c r="J421" s="1"/>
      <c r="L421" s="13">
        <v>715</v>
      </c>
      <c r="M421" s="13" t="s">
        <v>492</v>
      </c>
      <c r="N421" s="13">
        <v>6042</v>
      </c>
      <c r="O421" s="13">
        <v>1</v>
      </c>
      <c r="P421" s="13">
        <v>0</v>
      </c>
      <c r="Q421" s="13">
        <v>0</v>
      </c>
      <c r="R421" s="13">
        <v>0</v>
      </c>
      <c r="S421" s="13">
        <v>8542</v>
      </c>
    </row>
    <row r="422" spans="1:19" x14ac:dyDescent="0.25">
      <c r="A422" t="s">
        <v>788</v>
      </c>
      <c r="B422" t="s">
        <v>473</v>
      </c>
      <c r="C422" s="1">
        <f>17424+8+1+1+2+9601</f>
        <v>27037</v>
      </c>
      <c r="D422" s="1">
        <f>206+31+347+1+2</f>
        <v>587</v>
      </c>
      <c r="E422" s="1">
        <v>0</v>
      </c>
      <c r="F422" s="1">
        <v>0</v>
      </c>
      <c r="G422" s="1">
        <v>0</v>
      </c>
      <c r="H422" s="1">
        <v>7902</v>
      </c>
      <c r="I422" s="1">
        <v>9124</v>
      </c>
      <c r="J422" s="1"/>
      <c r="L422" s="13">
        <v>100</v>
      </c>
      <c r="M422" s="13" t="s">
        <v>493</v>
      </c>
      <c r="N422" s="13">
        <v>6857</v>
      </c>
      <c r="O422" s="13">
        <v>206</v>
      </c>
      <c r="P422" s="13">
        <v>0</v>
      </c>
      <c r="Q422" s="13">
        <v>0</v>
      </c>
      <c r="R422" s="13">
        <v>0</v>
      </c>
      <c r="S422" s="13">
        <v>17671</v>
      </c>
    </row>
    <row r="423" spans="1:19" x14ac:dyDescent="0.25">
      <c r="A423" t="s">
        <v>817</v>
      </c>
      <c r="B423" t="s">
        <v>474</v>
      </c>
      <c r="C423" s="1">
        <f>8944+2+2+23040</f>
        <v>31988</v>
      </c>
      <c r="D423" s="1">
        <f>103+1+119+1</f>
        <v>224</v>
      </c>
      <c r="E423" s="1">
        <v>0</v>
      </c>
      <c r="F423" s="1">
        <v>0</v>
      </c>
      <c r="G423" s="1">
        <v>0</v>
      </c>
      <c r="H423" s="1">
        <v>117197</v>
      </c>
      <c r="I423" s="1">
        <v>16213</v>
      </c>
      <c r="J423" s="1"/>
      <c r="L423" s="13" t="s">
        <v>815</v>
      </c>
      <c r="M423" s="13" t="s">
        <v>494</v>
      </c>
      <c r="N423" s="13">
        <v>6508</v>
      </c>
      <c r="O423" s="13">
        <v>6</v>
      </c>
      <c r="P423" s="13">
        <v>0</v>
      </c>
      <c r="Q423" s="13">
        <v>0</v>
      </c>
      <c r="R423" s="13">
        <v>0</v>
      </c>
      <c r="S423" s="13">
        <v>14445</v>
      </c>
    </row>
    <row r="424" spans="1:19" x14ac:dyDescent="0.25">
      <c r="A424" t="s">
        <v>512</v>
      </c>
      <c r="B424" t="s">
        <v>475</v>
      </c>
      <c r="C424" s="1"/>
      <c r="D424" s="1"/>
      <c r="E424" s="1"/>
      <c r="F424" s="1"/>
      <c r="G424" s="1"/>
      <c r="H424" s="1"/>
      <c r="I424" s="1"/>
      <c r="J424" s="1"/>
      <c r="L424" s="13">
        <v>613</v>
      </c>
      <c r="M424" s="13" t="s">
        <v>496</v>
      </c>
      <c r="N424" s="13">
        <v>84125</v>
      </c>
      <c r="O424" s="13">
        <v>224</v>
      </c>
      <c r="P424" s="13">
        <v>0</v>
      </c>
      <c r="Q424" s="13">
        <v>0</v>
      </c>
      <c r="R424" s="13">
        <v>0</v>
      </c>
      <c r="S424" s="13">
        <v>17715</v>
      </c>
    </row>
    <row r="425" spans="1:19" x14ac:dyDescent="0.25">
      <c r="A425" t="s">
        <v>146</v>
      </c>
      <c r="B425" t="s">
        <v>476</v>
      </c>
      <c r="C425" s="1">
        <f>14604+4+6+70+1+2+1+3+4441+1+1+1</f>
        <v>19135</v>
      </c>
      <c r="D425" s="1">
        <f>14+32</f>
        <v>46</v>
      </c>
      <c r="E425" s="1">
        <v>0</v>
      </c>
      <c r="F425" s="1">
        <v>0</v>
      </c>
      <c r="G425" s="1">
        <v>0</v>
      </c>
      <c r="H425" s="1">
        <v>7107</v>
      </c>
      <c r="I425" s="1">
        <v>4499</v>
      </c>
      <c r="J425" s="1"/>
      <c r="L425" s="13">
        <v>100</v>
      </c>
      <c r="M425" s="13" t="s">
        <v>497</v>
      </c>
      <c r="N425" s="13">
        <v>7340</v>
      </c>
      <c r="O425" s="13">
        <v>28</v>
      </c>
      <c r="P425" s="13">
        <v>0</v>
      </c>
      <c r="Q425" s="13">
        <v>0</v>
      </c>
      <c r="R425" s="13">
        <v>0</v>
      </c>
      <c r="S425" s="13">
        <v>6544</v>
      </c>
    </row>
    <row r="426" spans="1:19" x14ac:dyDescent="0.25">
      <c r="A426" t="s">
        <v>76</v>
      </c>
      <c r="B426" t="s">
        <v>477</v>
      </c>
      <c r="C426" s="1">
        <f>16810+26+12120+76</f>
        <v>29032</v>
      </c>
      <c r="D426" s="1">
        <f>73+38+16</f>
        <v>127</v>
      </c>
      <c r="E426" s="1">
        <v>0</v>
      </c>
      <c r="F426" s="1">
        <v>0</v>
      </c>
      <c r="G426" s="1">
        <v>0</v>
      </c>
      <c r="H426" s="1">
        <v>18095</v>
      </c>
      <c r="I426" s="1">
        <v>9323</v>
      </c>
      <c r="J426" s="1"/>
      <c r="L426" s="13">
        <v>712</v>
      </c>
      <c r="M426" s="13" t="s">
        <v>501</v>
      </c>
      <c r="N426" s="13">
        <v>3705</v>
      </c>
      <c r="O426" s="13">
        <v>0</v>
      </c>
      <c r="P426" s="13">
        <v>0</v>
      </c>
      <c r="Q426" s="13">
        <v>0</v>
      </c>
      <c r="R426" s="13">
        <v>0</v>
      </c>
      <c r="S426" s="13">
        <v>0</v>
      </c>
    </row>
    <row r="427" spans="1:19" x14ac:dyDescent="0.25">
      <c r="A427" t="s">
        <v>76</v>
      </c>
      <c r="B427" t="s">
        <v>478</v>
      </c>
      <c r="C427" s="1">
        <f>18419+174+7207+412</f>
        <v>26212</v>
      </c>
      <c r="D427" s="1">
        <f>192+6</f>
        <v>198</v>
      </c>
      <c r="E427" s="1">
        <v>0</v>
      </c>
      <c r="F427" s="1">
        <v>0</v>
      </c>
      <c r="G427" s="1">
        <v>0</v>
      </c>
      <c r="H427" s="1">
        <v>10560</v>
      </c>
      <c r="I427" s="1">
        <v>6579</v>
      </c>
      <c r="J427" s="1"/>
      <c r="L427" s="13">
        <v>616</v>
      </c>
      <c r="M427" s="13" t="s">
        <v>502</v>
      </c>
      <c r="N427" s="13">
        <v>9</v>
      </c>
      <c r="O427" s="13">
        <v>0</v>
      </c>
      <c r="P427" s="13">
        <v>0</v>
      </c>
      <c r="Q427" s="13">
        <v>0</v>
      </c>
      <c r="R427" s="13">
        <v>0</v>
      </c>
      <c r="S427" s="13">
        <v>0</v>
      </c>
    </row>
    <row r="428" spans="1:19" x14ac:dyDescent="0.25">
      <c r="A428" t="s">
        <v>823</v>
      </c>
      <c r="B428" t="s">
        <v>479</v>
      </c>
      <c r="C428" s="1">
        <f>2448+383+645</f>
        <v>3476</v>
      </c>
      <c r="D428" s="1">
        <v>0</v>
      </c>
      <c r="E428" s="1">
        <v>0</v>
      </c>
      <c r="F428" s="1">
        <v>0</v>
      </c>
      <c r="G428" s="1">
        <v>0</v>
      </c>
      <c r="H428" s="1">
        <v>333</v>
      </c>
      <c r="I428" s="1">
        <v>491</v>
      </c>
      <c r="J428" s="1"/>
      <c r="L428" s="13">
        <v>114</v>
      </c>
      <c r="M428" s="13" t="s">
        <v>503</v>
      </c>
      <c r="N428" s="13">
        <v>705</v>
      </c>
      <c r="O428" s="13">
        <v>0</v>
      </c>
      <c r="P428" s="13">
        <v>0</v>
      </c>
      <c r="Q428" s="13">
        <v>0</v>
      </c>
      <c r="R428" s="13">
        <v>0</v>
      </c>
      <c r="S428" s="13">
        <v>0</v>
      </c>
    </row>
    <row r="429" spans="1:19" x14ac:dyDescent="0.25">
      <c r="A429" t="s">
        <v>83</v>
      </c>
      <c r="B429" t="s">
        <v>480</v>
      </c>
      <c r="C429" s="1"/>
      <c r="D429" s="1"/>
      <c r="E429" s="1"/>
      <c r="F429" s="1"/>
      <c r="G429" s="1"/>
      <c r="H429" s="1"/>
      <c r="I429" s="1"/>
      <c r="J429" s="1"/>
      <c r="L429" s="13">
        <v>712</v>
      </c>
      <c r="M429" s="13" t="s">
        <v>504</v>
      </c>
      <c r="N429" s="13">
        <v>3488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</row>
    <row r="430" spans="1:19" x14ac:dyDescent="0.25">
      <c r="A430" t="s">
        <v>512</v>
      </c>
      <c r="B430" t="s">
        <v>481</v>
      </c>
      <c r="C430" s="1"/>
      <c r="D430" s="1"/>
      <c r="E430" s="1"/>
      <c r="F430" s="1"/>
      <c r="G430" s="1"/>
      <c r="H430" s="1"/>
      <c r="I430" s="1"/>
      <c r="J430" s="1"/>
      <c r="L430" s="13">
        <v>616</v>
      </c>
      <c r="M430" s="13" t="s">
        <v>505</v>
      </c>
      <c r="N430" s="13"/>
      <c r="O430" s="13"/>
      <c r="P430" s="13"/>
      <c r="Q430" s="13"/>
      <c r="R430" s="13"/>
      <c r="S430" s="13"/>
    </row>
    <row r="431" spans="1:19" x14ac:dyDescent="0.25">
      <c r="A431" t="s">
        <v>824</v>
      </c>
      <c r="B431" t="s">
        <v>482</v>
      </c>
      <c r="C431" s="1"/>
      <c r="D431" s="1"/>
      <c r="E431" s="1"/>
      <c r="F431" s="1"/>
      <c r="G431" s="1"/>
      <c r="H431" s="1"/>
      <c r="I431" s="1"/>
      <c r="J431" s="1"/>
      <c r="L431" s="13">
        <v>500</v>
      </c>
      <c r="M431" s="13" t="s">
        <v>506</v>
      </c>
      <c r="N431" s="13"/>
      <c r="O431" s="13"/>
      <c r="P431" s="13"/>
      <c r="Q431" s="13"/>
      <c r="R431" s="13"/>
      <c r="S431" s="13"/>
    </row>
    <row r="432" spans="1:19" x14ac:dyDescent="0.25">
      <c r="A432" t="s">
        <v>72</v>
      </c>
      <c r="B432" t="s">
        <v>483</v>
      </c>
      <c r="C432" s="1">
        <f>16343+5+2358+1</f>
        <v>18707</v>
      </c>
      <c r="D432" s="1">
        <f>8+2+56</f>
        <v>66</v>
      </c>
      <c r="E432" s="1">
        <v>0</v>
      </c>
      <c r="F432" s="1">
        <v>0</v>
      </c>
      <c r="G432" s="1">
        <v>0</v>
      </c>
      <c r="H432" s="1">
        <v>54883</v>
      </c>
      <c r="I432" s="1">
        <v>2221</v>
      </c>
      <c r="J432" s="1"/>
      <c r="L432" s="13">
        <v>616</v>
      </c>
      <c r="M432" s="13" t="s">
        <v>507</v>
      </c>
      <c r="N432" s="13">
        <v>1396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</row>
    <row r="433" spans="1:19" x14ac:dyDescent="0.25">
      <c r="A433" t="s">
        <v>801</v>
      </c>
      <c r="B433" t="s">
        <v>484</v>
      </c>
      <c r="C433" s="1">
        <f>10944+45+7+3+9575+572+4</f>
        <v>21150</v>
      </c>
      <c r="D433" s="1">
        <v>13</v>
      </c>
      <c r="E433" s="1">
        <v>0</v>
      </c>
      <c r="F433" s="1">
        <v>0</v>
      </c>
      <c r="G433" s="1">
        <v>0</v>
      </c>
      <c r="H433" s="1">
        <v>44669</v>
      </c>
      <c r="I433" s="1">
        <v>9155</v>
      </c>
      <c r="J433" s="1"/>
      <c r="L433" s="13">
        <v>616</v>
      </c>
      <c r="M433" s="13" t="s">
        <v>508</v>
      </c>
      <c r="N433" s="13"/>
      <c r="O433" s="13"/>
      <c r="P433" s="13"/>
      <c r="Q433" s="13"/>
      <c r="R433" s="13"/>
      <c r="S433" s="13"/>
    </row>
    <row r="434" spans="1:19" x14ac:dyDescent="0.25">
      <c r="A434" t="s">
        <v>818</v>
      </c>
      <c r="B434" t="s">
        <v>485</v>
      </c>
      <c r="C434" s="1">
        <f>5516+6+129+5714</f>
        <v>11365</v>
      </c>
      <c r="D434" s="1">
        <v>0</v>
      </c>
      <c r="E434" s="1">
        <v>0</v>
      </c>
      <c r="F434" s="1">
        <v>0</v>
      </c>
      <c r="G434" s="1">
        <v>0</v>
      </c>
      <c r="H434" s="1">
        <v>6089</v>
      </c>
      <c r="I434" s="1">
        <v>3018</v>
      </c>
      <c r="J434" s="1"/>
      <c r="L434" s="13">
        <v>711</v>
      </c>
      <c r="M434" s="13" t="s">
        <v>509</v>
      </c>
      <c r="N434" s="13">
        <v>276</v>
      </c>
      <c r="O434" s="13">
        <v>0</v>
      </c>
      <c r="P434" s="13">
        <v>0</v>
      </c>
      <c r="Q434" s="13">
        <v>0</v>
      </c>
      <c r="R434" s="13">
        <v>0</v>
      </c>
      <c r="S434" s="13">
        <v>0</v>
      </c>
    </row>
    <row r="435" spans="1:19" x14ac:dyDescent="0.25">
      <c r="A435" t="s">
        <v>797</v>
      </c>
      <c r="B435" t="s">
        <v>486</v>
      </c>
      <c r="C435" s="1"/>
      <c r="D435" s="1"/>
      <c r="E435" s="1"/>
      <c r="F435" s="1"/>
      <c r="G435" s="1"/>
      <c r="H435" s="1"/>
      <c r="I435" s="1"/>
      <c r="J435" s="1"/>
      <c r="L435" s="13">
        <v>711</v>
      </c>
      <c r="M435" s="13" t="s">
        <v>510</v>
      </c>
      <c r="N435" s="13">
        <v>6121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</row>
    <row r="436" spans="1:19" x14ac:dyDescent="0.25">
      <c r="A436" t="s">
        <v>804</v>
      </c>
      <c r="B436" t="s">
        <v>487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/>
      <c r="L436" s="13">
        <v>114</v>
      </c>
      <c r="M436" s="13" t="s">
        <v>511</v>
      </c>
      <c r="N436" s="13">
        <v>488</v>
      </c>
      <c r="O436" s="13">
        <v>0</v>
      </c>
      <c r="P436" s="13">
        <v>0</v>
      </c>
      <c r="Q436" s="13">
        <v>0</v>
      </c>
      <c r="R436" s="13">
        <v>0</v>
      </c>
      <c r="S436" s="13">
        <v>0</v>
      </c>
    </row>
    <row r="437" spans="1:19" x14ac:dyDescent="0.25">
      <c r="A437" t="s">
        <v>226</v>
      </c>
      <c r="B437" t="s">
        <v>488</v>
      </c>
      <c r="C437" s="1">
        <f>18468+74+4+5153</f>
        <v>23699</v>
      </c>
      <c r="D437" s="1">
        <v>60</v>
      </c>
      <c r="E437" s="1">
        <v>0</v>
      </c>
      <c r="F437" s="1">
        <v>0</v>
      </c>
      <c r="G437" s="1">
        <v>0</v>
      </c>
      <c r="H437" s="1">
        <v>7781</v>
      </c>
      <c r="I437" s="1">
        <v>4731</v>
      </c>
      <c r="J437" s="1"/>
      <c r="L437" s="13">
        <v>313</v>
      </c>
      <c r="M437" s="13" t="s">
        <v>513</v>
      </c>
      <c r="N437" s="13">
        <v>3308</v>
      </c>
      <c r="O437" s="13">
        <v>0</v>
      </c>
      <c r="P437" s="13">
        <v>0</v>
      </c>
      <c r="Q437" s="13">
        <v>0</v>
      </c>
      <c r="R437" s="13">
        <v>0</v>
      </c>
      <c r="S437" s="13">
        <v>0</v>
      </c>
    </row>
    <row r="438" spans="1:19" x14ac:dyDescent="0.25">
      <c r="A438" t="s">
        <v>265</v>
      </c>
      <c r="B438" t="s">
        <v>489</v>
      </c>
      <c r="C438" s="1">
        <f>10293+20+24+2064</f>
        <v>12401</v>
      </c>
      <c r="D438" s="1">
        <f>3+4</f>
        <v>7</v>
      </c>
      <c r="E438" s="1">
        <v>0</v>
      </c>
      <c r="F438" s="1">
        <v>0</v>
      </c>
      <c r="G438" s="1">
        <v>0</v>
      </c>
      <c r="H438" s="1">
        <v>10635</v>
      </c>
      <c r="I438" s="1">
        <v>1800</v>
      </c>
      <c r="J438" s="1"/>
      <c r="L438" s="13">
        <v>616</v>
      </c>
      <c r="M438" s="13" t="s">
        <v>514</v>
      </c>
      <c r="N438" s="13">
        <v>2191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</row>
    <row r="439" spans="1:19" x14ac:dyDescent="0.25">
      <c r="A439" t="s">
        <v>10</v>
      </c>
      <c r="B439" s="1" t="s">
        <v>490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/>
      <c r="L439" s="13">
        <v>711</v>
      </c>
      <c r="M439" s="13" t="s">
        <v>515</v>
      </c>
      <c r="N439" s="13">
        <v>689</v>
      </c>
      <c r="O439" s="13">
        <v>0</v>
      </c>
      <c r="P439" s="13">
        <v>0</v>
      </c>
      <c r="Q439" s="13">
        <v>0</v>
      </c>
      <c r="R439" s="13">
        <v>0</v>
      </c>
      <c r="S439" s="13">
        <v>0</v>
      </c>
    </row>
    <row r="440" spans="1:19" x14ac:dyDescent="0.25">
      <c r="A440" t="s">
        <v>801</v>
      </c>
      <c r="B440" t="s">
        <v>491</v>
      </c>
      <c r="C440" s="1">
        <f>5350+31+2+6066+1+10+1</f>
        <v>11461</v>
      </c>
      <c r="D440" s="1">
        <f>34+314+88</f>
        <v>436</v>
      </c>
      <c r="E440" s="1">
        <v>0</v>
      </c>
      <c r="F440" s="1">
        <v>0</v>
      </c>
      <c r="G440" s="1">
        <v>0</v>
      </c>
      <c r="H440" s="1">
        <v>13462</v>
      </c>
      <c r="I440" s="1">
        <v>5175</v>
      </c>
      <c r="J440" s="1"/>
      <c r="L440" s="13">
        <v>161</v>
      </c>
      <c r="M440" s="13" t="s">
        <v>516</v>
      </c>
      <c r="N440" s="13">
        <v>18</v>
      </c>
      <c r="O440" s="13">
        <v>0</v>
      </c>
      <c r="P440" s="13">
        <v>0</v>
      </c>
      <c r="Q440" s="13">
        <v>0</v>
      </c>
      <c r="R440" s="13">
        <v>0</v>
      </c>
      <c r="S440" s="13">
        <v>0</v>
      </c>
    </row>
    <row r="441" spans="1:19" x14ac:dyDescent="0.25">
      <c r="A441" t="s">
        <v>818</v>
      </c>
      <c r="B441" t="s">
        <v>492</v>
      </c>
      <c r="C441" s="1">
        <f>4665+10+1367</f>
        <v>6042</v>
      </c>
      <c r="D441" s="1">
        <v>1</v>
      </c>
      <c r="E441" s="1">
        <v>0</v>
      </c>
      <c r="F441" s="1">
        <v>0</v>
      </c>
      <c r="G441" s="1">
        <v>0</v>
      </c>
      <c r="H441" s="1">
        <v>8542</v>
      </c>
      <c r="I441" s="1">
        <v>1296</v>
      </c>
      <c r="J441" s="1"/>
      <c r="L441" s="13">
        <v>110</v>
      </c>
      <c r="M441" s="13" t="s">
        <v>517</v>
      </c>
      <c r="N441" s="13">
        <v>759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</row>
    <row r="442" spans="1:19" x14ac:dyDescent="0.25">
      <c r="A442" t="s">
        <v>791</v>
      </c>
      <c r="B442" t="s">
        <v>493</v>
      </c>
      <c r="C442" s="1"/>
      <c r="D442" s="1"/>
      <c r="E442" s="1"/>
      <c r="F442" s="1"/>
      <c r="G442" s="1"/>
      <c r="H442" s="1"/>
      <c r="I442" s="1"/>
      <c r="J442" s="1"/>
      <c r="L442" s="13">
        <v>111</v>
      </c>
      <c r="M442" s="13" t="s">
        <v>518</v>
      </c>
      <c r="N442" s="13">
        <v>5714</v>
      </c>
      <c r="O442" s="13">
        <v>0</v>
      </c>
      <c r="P442" s="13">
        <v>0</v>
      </c>
      <c r="Q442" s="13">
        <v>0</v>
      </c>
      <c r="R442" s="13">
        <v>0</v>
      </c>
      <c r="S442" s="13">
        <v>0</v>
      </c>
    </row>
    <row r="443" spans="1:19" x14ac:dyDescent="0.25">
      <c r="A443" t="s">
        <v>138</v>
      </c>
      <c r="B443" t="s">
        <v>494</v>
      </c>
      <c r="C443" s="1"/>
      <c r="D443" s="1"/>
      <c r="E443" s="1"/>
      <c r="F443" s="1"/>
      <c r="G443" s="1"/>
      <c r="H443" s="1"/>
      <c r="I443" s="1"/>
      <c r="J443" s="1"/>
      <c r="L443" s="13">
        <v>300</v>
      </c>
      <c r="M443" s="13" t="s">
        <v>519</v>
      </c>
      <c r="N443" s="13">
        <v>323</v>
      </c>
      <c r="O443" s="13">
        <v>0</v>
      </c>
      <c r="P443" s="13">
        <v>0</v>
      </c>
      <c r="Q443" s="13">
        <v>0</v>
      </c>
      <c r="R443" s="13">
        <v>0</v>
      </c>
      <c r="S443" s="13">
        <v>0</v>
      </c>
    </row>
    <row r="444" spans="1:19" x14ac:dyDescent="0.25">
      <c r="A444" t="s">
        <v>495</v>
      </c>
      <c r="B444" t="s">
        <v>496</v>
      </c>
      <c r="C444" s="1">
        <f>60625+1+620+1+175+22702+1</f>
        <v>84125</v>
      </c>
      <c r="D444" s="1">
        <f>103+105+15+1</f>
        <v>224</v>
      </c>
      <c r="E444" s="1">
        <v>0</v>
      </c>
      <c r="F444" s="1">
        <v>0</v>
      </c>
      <c r="G444" s="1">
        <v>0</v>
      </c>
      <c r="H444" s="1">
        <v>17715</v>
      </c>
      <c r="I444" s="1">
        <v>18392</v>
      </c>
      <c r="J444" s="1"/>
      <c r="L444" s="13">
        <v>712</v>
      </c>
      <c r="M444" s="13" t="s">
        <v>520</v>
      </c>
      <c r="N444" s="13">
        <v>862</v>
      </c>
      <c r="O444" s="13">
        <v>0</v>
      </c>
      <c r="P444" s="13">
        <v>0</v>
      </c>
      <c r="Q444" s="13">
        <v>0</v>
      </c>
      <c r="R444" s="13">
        <v>0</v>
      </c>
      <c r="S444" s="13">
        <v>0</v>
      </c>
    </row>
    <row r="445" spans="1:19" x14ac:dyDescent="0.25">
      <c r="A445" t="s">
        <v>791</v>
      </c>
      <c r="B445" t="s">
        <v>497</v>
      </c>
      <c r="C445" s="1"/>
      <c r="D445" s="1"/>
      <c r="E445" s="1"/>
      <c r="F445" s="1"/>
      <c r="G445" s="1"/>
      <c r="H445" s="1"/>
      <c r="I445" s="1"/>
      <c r="J445" s="1"/>
      <c r="L445" s="13">
        <v>114</v>
      </c>
      <c r="M445" s="13" t="s">
        <v>521</v>
      </c>
      <c r="N445" s="13">
        <v>9728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</row>
    <row r="446" spans="1:19" x14ac:dyDescent="0.25">
      <c r="A446" s="27" t="s">
        <v>10</v>
      </c>
      <c r="B446" s="32" t="s">
        <v>782</v>
      </c>
      <c r="C446" s="1"/>
      <c r="D446" s="1"/>
      <c r="E446" s="1"/>
      <c r="F446" s="1"/>
      <c r="G446" s="1"/>
      <c r="H446" s="1"/>
      <c r="I446" s="1"/>
      <c r="J446" s="1"/>
      <c r="L446" s="13">
        <v>312</v>
      </c>
      <c r="M446" s="13" t="s">
        <v>522</v>
      </c>
      <c r="N446" s="13">
        <v>517</v>
      </c>
      <c r="O446" s="13">
        <v>0</v>
      </c>
      <c r="P446" s="13">
        <v>0</v>
      </c>
      <c r="Q446" s="13">
        <v>0</v>
      </c>
      <c r="R446" s="13">
        <v>0</v>
      </c>
      <c r="S446" s="13">
        <v>0</v>
      </c>
    </row>
    <row r="447" spans="1:19" x14ac:dyDescent="0.25">
      <c r="A447" s="27" t="s">
        <v>10</v>
      </c>
      <c r="B447" s="32" t="s">
        <v>783</v>
      </c>
      <c r="C447" s="1"/>
      <c r="D447" s="1"/>
      <c r="E447" s="1"/>
      <c r="F447" s="1"/>
      <c r="G447" s="1"/>
      <c r="H447" s="1"/>
      <c r="I447" s="1"/>
      <c r="J447" s="1"/>
      <c r="L447" s="13">
        <v>616</v>
      </c>
      <c r="M447" s="13" t="s">
        <v>523</v>
      </c>
      <c r="N447" s="13"/>
      <c r="O447" s="13"/>
      <c r="P447" s="13"/>
      <c r="Q447" s="13"/>
      <c r="R447" s="13"/>
      <c r="S447" s="13"/>
    </row>
    <row r="448" spans="1:19" x14ac:dyDescent="0.25">
      <c r="A448" s="27" t="s">
        <v>10</v>
      </c>
      <c r="B448" s="32" t="s">
        <v>784</v>
      </c>
      <c r="C448" s="1"/>
      <c r="D448" s="1"/>
      <c r="E448" s="1"/>
      <c r="F448" s="1"/>
      <c r="G448" s="1"/>
      <c r="H448" s="1"/>
      <c r="I448" s="1"/>
      <c r="J448" s="1"/>
      <c r="L448" s="13">
        <v>600</v>
      </c>
      <c r="M448" s="13" t="s">
        <v>524</v>
      </c>
      <c r="N448" s="13">
        <v>744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</row>
    <row r="449" spans="1:19" x14ac:dyDescent="0.25">
      <c r="A449" s="27" t="s">
        <v>10</v>
      </c>
      <c r="B449" s="32" t="s">
        <v>785</v>
      </c>
      <c r="C449" s="1"/>
      <c r="D449" s="1"/>
      <c r="E449" s="1"/>
      <c r="F449" s="1"/>
      <c r="G449" s="1"/>
      <c r="H449" s="1"/>
      <c r="I449" s="1"/>
      <c r="J449" s="1"/>
      <c r="L449" s="13">
        <v>118</v>
      </c>
      <c r="M449" s="13" t="s">
        <v>525</v>
      </c>
      <c r="N449" s="13">
        <v>481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</row>
    <row r="450" spans="1:19" x14ac:dyDescent="0.25">
      <c r="A450" t="s">
        <v>10</v>
      </c>
      <c r="B450" s="1" t="s">
        <v>498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/>
      <c r="L450" s="13">
        <v>712</v>
      </c>
      <c r="M450" s="13" t="s">
        <v>526</v>
      </c>
      <c r="N450" s="13"/>
      <c r="O450" s="13"/>
      <c r="P450" s="13"/>
      <c r="Q450" s="13"/>
      <c r="R450" s="13"/>
      <c r="S450" s="13"/>
    </row>
    <row r="451" spans="1:19" x14ac:dyDescent="0.25">
      <c r="A451" s="27" t="s">
        <v>10</v>
      </c>
      <c r="B451" s="32" t="s">
        <v>786</v>
      </c>
      <c r="C451" s="1"/>
      <c r="D451" s="1"/>
      <c r="E451" s="1"/>
      <c r="F451" s="1"/>
      <c r="G451" s="1"/>
      <c r="H451" s="1"/>
      <c r="I451" s="1"/>
      <c r="J451" s="1"/>
      <c r="L451" s="13">
        <v>171</v>
      </c>
      <c r="M451" s="13" t="s">
        <v>527</v>
      </c>
      <c r="N451" s="13">
        <v>357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</row>
    <row r="452" spans="1:19" x14ac:dyDescent="0.25">
      <c r="A452" t="s">
        <v>10</v>
      </c>
      <c r="B452" s="1" t="s">
        <v>499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/>
      <c r="L452" s="13">
        <v>712</v>
      </c>
      <c r="M452" s="13" t="s">
        <v>528</v>
      </c>
      <c r="N452" s="13">
        <v>239</v>
      </c>
      <c r="O452" s="13">
        <v>0</v>
      </c>
      <c r="P452" s="13">
        <v>0</v>
      </c>
      <c r="Q452" s="13">
        <v>0</v>
      </c>
      <c r="R452" s="13">
        <v>0</v>
      </c>
      <c r="S452" s="13">
        <v>0</v>
      </c>
    </row>
    <row r="453" spans="1:19" x14ac:dyDescent="0.25">
      <c r="A453" t="s">
        <v>10</v>
      </c>
      <c r="B453" s="1" t="s">
        <v>500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/>
      <c r="L453" s="13">
        <v>711</v>
      </c>
      <c r="M453" s="13" t="s">
        <v>529</v>
      </c>
      <c r="N453" s="13"/>
      <c r="O453" s="13"/>
      <c r="P453" s="13"/>
      <c r="Q453" s="13"/>
      <c r="R453" s="13"/>
      <c r="S453" s="13"/>
    </row>
    <row r="454" spans="1:19" x14ac:dyDescent="0.25">
      <c r="A454" t="s">
        <v>76</v>
      </c>
      <c r="B454" t="s">
        <v>501</v>
      </c>
      <c r="C454" s="1">
        <v>3705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/>
      <c r="L454" s="13">
        <v>116</v>
      </c>
      <c r="M454" s="13" t="s">
        <v>530</v>
      </c>
      <c r="N454" s="13">
        <v>29438</v>
      </c>
      <c r="O454" s="13">
        <v>0</v>
      </c>
      <c r="P454" s="13">
        <v>0</v>
      </c>
      <c r="Q454" s="13">
        <v>0</v>
      </c>
      <c r="R454" s="13">
        <v>0</v>
      </c>
      <c r="S454" s="13">
        <v>0</v>
      </c>
    </row>
    <row r="455" spans="1:19" x14ac:dyDescent="0.25">
      <c r="A455" t="s">
        <v>817</v>
      </c>
      <c r="B455" t="s">
        <v>502</v>
      </c>
      <c r="C455" s="1">
        <v>9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/>
      <c r="L455" s="13">
        <v>161</v>
      </c>
      <c r="M455" s="13" t="s">
        <v>531</v>
      </c>
      <c r="N455" s="13">
        <v>581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</row>
    <row r="456" spans="1:19" x14ac:dyDescent="0.25">
      <c r="A456" t="s">
        <v>150</v>
      </c>
      <c r="B456" t="s">
        <v>503</v>
      </c>
      <c r="C456" s="1"/>
      <c r="D456" s="1"/>
      <c r="E456" s="1"/>
      <c r="F456" s="1"/>
      <c r="G456" s="1"/>
      <c r="H456" s="1"/>
      <c r="I456" s="1"/>
      <c r="J456" s="1"/>
      <c r="L456" s="13">
        <v>500</v>
      </c>
      <c r="M456" s="13" t="s">
        <v>532</v>
      </c>
      <c r="N456" s="13"/>
      <c r="O456" s="13"/>
      <c r="P456" s="13"/>
      <c r="Q456" s="13"/>
      <c r="R456" s="13"/>
      <c r="S456" s="13"/>
    </row>
    <row r="457" spans="1:19" x14ac:dyDescent="0.25">
      <c r="A457" t="s">
        <v>76</v>
      </c>
      <c r="B457" t="s">
        <v>504</v>
      </c>
      <c r="C457" s="1"/>
      <c r="D457" s="1"/>
      <c r="E457" s="1"/>
      <c r="F457" s="1"/>
      <c r="G457" s="1"/>
      <c r="H457" s="1"/>
      <c r="I457" s="1"/>
      <c r="J457" s="1"/>
      <c r="L457" s="13">
        <v>712</v>
      </c>
      <c r="M457" s="13" t="s">
        <v>533</v>
      </c>
      <c r="N457" s="13">
        <v>334</v>
      </c>
      <c r="O457" s="13">
        <v>0</v>
      </c>
      <c r="P457" s="13">
        <v>0</v>
      </c>
      <c r="Q457" s="13">
        <v>0</v>
      </c>
      <c r="R457" s="13">
        <v>0</v>
      </c>
      <c r="S457" s="13">
        <v>0</v>
      </c>
    </row>
    <row r="458" spans="1:19" x14ac:dyDescent="0.25">
      <c r="A458" t="s">
        <v>817</v>
      </c>
      <c r="B458" t="s">
        <v>505</v>
      </c>
      <c r="C458" s="1"/>
      <c r="D458" s="1"/>
      <c r="E458" s="1"/>
      <c r="F458" s="1"/>
      <c r="G458" s="1"/>
      <c r="H458" s="1"/>
      <c r="I458" s="1"/>
      <c r="J458" s="1"/>
      <c r="L458" s="13">
        <v>511</v>
      </c>
      <c r="M458" s="13" t="s">
        <v>534</v>
      </c>
      <c r="N458" s="13">
        <v>1586</v>
      </c>
      <c r="O458" s="13">
        <v>0</v>
      </c>
      <c r="P458" s="13">
        <v>0</v>
      </c>
      <c r="Q458" s="13">
        <v>0</v>
      </c>
      <c r="R458" s="13">
        <v>0</v>
      </c>
      <c r="S458" s="13">
        <v>0</v>
      </c>
    </row>
    <row r="459" spans="1:19" x14ac:dyDescent="0.25">
      <c r="A459" t="s">
        <v>824</v>
      </c>
      <c r="B459" t="s">
        <v>506</v>
      </c>
      <c r="C459" s="1"/>
      <c r="D459" s="1"/>
      <c r="E459" s="1"/>
      <c r="F459" s="1"/>
      <c r="G459" s="1"/>
      <c r="H459" s="1"/>
      <c r="I459" s="1"/>
      <c r="J459" s="1"/>
      <c r="L459" s="13">
        <v>110</v>
      </c>
      <c r="M459" s="13" t="s">
        <v>535</v>
      </c>
      <c r="N459" s="13">
        <v>8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</row>
    <row r="460" spans="1:19" x14ac:dyDescent="0.25">
      <c r="A460" t="s">
        <v>817</v>
      </c>
      <c r="B460" t="s">
        <v>507</v>
      </c>
      <c r="C460" s="1">
        <v>1396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/>
      <c r="L460" s="13">
        <v>311</v>
      </c>
      <c r="M460" s="13" t="s">
        <v>536</v>
      </c>
      <c r="N460" s="13">
        <v>1383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</row>
    <row r="461" spans="1:19" x14ac:dyDescent="0.25">
      <c r="A461" t="s">
        <v>817</v>
      </c>
      <c r="B461" t="s">
        <v>508</v>
      </c>
      <c r="C461" s="1"/>
      <c r="D461" s="1"/>
      <c r="E461" s="1"/>
      <c r="F461" s="1"/>
      <c r="G461" s="1"/>
      <c r="H461" s="1"/>
      <c r="I461" s="1"/>
      <c r="J461" s="1"/>
      <c r="L461" s="13">
        <v>616</v>
      </c>
      <c r="M461" s="13" t="s">
        <v>537</v>
      </c>
      <c r="N461" s="13">
        <v>12797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</row>
    <row r="462" spans="1:19" x14ac:dyDescent="0.25">
      <c r="A462" t="s">
        <v>801</v>
      </c>
      <c r="B462" t="s">
        <v>509</v>
      </c>
      <c r="C462" s="1">
        <v>276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/>
      <c r="L462" s="13">
        <v>111</v>
      </c>
      <c r="M462" s="13" t="s">
        <v>538</v>
      </c>
      <c r="N462" s="13">
        <v>27271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</row>
    <row r="463" spans="1:19" x14ac:dyDescent="0.25">
      <c r="A463" t="s">
        <v>801</v>
      </c>
      <c r="B463" t="s">
        <v>510</v>
      </c>
      <c r="C463" s="1">
        <v>6121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/>
      <c r="L463" s="13">
        <v>616</v>
      </c>
      <c r="M463" s="13" t="s">
        <v>539</v>
      </c>
      <c r="N463" s="13">
        <v>1927</v>
      </c>
      <c r="O463" s="13">
        <v>0</v>
      </c>
      <c r="P463" s="13">
        <v>0</v>
      </c>
      <c r="Q463" s="13">
        <v>0</v>
      </c>
      <c r="R463" s="13">
        <v>0</v>
      </c>
      <c r="S463" s="13">
        <v>0</v>
      </c>
    </row>
    <row r="464" spans="1:19" x14ac:dyDescent="0.25">
      <c r="A464" t="s">
        <v>150</v>
      </c>
      <c r="B464" t="s">
        <v>511</v>
      </c>
      <c r="C464" s="1"/>
      <c r="D464" s="1"/>
      <c r="E464" s="1"/>
      <c r="F464" s="1"/>
      <c r="G464" s="1"/>
      <c r="H464" s="1"/>
      <c r="I464" s="1"/>
      <c r="J464" s="1"/>
      <c r="L464" s="13">
        <v>611</v>
      </c>
      <c r="M464" s="13" t="s">
        <v>540</v>
      </c>
      <c r="N464" s="13">
        <v>519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</row>
    <row r="465" spans="1:19" x14ac:dyDescent="0.25">
      <c r="A465" t="s">
        <v>512</v>
      </c>
      <c r="B465" t="s">
        <v>513</v>
      </c>
      <c r="C465" s="1"/>
      <c r="D465" s="1"/>
      <c r="E465" s="1"/>
      <c r="F465" s="1"/>
      <c r="G465" s="1"/>
      <c r="H465" s="1"/>
      <c r="I465" s="1"/>
      <c r="J465" s="1"/>
      <c r="L465" s="13">
        <v>616</v>
      </c>
      <c r="M465" s="13" t="s">
        <v>541</v>
      </c>
      <c r="N465" s="13"/>
      <c r="O465" s="13"/>
      <c r="P465" s="13"/>
      <c r="Q465" s="13"/>
      <c r="R465" s="13"/>
      <c r="S465" s="13"/>
    </row>
    <row r="466" spans="1:19" x14ac:dyDescent="0.25">
      <c r="A466" t="s">
        <v>817</v>
      </c>
      <c r="B466" t="s">
        <v>514</v>
      </c>
      <c r="C466" s="1">
        <v>2191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/>
      <c r="L466" s="13">
        <v>312</v>
      </c>
      <c r="M466" s="13" t="s">
        <v>542</v>
      </c>
      <c r="N466" s="13">
        <v>7679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</row>
    <row r="467" spans="1:19" x14ac:dyDescent="0.25">
      <c r="A467" t="s">
        <v>801</v>
      </c>
      <c r="B467" t="s">
        <v>515</v>
      </c>
      <c r="C467" s="1">
        <v>689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/>
      <c r="L467" s="13">
        <v>116</v>
      </c>
      <c r="M467" s="13" t="s">
        <v>543</v>
      </c>
      <c r="N467" s="13">
        <v>7539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</row>
    <row r="468" spans="1:19" x14ac:dyDescent="0.25">
      <c r="A468" t="s">
        <v>792</v>
      </c>
      <c r="B468" t="s">
        <v>516</v>
      </c>
      <c r="C468" s="1"/>
      <c r="D468" s="1"/>
      <c r="E468" s="1"/>
      <c r="F468" s="1"/>
      <c r="G468" s="1"/>
      <c r="H468" s="1"/>
      <c r="I468" s="1"/>
      <c r="J468" s="1"/>
      <c r="L468" s="13">
        <v>700</v>
      </c>
      <c r="M468" s="13" t="s">
        <v>544</v>
      </c>
      <c r="N468" s="13">
        <v>168</v>
      </c>
      <c r="O468" s="13">
        <v>0</v>
      </c>
      <c r="P468" s="13">
        <v>0</v>
      </c>
      <c r="Q468" s="13">
        <v>0</v>
      </c>
      <c r="R468" s="13">
        <v>0</v>
      </c>
      <c r="S468" s="13">
        <v>0</v>
      </c>
    </row>
    <row r="469" spans="1:19" x14ac:dyDescent="0.25">
      <c r="A469" t="s">
        <v>797</v>
      </c>
      <c r="B469" t="s">
        <v>517</v>
      </c>
      <c r="C469" s="1"/>
      <c r="D469" s="1"/>
      <c r="E469" s="1"/>
      <c r="F469" s="1"/>
      <c r="G469" s="1"/>
      <c r="H469" s="1"/>
      <c r="I469" s="1"/>
      <c r="J469" s="1"/>
      <c r="L469" s="13">
        <v>514</v>
      </c>
      <c r="M469" s="13" t="s">
        <v>545</v>
      </c>
      <c r="N469" s="13">
        <v>1181</v>
      </c>
      <c r="O469" s="13">
        <v>0</v>
      </c>
      <c r="P469" s="13">
        <v>0</v>
      </c>
      <c r="Q469" s="13">
        <v>0</v>
      </c>
      <c r="R469" s="13">
        <v>0</v>
      </c>
      <c r="S469" s="13">
        <v>0</v>
      </c>
    </row>
    <row r="470" spans="1:19" x14ac:dyDescent="0.25">
      <c r="A470" t="s">
        <v>811</v>
      </c>
      <c r="B470" t="s">
        <v>518</v>
      </c>
      <c r="C470" s="1"/>
      <c r="D470" s="1"/>
      <c r="E470" s="1"/>
      <c r="F470" s="1"/>
      <c r="G470" s="1"/>
      <c r="H470" s="1"/>
      <c r="I470" s="1"/>
      <c r="J470" s="1"/>
      <c r="L470" s="13">
        <v>712</v>
      </c>
      <c r="M470" s="13" t="s">
        <v>546</v>
      </c>
      <c r="N470" s="13">
        <v>354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</row>
    <row r="471" spans="1:19" x14ac:dyDescent="0.25">
      <c r="A471" t="s">
        <v>226</v>
      </c>
      <c r="B471" t="s">
        <v>519</v>
      </c>
      <c r="C471" s="1">
        <v>323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/>
      <c r="L471" s="13">
        <v>613</v>
      </c>
      <c r="M471" s="13" t="s">
        <v>547</v>
      </c>
      <c r="N471" s="13">
        <v>3469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</row>
    <row r="472" spans="1:19" x14ac:dyDescent="0.25">
      <c r="A472" t="s">
        <v>76</v>
      </c>
      <c r="B472" t="s">
        <v>520</v>
      </c>
      <c r="C472" s="1"/>
      <c r="D472" s="1"/>
      <c r="E472" s="1"/>
      <c r="F472" s="1"/>
      <c r="G472" s="1"/>
      <c r="H472" s="1"/>
      <c r="I472" s="1"/>
      <c r="J472" s="1"/>
      <c r="L472" s="13">
        <v>412</v>
      </c>
      <c r="M472" s="13" t="s">
        <v>548</v>
      </c>
      <c r="N472" s="13"/>
      <c r="O472" s="13"/>
      <c r="P472" s="13"/>
      <c r="Q472" s="13"/>
      <c r="R472" s="13"/>
      <c r="S472" s="13"/>
    </row>
    <row r="473" spans="1:19" x14ac:dyDescent="0.25">
      <c r="A473" t="s">
        <v>150</v>
      </c>
      <c r="B473" t="s">
        <v>521</v>
      </c>
      <c r="C473" s="1"/>
      <c r="D473" s="1"/>
      <c r="E473" s="1"/>
      <c r="F473" s="1"/>
      <c r="G473" s="1"/>
      <c r="H473" s="1"/>
      <c r="I473" s="1"/>
      <c r="J473" s="1"/>
      <c r="L473" s="13">
        <v>312</v>
      </c>
      <c r="M473" s="13" t="s">
        <v>549</v>
      </c>
      <c r="N473" s="13">
        <v>8758</v>
      </c>
      <c r="O473" s="13">
        <v>0</v>
      </c>
      <c r="P473" s="13">
        <v>0</v>
      </c>
      <c r="Q473" s="13">
        <v>0</v>
      </c>
      <c r="R473" s="13">
        <v>0</v>
      </c>
      <c r="S473" s="13">
        <v>0</v>
      </c>
    </row>
    <row r="474" spans="1:19" x14ac:dyDescent="0.25">
      <c r="A474" t="s">
        <v>72</v>
      </c>
      <c r="B474" t="s">
        <v>522</v>
      </c>
      <c r="C474" s="1">
        <v>517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/>
      <c r="L474" s="13">
        <v>514</v>
      </c>
      <c r="M474" s="13" t="s">
        <v>550</v>
      </c>
      <c r="N474" s="13">
        <v>4202</v>
      </c>
      <c r="O474" s="13">
        <v>0</v>
      </c>
      <c r="P474" s="13">
        <v>0</v>
      </c>
      <c r="Q474" s="13">
        <v>0</v>
      </c>
      <c r="R474" s="13">
        <v>0</v>
      </c>
      <c r="S474" s="13">
        <v>0</v>
      </c>
    </row>
    <row r="475" spans="1:19" x14ac:dyDescent="0.25">
      <c r="A475" t="s">
        <v>817</v>
      </c>
      <c r="B475" t="s">
        <v>523</v>
      </c>
      <c r="C475" s="1"/>
      <c r="D475" s="1"/>
      <c r="E475" s="1"/>
      <c r="F475" s="1"/>
      <c r="G475" s="1"/>
      <c r="H475" s="1"/>
      <c r="I475" s="1"/>
      <c r="J475" s="1"/>
      <c r="L475" s="13">
        <v>116</v>
      </c>
      <c r="M475" s="13" t="s">
        <v>551</v>
      </c>
      <c r="N475" s="13">
        <v>1376</v>
      </c>
      <c r="O475" s="13">
        <v>0</v>
      </c>
      <c r="P475" s="13">
        <v>0</v>
      </c>
      <c r="Q475" s="13">
        <v>0</v>
      </c>
      <c r="R475" s="13">
        <v>0</v>
      </c>
      <c r="S475" s="13">
        <v>0</v>
      </c>
    </row>
    <row r="476" spans="1:19" x14ac:dyDescent="0.25">
      <c r="A476" t="s">
        <v>248</v>
      </c>
      <c r="B476" t="s">
        <v>524</v>
      </c>
      <c r="C476" s="1"/>
      <c r="D476" s="1"/>
      <c r="E476" s="1"/>
      <c r="F476" s="1"/>
      <c r="G476" s="1"/>
      <c r="H476" s="1"/>
      <c r="I476" s="1"/>
      <c r="J476" s="1"/>
      <c r="L476" s="13">
        <v>712</v>
      </c>
      <c r="M476" s="13" t="s">
        <v>552</v>
      </c>
      <c r="N476" s="13">
        <v>678</v>
      </c>
      <c r="O476" s="13">
        <v>0</v>
      </c>
      <c r="P476" s="13">
        <v>0</v>
      </c>
      <c r="Q476" s="13">
        <v>0</v>
      </c>
      <c r="R476" s="13">
        <v>0</v>
      </c>
      <c r="S476" s="13">
        <v>0</v>
      </c>
    </row>
    <row r="477" spans="1:19" x14ac:dyDescent="0.25">
      <c r="A477" t="s">
        <v>188</v>
      </c>
      <c r="B477" t="s">
        <v>525</v>
      </c>
      <c r="C477" s="1"/>
      <c r="D477" s="1"/>
      <c r="E477" s="1"/>
      <c r="F477" s="1"/>
      <c r="G477" s="1"/>
      <c r="H477" s="1"/>
      <c r="I477" s="1"/>
      <c r="J477" s="1"/>
      <c r="L477" s="13">
        <v>500</v>
      </c>
      <c r="M477" s="13" t="s">
        <v>553</v>
      </c>
      <c r="N477" s="13"/>
      <c r="O477" s="13"/>
      <c r="P477" s="13"/>
      <c r="Q477" s="13"/>
      <c r="R477" s="13"/>
      <c r="S477" s="13"/>
    </row>
    <row r="478" spans="1:19" x14ac:dyDescent="0.25">
      <c r="A478" t="s">
        <v>76</v>
      </c>
      <c r="B478" t="s">
        <v>526</v>
      </c>
      <c r="C478" s="1"/>
      <c r="D478" s="1"/>
      <c r="E478" s="1"/>
      <c r="F478" s="1"/>
      <c r="G478" s="1"/>
      <c r="H478" s="1"/>
      <c r="I478" s="1"/>
      <c r="J478" s="1"/>
      <c r="L478" s="13">
        <v>313</v>
      </c>
      <c r="M478" s="13" t="s">
        <v>554</v>
      </c>
      <c r="N478" s="13"/>
      <c r="O478" s="13"/>
      <c r="P478" s="13"/>
      <c r="Q478" s="13"/>
      <c r="R478" s="13"/>
      <c r="S478" s="13"/>
    </row>
    <row r="479" spans="1:19" x14ac:dyDescent="0.25">
      <c r="A479" t="s">
        <v>804</v>
      </c>
      <c r="B479" t="s">
        <v>527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/>
      <c r="L479" s="13">
        <v>610</v>
      </c>
      <c r="M479" s="13" t="s">
        <v>555</v>
      </c>
      <c r="N479" s="13"/>
      <c r="O479" s="13"/>
      <c r="P479" s="13"/>
      <c r="Q479" s="13"/>
      <c r="R479" s="13"/>
      <c r="S479" s="13"/>
    </row>
    <row r="480" spans="1:19" x14ac:dyDescent="0.25">
      <c r="A480" t="s">
        <v>76</v>
      </c>
      <c r="B480" t="s">
        <v>528</v>
      </c>
      <c r="C480" s="1">
        <v>239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/>
      <c r="L480" s="13">
        <v>511</v>
      </c>
      <c r="M480" s="13" t="s">
        <v>556</v>
      </c>
      <c r="N480" s="13">
        <v>6275</v>
      </c>
      <c r="O480" s="13">
        <v>0</v>
      </c>
      <c r="P480" s="13">
        <v>0</v>
      </c>
      <c r="Q480" s="13">
        <v>0</v>
      </c>
      <c r="R480" s="13">
        <v>0</v>
      </c>
      <c r="S480" s="13">
        <v>0</v>
      </c>
    </row>
    <row r="481" spans="1:19" x14ac:dyDescent="0.25">
      <c r="A481" t="s">
        <v>801</v>
      </c>
      <c r="B481" t="s">
        <v>529</v>
      </c>
      <c r="C481" s="1"/>
      <c r="D481" s="1"/>
      <c r="E481" s="1"/>
      <c r="F481" s="1"/>
      <c r="G481" s="1"/>
      <c r="H481" s="1"/>
      <c r="I481" s="1"/>
      <c r="J481" s="1"/>
      <c r="L481" s="13">
        <v>713</v>
      </c>
      <c r="M481" s="13" t="s">
        <v>557</v>
      </c>
      <c r="N481" s="13">
        <v>45</v>
      </c>
      <c r="O481" s="13">
        <v>0</v>
      </c>
      <c r="P481" s="13">
        <v>0</v>
      </c>
      <c r="Q481" s="13">
        <v>0</v>
      </c>
      <c r="R481" s="13">
        <v>0</v>
      </c>
      <c r="S481" s="13">
        <v>0</v>
      </c>
    </row>
    <row r="482" spans="1:19" x14ac:dyDescent="0.25">
      <c r="A482" t="s">
        <v>795</v>
      </c>
      <c r="B482" t="s">
        <v>530</v>
      </c>
      <c r="C482" s="1"/>
      <c r="D482" s="1"/>
      <c r="E482" s="1"/>
      <c r="F482" s="1"/>
      <c r="G482" s="1"/>
      <c r="H482" s="1"/>
      <c r="I482" s="1"/>
      <c r="J482" s="1"/>
      <c r="L482" s="13">
        <v>616</v>
      </c>
      <c r="M482" s="13" t="s">
        <v>558</v>
      </c>
      <c r="N482" s="13">
        <v>1035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</row>
    <row r="483" spans="1:19" x14ac:dyDescent="0.25">
      <c r="A483" t="s">
        <v>792</v>
      </c>
      <c r="B483" t="s">
        <v>531</v>
      </c>
      <c r="C483" s="1"/>
      <c r="D483" s="1"/>
      <c r="E483" s="1"/>
      <c r="F483" s="1"/>
      <c r="G483" s="1"/>
      <c r="H483" s="1"/>
      <c r="I483" s="1"/>
      <c r="J483" s="1"/>
      <c r="L483" s="13">
        <v>712</v>
      </c>
      <c r="M483" s="13" t="s">
        <v>559</v>
      </c>
      <c r="N483" s="13">
        <v>470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</row>
    <row r="484" spans="1:19" x14ac:dyDescent="0.25">
      <c r="A484" t="s">
        <v>824</v>
      </c>
      <c r="B484" t="s">
        <v>532</v>
      </c>
      <c r="C484" s="1"/>
      <c r="D484" s="1"/>
      <c r="E484" s="1"/>
      <c r="F484" s="1"/>
      <c r="G484" s="1"/>
      <c r="H484" s="1"/>
      <c r="I484" s="1"/>
      <c r="J484" s="1"/>
      <c r="L484" s="13">
        <v>711</v>
      </c>
      <c r="M484" s="13" t="s">
        <v>560</v>
      </c>
      <c r="N484" s="13">
        <v>7378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</row>
    <row r="485" spans="1:19" x14ac:dyDescent="0.25">
      <c r="A485" t="s">
        <v>76</v>
      </c>
      <c r="B485" t="s">
        <v>533</v>
      </c>
      <c r="C485" s="1">
        <v>334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/>
      <c r="L485" s="13">
        <v>713</v>
      </c>
      <c r="M485" s="13" t="s">
        <v>561</v>
      </c>
      <c r="N485" s="13">
        <v>1140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</row>
    <row r="486" spans="1:19" x14ac:dyDescent="0.25">
      <c r="A486" t="s">
        <v>101</v>
      </c>
      <c r="B486" t="s">
        <v>534</v>
      </c>
      <c r="C486" s="1">
        <v>1586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/>
      <c r="L486" s="13">
        <v>616</v>
      </c>
      <c r="M486" s="13" t="s">
        <v>562</v>
      </c>
      <c r="N486" s="13"/>
      <c r="O486" s="13"/>
      <c r="P486" s="13"/>
      <c r="Q486" s="13"/>
      <c r="R486" s="13"/>
      <c r="S486" s="13"/>
    </row>
    <row r="487" spans="1:19" x14ac:dyDescent="0.25">
      <c r="A487" t="s">
        <v>797</v>
      </c>
      <c r="B487" t="s">
        <v>535</v>
      </c>
      <c r="C487" s="1"/>
      <c r="D487" s="1"/>
      <c r="E487" s="1"/>
      <c r="F487" s="1"/>
      <c r="G487" s="1"/>
      <c r="H487" s="1"/>
      <c r="I487" s="1"/>
      <c r="J487" s="1"/>
      <c r="L487" s="13">
        <v>600</v>
      </c>
      <c r="M487" s="13" t="s">
        <v>563</v>
      </c>
      <c r="N487" s="13">
        <v>4317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</row>
    <row r="488" spans="1:19" x14ac:dyDescent="0.25">
      <c r="A488" t="s">
        <v>120</v>
      </c>
      <c r="B488" t="s">
        <v>536</v>
      </c>
      <c r="C488" s="1"/>
      <c r="D488" s="1"/>
      <c r="E488" s="1"/>
      <c r="F488" s="1"/>
      <c r="G488" s="1"/>
      <c r="H488" s="1"/>
      <c r="I488" s="1"/>
      <c r="J488" s="1"/>
      <c r="L488" s="13">
        <v>100</v>
      </c>
      <c r="M488" s="13" t="s">
        <v>564</v>
      </c>
      <c r="N488" s="13">
        <v>2361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</row>
    <row r="489" spans="1:19" x14ac:dyDescent="0.25">
      <c r="A489" t="s">
        <v>817</v>
      </c>
      <c r="B489" t="s">
        <v>537</v>
      </c>
      <c r="C489" s="1">
        <v>12797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/>
      <c r="L489" s="13">
        <v>710</v>
      </c>
      <c r="M489" s="13" t="s">
        <v>565</v>
      </c>
      <c r="N489" s="13">
        <v>329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</row>
    <row r="490" spans="1:19" x14ac:dyDescent="0.25">
      <c r="A490" t="s">
        <v>811</v>
      </c>
      <c r="B490" t="s">
        <v>538</v>
      </c>
      <c r="C490" s="1"/>
      <c r="D490" s="1"/>
      <c r="E490" s="1"/>
      <c r="F490" s="1"/>
      <c r="G490" s="1"/>
      <c r="H490" s="1"/>
      <c r="I490" s="1"/>
      <c r="J490" s="1"/>
      <c r="L490" s="13" t="s">
        <v>814</v>
      </c>
      <c r="M490" s="13" t="s">
        <v>566</v>
      </c>
      <c r="N490" s="13"/>
      <c r="O490" s="13"/>
      <c r="P490" s="13"/>
      <c r="Q490" s="13"/>
      <c r="R490" s="13"/>
      <c r="S490" s="13"/>
    </row>
    <row r="491" spans="1:19" x14ac:dyDescent="0.25">
      <c r="A491" t="s">
        <v>817</v>
      </c>
      <c r="B491" t="s">
        <v>539</v>
      </c>
      <c r="C491" s="1">
        <v>1927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/>
      <c r="L491" s="13">
        <v>110</v>
      </c>
      <c r="M491" s="13" t="s">
        <v>567</v>
      </c>
      <c r="N491" s="13">
        <v>45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</row>
    <row r="492" spans="1:19" x14ac:dyDescent="0.25">
      <c r="A492" t="s">
        <v>146</v>
      </c>
      <c r="B492" t="s">
        <v>540</v>
      </c>
      <c r="C492" s="1">
        <v>519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/>
      <c r="L492" s="13"/>
      <c r="M492" s="13" t="s">
        <v>568</v>
      </c>
      <c r="N492" s="13"/>
      <c r="O492" s="13"/>
      <c r="P492" s="13"/>
      <c r="Q492" s="13"/>
      <c r="R492" s="13"/>
      <c r="S492" s="13"/>
    </row>
    <row r="493" spans="1:19" x14ac:dyDescent="0.25">
      <c r="A493" t="s">
        <v>817</v>
      </c>
      <c r="B493" t="s">
        <v>541</v>
      </c>
      <c r="C493" s="1"/>
      <c r="D493" s="1"/>
      <c r="E493" s="1"/>
      <c r="F493" s="1"/>
      <c r="G493" s="1"/>
      <c r="H493" s="1"/>
      <c r="I493" s="1"/>
      <c r="J493" s="1"/>
      <c r="L493" s="13">
        <v>211</v>
      </c>
      <c r="M493" s="13" t="s">
        <v>569</v>
      </c>
      <c r="N493" s="13">
        <v>3052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</row>
    <row r="494" spans="1:19" x14ac:dyDescent="0.25">
      <c r="A494" t="s">
        <v>72</v>
      </c>
      <c r="B494" t="s">
        <v>542</v>
      </c>
      <c r="C494" s="1">
        <v>7679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/>
      <c r="L494" s="13"/>
      <c r="M494" s="13" t="s">
        <v>570</v>
      </c>
      <c r="N494" s="13"/>
      <c r="O494" s="13"/>
      <c r="P494" s="13"/>
      <c r="Q494" s="13"/>
      <c r="R494" s="13"/>
      <c r="S494" s="13"/>
    </row>
    <row r="495" spans="1:19" x14ac:dyDescent="0.25">
      <c r="A495" t="s">
        <v>795</v>
      </c>
      <c r="B495" t="s">
        <v>543</v>
      </c>
      <c r="C495" s="1"/>
      <c r="D495" s="1"/>
      <c r="E495" s="1"/>
      <c r="F495" s="1"/>
      <c r="G495" s="1"/>
      <c r="H495" s="1"/>
      <c r="I495" s="1"/>
      <c r="J495" s="1"/>
      <c r="L495" s="13">
        <v>312</v>
      </c>
      <c r="M495" s="13" t="s">
        <v>571</v>
      </c>
      <c r="N495" s="13">
        <v>8131</v>
      </c>
      <c r="O495" s="13">
        <v>0</v>
      </c>
      <c r="P495" s="13">
        <v>0</v>
      </c>
      <c r="Q495" s="13">
        <v>0</v>
      </c>
      <c r="R495" s="13">
        <v>0</v>
      </c>
      <c r="S495" s="13">
        <v>0</v>
      </c>
    </row>
    <row r="496" spans="1:19" x14ac:dyDescent="0.25">
      <c r="A496" t="s">
        <v>83</v>
      </c>
      <c r="B496" t="s">
        <v>544</v>
      </c>
      <c r="C496" s="1"/>
      <c r="D496" s="1"/>
      <c r="E496" s="1"/>
      <c r="F496" s="1"/>
      <c r="G496" s="1"/>
      <c r="H496" s="1"/>
      <c r="I496" s="1"/>
      <c r="J496" s="1"/>
      <c r="L496" s="13">
        <v>711</v>
      </c>
      <c r="M496" s="13" t="s">
        <v>572</v>
      </c>
      <c r="N496" s="13">
        <v>5880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</row>
    <row r="497" spans="1:19" x14ac:dyDescent="0.25">
      <c r="A497" t="s">
        <v>134</v>
      </c>
      <c r="B497" t="s">
        <v>545</v>
      </c>
      <c r="C497" s="1">
        <v>1181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/>
      <c r="L497" s="13"/>
      <c r="M497" s="13" t="s">
        <v>573</v>
      </c>
      <c r="N497" s="13"/>
      <c r="O497" s="13"/>
      <c r="P497" s="13"/>
      <c r="Q497" s="13"/>
      <c r="R497" s="13"/>
      <c r="S497" s="13"/>
    </row>
    <row r="498" spans="1:19" x14ac:dyDescent="0.25">
      <c r="A498" t="s">
        <v>76</v>
      </c>
      <c r="B498" t="s">
        <v>546</v>
      </c>
      <c r="C498" s="1">
        <v>354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/>
      <c r="L498" s="13">
        <v>515</v>
      </c>
      <c r="M498" s="13" t="s">
        <v>574</v>
      </c>
      <c r="N498" s="13"/>
      <c r="O498" s="13"/>
      <c r="P498" s="13"/>
      <c r="Q498" s="13"/>
      <c r="R498" s="13"/>
      <c r="S498" s="13"/>
    </row>
    <row r="499" spans="1:19" x14ac:dyDescent="0.25">
      <c r="A499" t="s">
        <v>495</v>
      </c>
      <c r="B499" t="s">
        <v>547</v>
      </c>
      <c r="C499" s="1">
        <v>3469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/>
      <c r="L499" s="13">
        <v>211</v>
      </c>
      <c r="M499" s="13" t="s">
        <v>575</v>
      </c>
      <c r="N499" s="13">
        <v>9019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</row>
    <row r="500" spans="1:19" x14ac:dyDescent="0.25">
      <c r="A500" t="s">
        <v>825</v>
      </c>
      <c r="B500" t="s">
        <v>548</v>
      </c>
      <c r="C500" s="1"/>
      <c r="D500" s="1"/>
      <c r="E500" s="1"/>
      <c r="F500" s="1"/>
      <c r="G500" s="1"/>
      <c r="H500" s="1"/>
      <c r="I500" s="1"/>
      <c r="J500" s="1"/>
      <c r="L500" s="13">
        <v>611</v>
      </c>
      <c r="M500" s="13" t="s">
        <v>576</v>
      </c>
      <c r="N500" s="13">
        <v>154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</row>
    <row r="501" spans="1:19" x14ac:dyDescent="0.25">
      <c r="A501" t="s">
        <v>72</v>
      </c>
      <c r="B501" t="s">
        <v>549</v>
      </c>
      <c r="C501" s="1">
        <v>8758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/>
      <c r="L501" s="13" t="s">
        <v>814</v>
      </c>
      <c r="M501" s="13" t="s">
        <v>577</v>
      </c>
      <c r="N501" s="13"/>
      <c r="O501" s="13"/>
      <c r="P501" s="13"/>
      <c r="Q501" s="13"/>
      <c r="R501" s="13"/>
      <c r="S501" s="13"/>
    </row>
    <row r="502" spans="1:19" x14ac:dyDescent="0.25">
      <c r="A502" t="s">
        <v>134</v>
      </c>
      <c r="B502" t="s">
        <v>550</v>
      </c>
      <c r="C502" s="1">
        <v>4202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/>
      <c r="L502" s="13">
        <v>611</v>
      </c>
      <c r="M502" s="13" t="s">
        <v>578</v>
      </c>
      <c r="N502" s="13">
        <v>4251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</row>
    <row r="503" spans="1:19" x14ac:dyDescent="0.25">
      <c r="A503" t="s">
        <v>795</v>
      </c>
      <c r="B503" t="s">
        <v>551</v>
      </c>
      <c r="C503" s="1"/>
      <c r="D503" s="1"/>
      <c r="E503" s="1"/>
      <c r="F503" s="1"/>
      <c r="G503" s="1"/>
      <c r="H503" s="1"/>
      <c r="I503" s="1"/>
      <c r="J503" s="1"/>
      <c r="L503" s="13">
        <v>146</v>
      </c>
      <c r="M503" s="13" t="s">
        <v>579</v>
      </c>
      <c r="N503" s="13">
        <v>2185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</row>
    <row r="504" spans="1:19" x14ac:dyDescent="0.25">
      <c r="A504" t="s">
        <v>76</v>
      </c>
      <c r="B504" t="s">
        <v>552</v>
      </c>
      <c r="C504" s="1">
        <v>678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/>
      <c r="L504" s="13">
        <v>315</v>
      </c>
      <c r="M504" s="13" t="s">
        <v>580</v>
      </c>
      <c r="N504" s="13">
        <v>3394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</row>
    <row r="505" spans="1:19" x14ac:dyDescent="0.25">
      <c r="A505" t="s">
        <v>824</v>
      </c>
      <c r="B505" t="s">
        <v>553</v>
      </c>
      <c r="C505" s="1"/>
      <c r="D505" s="1"/>
      <c r="E505" s="1"/>
      <c r="F505" s="1"/>
      <c r="G505" s="1"/>
      <c r="H505" s="1"/>
      <c r="I505" s="1"/>
      <c r="J505" s="1"/>
      <c r="L505" s="13" t="s">
        <v>814</v>
      </c>
      <c r="M505" s="13" t="s">
        <v>581</v>
      </c>
      <c r="N505" s="13">
        <v>3826</v>
      </c>
      <c r="O505" s="13">
        <v>0</v>
      </c>
      <c r="P505" s="13">
        <v>0</v>
      </c>
      <c r="Q505" s="13">
        <v>0</v>
      </c>
      <c r="R505" s="13">
        <v>0</v>
      </c>
      <c r="S505" s="13">
        <v>0</v>
      </c>
    </row>
    <row r="506" spans="1:19" x14ac:dyDescent="0.25">
      <c r="A506" t="s">
        <v>512</v>
      </c>
      <c r="B506" t="s">
        <v>554</v>
      </c>
      <c r="C506" s="1"/>
      <c r="D506" s="1"/>
      <c r="E506" s="1"/>
      <c r="F506" s="1"/>
      <c r="G506" s="1"/>
      <c r="H506" s="1"/>
      <c r="I506" s="1"/>
      <c r="J506" s="1"/>
      <c r="L506" s="13" t="s">
        <v>814</v>
      </c>
      <c r="M506" s="13" t="s">
        <v>582</v>
      </c>
      <c r="N506" s="13">
        <v>3466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</row>
    <row r="507" spans="1:19" x14ac:dyDescent="0.25">
      <c r="A507" t="s">
        <v>788</v>
      </c>
      <c r="B507" t="s">
        <v>555</v>
      </c>
      <c r="C507" s="1"/>
      <c r="D507" s="1"/>
      <c r="E507" s="1"/>
      <c r="F507" s="1"/>
      <c r="G507" s="1"/>
      <c r="H507" s="1"/>
      <c r="I507" s="1"/>
      <c r="J507" s="1"/>
      <c r="L507" s="13" t="s">
        <v>814</v>
      </c>
      <c r="M507" s="13" t="s">
        <v>583</v>
      </c>
      <c r="N507" s="13">
        <v>356</v>
      </c>
      <c r="O507" s="13">
        <v>0</v>
      </c>
      <c r="P507" s="13">
        <v>0</v>
      </c>
      <c r="Q507" s="13">
        <v>0</v>
      </c>
      <c r="R507" s="13">
        <v>0</v>
      </c>
      <c r="S507" s="13">
        <v>0</v>
      </c>
    </row>
    <row r="508" spans="1:19" x14ac:dyDescent="0.25">
      <c r="A508" t="s">
        <v>101</v>
      </c>
      <c r="B508" t="s">
        <v>556</v>
      </c>
      <c r="C508" s="1">
        <v>6275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/>
      <c r="L508" s="13">
        <v>311</v>
      </c>
      <c r="M508" s="13" t="s">
        <v>584</v>
      </c>
      <c r="N508" s="13"/>
      <c r="O508" s="13"/>
      <c r="P508" s="13"/>
      <c r="Q508" s="13"/>
      <c r="R508" s="13"/>
      <c r="S508" s="13"/>
    </row>
    <row r="509" spans="1:19" x14ac:dyDescent="0.25">
      <c r="A509" t="s">
        <v>796</v>
      </c>
      <c r="B509" t="s">
        <v>557</v>
      </c>
      <c r="C509" s="1">
        <f>45</f>
        <v>45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/>
      <c r="L509" s="13">
        <v>140</v>
      </c>
      <c r="M509" s="13" t="s">
        <v>585</v>
      </c>
      <c r="N509" s="13">
        <v>2765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</row>
    <row r="510" spans="1:19" x14ac:dyDescent="0.25">
      <c r="A510" t="s">
        <v>817</v>
      </c>
      <c r="B510" t="s">
        <v>558</v>
      </c>
      <c r="C510" s="1">
        <v>1035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/>
      <c r="L510" s="13" t="s">
        <v>814</v>
      </c>
      <c r="M510" s="13" t="s">
        <v>586</v>
      </c>
      <c r="N510" s="13">
        <v>3925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</row>
    <row r="511" spans="1:19" x14ac:dyDescent="0.25">
      <c r="A511" t="s">
        <v>76</v>
      </c>
      <c r="B511" t="s">
        <v>559</v>
      </c>
      <c r="C511" s="1"/>
      <c r="D511" s="1"/>
      <c r="E511" s="1"/>
      <c r="F511" s="1"/>
      <c r="G511" s="1"/>
      <c r="H511" s="1"/>
      <c r="I511" s="1"/>
      <c r="J511" s="1"/>
      <c r="L511" s="13">
        <v>150</v>
      </c>
      <c r="M511" s="13" t="s">
        <v>587</v>
      </c>
      <c r="N511" s="13">
        <v>3355</v>
      </c>
      <c r="O511" s="13">
        <v>0</v>
      </c>
      <c r="P511" s="13">
        <v>0</v>
      </c>
      <c r="Q511" s="13">
        <v>0</v>
      </c>
      <c r="R511" s="13">
        <v>0</v>
      </c>
      <c r="S511" s="13">
        <v>0</v>
      </c>
    </row>
    <row r="512" spans="1:19" x14ac:dyDescent="0.25">
      <c r="A512" t="s">
        <v>801</v>
      </c>
      <c r="B512" t="s">
        <v>560</v>
      </c>
      <c r="C512" s="1">
        <v>7378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/>
      <c r="L512" s="13">
        <v>143</v>
      </c>
      <c r="M512" s="13" t="s">
        <v>588</v>
      </c>
      <c r="N512" s="13">
        <v>3412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</row>
    <row r="513" spans="1:19" x14ac:dyDescent="0.25">
      <c r="A513" t="s">
        <v>796</v>
      </c>
      <c r="B513" t="s">
        <v>561</v>
      </c>
      <c r="C513" s="1">
        <f>884</f>
        <v>884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/>
      <c r="L513" s="13">
        <v>151</v>
      </c>
      <c r="M513" s="13" t="s">
        <v>589</v>
      </c>
      <c r="N513" s="13">
        <v>878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</row>
    <row r="514" spans="1:19" x14ac:dyDescent="0.25">
      <c r="A514" t="s">
        <v>817</v>
      </c>
      <c r="B514" t="s">
        <v>562</v>
      </c>
      <c r="C514" s="1"/>
      <c r="D514" s="1"/>
      <c r="E514" s="1"/>
      <c r="F514" s="1"/>
      <c r="G514" s="1"/>
      <c r="H514" s="1"/>
      <c r="I514" s="1"/>
      <c r="J514" s="1"/>
      <c r="L514" s="13">
        <v>145</v>
      </c>
      <c r="M514" s="13" t="s">
        <v>590</v>
      </c>
      <c r="N514" s="13">
        <v>4688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</row>
    <row r="515" spans="1:19" x14ac:dyDescent="0.25">
      <c r="A515" t="s">
        <v>248</v>
      </c>
      <c r="B515" t="s">
        <v>563</v>
      </c>
      <c r="C515" s="1"/>
      <c r="D515" s="1"/>
      <c r="E515" s="1"/>
      <c r="F515" s="1"/>
      <c r="G515" s="1"/>
      <c r="H515" s="1"/>
      <c r="I515" s="1"/>
      <c r="J515" s="1"/>
      <c r="L515" s="13">
        <v>147</v>
      </c>
      <c r="M515" s="13" t="s">
        <v>591</v>
      </c>
      <c r="N515" s="13">
        <v>338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</row>
    <row r="516" spans="1:19" x14ac:dyDescent="0.25">
      <c r="A516" t="s">
        <v>791</v>
      </c>
      <c r="B516" t="s">
        <v>564</v>
      </c>
      <c r="C516" s="1"/>
      <c r="D516" s="1"/>
      <c r="E516" s="1"/>
      <c r="F516" s="1"/>
      <c r="G516" s="1"/>
      <c r="H516" s="1"/>
      <c r="I516" s="1"/>
      <c r="J516" s="1"/>
      <c r="L516" s="13" t="s">
        <v>814</v>
      </c>
      <c r="M516" s="13" t="s">
        <v>592</v>
      </c>
      <c r="N516" s="13"/>
      <c r="O516" s="13"/>
      <c r="P516" s="13"/>
      <c r="Q516" s="13"/>
      <c r="R516" s="13"/>
      <c r="S516" s="13"/>
    </row>
    <row r="517" spans="1:19" x14ac:dyDescent="0.25">
      <c r="A517" t="s">
        <v>69</v>
      </c>
      <c r="B517" t="s">
        <v>565</v>
      </c>
      <c r="C517" s="1">
        <v>329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/>
      <c r="L517" s="13">
        <v>139</v>
      </c>
      <c r="M517" s="13" t="s">
        <v>593</v>
      </c>
      <c r="N517" s="13">
        <v>630</v>
      </c>
      <c r="O517" s="13">
        <v>0</v>
      </c>
      <c r="P517" s="13">
        <v>0</v>
      </c>
      <c r="Q517" s="13">
        <v>0</v>
      </c>
      <c r="R517" s="13">
        <v>0</v>
      </c>
      <c r="S517" s="13">
        <v>0</v>
      </c>
    </row>
    <row r="518" spans="1:19" x14ac:dyDescent="0.25">
      <c r="A518" t="s">
        <v>794</v>
      </c>
      <c r="B518" t="s">
        <v>566</v>
      </c>
      <c r="C518" s="1"/>
      <c r="D518" s="1"/>
      <c r="E518" s="1"/>
      <c r="F518" s="1"/>
      <c r="G518" s="1"/>
      <c r="H518" s="1"/>
      <c r="I518" s="1"/>
      <c r="J518" s="1"/>
      <c r="L518" s="13">
        <v>136</v>
      </c>
      <c r="M518" s="13" t="s">
        <v>594</v>
      </c>
      <c r="N518" s="13">
        <v>1042</v>
      </c>
      <c r="O518" s="13">
        <v>0</v>
      </c>
      <c r="P518" s="13">
        <v>0</v>
      </c>
      <c r="Q518" s="13">
        <v>0</v>
      </c>
      <c r="R518" s="13">
        <v>0</v>
      </c>
      <c r="S518" s="13">
        <v>0</v>
      </c>
    </row>
    <row r="519" spans="1:19" x14ac:dyDescent="0.25">
      <c r="A519" t="s">
        <v>797</v>
      </c>
      <c r="B519" t="s">
        <v>567</v>
      </c>
      <c r="C519" s="1"/>
      <c r="D519" s="1"/>
      <c r="E519" s="1"/>
      <c r="F519" s="1"/>
      <c r="G519" s="1"/>
      <c r="H519" s="1"/>
      <c r="I519" s="1"/>
      <c r="J519" s="1"/>
      <c r="L519" s="13"/>
      <c r="M519" s="13" t="s">
        <v>595</v>
      </c>
      <c r="N519" s="13"/>
      <c r="O519" s="13"/>
      <c r="P519" s="13"/>
      <c r="Q519" s="13"/>
      <c r="R519" s="13"/>
      <c r="S519" s="13"/>
    </row>
    <row r="520" spans="1:19" x14ac:dyDescent="0.25">
      <c r="A520" t="s">
        <v>826</v>
      </c>
      <c r="B520" t="s">
        <v>568</v>
      </c>
      <c r="C520" s="1"/>
      <c r="D520" s="1"/>
      <c r="E520" s="1"/>
      <c r="F520" s="1"/>
      <c r="G520" s="1"/>
      <c r="H520" s="1"/>
      <c r="I520" s="1"/>
      <c r="J520" s="1"/>
      <c r="L520" s="13">
        <v>116</v>
      </c>
      <c r="M520" s="13" t="s">
        <v>596</v>
      </c>
      <c r="N520" s="13">
        <v>3263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</row>
    <row r="521" spans="1:19" x14ac:dyDescent="0.25">
      <c r="A521" t="s">
        <v>131</v>
      </c>
      <c r="B521" t="s">
        <v>569</v>
      </c>
      <c r="C521" s="1">
        <v>3052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/>
      <c r="L521" s="13">
        <v>511</v>
      </c>
      <c r="M521" s="13" t="s">
        <v>597</v>
      </c>
      <c r="N521" s="13">
        <v>3663</v>
      </c>
      <c r="O521" s="13">
        <v>0</v>
      </c>
      <c r="P521" s="13">
        <v>0</v>
      </c>
      <c r="Q521" s="13">
        <v>0</v>
      </c>
      <c r="R521" s="13">
        <v>0</v>
      </c>
      <c r="S521" s="13">
        <v>0</v>
      </c>
    </row>
    <row r="522" spans="1:19" x14ac:dyDescent="0.25">
      <c r="A522" t="s">
        <v>826</v>
      </c>
      <c r="B522" t="s">
        <v>570</v>
      </c>
      <c r="C522" s="1"/>
      <c r="D522" s="1"/>
      <c r="E522" s="1"/>
      <c r="F522" s="1"/>
      <c r="G522" s="1"/>
      <c r="H522" s="1"/>
      <c r="I522" s="1"/>
      <c r="J522" s="1"/>
      <c r="L522" s="13">
        <v>144</v>
      </c>
      <c r="M522" s="13" t="s">
        <v>598</v>
      </c>
      <c r="N522" s="13">
        <v>1869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</row>
    <row r="523" spans="1:19" x14ac:dyDescent="0.25">
      <c r="A523" t="s">
        <v>72</v>
      </c>
      <c r="B523" t="s">
        <v>571</v>
      </c>
      <c r="C523" s="1">
        <v>8131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/>
      <c r="L523" s="13">
        <v>142</v>
      </c>
      <c r="M523" s="13" t="s">
        <v>599</v>
      </c>
      <c r="N523" s="13">
        <v>1588</v>
      </c>
      <c r="O523" s="13">
        <v>0</v>
      </c>
      <c r="P523" s="13">
        <v>0</v>
      </c>
      <c r="Q523" s="13">
        <v>0</v>
      </c>
      <c r="R523" s="13">
        <v>0</v>
      </c>
      <c r="S523" s="13">
        <v>0</v>
      </c>
    </row>
    <row r="524" spans="1:19" x14ac:dyDescent="0.25">
      <c r="A524" t="s">
        <v>801</v>
      </c>
      <c r="B524" t="s">
        <v>572</v>
      </c>
      <c r="C524" s="1">
        <v>5880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/>
      <c r="L524" s="13">
        <v>300</v>
      </c>
      <c r="M524" s="13" t="s">
        <v>600</v>
      </c>
      <c r="N524" s="13">
        <v>1159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</row>
    <row r="525" spans="1:19" x14ac:dyDescent="0.25">
      <c r="A525" t="s">
        <v>120</v>
      </c>
      <c r="B525" t="s">
        <v>573</v>
      </c>
      <c r="C525" s="1"/>
      <c r="D525" s="1"/>
      <c r="E525" s="1"/>
      <c r="F525" s="1"/>
      <c r="G525" s="1"/>
      <c r="H525" s="1"/>
      <c r="I525" s="1"/>
      <c r="J525" s="1"/>
      <c r="L525" s="13">
        <v>616</v>
      </c>
      <c r="M525" s="13" t="s">
        <v>601</v>
      </c>
      <c r="N525" s="13">
        <v>5562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</row>
    <row r="526" spans="1:19" x14ac:dyDescent="0.25">
      <c r="A526" t="s">
        <v>816</v>
      </c>
      <c r="B526" t="s">
        <v>574</v>
      </c>
      <c r="C526" s="1"/>
      <c r="D526" s="1"/>
      <c r="E526" s="1"/>
      <c r="F526" s="1"/>
      <c r="G526" s="1"/>
      <c r="H526" s="1"/>
      <c r="I526" s="1"/>
      <c r="J526" s="1"/>
      <c r="L526" s="13">
        <v>610</v>
      </c>
      <c r="M526" s="13" t="s">
        <v>602</v>
      </c>
      <c r="N526" s="13"/>
      <c r="O526" s="13"/>
      <c r="P526" s="13"/>
      <c r="Q526" s="13"/>
      <c r="R526" s="13"/>
      <c r="S526" s="13"/>
    </row>
    <row r="527" spans="1:19" x14ac:dyDescent="0.25">
      <c r="A527" t="s">
        <v>131</v>
      </c>
      <c r="B527" t="s">
        <v>575</v>
      </c>
      <c r="C527" s="1">
        <v>9019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/>
      <c r="L527" s="13"/>
      <c r="M527" s="13" t="s">
        <v>603</v>
      </c>
      <c r="N527" s="13"/>
      <c r="O527" s="13"/>
      <c r="P527" s="13"/>
      <c r="Q527" s="13"/>
      <c r="R527" s="13"/>
      <c r="S527" s="13"/>
    </row>
    <row r="528" spans="1:19" x14ac:dyDescent="0.25">
      <c r="A528" t="s">
        <v>146</v>
      </c>
      <c r="B528" t="s">
        <v>576</v>
      </c>
      <c r="C528" s="1">
        <v>154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/>
      <c r="L528" s="13">
        <v>114</v>
      </c>
      <c r="M528" s="13" t="s">
        <v>604</v>
      </c>
      <c r="N528" s="13">
        <v>4518</v>
      </c>
      <c r="O528" s="13">
        <v>0</v>
      </c>
      <c r="P528" s="13">
        <v>0</v>
      </c>
      <c r="Q528" s="13">
        <v>0</v>
      </c>
      <c r="R528" s="13">
        <v>0</v>
      </c>
      <c r="S528" s="13">
        <v>0</v>
      </c>
    </row>
    <row r="529" spans="1:19" x14ac:dyDescent="0.25">
      <c r="A529" t="s">
        <v>794</v>
      </c>
      <c r="B529" t="s">
        <v>577</v>
      </c>
      <c r="C529" s="1"/>
      <c r="D529" s="1"/>
      <c r="E529" s="1"/>
      <c r="F529" s="1"/>
      <c r="G529" s="1"/>
      <c r="H529" s="1"/>
      <c r="I529" s="1"/>
      <c r="J529" s="1"/>
      <c r="L529" s="13" t="s">
        <v>808</v>
      </c>
      <c r="M529" s="13" t="s">
        <v>605</v>
      </c>
      <c r="N529" s="13">
        <v>885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</row>
    <row r="530" spans="1:19" x14ac:dyDescent="0.25">
      <c r="A530" t="s">
        <v>146</v>
      </c>
      <c r="B530" t="s">
        <v>578</v>
      </c>
      <c r="C530" s="1">
        <v>4251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/>
      <c r="L530" s="13">
        <v>616</v>
      </c>
      <c r="M530" s="13" t="s">
        <v>606</v>
      </c>
      <c r="N530" s="13">
        <v>18278</v>
      </c>
      <c r="O530" s="13">
        <v>0</v>
      </c>
      <c r="P530" s="13">
        <v>0</v>
      </c>
      <c r="Q530" s="13">
        <v>0</v>
      </c>
      <c r="R530" s="13">
        <v>0</v>
      </c>
      <c r="S530" s="13">
        <v>0</v>
      </c>
    </row>
    <row r="531" spans="1:19" x14ac:dyDescent="0.25">
      <c r="A531" t="s">
        <v>36</v>
      </c>
      <c r="B531" t="s">
        <v>579</v>
      </c>
      <c r="C531" s="1"/>
      <c r="D531" s="1"/>
      <c r="E531" s="1"/>
      <c r="F531" s="1"/>
      <c r="G531" s="1"/>
      <c r="H531" s="1"/>
      <c r="I531" s="1"/>
      <c r="J531" s="1"/>
      <c r="L531" s="13">
        <v>500</v>
      </c>
      <c r="M531" s="13" t="s">
        <v>607</v>
      </c>
      <c r="N531" s="13"/>
      <c r="O531" s="13"/>
      <c r="P531" s="13"/>
      <c r="Q531" s="13"/>
      <c r="R531" s="13"/>
      <c r="S531" s="13"/>
    </row>
    <row r="532" spans="1:19" x14ac:dyDescent="0.25">
      <c r="A532" t="s">
        <v>807</v>
      </c>
      <c r="B532" t="s">
        <v>580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/>
      <c r="L532" s="13" t="s">
        <v>815</v>
      </c>
      <c r="M532" s="13" t="s">
        <v>608</v>
      </c>
      <c r="N532" s="13">
        <v>3830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</row>
    <row r="533" spans="1:19" x14ac:dyDescent="0.25">
      <c r="A533" t="s">
        <v>794</v>
      </c>
      <c r="B533" t="s">
        <v>581</v>
      </c>
      <c r="C533" s="1">
        <v>3826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/>
      <c r="L533" s="13"/>
      <c r="M533" s="13" t="s">
        <v>609</v>
      </c>
      <c r="N533" s="13"/>
      <c r="O533" s="13"/>
      <c r="P533" s="13"/>
      <c r="Q533" s="13"/>
      <c r="R533" s="13"/>
      <c r="S533" s="13"/>
    </row>
    <row r="534" spans="1:19" x14ac:dyDescent="0.25">
      <c r="A534" t="s">
        <v>794</v>
      </c>
      <c r="B534" t="s">
        <v>582</v>
      </c>
      <c r="C534" s="1">
        <v>3466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/>
      <c r="L534" s="13">
        <v>616</v>
      </c>
      <c r="M534" s="13" t="s">
        <v>610</v>
      </c>
      <c r="N534" s="13">
        <v>1664</v>
      </c>
      <c r="O534" s="13">
        <v>0</v>
      </c>
      <c r="P534" s="13">
        <v>0</v>
      </c>
      <c r="Q534" s="13">
        <v>0</v>
      </c>
      <c r="R534" s="13">
        <v>0</v>
      </c>
      <c r="S534" s="13">
        <v>0</v>
      </c>
    </row>
    <row r="535" spans="1:19" x14ac:dyDescent="0.25">
      <c r="A535" t="s">
        <v>794</v>
      </c>
      <c r="B535" t="s">
        <v>583</v>
      </c>
      <c r="C535" s="1">
        <v>356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/>
      <c r="L535" s="13">
        <v>616</v>
      </c>
      <c r="M535" s="13" t="s">
        <v>611</v>
      </c>
      <c r="N535" s="13">
        <v>4754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</row>
    <row r="536" spans="1:19" x14ac:dyDescent="0.25">
      <c r="A536" t="s">
        <v>120</v>
      </c>
      <c r="B536" t="s">
        <v>584</v>
      </c>
      <c r="C536" s="1"/>
      <c r="D536" s="1"/>
      <c r="E536" s="1"/>
      <c r="F536" s="1"/>
      <c r="G536" s="1"/>
      <c r="H536" s="1"/>
      <c r="I536" s="1"/>
      <c r="J536" s="1"/>
      <c r="L536" s="13">
        <v>514</v>
      </c>
      <c r="M536" s="13" t="s">
        <v>612</v>
      </c>
      <c r="N536" s="13">
        <v>8358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</row>
    <row r="537" spans="1:19" x14ac:dyDescent="0.25">
      <c r="A537" t="s">
        <v>45</v>
      </c>
      <c r="B537" t="s">
        <v>585</v>
      </c>
      <c r="C537" s="1"/>
      <c r="D537" s="1"/>
      <c r="E537" s="1"/>
      <c r="F537" s="1"/>
      <c r="G537" s="1"/>
      <c r="H537" s="1"/>
      <c r="I537" s="1"/>
      <c r="J537" s="1"/>
      <c r="L537" s="13">
        <v>616</v>
      </c>
      <c r="M537" s="13" t="s">
        <v>613</v>
      </c>
      <c r="N537" s="13">
        <v>704</v>
      </c>
      <c r="O537" s="13">
        <v>0</v>
      </c>
      <c r="P537" s="13">
        <v>0</v>
      </c>
      <c r="Q537" s="13">
        <v>0</v>
      </c>
      <c r="R537" s="13">
        <v>0</v>
      </c>
      <c r="S537" s="13">
        <v>0</v>
      </c>
    </row>
    <row r="538" spans="1:19" x14ac:dyDescent="0.25">
      <c r="A538" t="s">
        <v>794</v>
      </c>
      <c r="B538" t="s">
        <v>586</v>
      </c>
      <c r="C538" s="1">
        <v>3925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/>
      <c r="L538" s="13">
        <v>616</v>
      </c>
      <c r="M538" s="13" t="s">
        <v>614</v>
      </c>
      <c r="N538" s="13">
        <v>888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</row>
    <row r="539" spans="1:19" x14ac:dyDescent="0.25">
      <c r="A539" t="s">
        <v>43</v>
      </c>
      <c r="B539" t="s">
        <v>587</v>
      </c>
      <c r="C539" s="1"/>
      <c r="D539" s="1"/>
      <c r="E539" s="1"/>
      <c r="F539" s="1"/>
      <c r="G539" s="1"/>
      <c r="H539" s="1"/>
      <c r="I539" s="1"/>
      <c r="J539" s="1"/>
      <c r="L539" s="13">
        <v>120</v>
      </c>
      <c r="M539" s="13" t="s">
        <v>615</v>
      </c>
      <c r="N539" s="13"/>
      <c r="O539" s="13"/>
      <c r="P539" s="13"/>
      <c r="Q539" s="13"/>
      <c r="R539" s="13"/>
      <c r="S539" s="13"/>
    </row>
    <row r="540" spans="1:19" x14ac:dyDescent="0.25">
      <c r="A540" t="s">
        <v>61</v>
      </c>
      <c r="B540" t="s">
        <v>588</v>
      </c>
      <c r="C540" s="1"/>
      <c r="D540" s="1"/>
      <c r="E540" s="1"/>
      <c r="F540" s="1"/>
      <c r="G540" s="1"/>
      <c r="H540" s="1"/>
      <c r="I540" s="1"/>
      <c r="J540" s="1"/>
      <c r="L540" s="13">
        <v>511</v>
      </c>
      <c r="M540" s="13" t="s">
        <v>616</v>
      </c>
      <c r="N540" s="13">
        <v>2747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</row>
    <row r="541" spans="1:19" x14ac:dyDescent="0.25">
      <c r="A541" t="s">
        <v>47</v>
      </c>
      <c r="B541" t="s">
        <v>589</v>
      </c>
      <c r="C541" s="1"/>
      <c r="D541" s="1"/>
      <c r="E541" s="1"/>
      <c r="F541" s="1"/>
      <c r="G541" s="1"/>
      <c r="H541" s="1"/>
      <c r="I541" s="1"/>
      <c r="J541" s="1"/>
      <c r="L541" s="13">
        <v>111</v>
      </c>
      <c r="M541" s="13" t="s">
        <v>617</v>
      </c>
      <c r="N541" s="13">
        <v>1164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</row>
    <row r="542" spans="1:19" x14ac:dyDescent="0.25">
      <c r="A542" t="s">
        <v>38</v>
      </c>
      <c r="B542" t="s">
        <v>590</v>
      </c>
      <c r="C542" s="1"/>
      <c r="D542" s="1"/>
      <c r="E542" s="1"/>
      <c r="F542" s="1"/>
      <c r="G542" s="1"/>
      <c r="H542" s="1"/>
      <c r="I542" s="1"/>
      <c r="J542" s="1"/>
      <c r="L542" s="13">
        <v>511</v>
      </c>
      <c r="M542" s="13" t="s">
        <v>618</v>
      </c>
      <c r="N542" s="13">
        <v>1342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</row>
    <row r="543" spans="1:19" x14ac:dyDescent="0.25">
      <c r="A543" t="s">
        <v>789</v>
      </c>
      <c r="B543" t="s">
        <v>591</v>
      </c>
      <c r="C543" s="1"/>
      <c r="D543" s="1"/>
      <c r="E543" s="1"/>
      <c r="F543" s="1"/>
      <c r="G543" s="1"/>
      <c r="H543" s="1"/>
      <c r="I543" s="1"/>
      <c r="J543" s="1"/>
      <c r="L543" s="13">
        <v>610</v>
      </c>
      <c r="M543" s="13" t="s">
        <v>619</v>
      </c>
      <c r="N543" s="13"/>
      <c r="O543" s="13"/>
      <c r="P543" s="13"/>
      <c r="Q543" s="13"/>
      <c r="R543" s="13"/>
      <c r="S543" s="13"/>
    </row>
    <row r="544" spans="1:19" x14ac:dyDescent="0.25">
      <c r="A544" t="s">
        <v>794</v>
      </c>
      <c r="B544" t="s">
        <v>592</v>
      </c>
      <c r="C544" s="1"/>
      <c r="D544" s="1"/>
      <c r="E544" s="1"/>
      <c r="F544" s="1"/>
      <c r="G544" s="1"/>
      <c r="H544" s="1"/>
      <c r="I544" s="1"/>
      <c r="J544" s="1"/>
      <c r="L544" s="13">
        <v>616</v>
      </c>
      <c r="M544" s="13" t="s">
        <v>620</v>
      </c>
      <c r="N544" s="13">
        <v>5489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</row>
    <row r="545" spans="1:19" x14ac:dyDescent="0.25">
      <c r="A545" t="s">
        <v>59</v>
      </c>
      <c r="B545" t="s">
        <v>593</v>
      </c>
      <c r="C545" s="1"/>
      <c r="D545" s="1"/>
      <c r="E545" s="1"/>
      <c r="F545" s="1"/>
      <c r="G545" s="1"/>
      <c r="H545" s="1"/>
      <c r="I545" s="1"/>
      <c r="J545" s="1"/>
      <c r="L545" s="13">
        <v>600</v>
      </c>
      <c r="M545" s="13" t="s">
        <v>621</v>
      </c>
      <c r="N545" s="13">
        <v>1259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</row>
    <row r="546" spans="1:19" x14ac:dyDescent="0.25">
      <c r="A546" t="s">
        <v>128</v>
      </c>
      <c r="B546" t="s">
        <v>594</v>
      </c>
      <c r="C546" s="1"/>
      <c r="D546" s="1"/>
      <c r="E546" s="1"/>
      <c r="F546" s="1"/>
      <c r="G546" s="1"/>
      <c r="H546" s="1"/>
      <c r="I546" s="1"/>
      <c r="J546" s="1"/>
      <c r="L546" s="13">
        <v>114</v>
      </c>
      <c r="M546" s="13" t="s">
        <v>622</v>
      </c>
      <c r="N546" s="13">
        <v>9964</v>
      </c>
      <c r="O546" s="13">
        <v>0</v>
      </c>
      <c r="P546" s="13">
        <v>0</v>
      </c>
      <c r="Q546" s="13">
        <v>0</v>
      </c>
      <c r="R546" s="13">
        <v>0</v>
      </c>
      <c r="S546" s="13">
        <v>0</v>
      </c>
    </row>
    <row r="547" spans="1:19" x14ac:dyDescent="0.25">
      <c r="A547" t="s">
        <v>804</v>
      </c>
      <c r="B547" t="s">
        <v>595</v>
      </c>
      <c r="C547" s="1"/>
      <c r="D547" s="1"/>
      <c r="E547" s="1"/>
      <c r="F547" s="1"/>
      <c r="G547" s="1"/>
      <c r="H547" s="1"/>
      <c r="I547" s="1"/>
      <c r="J547" s="1"/>
      <c r="L547" s="13"/>
      <c r="M547" s="13" t="s">
        <v>623</v>
      </c>
      <c r="N547" s="13"/>
      <c r="O547" s="13"/>
      <c r="P547" s="13"/>
      <c r="Q547" s="13"/>
      <c r="R547" s="13"/>
      <c r="S547" s="13"/>
    </row>
    <row r="548" spans="1:19" x14ac:dyDescent="0.25">
      <c r="A548" t="s">
        <v>795</v>
      </c>
      <c r="B548" t="s">
        <v>596</v>
      </c>
      <c r="C548" s="1"/>
      <c r="D548" s="1"/>
      <c r="E548" s="1"/>
      <c r="F548" s="1"/>
      <c r="G548" s="1"/>
      <c r="H548" s="1"/>
      <c r="I548" s="1"/>
      <c r="J548" s="1"/>
      <c r="L548" s="13"/>
      <c r="M548" s="13" t="s">
        <v>624</v>
      </c>
      <c r="N548" s="13"/>
      <c r="O548" s="13"/>
      <c r="P548" s="13"/>
      <c r="Q548" s="13"/>
      <c r="R548" s="13"/>
      <c r="S548" s="13"/>
    </row>
    <row r="549" spans="1:19" x14ac:dyDescent="0.25">
      <c r="A549" t="s">
        <v>101</v>
      </c>
      <c r="B549" t="s">
        <v>597</v>
      </c>
      <c r="C549" s="1">
        <v>3663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/>
      <c r="L549" s="13">
        <v>712</v>
      </c>
      <c r="M549" s="13" t="s">
        <v>625</v>
      </c>
      <c r="N549" s="13">
        <v>6627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</row>
    <row r="550" spans="1:19" x14ac:dyDescent="0.25">
      <c r="A550" t="s">
        <v>787</v>
      </c>
      <c r="B550" t="s">
        <v>598</v>
      </c>
      <c r="C550" s="1"/>
      <c r="D550" s="1"/>
      <c r="E550" s="1"/>
      <c r="F550" s="1"/>
      <c r="G550" s="1"/>
      <c r="H550" s="1"/>
      <c r="I550" s="1"/>
      <c r="J550" s="1"/>
      <c r="L550" s="13">
        <v>710</v>
      </c>
      <c r="M550" s="13" t="s">
        <v>626</v>
      </c>
      <c r="N550" s="13">
        <v>14108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</row>
    <row r="551" spans="1:19" x14ac:dyDescent="0.25">
      <c r="A551" t="s">
        <v>54</v>
      </c>
      <c r="B551" t="s">
        <v>599</v>
      </c>
      <c r="C551" s="1"/>
      <c r="D551" s="1"/>
      <c r="E551" s="1"/>
      <c r="F551" s="1"/>
      <c r="G551" s="1"/>
      <c r="H551" s="1"/>
      <c r="I551" s="1"/>
      <c r="J551" s="1"/>
      <c r="L551" s="13"/>
      <c r="M551" s="13" t="s">
        <v>627</v>
      </c>
      <c r="N551" s="13"/>
      <c r="O551" s="13"/>
      <c r="P551" s="13"/>
      <c r="Q551" s="13"/>
      <c r="R551" s="13"/>
      <c r="S551" s="13"/>
    </row>
    <row r="552" spans="1:19" x14ac:dyDescent="0.25">
      <c r="A552" t="s">
        <v>226</v>
      </c>
      <c r="B552" t="s">
        <v>600</v>
      </c>
      <c r="C552" s="1">
        <v>1159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/>
      <c r="L552" s="13"/>
      <c r="M552" s="13" t="s">
        <v>628</v>
      </c>
      <c r="N552" s="13"/>
      <c r="O552" s="13"/>
      <c r="P552" s="13"/>
      <c r="Q552" s="13"/>
      <c r="R552" s="13"/>
      <c r="S552" s="13"/>
    </row>
    <row r="553" spans="1:19" x14ac:dyDescent="0.25">
      <c r="A553" t="s">
        <v>817</v>
      </c>
      <c r="B553" t="s">
        <v>601</v>
      </c>
      <c r="C553" s="1">
        <v>5562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/>
      <c r="L553" s="13">
        <v>110</v>
      </c>
      <c r="M553" s="13" t="s">
        <v>629</v>
      </c>
      <c r="N553" s="13">
        <v>196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</row>
    <row r="554" spans="1:19" x14ac:dyDescent="0.25">
      <c r="A554" t="s">
        <v>788</v>
      </c>
      <c r="B554" t="s">
        <v>602</v>
      </c>
      <c r="C554" s="1"/>
      <c r="D554" s="1"/>
      <c r="E554" s="1"/>
      <c r="F554" s="1"/>
      <c r="G554" s="1"/>
      <c r="H554" s="1"/>
      <c r="I554" s="1"/>
      <c r="J554" s="1"/>
      <c r="L554" s="13">
        <v>710</v>
      </c>
      <c r="M554" s="13" t="s">
        <v>630</v>
      </c>
      <c r="N554" s="13">
        <v>2059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</row>
    <row r="555" spans="1:19" x14ac:dyDescent="0.25">
      <c r="A555" t="s">
        <v>120</v>
      </c>
      <c r="B555" t="s">
        <v>603</v>
      </c>
      <c r="C555" s="1"/>
      <c r="D555" s="1"/>
      <c r="E555" s="1"/>
      <c r="F555" s="1"/>
      <c r="G555" s="1"/>
      <c r="H555" s="1"/>
      <c r="I555" s="1"/>
      <c r="J555" s="1"/>
      <c r="L555" s="13">
        <v>710</v>
      </c>
      <c r="M555" s="13" t="s">
        <v>631</v>
      </c>
      <c r="N555" s="13">
        <v>7731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</row>
    <row r="556" spans="1:19" x14ac:dyDescent="0.25">
      <c r="A556" t="s">
        <v>150</v>
      </c>
      <c r="B556" t="s">
        <v>604</v>
      </c>
      <c r="C556" s="1"/>
      <c r="D556" s="1"/>
      <c r="E556" s="1"/>
      <c r="F556" s="1"/>
      <c r="G556" s="1"/>
      <c r="H556" s="1"/>
      <c r="I556" s="1"/>
      <c r="J556" s="1"/>
      <c r="L556" s="13">
        <v>616</v>
      </c>
      <c r="M556" s="13" t="s">
        <v>632</v>
      </c>
      <c r="N556" s="13">
        <v>460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</row>
    <row r="557" spans="1:19" x14ac:dyDescent="0.25">
      <c r="A557" t="s">
        <v>809</v>
      </c>
      <c r="B557" t="s">
        <v>605</v>
      </c>
      <c r="C557" s="1"/>
      <c r="D557" s="1"/>
      <c r="E557" s="1"/>
      <c r="F557" s="1"/>
      <c r="G557" s="1"/>
      <c r="H557" s="1"/>
      <c r="I557" s="1"/>
      <c r="J557" s="1"/>
      <c r="L557" s="13">
        <v>712</v>
      </c>
      <c r="M557" s="13" t="s">
        <v>633</v>
      </c>
      <c r="N557" s="13">
        <v>2266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</row>
    <row r="558" spans="1:19" x14ac:dyDescent="0.25">
      <c r="A558" t="s">
        <v>817</v>
      </c>
      <c r="B558" t="s">
        <v>606</v>
      </c>
      <c r="C558" s="1">
        <v>18278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/>
      <c r="L558" s="13">
        <v>616</v>
      </c>
      <c r="M558" s="13" t="s">
        <v>634</v>
      </c>
      <c r="N558" s="13">
        <v>3038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</row>
    <row r="559" spans="1:19" x14ac:dyDescent="0.25">
      <c r="A559" t="s">
        <v>824</v>
      </c>
      <c r="B559" t="s">
        <v>607</v>
      </c>
      <c r="C559" s="1"/>
      <c r="D559" s="1"/>
      <c r="E559" s="1"/>
      <c r="F559" s="1"/>
      <c r="G559" s="1"/>
      <c r="H559" s="1"/>
      <c r="I559" s="1"/>
      <c r="J559" s="1"/>
      <c r="L559" s="13">
        <v>711</v>
      </c>
      <c r="M559" s="13" t="s">
        <v>635</v>
      </c>
      <c r="N559" s="13">
        <v>13622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</row>
    <row r="560" spans="1:19" x14ac:dyDescent="0.25">
      <c r="A560" t="s">
        <v>138</v>
      </c>
      <c r="B560" t="s">
        <v>608</v>
      </c>
      <c r="C560" s="1"/>
      <c r="D560" s="1"/>
      <c r="E560" s="1"/>
      <c r="F560" s="1"/>
      <c r="G560" s="1"/>
      <c r="H560" s="1"/>
      <c r="I560" s="1"/>
      <c r="J560" s="1"/>
      <c r="L560" s="13">
        <v>616</v>
      </c>
      <c r="M560" s="13" t="s">
        <v>636</v>
      </c>
      <c r="N560" s="13">
        <v>2965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</row>
    <row r="561" spans="1:19" x14ac:dyDescent="0.25">
      <c r="A561" t="s">
        <v>120</v>
      </c>
      <c r="B561" t="s">
        <v>609</v>
      </c>
      <c r="C561" s="1"/>
      <c r="D561" s="1"/>
      <c r="E561" s="1"/>
      <c r="F561" s="1"/>
      <c r="G561" s="1"/>
      <c r="H561" s="1"/>
      <c r="I561" s="1"/>
      <c r="J561" s="1"/>
      <c r="L561" s="13">
        <v>500</v>
      </c>
      <c r="M561" s="13" t="s">
        <v>637</v>
      </c>
      <c r="N561" s="13"/>
      <c r="O561" s="13"/>
      <c r="P561" s="13"/>
      <c r="Q561" s="13"/>
      <c r="R561" s="13"/>
      <c r="S561" s="13"/>
    </row>
    <row r="562" spans="1:19" x14ac:dyDescent="0.25">
      <c r="A562" t="s">
        <v>817</v>
      </c>
      <c r="B562" t="s">
        <v>610</v>
      </c>
      <c r="C562" s="1"/>
      <c r="D562" s="1"/>
      <c r="E562" s="1"/>
      <c r="F562" s="1"/>
      <c r="G562" s="1"/>
      <c r="H562" s="1"/>
      <c r="I562" s="1"/>
      <c r="J562" s="1"/>
      <c r="L562" s="13">
        <v>715</v>
      </c>
      <c r="M562" s="13" t="s">
        <v>638</v>
      </c>
      <c r="N562" s="13">
        <v>3992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</row>
    <row r="563" spans="1:19" x14ac:dyDescent="0.25">
      <c r="A563" t="s">
        <v>817</v>
      </c>
      <c r="B563" t="s">
        <v>611</v>
      </c>
      <c r="C563" s="1">
        <v>4754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/>
      <c r="L563" s="13">
        <v>616</v>
      </c>
      <c r="M563" s="13" t="s">
        <v>639</v>
      </c>
      <c r="N563" s="13">
        <v>7523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</row>
    <row r="564" spans="1:19" x14ac:dyDescent="0.25">
      <c r="A564" t="s">
        <v>134</v>
      </c>
      <c r="B564" t="s">
        <v>612</v>
      </c>
      <c r="C564" s="1">
        <v>8358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/>
      <c r="L564" s="13">
        <v>111</v>
      </c>
      <c r="M564" s="13" t="s">
        <v>640</v>
      </c>
      <c r="N564" s="13">
        <v>25976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</row>
    <row r="565" spans="1:19" x14ac:dyDescent="0.25">
      <c r="A565" t="s">
        <v>817</v>
      </c>
      <c r="B565" t="s">
        <v>613</v>
      </c>
      <c r="C565" s="1"/>
      <c r="D565" s="1"/>
      <c r="E565" s="1"/>
      <c r="F565" s="1"/>
      <c r="G565" s="1"/>
      <c r="H565" s="1"/>
      <c r="I565" s="1"/>
      <c r="J565" s="1"/>
      <c r="L565" s="13"/>
      <c r="M565" s="13" t="s">
        <v>641</v>
      </c>
      <c r="N565" s="13"/>
      <c r="O565" s="13"/>
      <c r="P565" s="13"/>
      <c r="Q565" s="13"/>
      <c r="R565" s="13"/>
      <c r="S565" s="13"/>
    </row>
    <row r="566" spans="1:19" x14ac:dyDescent="0.25">
      <c r="A566" t="s">
        <v>817</v>
      </c>
      <c r="B566" t="s">
        <v>614</v>
      </c>
      <c r="C566" s="1">
        <v>888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/>
      <c r="L566" s="13">
        <v>712</v>
      </c>
      <c r="M566" s="13" t="s">
        <v>642</v>
      </c>
      <c r="N566" s="13">
        <v>684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</row>
    <row r="567" spans="1:19" x14ac:dyDescent="0.25">
      <c r="A567" t="s">
        <v>802</v>
      </c>
      <c r="B567" t="s">
        <v>615</v>
      </c>
      <c r="C567" s="1"/>
      <c r="D567" s="1"/>
      <c r="E567" s="1"/>
      <c r="F567" s="1"/>
      <c r="G567" s="1"/>
      <c r="H567" s="1"/>
      <c r="I567" s="1"/>
      <c r="J567" s="1"/>
      <c r="L567" s="13">
        <v>616</v>
      </c>
      <c r="M567" s="13" t="s">
        <v>643</v>
      </c>
      <c r="N567" s="13">
        <v>350</v>
      </c>
      <c r="O567" s="13">
        <v>0</v>
      </c>
      <c r="P567" s="13">
        <v>0</v>
      </c>
      <c r="Q567" s="13">
        <v>0</v>
      </c>
      <c r="R567" s="13">
        <v>0</v>
      </c>
      <c r="S567" s="13">
        <v>0</v>
      </c>
    </row>
    <row r="568" spans="1:19" x14ac:dyDescent="0.25">
      <c r="A568" t="s">
        <v>101</v>
      </c>
      <c r="B568" t="s">
        <v>616</v>
      </c>
      <c r="C568" s="1">
        <v>2747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/>
      <c r="L568" s="13">
        <v>712</v>
      </c>
      <c r="M568" s="13" t="s">
        <v>644</v>
      </c>
      <c r="N568" s="13">
        <v>1779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</row>
    <row r="569" spans="1:19" x14ac:dyDescent="0.25">
      <c r="A569" t="s">
        <v>811</v>
      </c>
      <c r="B569" t="s">
        <v>617</v>
      </c>
      <c r="C569" s="1"/>
      <c r="D569" s="1"/>
      <c r="E569" s="1"/>
      <c r="F569" s="1"/>
      <c r="G569" s="1"/>
      <c r="H569" s="1"/>
      <c r="I569" s="1"/>
      <c r="J569" s="1"/>
      <c r="L569" s="13">
        <v>616</v>
      </c>
      <c r="M569" s="13" t="s">
        <v>645</v>
      </c>
      <c r="N569" s="13">
        <v>12325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</row>
    <row r="570" spans="1:19" x14ac:dyDescent="0.25">
      <c r="A570" t="s">
        <v>101</v>
      </c>
      <c r="B570" t="s">
        <v>618</v>
      </c>
      <c r="C570" s="1">
        <v>1342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/>
      <c r="L570" s="13">
        <v>616</v>
      </c>
      <c r="M570" s="13" t="s">
        <v>646</v>
      </c>
      <c r="N570" s="13">
        <v>3910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</row>
    <row r="571" spans="1:19" x14ac:dyDescent="0.25">
      <c r="A571" t="s">
        <v>788</v>
      </c>
      <c r="B571" t="s">
        <v>619</v>
      </c>
      <c r="C571" s="1"/>
      <c r="D571" s="1"/>
      <c r="E571" s="1"/>
      <c r="F571" s="1"/>
      <c r="G571" s="1"/>
      <c r="H571" s="1"/>
      <c r="I571" s="1"/>
      <c r="J571" s="1"/>
      <c r="L571" s="13">
        <v>300</v>
      </c>
      <c r="M571" s="13" t="s">
        <v>647</v>
      </c>
      <c r="N571" s="13">
        <v>459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</row>
    <row r="572" spans="1:19" x14ac:dyDescent="0.25">
      <c r="A572" t="s">
        <v>817</v>
      </c>
      <c r="B572" t="s">
        <v>620</v>
      </c>
      <c r="C572" s="1">
        <v>5489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/>
      <c r="L572" s="13">
        <v>114</v>
      </c>
      <c r="M572" s="13" t="s">
        <v>648</v>
      </c>
      <c r="N572" s="13">
        <v>7142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</row>
    <row r="573" spans="1:19" x14ac:dyDescent="0.25">
      <c r="A573" t="s">
        <v>248</v>
      </c>
      <c r="B573" t="s">
        <v>621</v>
      </c>
      <c r="C573" s="1">
        <v>1259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/>
      <c r="L573" s="13">
        <v>715</v>
      </c>
      <c r="M573" s="13" t="s">
        <v>649</v>
      </c>
      <c r="N573" s="13">
        <v>2129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</row>
    <row r="574" spans="1:19" x14ac:dyDescent="0.25">
      <c r="A574" t="s">
        <v>150</v>
      </c>
      <c r="B574" t="s">
        <v>622</v>
      </c>
      <c r="C574" s="1"/>
      <c r="D574" s="1"/>
      <c r="E574" s="1"/>
      <c r="F574" s="1"/>
      <c r="G574" s="1"/>
      <c r="H574" s="1"/>
      <c r="I574" s="1"/>
      <c r="J574" s="1"/>
      <c r="L574" s="13">
        <v>616</v>
      </c>
      <c r="M574" s="13" t="s">
        <v>650</v>
      </c>
      <c r="N574" s="13">
        <v>3844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</row>
    <row r="575" spans="1:19" x14ac:dyDescent="0.25">
      <c r="A575" t="s">
        <v>823</v>
      </c>
      <c r="B575" t="s">
        <v>623</v>
      </c>
      <c r="C575" s="1"/>
      <c r="D575" s="1"/>
      <c r="E575" s="1"/>
      <c r="F575" s="1"/>
      <c r="G575" s="1"/>
      <c r="H575" s="1"/>
      <c r="I575" s="1"/>
      <c r="J575" s="1"/>
      <c r="L575" s="13">
        <v>616</v>
      </c>
      <c r="M575" s="13" t="s">
        <v>651</v>
      </c>
      <c r="N575" s="13">
        <v>3211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</row>
    <row r="576" spans="1:19" x14ac:dyDescent="0.25">
      <c r="A576" t="s">
        <v>817</v>
      </c>
      <c r="B576" t="s">
        <v>624</v>
      </c>
      <c r="C576" s="1"/>
      <c r="D576" s="1"/>
      <c r="E576" s="1"/>
      <c r="F576" s="1"/>
      <c r="G576" s="1"/>
      <c r="H576" s="1"/>
      <c r="I576" s="1"/>
      <c r="J576" s="1"/>
      <c r="L576" s="13">
        <v>616</v>
      </c>
      <c r="M576" s="13" t="s">
        <v>652</v>
      </c>
      <c r="N576" s="13">
        <v>545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</row>
    <row r="577" spans="1:19" x14ac:dyDescent="0.25">
      <c r="A577" t="s">
        <v>76</v>
      </c>
      <c r="B577" t="s">
        <v>625</v>
      </c>
      <c r="C577" s="1">
        <v>6627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/>
      <c r="L577" s="13">
        <v>616</v>
      </c>
      <c r="M577" s="13" t="s">
        <v>653</v>
      </c>
      <c r="N577" s="13">
        <v>15696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</row>
    <row r="578" spans="1:19" x14ac:dyDescent="0.25">
      <c r="A578" t="s">
        <v>69</v>
      </c>
      <c r="B578" t="s">
        <v>626</v>
      </c>
      <c r="C578" s="1">
        <v>14108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/>
      <c r="L578" s="13">
        <v>616</v>
      </c>
      <c r="M578" s="13" t="s">
        <v>654</v>
      </c>
      <c r="N578" s="13">
        <v>10088</v>
      </c>
      <c r="O578" s="13">
        <v>0</v>
      </c>
      <c r="P578" s="13">
        <v>0</v>
      </c>
      <c r="Q578" s="13">
        <v>0</v>
      </c>
      <c r="R578" s="13">
        <v>0</v>
      </c>
      <c r="S578" s="13">
        <v>0</v>
      </c>
    </row>
    <row r="579" spans="1:19" x14ac:dyDescent="0.25">
      <c r="A579" t="s">
        <v>83</v>
      </c>
      <c r="B579" t="s">
        <v>627</v>
      </c>
      <c r="C579" s="1"/>
      <c r="D579" s="1"/>
      <c r="E579" s="1"/>
      <c r="F579" s="1"/>
      <c r="G579" s="1"/>
      <c r="H579" s="1"/>
      <c r="I579" s="1"/>
      <c r="J579" s="1"/>
      <c r="L579" s="13">
        <v>120</v>
      </c>
      <c r="M579" s="13" t="s">
        <v>655</v>
      </c>
      <c r="N579" s="13"/>
      <c r="O579" s="13"/>
      <c r="P579" s="13"/>
      <c r="Q579" s="13"/>
      <c r="R579" s="13"/>
      <c r="S579" s="13"/>
    </row>
    <row r="580" spans="1:19" x14ac:dyDescent="0.25">
      <c r="A580" t="s">
        <v>791</v>
      </c>
      <c r="B580" t="s">
        <v>628</v>
      </c>
      <c r="C580" s="1"/>
      <c r="D580" s="1"/>
      <c r="E580" s="1"/>
      <c r="F580" s="1"/>
      <c r="G580" s="1"/>
      <c r="H580" s="1"/>
      <c r="I580" s="1"/>
      <c r="J580" s="1"/>
      <c r="L580" s="13">
        <v>616</v>
      </c>
      <c r="M580" s="13" t="s">
        <v>656</v>
      </c>
      <c r="N580" s="13">
        <v>2162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</row>
    <row r="581" spans="1:19" x14ac:dyDescent="0.25">
      <c r="A581" t="s">
        <v>797</v>
      </c>
      <c r="B581" t="s">
        <v>629</v>
      </c>
      <c r="C581" s="1"/>
      <c r="D581" s="1"/>
      <c r="E581" s="1"/>
      <c r="F581" s="1"/>
      <c r="G581" s="1"/>
      <c r="H581" s="1"/>
      <c r="I581" s="1"/>
      <c r="J581" s="1"/>
      <c r="L581" s="13">
        <v>111</v>
      </c>
      <c r="M581" s="13" t="s">
        <v>657</v>
      </c>
      <c r="N581" s="13">
        <v>5708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</row>
    <row r="582" spans="1:19" x14ac:dyDescent="0.25">
      <c r="A582" t="s">
        <v>69</v>
      </c>
      <c r="B582" t="s">
        <v>630</v>
      </c>
      <c r="C582" s="1">
        <v>2059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/>
      <c r="L582" s="13">
        <v>616</v>
      </c>
      <c r="M582" s="13" t="s">
        <v>658</v>
      </c>
      <c r="N582" s="13">
        <v>13583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</row>
    <row r="583" spans="1:19" x14ac:dyDescent="0.25">
      <c r="A583" t="s">
        <v>69</v>
      </c>
      <c r="B583" t="s">
        <v>631</v>
      </c>
      <c r="C583" s="1">
        <v>7731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/>
      <c r="L583" s="13">
        <v>130</v>
      </c>
      <c r="M583" s="13" t="s">
        <v>659</v>
      </c>
      <c r="N583" s="13">
        <v>3315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</row>
    <row r="584" spans="1:19" x14ac:dyDescent="0.25">
      <c r="A584" t="s">
        <v>817</v>
      </c>
      <c r="B584" t="s">
        <v>632</v>
      </c>
      <c r="C584" s="1">
        <v>460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/>
      <c r="L584" s="13">
        <v>600</v>
      </c>
      <c r="M584" s="13" t="s">
        <v>660</v>
      </c>
      <c r="N584" s="13">
        <v>2643</v>
      </c>
      <c r="O584" s="13">
        <v>0</v>
      </c>
      <c r="P584" s="13">
        <v>0</v>
      </c>
      <c r="Q584" s="13">
        <v>0</v>
      </c>
      <c r="R584" s="13">
        <v>0</v>
      </c>
      <c r="S584" s="13">
        <v>0</v>
      </c>
    </row>
    <row r="585" spans="1:19" x14ac:dyDescent="0.25">
      <c r="A585" t="s">
        <v>76</v>
      </c>
      <c r="B585" t="s">
        <v>633</v>
      </c>
      <c r="C585" s="1">
        <v>2266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/>
      <c r="L585" s="13">
        <v>124</v>
      </c>
      <c r="M585" s="13" t="s">
        <v>661</v>
      </c>
      <c r="N585" s="13">
        <v>2248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</row>
    <row r="586" spans="1:19" x14ac:dyDescent="0.25">
      <c r="A586" t="s">
        <v>817</v>
      </c>
      <c r="B586" t="s">
        <v>634</v>
      </c>
      <c r="C586" s="1">
        <v>3038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/>
      <c r="L586" s="13">
        <v>173</v>
      </c>
      <c r="M586" s="13" t="s">
        <v>662</v>
      </c>
      <c r="N586" s="13">
        <v>1582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</row>
    <row r="587" spans="1:19" x14ac:dyDescent="0.25">
      <c r="A587" t="s">
        <v>801</v>
      </c>
      <c r="B587" t="s">
        <v>635</v>
      </c>
      <c r="C587" s="1">
        <v>13622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/>
      <c r="L587" s="13">
        <v>511</v>
      </c>
      <c r="M587" s="13" t="s">
        <v>663</v>
      </c>
      <c r="N587" s="13">
        <v>1083</v>
      </c>
      <c r="O587" s="13">
        <v>0</v>
      </c>
      <c r="P587" s="13">
        <v>0</v>
      </c>
      <c r="Q587" s="13">
        <v>0</v>
      </c>
      <c r="R587" s="13">
        <v>0</v>
      </c>
      <c r="S587" s="13">
        <v>0</v>
      </c>
    </row>
    <row r="588" spans="1:19" x14ac:dyDescent="0.25">
      <c r="A588" t="s">
        <v>817</v>
      </c>
      <c r="B588" t="s">
        <v>636</v>
      </c>
      <c r="C588" s="1">
        <v>2965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/>
      <c r="L588" s="13">
        <v>710</v>
      </c>
      <c r="M588" s="13" t="s">
        <v>664</v>
      </c>
      <c r="N588" s="13">
        <v>2470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</row>
    <row r="589" spans="1:19" x14ac:dyDescent="0.25">
      <c r="A589" t="s">
        <v>824</v>
      </c>
      <c r="B589" t="s">
        <v>637</v>
      </c>
      <c r="C589" s="1"/>
      <c r="D589" s="1"/>
      <c r="E589" s="1"/>
      <c r="F589" s="1"/>
      <c r="G589" s="1"/>
      <c r="H589" s="1"/>
      <c r="I589" s="1"/>
      <c r="J589" s="1"/>
      <c r="L589" s="13"/>
      <c r="M589" s="13" t="s">
        <v>665</v>
      </c>
      <c r="N589" s="13"/>
      <c r="O589" s="13"/>
      <c r="P589" s="13"/>
      <c r="Q589" s="13"/>
      <c r="R589" s="13"/>
      <c r="S589" s="13"/>
    </row>
    <row r="590" spans="1:19" x14ac:dyDescent="0.25">
      <c r="A590" t="s">
        <v>818</v>
      </c>
      <c r="B590" t="s">
        <v>638</v>
      </c>
      <c r="C590" s="1">
        <v>3992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/>
      <c r="L590" s="13">
        <v>171</v>
      </c>
      <c r="M590" s="13" t="s">
        <v>666</v>
      </c>
      <c r="N590" s="13">
        <v>887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</row>
    <row r="591" spans="1:19" x14ac:dyDescent="0.25">
      <c r="A591" t="s">
        <v>817</v>
      </c>
      <c r="B591" t="s">
        <v>639</v>
      </c>
      <c r="C591" s="1">
        <v>7523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/>
      <c r="L591" s="13">
        <v>133</v>
      </c>
      <c r="M591" s="13" t="s">
        <v>667</v>
      </c>
      <c r="N591" s="13">
        <v>1028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</row>
    <row r="592" spans="1:19" x14ac:dyDescent="0.25">
      <c r="A592" t="s">
        <v>811</v>
      </c>
      <c r="B592" t="s">
        <v>640</v>
      </c>
      <c r="C592" s="1"/>
      <c r="D592" s="1"/>
      <c r="E592" s="1"/>
      <c r="F592" s="1"/>
      <c r="G592" s="1"/>
      <c r="H592" s="1"/>
      <c r="I592" s="1"/>
      <c r="J592" s="1"/>
      <c r="L592" s="13">
        <v>128</v>
      </c>
      <c r="M592" s="13" t="s">
        <v>668</v>
      </c>
      <c r="N592" s="13"/>
      <c r="O592" s="13"/>
      <c r="P592" s="13"/>
      <c r="Q592" s="13"/>
      <c r="R592" s="13"/>
      <c r="S592" s="13"/>
    </row>
    <row r="593" spans="1:19" x14ac:dyDescent="0.25">
      <c r="A593" t="s">
        <v>811</v>
      </c>
      <c r="B593" t="s">
        <v>641</v>
      </c>
      <c r="C593" s="1"/>
      <c r="D593" s="1"/>
      <c r="E593" s="1"/>
      <c r="F593" s="1"/>
      <c r="G593" s="1"/>
      <c r="H593" s="1"/>
      <c r="I593" s="1"/>
      <c r="J593" s="1"/>
      <c r="L593" s="13">
        <v>131</v>
      </c>
      <c r="M593" s="13" t="s">
        <v>669</v>
      </c>
      <c r="N593" s="13">
        <v>3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</row>
    <row r="594" spans="1:19" x14ac:dyDescent="0.25">
      <c r="A594" t="s">
        <v>76</v>
      </c>
      <c r="B594" t="s">
        <v>642</v>
      </c>
      <c r="C594" s="1">
        <v>684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/>
      <c r="L594" s="13">
        <v>132</v>
      </c>
      <c r="M594" s="13" t="s">
        <v>670</v>
      </c>
      <c r="N594" s="13">
        <v>5</v>
      </c>
      <c r="O594" s="13">
        <v>0</v>
      </c>
      <c r="P594" s="13">
        <v>0</v>
      </c>
      <c r="Q594" s="13">
        <v>0</v>
      </c>
      <c r="R594" s="13">
        <v>0</v>
      </c>
      <c r="S594" s="13">
        <v>0</v>
      </c>
    </row>
    <row r="595" spans="1:19" x14ac:dyDescent="0.25">
      <c r="A595" t="s">
        <v>817</v>
      </c>
      <c r="B595" t="s">
        <v>643</v>
      </c>
      <c r="C595" s="1">
        <v>350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/>
      <c r="L595" s="13">
        <v>300</v>
      </c>
      <c r="M595" s="13" t="s">
        <v>671</v>
      </c>
      <c r="N595" s="13">
        <v>21</v>
      </c>
      <c r="O595" s="13">
        <v>0</v>
      </c>
      <c r="P595" s="13">
        <v>0</v>
      </c>
      <c r="Q595" s="13">
        <v>0</v>
      </c>
      <c r="R595" s="13">
        <v>0</v>
      </c>
      <c r="S595" s="13">
        <v>0</v>
      </c>
    </row>
    <row r="596" spans="1:19" x14ac:dyDescent="0.25">
      <c r="A596" t="s">
        <v>76</v>
      </c>
      <c r="B596" t="s">
        <v>644</v>
      </c>
      <c r="C596" s="1">
        <v>1779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/>
      <c r="L596" s="13">
        <v>116</v>
      </c>
      <c r="M596" s="13" t="s">
        <v>672</v>
      </c>
      <c r="N596" s="13">
        <v>9514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</row>
    <row r="597" spans="1:19" x14ac:dyDescent="0.25">
      <c r="A597" t="s">
        <v>817</v>
      </c>
      <c r="B597" t="s">
        <v>645</v>
      </c>
      <c r="C597" s="1">
        <v>12325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/>
      <c r="L597" s="13">
        <v>148</v>
      </c>
      <c r="M597" s="13" t="s">
        <v>673</v>
      </c>
      <c r="N597" s="13"/>
      <c r="O597" s="13"/>
      <c r="P597" s="13"/>
      <c r="Q597" s="13"/>
      <c r="R597" s="13"/>
      <c r="S597" s="13"/>
    </row>
    <row r="598" spans="1:19" x14ac:dyDescent="0.25">
      <c r="A598" t="s">
        <v>817</v>
      </c>
      <c r="B598" t="s">
        <v>646</v>
      </c>
      <c r="C598" s="1">
        <v>3910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/>
      <c r="L598" s="13">
        <v>116</v>
      </c>
      <c r="M598" s="13" t="s">
        <v>674</v>
      </c>
      <c r="N598" s="13">
        <v>12169</v>
      </c>
      <c r="O598" s="13">
        <v>0</v>
      </c>
      <c r="P598" s="13">
        <v>0</v>
      </c>
      <c r="Q598" s="13">
        <v>0</v>
      </c>
      <c r="R598" s="13">
        <v>0</v>
      </c>
      <c r="S598" s="13">
        <v>0</v>
      </c>
    </row>
    <row r="599" spans="1:19" x14ac:dyDescent="0.25">
      <c r="A599" t="s">
        <v>226</v>
      </c>
      <c r="B599" t="s">
        <v>647</v>
      </c>
      <c r="C599" s="1">
        <v>459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/>
      <c r="L599" s="13"/>
      <c r="M599" s="13" t="s">
        <v>675</v>
      </c>
      <c r="N599" s="13"/>
      <c r="O599" s="13"/>
      <c r="P599" s="13"/>
      <c r="Q599" s="13"/>
      <c r="R599" s="13"/>
      <c r="S599" s="13"/>
    </row>
    <row r="600" spans="1:19" x14ac:dyDescent="0.25">
      <c r="A600" t="s">
        <v>150</v>
      </c>
      <c r="B600" t="s">
        <v>648</v>
      </c>
      <c r="C600" s="1"/>
      <c r="D600" s="1"/>
      <c r="E600" s="1"/>
      <c r="F600" s="1"/>
      <c r="G600" s="1"/>
      <c r="H600" s="1"/>
      <c r="I600" s="1"/>
      <c r="J600" s="1"/>
      <c r="L600" s="13">
        <v>511</v>
      </c>
      <c r="M600" s="13" t="s">
        <v>676</v>
      </c>
      <c r="N600" s="13">
        <v>5035</v>
      </c>
      <c r="O600" s="13">
        <v>0</v>
      </c>
      <c r="P600" s="13">
        <v>0</v>
      </c>
      <c r="Q600" s="13">
        <v>0</v>
      </c>
      <c r="R600" s="13">
        <v>0</v>
      </c>
      <c r="S600" s="13">
        <v>0</v>
      </c>
    </row>
    <row r="601" spans="1:19" x14ac:dyDescent="0.25">
      <c r="A601" t="s">
        <v>818</v>
      </c>
      <c r="B601" t="s">
        <v>649</v>
      </c>
      <c r="C601" s="1">
        <v>2129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/>
      <c r="L601" s="13">
        <v>300</v>
      </c>
      <c r="M601" s="13" t="s">
        <v>677</v>
      </c>
      <c r="N601" s="13">
        <v>627</v>
      </c>
      <c r="O601" s="13">
        <v>0</v>
      </c>
      <c r="P601" s="13">
        <v>0</v>
      </c>
      <c r="Q601" s="13">
        <v>0</v>
      </c>
      <c r="R601" s="13">
        <v>0</v>
      </c>
      <c r="S601" s="13">
        <v>0</v>
      </c>
    </row>
    <row r="602" spans="1:19" x14ac:dyDescent="0.25">
      <c r="A602" t="s">
        <v>817</v>
      </c>
      <c r="B602" t="s">
        <v>650</v>
      </c>
      <c r="C602" s="1">
        <v>3844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/>
      <c r="L602" s="13" t="s">
        <v>815</v>
      </c>
      <c r="M602" s="13" t="s">
        <v>678</v>
      </c>
      <c r="N602" s="13">
        <v>4418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</row>
    <row r="603" spans="1:19" x14ac:dyDescent="0.25">
      <c r="A603" t="s">
        <v>817</v>
      </c>
      <c r="B603" t="s">
        <v>651</v>
      </c>
      <c r="C603" s="1">
        <v>3211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/>
      <c r="L603" s="13">
        <v>171</v>
      </c>
      <c r="M603" s="13" t="s">
        <v>679</v>
      </c>
      <c r="N603" s="13">
        <v>374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</row>
    <row r="604" spans="1:19" x14ac:dyDescent="0.25">
      <c r="A604" t="s">
        <v>817</v>
      </c>
      <c r="B604" t="s">
        <v>652</v>
      </c>
      <c r="C604" s="1">
        <v>545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/>
      <c r="L604" s="13"/>
      <c r="M604" s="13" t="s">
        <v>680</v>
      </c>
      <c r="N604" s="13"/>
      <c r="O604" s="13"/>
      <c r="P604" s="13"/>
      <c r="Q604" s="13"/>
      <c r="R604" s="13"/>
      <c r="S604" s="13"/>
    </row>
    <row r="605" spans="1:19" x14ac:dyDescent="0.25">
      <c r="A605" t="s">
        <v>817</v>
      </c>
      <c r="B605" t="s">
        <v>653</v>
      </c>
      <c r="C605" s="1">
        <v>15696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/>
      <c r="L605" s="13" t="s">
        <v>808</v>
      </c>
      <c r="M605" s="13" t="s">
        <v>681</v>
      </c>
      <c r="N605" s="13">
        <v>912</v>
      </c>
      <c r="O605" s="13">
        <v>0</v>
      </c>
      <c r="P605" s="13">
        <v>0</v>
      </c>
      <c r="Q605" s="13">
        <v>0</v>
      </c>
      <c r="R605" s="13">
        <v>0</v>
      </c>
      <c r="S605" s="13">
        <v>0</v>
      </c>
    </row>
    <row r="606" spans="1:19" x14ac:dyDescent="0.25">
      <c r="A606" t="s">
        <v>817</v>
      </c>
      <c r="B606" t="s">
        <v>654</v>
      </c>
      <c r="C606" s="1">
        <v>10088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/>
      <c r="L606" s="13">
        <v>600</v>
      </c>
      <c r="M606" s="13" t="s">
        <v>682</v>
      </c>
      <c r="N606" s="13">
        <v>5812</v>
      </c>
      <c r="O606" s="13">
        <v>0</v>
      </c>
      <c r="P606" s="13">
        <v>0</v>
      </c>
      <c r="Q606" s="13">
        <v>0</v>
      </c>
      <c r="R606" s="13">
        <v>0</v>
      </c>
      <c r="S606" s="13">
        <v>0</v>
      </c>
    </row>
    <row r="607" spans="1:19" x14ac:dyDescent="0.25">
      <c r="A607" t="s">
        <v>802</v>
      </c>
      <c r="B607" t="s">
        <v>655</v>
      </c>
      <c r="C607" s="1"/>
      <c r="D607" s="1"/>
      <c r="E607" s="1"/>
      <c r="F607" s="1"/>
      <c r="G607" s="1"/>
      <c r="H607" s="1"/>
      <c r="I607" s="1"/>
      <c r="J607" s="1"/>
      <c r="L607" s="13">
        <v>116</v>
      </c>
      <c r="M607" s="13" t="s">
        <v>683</v>
      </c>
      <c r="N607" s="13">
        <v>7129</v>
      </c>
      <c r="O607" s="13">
        <v>0</v>
      </c>
      <c r="P607" s="13">
        <v>0</v>
      </c>
      <c r="Q607" s="13">
        <v>0</v>
      </c>
      <c r="R607" s="13">
        <v>0</v>
      </c>
      <c r="S607" s="13">
        <v>0</v>
      </c>
    </row>
    <row r="608" spans="1:19" x14ac:dyDescent="0.25">
      <c r="A608" t="s">
        <v>817</v>
      </c>
      <c r="B608" t="s">
        <v>656</v>
      </c>
      <c r="C608" s="1">
        <v>2162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/>
      <c r="L608" s="13">
        <v>116</v>
      </c>
      <c r="M608" s="13" t="s">
        <v>684</v>
      </c>
      <c r="N608" s="13">
        <v>21444</v>
      </c>
      <c r="O608" s="13">
        <v>0</v>
      </c>
      <c r="P608" s="13">
        <v>0</v>
      </c>
      <c r="Q608" s="13">
        <v>0</v>
      </c>
      <c r="R608" s="13">
        <v>0</v>
      </c>
      <c r="S608" s="13">
        <v>0</v>
      </c>
    </row>
    <row r="609" spans="1:19" x14ac:dyDescent="0.25">
      <c r="A609" t="s">
        <v>811</v>
      </c>
      <c r="B609" t="s">
        <v>657</v>
      </c>
      <c r="C609" s="1"/>
      <c r="D609" s="1"/>
      <c r="E609" s="1"/>
      <c r="F609" s="1"/>
      <c r="G609" s="1"/>
      <c r="H609" s="1"/>
      <c r="I609" s="1"/>
      <c r="J609" s="1"/>
      <c r="L609" s="13">
        <v>116</v>
      </c>
      <c r="M609" s="13" t="s">
        <v>685</v>
      </c>
      <c r="N609" s="13">
        <v>1533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</row>
    <row r="610" spans="1:19" x14ac:dyDescent="0.25">
      <c r="A610" t="s">
        <v>817</v>
      </c>
      <c r="B610" t="s">
        <v>658</v>
      </c>
      <c r="C610" s="1">
        <v>13583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/>
      <c r="L610" s="13">
        <v>134</v>
      </c>
      <c r="M610" s="13" t="s">
        <v>686</v>
      </c>
      <c r="N610" s="13"/>
      <c r="O610" s="13"/>
      <c r="P610" s="13"/>
      <c r="Q610" s="13"/>
      <c r="R610" s="13"/>
      <c r="S610" s="13"/>
    </row>
    <row r="611" spans="1:19" x14ac:dyDescent="0.25">
      <c r="A611" t="s">
        <v>793</v>
      </c>
      <c r="B611" t="s">
        <v>659</v>
      </c>
      <c r="C611" s="1"/>
      <c r="D611" s="1"/>
      <c r="E611" s="1"/>
      <c r="F611" s="1"/>
      <c r="G611" s="1"/>
      <c r="H611" s="1"/>
      <c r="I611" s="1"/>
      <c r="J611" s="1"/>
      <c r="L611" s="13">
        <v>149</v>
      </c>
      <c r="M611" s="13" t="s">
        <v>687</v>
      </c>
      <c r="N611" s="13">
        <v>2393</v>
      </c>
      <c r="O611" s="13">
        <v>0</v>
      </c>
      <c r="P611" s="13">
        <v>0</v>
      </c>
      <c r="Q611" s="13">
        <v>0</v>
      </c>
      <c r="R611" s="13">
        <v>0</v>
      </c>
      <c r="S611" s="13">
        <v>0</v>
      </c>
    </row>
    <row r="612" spans="1:19" x14ac:dyDescent="0.25">
      <c r="A612" t="s">
        <v>248</v>
      </c>
      <c r="B612" t="s">
        <v>660</v>
      </c>
      <c r="C612" s="1"/>
      <c r="D612" s="1"/>
      <c r="E612" s="1"/>
      <c r="F612" s="1"/>
      <c r="G612" s="1"/>
      <c r="H612" s="1"/>
      <c r="I612" s="1"/>
      <c r="J612" s="1"/>
      <c r="L612" s="13"/>
      <c r="M612" s="13" t="s">
        <v>688</v>
      </c>
      <c r="N612" s="13"/>
      <c r="O612" s="13"/>
      <c r="P612" s="13"/>
      <c r="Q612" s="13"/>
      <c r="R612" s="13"/>
      <c r="S612" s="13"/>
    </row>
    <row r="613" spans="1:19" x14ac:dyDescent="0.25">
      <c r="A613" t="s">
        <v>123</v>
      </c>
      <c r="B613" t="s">
        <v>661</v>
      </c>
      <c r="C613" s="1"/>
      <c r="D613" s="1"/>
      <c r="E613" s="1"/>
      <c r="F613" s="1"/>
      <c r="G613" s="1"/>
      <c r="H613" s="1"/>
      <c r="I613" s="1"/>
      <c r="J613" s="1"/>
      <c r="L613" s="13">
        <v>600</v>
      </c>
      <c r="M613" s="13" t="s">
        <v>689</v>
      </c>
      <c r="N613" s="13">
        <v>6951</v>
      </c>
      <c r="O613" s="13">
        <v>0</v>
      </c>
      <c r="P613" s="13">
        <v>0</v>
      </c>
      <c r="Q613" s="13">
        <v>0</v>
      </c>
      <c r="R613" s="13">
        <v>0</v>
      </c>
      <c r="S613" s="13">
        <v>0</v>
      </c>
    </row>
    <row r="614" spans="1:19" x14ac:dyDescent="0.25">
      <c r="A614" t="s">
        <v>229</v>
      </c>
      <c r="B614" t="s">
        <v>662</v>
      </c>
      <c r="C614" s="1">
        <v>1582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/>
      <c r="L614" s="13">
        <v>114</v>
      </c>
      <c r="M614" s="13" t="s">
        <v>690</v>
      </c>
      <c r="N614" s="13">
        <v>3366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</row>
    <row r="615" spans="1:19" x14ac:dyDescent="0.25">
      <c r="A615" t="s">
        <v>101</v>
      </c>
      <c r="B615" t="s">
        <v>663</v>
      </c>
      <c r="C615" s="1">
        <v>1083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/>
      <c r="L615" s="13">
        <v>138</v>
      </c>
      <c r="M615" s="13" t="s">
        <v>691</v>
      </c>
      <c r="N615" s="13">
        <v>537</v>
      </c>
      <c r="O615" s="13">
        <v>0</v>
      </c>
      <c r="P615" s="13">
        <v>0</v>
      </c>
      <c r="Q615" s="13">
        <v>0</v>
      </c>
      <c r="R615" s="13">
        <v>0</v>
      </c>
      <c r="S615" s="13">
        <v>0</v>
      </c>
    </row>
    <row r="616" spans="1:19" x14ac:dyDescent="0.25">
      <c r="A616" t="s">
        <v>69</v>
      </c>
      <c r="B616" t="s">
        <v>664</v>
      </c>
      <c r="C616" s="1">
        <v>2470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/>
      <c r="L616" s="13">
        <v>613</v>
      </c>
      <c r="M616" s="13" t="s">
        <v>692</v>
      </c>
      <c r="N616" s="13"/>
      <c r="O616" s="13"/>
      <c r="P616" s="13"/>
      <c r="Q616" s="13"/>
      <c r="R616" s="13"/>
      <c r="S616" s="13"/>
    </row>
    <row r="617" spans="1:19" x14ac:dyDescent="0.25">
      <c r="A617" t="s">
        <v>120</v>
      </c>
      <c r="B617" t="s">
        <v>665</v>
      </c>
      <c r="C617" s="1"/>
      <c r="D617" s="1"/>
      <c r="E617" s="1"/>
      <c r="F617" s="1"/>
      <c r="G617" s="1"/>
      <c r="H617" s="1"/>
      <c r="I617" s="1"/>
      <c r="J617" s="1"/>
      <c r="L617" s="13">
        <v>500</v>
      </c>
      <c r="M617" s="13" t="s">
        <v>693</v>
      </c>
      <c r="N617" s="13"/>
      <c r="O617" s="13"/>
      <c r="P617" s="13"/>
      <c r="Q617" s="13"/>
      <c r="R617" s="13"/>
      <c r="S617" s="13"/>
    </row>
    <row r="618" spans="1:19" x14ac:dyDescent="0.25">
      <c r="A618" t="s">
        <v>804</v>
      </c>
      <c r="B618" t="s">
        <v>666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/>
      <c r="L618" s="13">
        <v>116</v>
      </c>
      <c r="M618" s="13" t="s">
        <v>694</v>
      </c>
      <c r="N618" s="13">
        <v>1548</v>
      </c>
      <c r="O618" s="13">
        <v>0</v>
      </c>
      <c r="P618" s="13">
        <v>0</v>
      </c>
      <c r="Q618" s="13">
        <v>0</v>
      </c>
      <c r="R618" s="13">
        <v>0</v>
      </c>
      <c r="S618" s="13">
        <v>0</v>
      </c>
    </row>
    <row r="619" spans="1:19" x14ac:dyDescent="0.25">
      <c r="A619" t="s">
        <v>106</v>
      </c>
      <c r="B619" t="s">
        <v>667</v>
      </c>
      <c r="C619" s="1"/>
      <c r="D619" s="1"/>
      <c r="E619" s="1"/>
      <c r="F619" s="1"/>
      <c r="G619" s="1"/>
      <c r="H619" s="1"/>
      <c r="I619" s="1"/>
      <c r="J619" s="1"/>
      <c r="L619" s="13">
        <v>312</v>
      </c>
      <c r="M619" s="13" t="s">
        <v>695</v>
      </c>
      <c r="N619" s="13">
        <v>1160</v>
      </c>
      <c r="O619" s="13">
        <v>0</v>
      </c>
      <c r="P619" s="13">
        <v>0</v>
      </c>
      <c r="Q619" s="13">
        <v>0</v>
      </c>
      <c r="R619" s="13">
        <v>0</v>
      </c>
      <c r="S619" s="13">
        <v>0</v>
      </c>
    </row>
    <row r="620" spans="1:19" x14ac:dyDescent="0.25">
      <c r="A620" t="s">
        <v>813</v>
      </c>
      <c r="B620" t="s">
        <v>668</v>
      </c>
      <c r="C620" s="1"/>
      <c r="D620" s="1"/>
      <c r="E620" s="1"/>
      <c r="F620" s="1"/>
      <c r="G620" s="1"/>
      <c r="H620" s="1"/>
      <c r="I620" s="1"/>
      <c r="J620" s="1"/>
      <c r="L620" s="13">
        <v>116</v>
      </c>
      <c r="M620" s="13" t="s">
        <v>696</v>
      </c>
      <c r="N620" s="13">
        <v>6279</v>
      </c>
      <c r="O620" s="13">
        <v>0</v>
      </c>
      <c r="P620" s="13">
        <v>0</v>
      </c>
      <c r="Q620" s="13">
        <v>0</v>
      </c>
      <c r="R620" s="13">
        <v>0</v>
      </c>
      <c r="S620" s="13">
        <v>0</v>
      </c>
    </row>
    <row r="621" spans="1:19" x14ac:dyDescent="0.25">
      <c r="A621" t="s">
        <v>810</v>
      </c>
      <c r="B621" t="s">
        <v>669</v>
      </c>
      <c r="C621" s="1"/>
      <c r="D621" s="1"/>
      <c r="E621" s="1"/>
      <c r="F621" s="1"/>
      <c r="G621" s="1"/>
      <c r="H621" s="1"/>
      <c r="I621" s="1"/>
      <c r="J621" s="1"/>
      <c r="L621" s="13">
        <v>114</v>
      </c>
      <c r="M621" s="13" t="s">
        <v>697</v>
      </c>
      <c r="N621" s="13">
        <v>2248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</row>
    <row r="622" spans="1:19" x14ac:dyDescent="0.25">
      <c r="A622" t="s">
        <v>812</v>
      </c>
      <c r="B622" t="s">
        <v>670</v>
      </c>
      <c r="C622" s="1"/>
      <c r="D622" s="1"/>
      <c r="E622" s="1"/>
      <c r="F622" s="1"/>
      <c r="G622" s="1"/>
      <c r="H622" s="1"/>
      <c r="I622" s="1"/>
      <c r="J622" s="1"/>
      <c r="L622" s="13">
        <v>141</v>
      </c>
      <c r="M622" s="13" t="s">
        <v>698</v>
      </c>
      <c r="N622" s="13">
        <v>3629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</row>
    <row r="623" spans="1:19" x14ac:dyDescent="0.25">
      <c r="A623" t="s">
        <v>226</v>
      </c>
      <c r="B623" t="s">
        <v>671</v>
      </c>
      <c r="C623" s="1"/>
      <c r="D623" s="1"/>
      <c r="E623" s="1"/>
      <c r="F623" s="1"/>
      <c r="G623" s="1"/>
      <c r="H623" s="1"/>
      <c r="I623" s="1"/>
      <c r="J623" s="1"/>
      <c r="L623" s="13">
        <v>111</v>
      </c>
      <c r="M623" s="13" t="s">
        <v>699</v>
      </c>
      <c r="N623" s="13">
        <v>7348</v>
      </c>
      <c r="O623" s="13">
        <v>0</v>
      </c>
      <c r="P623" s="13">
        <v>0</v>
      </c>
      <c r="Q623" s="13">
        <v>0</v>
      </c>
      <c r="R623" s="13">
        <v>0</v>
      </c>
      <c r="S623" s="13">
        <v>0</v>
      </c>
    </row>
    <row r="624" spans="1:19" x14ac:dyDescent="0.25">
      <c r="A624" t="s">
        <v>795</v>
      </c>
      <c r="B624" t="s">
        <v>672</v>
      </c>
      <c r="C624" s="1"/>
      <c r="D624" s="1"/>
      <c r="E624" s="1"/>
      <c r="F624" s="1"/>
      <c r="G624" s="1"/>
      <c r="H624" s="1"/>
      <c r="I624" s="1"/>
      <c r="J624" s="1"/>
      <c r="L624" s="13">
        <v>135</v>
      </c>
      <c r="M624" s="13" t="s">
        <v>700</v>
      </c>
      <c r="N624" s="13">
        <v>6387</v>
      </c>
      <c r="O624" s="13">
        <v>0</v>
      </c>
      <c r="P624" s="13">
        <v>0</v>
      </c>
      <c r="Q624" s="13">
        <v>0</v>
      </c>
      <c r="R624" s="13">
        <v>0</v>
      </c>
      <c r="S624" s="13">
        <v>0</v>
      </c>
    </row>
    <row r="625" spans="1:19" x14ac:dyDescent="0.25">
      <c r="A625" t="s">
        <v>33</v>
      </c>
      <c r="B625" t="s">
        <v>673</v>
      </c>
      <c r="C625" s="1"/>
      <c r="D625" s="1"/>
      <c r="E625" s="1"/>
      <c r="F625" s="1"/>
      <c r="G625" s="1"/>
      <c r="H625" s="1"/>
      <c r="I625" s="1"/>
      <c r="J625" s="1"/>
      <c r="L625" s="13"/>
      <c r="M625" s="13" t="s">
        <v>701</v>
      </c>
      <c r="N625" s="13"/>
      <c r="O625" s="13"/>
      <c r="P625" s="13"/>
      <c r="Q625" s="13"/>
      <c r="R625" s="13"/>
      <c r="S625" s="13"/>
    </row>
    <row r="626" spans="1:19" x14ac:dyDescent="0.25">
      <c r="A626" t="s">
        <v>795</v>
      </c>
      <c r="B626" t="s">
        <v>674</v>
      </c>
      <c r="C626" s="1"/>
      <c r="D626" s="1"/>
      <c r="E626" s="1"/>
      <c r="F626" s="1"/>
      <c r="G626" s="1"/>
      <c r="H626" s="1"/>
      <c r="I626" s="1"/>
      <c r="J626" s="1"/>
      <c r="L626" s="13"/>
      <c r="M626" s="13" t="s">
        <v>702</v>
      </c>
      <c r="N626" s="13"/>
      <c r="O626" s="13"/>
      <c r="P626" s="13"/>
      <c r="Q626" s="13"/>
      <c r="R626" s="13"/>
      <c r="S626" s="13"/>
    </row>
    <row r="627" spans="1:19" x14ac:dyDescent="0.25">
      <c r="A627" t="s">
        <v>108</v>
      </c>
      <c r="B627" t="s">
        <v>675</v>
      </c>
      <c r="C627" s="1"/>
      <c r="D627" s="1"/>
      <c r="E627" s="1"/>
      <c r="F627" s="1"/>
      <c r="G627" s="1"/>
      <c r="H627" s="1"/>
      <c r="I627" s="1"/>
      <c r="J627" s="1"/>
      <c r="L627" s="13">
        <v>126</v>
      </c>
      <c r="M627" s="13" t="s">
        <v>703</v>
      </c>
      <c r="N627" s="13">
        <v>726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</row>
    <row r="628" spans="1:19" x14ac:dyDescent="0.25">
      <c r="A628" t="s">
        <v>101</v>
      </c>
      <c r="B628" t="s">
        <v>676</v>
      </c>
      <c r="C628" s="1">
        <v>5035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/>
      <c r="L628" s="13">
        <v>611</v>
      </c>
      <c r="M628" s="13" t="s">
        <v>704</v>
      </c>
      <c r="N628" s="13">
        <v>2840</v>
      </c>
      <c r="O628" s="13">
        <v>0</v>
      </c>
      <c r="P628" s="13">
        <v>0</v>
      </c>
      <c r="Q628" s="13">
        <v>0</v>
      </c>
      <c r="R628" s="13">
        <v>0</v>
      </c>
      <c r="S628" s="13">
        <v>0</v>
      </c>
    </row>
    <row r="629" spans="1:19" x14ac:dyDescent="0.25">
      <c r="A629" t="s">
        <v>226</v>
      </c>
      <c r="B629" t="s">
        <v>677</v>
      </c>
      <c r="C629" s="1">
        <v>627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/>
      <c r="L629" s="13">
        <v>152</v>
      </c>
      <c r="M629" s="13" t="s">
        <v>705</v>
      </c>
      <c r="N629" s="13">
        <v>2254</v>
      </c>
      <c r="O629" s="13">
        <v>0</v>
      </c>
      <c r="P629" s="13">
        <v>0</v>
      </c>
      <c r="Q629" s="13">
        <v>0</v>
      </c>
      <c r="R629" s="13">
        <v>0</v>
      </c>
      <c r="S629" s="13">
        <v>0</v>
      </c>
    </row>
    <row r="630" spans="1:19" x14ac:dyDescent="0.25">
      <c r="A630" t="s">
        <v>138</v>
      </c>
      <c r="B630" t="s">
        <v>678</v>
      </c>
      <c r="C630" s="1"/>
      <c r="D630" s="1"/>
      <c r="E630" s="1"/>
      <c r="F630" s="1"/>
      <c r="G630" s="1"/>
      <c r="H630" s="1"/>
      <c r="I630" s="1"/>
      <c r="J630" s="1"/>
      <c r="L630" s="13">
        <v>123</v>
      </c>
      <c r="M630" s="13" t="s">
        <v>706</v>
      </c>
      <c r="N630" s="13">
        <v>1217</v>
      </c>
      <c r="O630" s="13">
        <v>0</v>
      </c>
      <c r="P630" s="13">
        <v>0</v>
      </c>
      <c r="Q630" s="13">
        <v>0</v>
      </c>
      <c r="R630" s="13">
        <v>0</v>
      </c>
      <c r="S630" s="13">
        <v>0</v>
      </c>
    </row>
    <row r="631" spans="1:19" x14ac:dyDescent="0.25">
      <c r="A631" t="s">
        <v>804</v>
      </c>
      <c r="B631" t="s">
        <v>679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/>
      <c r="L631" s="13" t="s">
        <v>814</v>
      </c>
      <c r="M631" s="13" t="s">
        <v>707</v>
      </c>
      <c r="N631" s="13">
        <v>1831</v>
      </c>
      <c r="O631" s="13">
        <v>0</v>
      </c>
      <c r="P631" s="13">
        <v>0</v>
      </c>
      <c r="Q631" s="13">
        <v>0</v>
      </c>
      <c r="R631" s="13">
        <v>0</v>
      </c>
      <c r="S631" s="13">
        <v>0</v>
      </c>
    </row>
    <row r="632" spans="1:19" x14ac:dyDescent="0.25">
      <c r="A632" t="s">
        <v>823</v>
      </c>
      <c r="B632" t="s">
        <v>680</v>
      </c>
      <c r="C632" s="1"/>
      <c r="D632" s="1"/>
      <c r="E632" s="1"/>
      <c r="F632" s="1"/>
      <c r="G632" s="1"/>
      <c r="H632" s="1"/>
      <c r="I632" s="1"/>
      <c r="J632" s="1"/>
      <c r="L632" s="13">
        <v>127</v>
      </c>
      <c r="M632" s="13" t="s">
        <v>708</v>
      </c>
      <c r="N632" s="13">
        <v>4664</v>
      </c>
      <c r="O632" s="13">
        <v>0</v>
      </c>
      <c r="P632" s="13">
        <v>0</v>
      </c>
      <c r="Q632" s="13">
        <v>0</v>
      </c>
      <c r="R632" s="13">
        <v>0</v>
      </c>
      <c r="S632" s="13">
        <v>0</v>
      </c>
    </row>
    <row r="633" spans="1:19" x14ac:dyDescent="0.25">
      <c r="A633" t="s">
        <v>809</v>
      </c>
      <c r="B633" t="s">
        <v>681</v>
      </c>
      <c r="C633" s="1"/>
      <c r="D633" s="1"/>
      <c r="E633" s="1"/>
      <c r="F633" s="1"/>
      <c r="G633" s="1"/>
      <c r="H633" s="1"/>
      <c r="I633" s="1"/>
      <c r="J633" s="1"/>
      <c r="L633" s="13">
        <v>125</v>
      </c>
      <c r="M633" s="13" t="s">
        <v>709</v>
      </c>
      <c r="N633" s="13">
        <v>1247</v>
      </c>
      <c r="O633" s="13">
        <v>0</v>
      </c>
      <c r="P633" s="13">
        <v>0</v>
      </c>
      <c r="Q633" s="13">
        <v>0</v>
      </c>
      <c r="R633" s="13">
        <v>0</v>
      </c>
      <c r="S633" s="13">
        <v>0</v>
      </c>
    </row>
    <row r="634" spans="1:19" x14ac:dyDescent="0.25">
      <c r="A634" t="s">
        <v>248</v>
      </c>
      <c r="B634" t="s">
        <v>682</v>
      </c>
      <c r="C634" s="1">
        <v>5812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/>
      <c r="L634" s="13">
        <v>121</v>
      </c>
      <c r="M634" s="13" t="s">
        <v>710</v>
      </c>
      <c r="N634" s="13">
        <v>1619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</row>
    <row r="635" spans="1:19" x14ac:dyDescent="0.25">
      <c r="A635" t="s">
        <v>795</v>
      </c>
      <c r="B635" t="s">
        <v>683</v>
      </c>
      <c r="C635" s="1"/>
      <c r="D635" s="1"/>
      <c r="E635" s="1"/>
      <c r="F635" s="1"/>
      <c r="G635" s="1"/>
      <c r="H635" s="1"/>
      <c r="I635" s="1"/>
      <c r="J635" s="1"/>
      <c r="L635" s="13">
        <v>500</v>
      </c>
      <c r="M635" s="13" t="s">
        <v>711</v>
      </c>
      <c r="N635" s="13"/>
      <c r="O635" s="13"/>
      <c r="P635" s="13"/>
      <c r="Q635" s="13"/>
      <c r="R635" s="13"/>
      <c r="S635" s="13"/>
    </row>
    <row r="636" spans="1:19" x14ac:dyDescent="0.25">
      <c r="A636" t="s">
        <v>795</v>
      </c>
      <c r="B636" t="s">
        <v>684</v>
      </c>
      <c r="C636" s="1"/>
      <c r="D636" s="1"/>
      <c r="E636" s="1"/>
      <c r="F636" s="1"/>
      <c r="G636" s="1"/>
      <c r="H636" s="1"/>
      <c r="I636" s="1"/>
      <c r="J636" s="1"/>
      <c r="L636" s="13"/>
      <c r="M636" s="13" t="s">
        <v>712</v>
      </c>
      <c r="N636" s="13"/>
      <c r="O636" s="13"/>
      <c r="P636" s="13"/>
      <c r="Q636" s="13"/>
      <c r="R636" s="13"/>
      <c r="S636" s="13"/>
    </row>
    <row r="637" spans="1:19" x14ac:dyDescent="0.25">
      <c r="A637" t="s">
        <v>795</v>
      </c>
      <c r="B637" t="s">
        <v>685</v>
      </c>
      <c r="C637" s="1"/>
      <c r="D637" s="1"/>
      <c r="E637" s="1"/>
      <c r="F637" s="1"/>
      <c r="G637" s="1"/>
      <c r="H637" s="1"/>
      <c r="I637" s="1"/>
      <c r="J637" s="1"/>
      <c r="L637" s="13">
        <v>122</v>
      </c>
      <c r="M637" s="13" t="s">
        <v>713</v>
      </c>
      <c r="N637" s="13">
        <v>1472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</row>
    <row r="638" spans="1:19" x14ac:dyDescent="0.25">
      <c r="A638" t="s">
        <v>99</v>
      </c>
      <c r="B638" t="s">
        <v>686</v>
      </c>
      <c r="C638" s="1"/>
      <c r="D638" s="1"/>
      <c r="E638" s="1"/>
      <c r="F638" s="1"/>
      <c r="G638" s="1"/>
      <c r="H638" s="1"/>
      <c r="I638" s="1"/>
      <c r="J638" s="1"/>
      <c r="L638" s="13">
        <v>611</v>
      </c>
      <c r="M638" s="13" t="s">
        <v>714</v>
      </c>
      <c r="N638" s="13">
        <v>3794</v>
      </c>
      <c r="O638" s="13">
        <v>0</v>
      </c>
      <c r="P638" s="13">
        <v>0</v>
      </c>
      <c r="Q638" s="13">
        <v>0</v>
      </c>
      <c r="R638" s="13">
        <v>0</v>
      </c>
      <c r="S638" s="13">
        <v>0</v>
      </c>
    </row>
    <row r="639" spans="1:19" x14ac:dyDescent="0.25">
      <c r="A639" t="s">
        <v>52</v>
      </c>
      <c r="B639" t="s">
        <v>687</v>
      </c>
      <c r="C639" s="1"/>
      <c r="D639" s="1"/>
      <c r="E639" s="1"/>
      <c r="F639" s="1"/>
      <c r="G639" s="1"/>
      <c r="H639" s="1"/>
      <c r="I639" s="1"/>
      <c r="J639" s="1"/>
      <c r="L639" s="13">
        <v>311</v>
      </c>
      <c r="M639" s="13" t="s">
        <v>715</v>
      </c>
      <c r="N639" s="13">
        <v>2866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</row>
    <row r="640" spans="1:19" x14ac:dyDescent="0.25">
      <c r="A640" t="s">
        <v>120</v>
      </c>
      <c r="B640" t="s">
        <v>688</v>
      </c>
      <c r="C640" s="1"/>
      <c r="D640" s="1"/>
      <c r="E640" s="1"/>
      <c r="F640" s="1"/>
      <c r="G640" s="1"/>
      <c r="H640" s="1"/>
      <c r="I640" s="1"/>
      <c r="J640" s="1"/>
      <c r="L640" s="13">
        <v>611</v>
      </c>
      <c r="M640" s="13" t="s">
        <v>716</v>
      </c>
      <c r="N640" s="13">
        <v>1667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</row>
    <row r="641" spans="1:19" x14ac:dyDescent="0.25">
      <c r="A641" t="s">
        <v>248</v>
      </c>
      <c r="B641" t="s">
        <v>689</v>
      </c>
      <c r="C641" s="1">
        <v>6951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/>
      <c r="L641" s="13">
        <v>116</v>
      </c>
      <c r="M641" s="13" t="s">
        <v>717</v>
      </c>
      <c r="N641" s="13">
        <v>2161</v>
      </c>
      <c r="O641" s="13">
        <v>0</v>
      </c>
      <c r="P641" s="13">
        <v>0</v>
      </c>
      <c r="Q641" s="13">
        <v>0</v>
      </c>
      <c r="R641" s="13">
        <v>0</v>
      </c>
      <c r="S641" s="13">
        <v>0</v>
      </c>
    </row>
    <row r="642" spans="1:19" x14ac:dyDescent="0.25">
      <c r="A642" t="s">
        <v>150</v>
      </c>
      <c r="B642" t="s">
        <v>690</v>
      </c>
      <c r="C642" s="1"/>
      <c r="D642" s="1"/>
      <c r="E642" s="1"/>
      <c r="F642" s="1"/>
      <c r="G642" s="1"/>
      <c r="H642" s="1"/>
      <c r="I642" s="1"/>
      <c r="J642" s="1"/>
      <c r="L642" s="13">
        <v>611</v>
      </c>
      <c r="M642" s="13" t="s">
        <v>718</v>
      </c>
      <c r="N642" s="13">
        <v>1681</v>
      </c>
      <c r="O642" s="13">
        <v>0</v>
      </c>
      <c r="P642" s="13">
        <v>0</v>
      </c>
      <c r="Q642" s="13">
        <v>0</v>
      </c>
      <c r="R642" s="13">
        <v>0</v>
      </c>
      <c r="S642" s="13">
        <v>0</v>
      </c>
    </row>
    <row r="643" spans="1:19" x14ac:dyDescent="0.25">
      <c r="A643" t="s">
        <v>50</v>
      </c>
      <c r="B643" t="s">
        <v>691</v>
      </c>
      <c r="C643" s="1"/>
      <c r="D643" s="1"/>
      <c r="E643" s="1"/>
      <c r="F643" s="1"/>
      <c r="G643" s="1"/>
      <c r="H643" s="1"/>
      <c r="I643" s="1"/>
      <c r="J643" s="1"/>
      <c r="L643" s="13">
        <v>515</v>
      </c>
      <c r="M643" s="13" t="s">
        <v>719</v>
      </c>
      <c r="N643" s="13"/>
      <c r="O643" s="13"/>
      <c r="P643" s="13"/>
      <c r="Q643" s="13"/>
      <c r="R643" s="13"/>
      <c r="S643" s="13"/>
    </row>
    <row r="644" spans="1:19" x14ac:dyDescent="0.25">
      <c r="A644" t="s">
        <v>495</v>
      </c>
      <c r="B644" t="s">
        <v>692</v>
      </c>
      <c r="C644" s="1"/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/>
      <c r="L644" s="13">
        <v>616</v>
      </c>
      <c r="M644" s="13" t="s">
        <v>720</v>
      </c>
      <c r="N644" s="13">
        <v>9646</v>
      </c>
      <c r="O644" s="13">
        <v>0</v>
      </c>
      <c r="P644" s="13">
        <v>0</v>
      </c>
      <c r="Q644" s="13">
        <v>0</v>
      </c>
      <c r="R644" s="13">
        <v>0</v>
      </c>
      <c r="S644" s="13">
        <v>0</v>
      </c>
    </row>
    <row r="645" spans="1:19" x14ac:dyDescent="0.25">
      <c r="A645" t="s">
        <v>824</v>
      </c>
      <c r="B645" t="s">
        <v>693</v>
      </c>
      <c r="C645" s="1"/>
      <c r="D645" s="1"/>
      <c r="E645" s="1"/>
      <c r="F645" s="1"/>
      <c r="G645" s="1"/>
      <c r="H645" s="1"/>
      <c r="I645" s="1"/>
      <c r="J645" s="1"/>
      <c r="L645" s="13">
        <v>211</v>
      </c>
      <c r="M645" s="13" t="s">
        <v>721</v>
      </c>
      <c r="N645" s="13">
        <v>11399</v>
      </c>
      <c r="O645" s="13">
        <v>0</v>
      </c>
      <c r="P645" s="13">
        <v>0</v>
      </c>
      <c r="Q645" s="13">
        <v>0</v>
      </c>
      <c r="R645" s="13">
        <v>0</v>
      </c>
      <c r="S645" s="13">
        <v>0</v>
      </c>
    </row>
    <row r="646" spans="1:19" x14ac:dyDescent="0.25">
      <c r="A646" t="s">
        <v>795</v>
      </c>
      <c r="B646" t="s">
        <v>694</v>
      </c>
      <c r="C646" s="1"/>
      <c r="D646" s="1"/>
      <c r="E646" s="1"/>
      <c r="F646" s="1"/>
      <c r="G646" s="1"/>
      <c r="H646" s="1"/>
      <c r="I646" s="1"/>
      <c r="J646" s="1"/>
      <c r="L646" s="13">
        <v>611</v>
      </c>
      <c r="M646" s="13" t="s">
        <v>722</v>
      </c>
      <c r="N646" s="13">
        <v>1666</v>
      </c>
      <c r="O646" s="13">
        <v>0</v>
      </c>
      <c r="P646" s="13">
        <v>0</v>
      </c>
      <c r="Q646" s="13">
        <v>0</v>
      </c>
      <c r="R646" s="13">
        <v>0</v>
      </c>
      <c r="S646" s="13">
        <v>0</v>
      </c>
    </row>
    <row r="647" spans="1:19" x14ac:dyDescent="0.25">
      <c r="A647" t="s">
        <v>72</v>
      </c>
      <c r="B647" t="s">
        <v>695</v>
      </c>
      <c r="C647" s="1">
        <v>1160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/>
      <c r="L647" s="13">
        <v>137</v>
      </c>
      <c r="M647" s="13" t="s">
        <v>723</v>
      </c>
      <c r="N647" s="13">
        <v>2779</v>
      </c>
      <c r="O647" s="13">
        <v>0</v>
      </c>
      <c r="P647" s="13">
        <v>0</v>
      </c>
      <c r="Q647" s="13">
        <v>0</v>
      </c>
      <c r="R647" s="13">
        <v>0</v>
      </c>
      <c r="S647" s="13">
        <v>0</v>
      </c>
    </row>
    <row r="648" spans="1:19" x14ac:dyDescent="0.25">
      <c r="A648" t="s">
        <v>795</v>
      </c>
      <c r="B648" t="s">
        <v>696</v>
      </c>
      <c r="C648" s="1"/>
      <c r="D648" s="1"/>
      <c r="E648" s="1"/>
      <c r="F648" s="1"/>
      <c r="G648" s="1"/>
      <c r="H648" s="1"/>
      <c r="I648" s="1"/>
      <c r="J648" s="1"/>
      <c r="L648" s="13">
        <v>211</v>
      </c>
      <c r="M648" s="13" t="s">
        <v>724</v>
      </c>
      <c r="N648" s="13">
        <v>25544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</row>
    <row r="649" spans="1:19" x14ac:dyDescent="0.25">
      <c r="A649" t="s">
        <v>150</v>
      </c>
      <c r="B649" t="s">
        <v>697</v>
      </c>
      <c r="C649" s="1"/>
      <c r="D649" s="1"/>
      <c r="E649" s="1"/>
      <c r="F649" s="1"/>
      <c r="G649" s="1"/>
      <c r="H649" s="1"/>
      <c r="I649" s="1"/>
      <c r="J649" s="1"/>
      <c r="L649" s="13" t="s">
        <v>814</v>
      </c>
      <c r="M649" s="13" t="s">
        <v>725</v>
      </c>
      <c r="N649" s="13">
        <v>3825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</row>
    <row r="650" spans="1:19" x14ac:dyDescent="0.25">
      <c r="A650" t="s">
        <v>31</v>
      </c>
      <c r="B650" t="s">
        <v>698</v>
      </c>
      <c r="C650" s="1"/>
      <c r="D650" s="1"/>
      <c r="E650" s="1"/>
      <c r="F650" s="1"/>
      <c r="G650" s="1"/>
      <c r="H650" s="1"/>
      <c r="I650" s="1"/>
      <c r="J650" s="1"/>
      <c r="L650" s="13">
        <v>211</v>
      </c>
      <c r="M650" s="13" t="s">
        <v>726</v>
      </c>
      <c r="N650" s="13"/>
      <c r="O650" s="13"/>
      <c r="P650" s="13"/>
      <c r="Q650" s="13"/>
      <c r="R650" s="13"/>
      <c r="S650" s="13"/>
    </row>
    <row r="651" spans="1:19" x14ac:dyDescent="0.25">
      <c r="A651" t="s">
        <v>811</v>
      </c>
      <c r="B651" t="s">
        <v>699</v>
      </c>
      <c r="C651" s="1"/>
      <c r="D651" s="1"/>
      <c r="E651" s="1"/>
      <c r="F651" s="1"/>
      <c r="G651" s="1"/>
      <c r="H651" s="1"/>
      <c r="I651" s="1"/>
      <c r="J651" s="1"/>
      <c r="L651" s="13">
        <v>713</v>
      </c>
      <c r="M651" s="13" t="s">
        <v>727</v>
      </c>
      <c r="N651" s="13"/>
      <c r="O651" s="13"/>
      <c r="P651" s="13"/>
      <c r="Q651" s="13"/>
      <c r="R651" s="13"/>
      <c r="S651" s="13"/>
    </row>
    <row r="652" spans="1:19" x14ac:dyDescent="0.25">
      <c r="A652" t="s">
        <v>113</v>
      </c>
      <c r="B652" t="s">
        <v>700</v>
      </c>
      <c r="C652" s="1"/>
      <c r="D652" s="1"/>
      <c r="E652" s="1"/>
      <c r="F652" s="1"/>
      <c r="G652" s="1"/>
      <c r="H652" s="1"/>
      <c r="I652" s="1"/>
      <c r="J652" s="1"/>
      <c r="L652" s="13">
        <v>514</v>
      </c>
      <c r="M652" s="13" t="s">
        <v>728</v>
      </c>
      <c r="N652" s="13">
        <v>594</v>
      </c>
      <c r="O652" s="13">
        <v>0</v>
      </c>
      <c r="P652" s="13">
        <v>0</v>
      </c>
      <c r="Q652" s="13">
        <v>0</v>
      </c>
      <c r="R652" s="13">
        <v>0</v>
      </c>
      <c r="S652" s="13">
        <v>0</v>
      </c>
    </row>
    <row r="653" spans="1:19" x14ac:dyDescent="0.25">
      <c r="A653" t="s">
        <v>796</v>
      </c>
      <c r="B653" t="s">
        <v>701</v>
      </c>
      <c r="C653" s="1"/>
      <c r="D653" s="1"/>
      <c r="E653" s="1"/>
      <c r="F653" s="1"/>
      <c r="G653" s="1"/>
      <c r="H653" s="1"/>
      <c r="I653" s="1"/>
      <c r="J653" s="1"/>
      <c r="L653" s="13" t="s">
        <v>815</v>
      </c>
      <c r="M653" s="13" t="s">
        <v>729</v>
      </c>
      <c r="N653" s="13">
        <v>834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</row>
    <row r="654" spans="1:19" x14ac:dyDescent="0.25">
      <c r="A654" t="s">
        <v>512</v>
      </c>
      <c r="B654" t="s">
        <v>702</v>
      </c>
      <c r="C654" s="1"/>
      <c r="D654" s="1"/>
      <c r="E654" s="1"/>
      <c r="F654" s="1"/>
      <c r="G654" s="1"/>
      <c r="H654" s="1"/>
      <c r="I654" s="1"/>
      <c r="J654" s="1"/>
      <c r="L654" s="13">
        <v>610</v>
      </c>
      <c r="M654" s="13" t="s">
        <v>730</v>
      </c>
      <c r="N654" s="13"/>
      <c r="O654" s="13"/>
      <c r="P654" s="13"/>
      <c r="Q654" s="13"/>
      <c r="R654" s="13"/>
      <c r="S654" s="13"/>
    </row>
    <row r="655" spans="1:19" x14ac:dyDescent="0.25">
      <c r="A655" t="s">
        <v>97</v>
      </c>
      <c r="B655" t="s">
        <v>703</v>
      </c>
      <c r="C655" s="1"/>
      <c r="D655" s="1"/>
      <c r="E655" s="1"/>
      <c r="F655" s="1"/>
      <c r="G655" s="1"/>
      <c r="H655" s="1"/>
      <c r="I655" s="1"/>
      <c r="J655" s="1"/>
      <c r="L655" s="13">
        <v>114</v>
      </c>
      <c r="M655" s="13" t="s">
        <v>731</v>
      </c>
      <c r="N655" s="13">
        <v>802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</row>
    <row r="656" spans="1:19" x14ac:dyDescent="0.25">
      <c r="A656" t="s">
        <v>146</v>
      </c>
      <c r="B656" t="s">
        <v>704</v>
      </c>
      <c r="C656" s="1">
        <v>2840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/>
      <c r="L656" s="13" t="s">
        <v>815</v>
      </c>
      <c r="M656" s="13" t="s">
        <v>732</v>
      </c>
      <c r="N656" s="13">
        <v>1118</v>
      </c>
      <c r="O656" s="13">
        <v>0</v>
      </c>
      <c r="P656" s="13">
        <v>0</v>
      </c>
      <c r="Q656" s="13">
        <v>0</v>
      </c>
      <c r="R656" s="13">
        <v>0</v>
      </c>
      <c r="S656" s="13">
        <v>0</v>
      </c>
    </row>
    <row r="657" spans="1:19" x14ac:dyDescent="0.25">
      <c r="A657" t="s">
        <v>790</v>
      </c>
      <c r="B657" t="s">
        <v>705</v>
      </c>
      <c r="C657" s="1"/>
      <c r="D657" s="1"/>
      <c r="E657" s="1"/>
      <c r="F657" s="1"/>
      <c r="G657" s="1"/>
      <c r="H657" s="1"/>
      <c r="I657" s="1"/>
      <c r="J657" s="1"/>
      <c r="L657" s="13" t="s">
        <v>808</v>
      </c>
      <c r="M657" s="13" t="s">
        <v>733</v>
      </c>
      <c r="N657" s="13">
        <v>4353</v>
      </c>
      <c r="O657" s="13">
        <v>0</v>
      </c>
      <c r="P657" s="13">
        <v>0</v>
      </c>
      <c r="Q657" s="13">
        <v>0</v>
      </c>
      <c r="R657" s="13">
        <v>0</v>
      </c>
      <c r="S657" s="13">
        <v>0</v>
      </c>
    </row>
    <row r="658" spans="1:19" x14ac:dyDescent="0.25">
      <c r="A658" t="s">
        <v>110</v>
      </c>
      <c r="B658" t="s">
        <v>706</v>
      </c>
      <c r="C658" s="1"/>
      <c r="D658" s="1"/>
      <c r="E658" s="1"/>
      <c r="F658" s="1"/>
      <c r="G658" s="1"/>
      <c r="H658" s="1"/>
      <c r="I658" s="1"/>
      <c r="J658" s="1"/>
      <c r="L658" s="13"/>
      <c r="M658" s="13" t="s">
        <v>734</v>
      </c>
      <c r="N658" s="13"/>
      <c r="O658" s="13"/>
      <c r="P658" s="13"/>
      <c r="Q658" s="13"/>
      <c r="R658" s="13"/>
      <c r="S658" s="13"/>
    </row>
    <row r="659" spans="1:19" x14ac:dyDescent="0.25">
      <c r="A659" t="s">
        <v>794</v>
      </c>
      <c r="B659" t="s">
        <v>707</v>
      </c>
      <c r="C659" s="1">
        <v>1831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/>
      <c r="L659" s="13">
        <v>616</v>
      </c>
      <c r="M659" s="13" t="s">
        <v>735</v>
      </c>
      <c r="N659" s="13">
        <v>2120</v>
      </c>
      <c r="O659" s="13">
        <v>0</v>
      </c>
      <c r="P659" s="13">
        <v>0</v>
      </c>
      <c r="Q659" s="13">
        <v>0</v>
      </c>
      <c r="R659" s="13">
        <v>0</v>
      </c>
      <c r="S659" s="13">
        <v>0</v>
      </c>
    </row>
    <row r="660" spans="1:19" x14ac:dyDescent="0.25">
      <c r="A660" t="s">
        <v>108</v>
      </c>
      <c r="B660" t="s">
        <v>708</v>
      </c>
      <c r="C660" s="1"/>
      <c r="D660" s="1"/>
      <c r="E660" s="1"/>
      <c r="F660" s="1"/>
      <c r="G660" s="1"/>
      <c r="H660" s="1"/>
      <c r="I660" s="1"/>
      <c r="J660" s="1"/>
      <c r="L660" s="13">
        <v>711</v>
      </c>
      <c r="M660" s="13" t="s">
        <v>736</v>
      </c>
      <c r="N660" s="13">
        <v>236</v>
      </c>
      <c r="O660" s="13">
        <v>0</v>
      </c>
      <c r="P660" s="13">
        <v>0</v>
      </c>
      <c r="Q660" s="13">
        <v>0</v>
      </c>
      <c r="R660" s="13">
        <v>0</v>
      </c>
      <c r="S660" s="13">
        <v>0</v>
      </c>
    </row>
    <row r="661" spans="1:19" x14ac:dyDescent="0.25">
      <c r="A661" t="s">
        <v>40</v>
      </c>
      <c r="B661" t="s">
        <v>709</v>
      </c>
      <c r="C661" s="1"/>
      <c r="D661" s="1"/>
      <c r="E661" s="1"/>
      <c r="F661" s="1"/>
      <c r="G661" s="1"/>
      <c r="H661" s="1"/>
      <c r="I661" s="1"/>
      <c r="J661" s="1"/>
      <c r="L661" s="13" t="s">
        <v>815</v>
      </c>
      <c r="M661" s="13" t="s">
        <v>737</v>
      </c>
      <c r="N661" s="13">
        <v>2363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</row>
    <row r="662" spans="1:19" x14ac:dyDescent="0.25">
      <c r="A662" t="s">
        <v>104</v>
      </c>
      <c r="B662" t="s">
        <v>710</v>
      </c>
      <c r="C662" s="1"/>
      <c r="D662" s="1"/>
      <c r="E662" s="1"/>
      <c r="F662" s="1"/>
      <c r="G662" s="1"/>
      <c r="H662" s="1"/>
      <c r="I662" s="1"/>
      <c r="J662" s="1"/>
      <c r="L662" s="13" t="s">
        <v>815</v>
      </c>
      <c r="M662" s="13" t="s">
        <v>738</v>
      </c>
      <c r="N662" s="13">
        <v>1487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</row>
    <row r="663" spans="1:19" x14ac:dyDescent="0.25">
      <c r="A663" t="s">
        <v>824</v>
      </c>
      <c r="B663" t="s">
        <v>711</v>
      </c>
      <c r="C663" s="1"/>
      <c r="D663" s="1"/>
      <c r="E663" s="1"/>
      <c r="F663" s="1"/>
      <c r="G663" s="1"/>
      <c r="H663" s="1"/>
      <c r="I663" s="1"/>
      <c r="J663" s="1"/>
      <c r="L663" s="13">
        <v>600</v>
      </c>
      <c r="M663" s="13" t="s">
        <v>739</v>
      </c>
      <c r="N663" s="13">
        <v>3035</v>
      </c>
      <c r="O663" s="13">
        <v>0</v>
      </c>
      <c r="P663" s="13">
        <v>0</v>
      </c>
      <c r="Q663" s="13">
        <v>0</v>
      </c>
      <c r="R663" s="13">
        <v>0</v>
      </c>
      <c r="S663" s="13">
        <v>0</v>
      </c>
    </row>
    <row r="664" spans="1:19" x14ac:dyDescent="0.25">
      <c r="A664" t="s">
        <v>817</v>
      </c>
      <c r="B664" t="s">
        <v>712</v>
      </c>
      <c r="C664" s="1"/>
      <c r="D664" s="1"/>
      <c r="E664" s="1"/>
      <c r="F664" s="1"/>
      <c r="G664" s="1"/>
      <c r="H664" s="1"/>
      <c r="I664" s="1"/>
      <c r="J664" s="1"/>
      <c r="L664" s="13" t="s">
        <v>815</v>
      </c>
      <c r="M664" s="13" t="s">
        <v>740</v>
      </c>
      <c r="N664" s="13">
        <v>1134</v>
      </c>
      <c r="O664" s="13">
        <v>0</v>
      </c>
      <c r="P664" s="13">
        <v>0</v>
      </c>
      <c r="Q664" s="13">
        <v>0</v>
      </c>
      <c r="R664" s="13">
        <v>0</v>
      </c>
      <c r="S664" s="13">
        <v>0</v>
      </c>
    </row>
    <row r="665" spans="1:19" x14ac:dyDescent="0.25">
      <c r="A665" t="s">
        <v>115</v>
      </c>
      <c r="B665" t="s">
        <v>713</v>
      </c>
      <c r="C665" s="1"/>
      <c r="D665" s="1"/>
      <c r="E665" s="1"/>
      <c r="F665" s="1"/>
      <c r="G665" s="1"/>
      <c r="H665" s="1"/>
      <c r="I665" s="1"/>
      <c r="J665" s="1"/>
      <c r="L665" s="13">
        <v>514</v>
      </c>
      <c r="M665" s="13" t="s">
        <v>741</v>
      </c>
      <c r="N665" s="13">
        <v>1463</v>
      </c>
      <c r="O665" s="13">
        <v>0</v>
      </c>
      <c r="P665" s="13">
        <v>0</v>
      </c>
      <c r="Q665" s="13">
        <v>0</v>
      </c>
      <c r="R665" s="13">
        <v>0</v>
      </c>
      <c r="S665" s="13">
        <v>0</v>
      </c>
    </row>
    <row r="666" spans="1:19" x14ac:dyDescent="0.25">
      <c r="A666" t="s">
        <v>146</v>
      </c>
      <c r="B666" t="s">
        <v>714</v>
      </c>
      <c r="C666" s="1">
        <v>3794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/>
      <c r="L666" s="13">
        <v>118</v>
      </c>
      <c r="M666" s="13" t="s">
        <v>742</v>
      </c>
      <c r="N666" s="13">
        <v>285</v>
      </c>
      <c r="O666" s="13">
        <v>0</v>
      </c>
      <c r="P666" s="13">
        <v>0</v>
      </c>
      <c r="Q666" s="13">
        <v>0</v>
      </c>
      <c r="R666" s="13">
        <v>0</v>
      </c>
      <c r="S666" s="13">
        <v>0</v>
      </c>
    </row>
    <row r="667" spans="1:19" x14ac:dyDescent="0.25">
      <c r="A667" t="s">
        <v>120</v>
      </c>
      <c r="B667" t="s">
        <v>715</v>
      </c>
      <c r="C667" s="1"/>
      <c r="D667" s="1"/>
      <c r="E667" s="1"/>
      <c r="F667" s="1"/>
      <c r="G667" s="1"/>
      <c r="H667" s="1"/>
      <c r="I667" s="1"/>
      <c r="J667" s="1"/>
      <c r="L667" s="13"/>
      <c r="M667" s="13" t="s">
        <v>743</v>
      </c>
      <c r="N667" s="13"/>
      <c r="O667" s="13"/>
      <c r="P667" s="13"/>
      <c r="Q667" s="13"/>
      <c r="R667" s="13"/>
      <c r="S667" s="13"/>
    </row>
    <row r="668" spans="1:19" x14ac:dyDescent="0.25">
      <c r="A668" t="s">
        <v>146</v>
      </c>
      <c r="B668" t="s">
        <v>716</v>
      </c>
      <c r="C668" s="1">
        <v>1667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/>
      <c r="L668" s="13"/>
      <c r="M668" s="13" t="s">
        <v>744</v>
      </c>
      <c r="N668" s="13"/>
      <c r="O668" s="13"/>
      <c r="P668" s="13"/>
      <c r="Q668" s="13"/>
      <c r="R668" s="13"/>
      <c r="S668" s="13"/>
    </row>
    <row r="669" spans="1:19" x14ac:dyDescent="0.25">
      <c r="A669" t="s">
        <v>795</v>
      </c>
      <c r="B669" t="s">
        <v>717</v>
      </c>
      <c r="C669" s="1"/>
      <c r="D669" s="1"/>
      <c r="E669" s="1"/>
      <c r="F669" s="1"/>
      <c r="G669" s="1"/>
      <c r="H669" s="1"/>
      <c r="I669" s="1"/>
      <c r="J669" s="1"/>
      <c r="L669" s="13">
        <v>111</v>
      </c>
      <c r="M669" s="13" t="s">
        <v>745</v>
      </c>
      <c r="N669" s="13">
        <v>5756</v>
      </c>
      <c r="O669" s="13">
        <v>0</v>
      </c>
      <c r="P669" s="13">
        <v>0</v>
      </c>
      <c r="Q669" s="13">
        <v>0</v>
      </c>
      <c r="R669" s="13">
        <v>0</v>
      </c>
      <c r="S669" s="13">
        <v>0</v>
      </c>
    </row>
    <row r="670" spans="1:19" x14ac:dyDescent="0.25">
      <c r="A670" t="s">
        <v>146</v>
      </c>
      <c r="B670" t="s">
        <v>718</v>
      </c>
      <c r="C670" s="1">
        <v>1681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/>
      <c r="L670" s="13">
        <v>600</v>
      </c>
      <c r="M670" s="13" t="s">
        <v>746</v>
      </c>
      <c r="N670" s="13">
        <v>27016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</row>
    <row r="671" spans="1:19" x14ac:dyDescent="0.25">
      <c r="A671" t="s">
        <v>816</v>
      </c>
      <c r="B671" t="s">
        <v>719</v>
      </c>
      <c r="C671" s="1"/>
      <c r="D671" s="1"/>
      <c r="E671" s="1"/>
      <c r="F671" s="1"/>
      <c r="G671" s="1"/>
      <c r="H671" s="1"/>
      <c r="I671" s="1"/>
      <c r="J671" s="1"/>
      <c r="L671" s="13">
        <v>711</v>
      </c>
      <c r="M671" s="13" t="s">
        <v>747</v>
      </c>
      <c r="N671" s="13">
        <v>1719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</row>
    <row r="672" spans="1:19" x14ac:dyDescent="0.25">
      <c r="A672" t="s">
        <v>817</v>
      </c>
      <c r="B672" t="s">
        <v>720</v>
      </c>
      <c r="C672" s="1">
        <v>9646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/>
      <c r="L672" s="13" t="s">
        <v>808</v>
      </c>
      <c r="M672" s="13" t="s">
        <v>748</v>
      </c>
      <c r="N672" s="13">
        <v>301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</row>
    <row r="673" spans="1:19" x14ac:dyDescent="0.25">
      <c r="A673" t="s">
        <v>131</v>
      </c>
      <c r="B673" t="s">
        <v>721</v>
      </c>
      <c r="C673" s="1">
        <v>11399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/>
      <c r="L673" s="13">
        <v>713</v>
      </c>
      <c r="M673" s="13" t="s">
        <v>749</v>
      </c>
      <c r="N673" s="13">
        <v>16899</v>
      </c>
      <c r="O673" s="13">
        <v>2</v>
      </c>
      <c r="P673" s="13">
        <v>0</v>
      </c>
      <c r="Q673" s="13">
        <v>0</v>
      </c>
      <c r="R673" s="13">
        <v>0</v>
      </c>
      <c r="S673" s="13">
        <v>0</v>
      </c>
    </row>
    <row r="674" spans="1:19" x14ac:dyDescent="0.25">
      <c r="A674" t="s">
        <v>146</v>
      </c>
      <c r="B674" t="s">
        <v>722</v>
      </c>
      <c r="C674" s="1">
        <v>1666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/>
      <c r="L674" s="13">
        <v>300</v>
      </c>
      <c r="M674" s="13" t="s">
        <v>750</v>
      </c>
      <c r="N674" s="13">
        <v>756</v>
      </c>
      <c r="O674" s="13">
        <v>27</v>
      </c>
      <c r="P674" s="13">
        <v>0</v>
      </c>
      <c r="Q674" s="13">
        <v>0</v>
      </c>
      <c r="R674" s="13">
        <v>0</v>
      </c>
      <c r="S674" s="13">
        <v>0</v>
      </c>
    </row>
    <row r="675" spans="1:19" x14ac:dyDescent="0.25">
      <c r="A675" t="s">
        <v>118</v>
      </c>
      <c r="B675" t="s">
        <v>723</v>
      </c>
      <c r="C675" s="1"/>
      <c r="D675" s="1"/>
      <c r="E675" s="1"/>
      <c r="F675" s="1"/>
      <c r="G675" s="1"/>
      <c r="H675" s="1"/>
      <c r="I675" s="1"/>
      <c r="J675" s="1"/>
      <c r="L675" s="13">
        <v>111</v>
      </c>
      <c r="M675" s="13" t="s">
        <v>751</v>
      </c>
      <c r="N675" s="13">
        <v>3137</v>
      </c>
      <c r="O675" s="13">
        <v>28</v>
      </c>
      <c r="P675" s="13">
        <v>0</v>
      </c>
      <c r="Q675" s="13">
        <v>0</v>
      </c>
      <c r="R675" s="13">
        <v>0</v>
      </c>
      <c r="S675" s="13">
        <v>0</v>
      </c>
    </row>
    <row r="676" spans="1:19" x14ac:dyDescent="0.25">
      <c r="A676" t="s">
        <v>131</v>
      </c>
      <c r="B676" t="s">
        <v>724</v>
      </c>
      <c r="C676" s="1">
        <v>25544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/>
      <c r="L676" s="13">
        <v>110</v>
      </c>
      <c r="M676" s="13" t="s">
        <v>752</v>
      </c>
      <c r="N676" s="13">
        <v>2043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</row>
    <row r="677" spans="1:19" x14ac:dyDescent="0.25">
      <c r="A677" t="s">
        <v>794</v>
      </c>
      <c r="B677" t="s">
        <v>725</v>
      </c>
      <c r="C677" s="1">
        <v>3825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/>
      <c r="L677" s="13">
        <v>710</v>
      </c>
      <c r="M677" s="13" t="s">
        <v>753</v>
      </c>
      <c r="N677" s="13">
        <v>13854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</row>
    <row r="678" spans="1:19" x14ac:dyDescent="0.25">
      <c r="A678" t="s">
        <v>131</v>
      </c>
      <c r="B678" t="s">
        <v>726</v>
      </c>
      <c r="C678" s="1"/>
      <c r="D678" s="1"/>
      <c r="E678" s="1"/>
      <c r="F678" s="1"/>
      <c r="G678" s="1"/>
      <c r="H678" s="1"/>
      <c r="I678" s="1"/>
      <c r="J678" s="1"/>
      <c r="L678" s="13">
        <v>500</v>
      </c>
      <c r="M678" s="13" t="s">
        <v>754</v>
      </c>
      <c r="N678" s="13"/>
      <c r="O678" s="13"/>
      <c r="P678" s="13"/>
      <c r="Q678" s="13"/>
      <c r="R678" s="13"/>
      <c r="S678" s="13"/>
    </row>
    <row r="679" spans="1:19" x14ac:dyDescent="0.25">
      <c r="A679" t="s">
        <v>796</v>
      </c>
      <c r="B679" t="s">
        <v>727</v>
      </c>
      <c r="C679" s="1"/>
      <c r="D679" s="1"/>
      <c r="E679" s="1"/>
      <c r="F679" s="1"/>
      <c r="G679" s="1"/>
      <c r="H679" s="1"/>
      <c r="I679" s="1"/>
      <c r="J679" s="1"/>
      <c r="L679" s="13">
        <v>616</v>
      </c>
      <c r="M679" s="13" t="s">
        <v>755</v>
      </c>
      <c r="N679" s="13">
        <v>20208</v>
      </c>
      <c r="O679" s="13">
        <v>34</v>
      </c>
      <c r="P679" s="13">
        <v>0</v>
      </c>
      <c r="Q679" s="13">
        <v>0</v>
      </c>
      <c r="R679" s="13">
        <v>0</v>
      </c>
      <c r="S679" s="13">
        <v>0</v>
      </c>
    </row>
    <row r="680" spans="1:19" x14ac:dyDescent="0.25">
      <c r="A680" t="s">
        <v>134</v>
      </c>
      <c r="B680" t="s">
        <v>728</v>
      </c>
      <c r="C680" s="1">
        <v>594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/>
      <c r="L680" s="13" t="s">
        <v>814</v>
      </c>
      <c r="M680" s="13" t="s">
        <v>756</v>
      </c>
      <c r="N680" s="13">
        <v>7344</v>
      </c>
      <c r="O680" s="13">
        <v>34</v>
      </c>
      <c r="P680" s="13">
        <v>0</v>
      </c>
      <c r="Q680" s="13">
        <v>0</v>
      </c>
      <c r="R680" s="13">
        <v>0</v>
      </c>
      <c r="S680" s="13">
        <v>0</v>
      </c>
    </row>
    <row r="681" spans="1:19" x14ac:dyDescent="0.25">
      <c r="A681" t="s">
        <v>138</v>
      </c>
      <c r="B681" t="s">
        <v>729</v>
      </c>
      <c r="C681" s="1"/>
      <c r="D681" s="1"/>
      <c r="E681" s="1"/>
      <c r="F681" s="1"/>
      <c r="G681" s="1"/>
      <c r="H681" s="1"/>
      <c r="I681" s="1"/>
      <c r="J681" s="1"/>
      <c r="L681" s="13">
        <v>311</v>
      </c>
      <c r="M681" s="13" t="s">
        <v>757</v>
      </c>
      <c r="N681" s="13">
        <v>11373</v>
      </c>
      <c r="O681" s="13">
        <v>40</v>
      </c>
      <c r="P681" s="13">
        <v>0</v>
      </c>
      <c r="Q681" s="13">
        <v>0</v>
      </c>
      <c r="R681" s="13">
        <v>0</v>
      </c>
      <c r="S681" s="13">
        <v>0</v>
      </c>
    </row>
    <row r="682" spans="1:19" x14ac:dyDescent="0.25">
      <c r="A682" t="s">
        <v>788</v>
      </c>
      <c r="B682" t="s">
        <v>730</v>
      </c>
      <c r="C682" s="1"/>
      <c r="D682" s="1"/>
      <c r="E682" s="1"/>
      <c r="F682" s="1"/>
      <c r="G682" s="1"/>
      <c r="H682" s="1"/>
      <c r="I682" s="1"/>
      <c r="J682" s="1"/>
      <c r="L682" s="13">
        <v>610</v>
      </c>
      <c r="M682" s="13" t="s">
        <v>758</v>
      </c>
      <c r="N682" s="13">
        <v>7164</v>
      </c>
      <c r="O682" s="13">
        <v>1</v>
      </c>
      <c r="P682" s="13">
        <v>0</v>
      </c>
      <c r="Q682" s="13">
        <v>0</v>
      </c>
      <c r="R682" s="13">
        <v>0</v>
      </c>
      <c r="S682" s="13">
        <v>0</v>
      </c>
    </row>
    <row r="683" spans="1:19" x14ac:dyDescent="0.25">
      <c r="A683" t="s">
        <v>150</v>
      </c>
      <c r="B683" t="s">
        <v>731</v>
      </c>
      <c r="C683" s="1"/>
      <c r="D683" s="1"/>
      <c r="E683" s="1"/>
      <c r="F683" s="1"/>
      <c r="G683" s="1"/>
      <c r="H683" s="1"/>
      <c r="I683" s="1"/>
      <c r="J683" s="1"/>
      <c r="L683" s="13">
        <v>611</v>
      </c>
      <c r="M683" s="13" t="s">
        <v>759</v>
      </c>
      <c r="N683" s="13">
        <v>25710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</row>
    <row r="684" spans="1:19" x14ac:dyDescent="0.25">
      <c r="A684" t="s">
        <v>138</v>
      </c>
      <c r="B684" t="s">
        <v>732</v>
      </c>
      <c r="C684" s="1"/>
      <c r="D684" s="1"/>
      <c r="E684" s="1"/>
      <c r="F684" s="1"/>
      <c r="G684" s="1"/>
      <c r="H684" s="1"/>
      <c r="I684" s="1"/>
      <c r="J684" s="1"/>
      <c r="L684" s="13">
        <v>116</v>
      </c>
      <c r="M684" s="13" t="s">
        <v>760</v>
      </c>
      <c r="N684" s="13">
        <v>18400</v>
      </c>
      <c r="O684" s="13">
        <v>0</v>
      </c>
      <c r="P684" s="13">
        <v>0</v>
      </c>
      <c r="Q684" s="13">
        <v>0</v>
      </c>
      <c r="R684" s="13">
        <v>0</v>
      </c>
      <c r="S684" s="13">
        <v>0</v>
      </c>
    </row>
    <row r="685" spans="1:19" x14ac:dyDescent="0.25">
      <c r="A685" t="s">
        <v>809</v>
      </c>
      <c r="B685" t="s">
        <v>733</v>
      </c>
      <c r="C685" s="1"/>
      <c r="D685" s="1"/>
      <c r="E685" s="1"/>
      <c r="F685" s="1"/>
      <c r="G685" s="1"/>
      <c r="H685" s="1"/>
      <c r="I685" s="1"/>
      <c r="J685" s="1"/>
      <c r="L685" s="13">
        <v>600</v>
      </c>
      <c r="M685" s="13" t="s">
        <v>761</v>
      </c>
      <c r="N685" s="13">
        <v>3582</v>
      </c>
      <c r="O685" s="13">
        <v>0</v>
      </c>
      <c r="P685" s="13">
        <v>0</v>
      </c>
      <c r="Q685" s="13">
        <v>0</v>
      </c>
      <c r="R685" s="13">
        <v>0</v>
      </c>
      <c r="S685" s="13">
        <v>0</v>
      </c>
    </row>
    <row r="686" spans="1:19" x14ac:dyDescent="0.25">
      <c r="A686" t="s">
        <v>140</v>
      </c>
      <c r="B686" t="s">
        <v>734</v>
      </c>
      <c r="C686" s="1"/>
      <c r="D686" s="1"/>
      <c r="E686" s="1"/>
      <c r="F686" s="1"/>
      <c r="G686" s="1"/>
      <c r="H686" s="1"/>
      <c r="I686" s="1"/>
      <c r="J686" s="1"/>
      <c r="L686" s="13">
        <v>713</v>
      </c>
      <c r="M686" s="13" t="s">
        <v>762</v>
      </c>
      <c r="N686" s="13">
        <v>110</v>
      </c>
      <c r="O686" s="13">
        <v>2</v>
      </c>
      <c r="P686" s="13">
        <v>0</v>
      </c>
      <c r="Q686" s="13">
        <v>0</v>
      </c>
      <c r="R686" s="13">
        <v>0</v>
      </c>
      <c r="S686" s="13">
        <v>0</v>
      </c>
    </row>
    <row r="687" spans="1:19" x14ac:dyDescent="0.25">
      <c r="A687" t="s">
        <v>817</v>
      </c>
      <c r="B687" t="s">
        <v>735</v>
      </c>
      <c r="C687" s="1">
        <v>2120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/>
      <c r="L687" s="13" t="s">
        <v>815</v>
      </c>
      <c r="M687" s="13" t="s">
        <v>763</v>
      </c>
      <c r="N687" s="13">
        <v>10966</v>
      </c>
      <c r="O687" s="13">
        <v>29</v>
      </c>
      <c r="P687" s="13">
        <v>0</v>
      </c>
      <c r="Q687" s="13">
        <v>0</v>
      </c>
      <c r="R687" s="13">
        <v>0</v>
      </c>
      <c r="S687" s="13">
        <v>0</v>
      </c>
    </row>
    <row r="688" spans="1:19" x14ac:dyDescent="0.25">
      <c r="A688" t="s">
        <v>801</v>
      </c>
      <c r="B688" t="s">
        <v>736</v>
      </c>
      <c r="C688" s="1">
        <v>236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/>
      <c r="L688" s="13" t="s">
        <v>820</v>
      </c>
      <c r="M688" s="13" t="s">
        <v>764</v>
      </c>
      <c r="N688" s="13">
        <v>3689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</row>
    <row r="689" spans="1:19" x14ac:dyDescent="0.25">
      <c r="A689" t="s">
        <v>138</v>
      </c>
      <c r="B689" t="s">
        <v>737</v>
      </c>
      <c r="C689" s="1"/>
      <c r="D689" s="1"/>
      <c r="E689" s="1"/>
      <c r="F689" s="1"/>
      <c r="G689" s="1"/>
      <c r="H689" s="1"/>
      <c r="I689" s="1"/>
      <c r="J689" s="1"/>
      <c r="L689" s="13">
        <v>113</v>
      </c>
      <c r="M689" s="13" t="s">
        <v>765</v>
      </c>
      <c r="N689" s="13">
        <v>988</v>
      </c>
      <c r="O689" s="13">
        <v>21</v>
      </c>
      <c r="P689" s="13">
        <v>0</v>
      </c>
      <c r="Q689" s="13">
        <v>0</v>
      </c>
      <c r="R689" s="13">
        <v>0</v>
      </c>
      <c r="S689" s="13">
        <v>0</v>
      </c>
    </row>
    <row r="690" spans="1:19" x14ac:dyDescent="0.25">
      <c r="A690" t="s">
        <v>138</v>
      </c>
      <c r="B690" t="s">
        <v>738</v>
      </c>
      <c r="C690" s="1"/>
      <c r="D690" s="1"/>
      <c r="E690" s="1"/>
      <c r="F690" s="1"/>
      <c r="G690" s="1"/>
      <c r="H690" s="1"/>
      <c r="I690" s="1"/>
      <c r="J690" s="1"/>
      <c r="L690" s="13">
        <v>700</v>
      </c>
      <c r="M690" s="13" t="s">
        <v>766</v>
      </c>
      <c r="N690" s="13"/>
      <c r="O690" s="13"/>
      <c r="P690" s="13"/>
      <c r="Q690" s="13"/>
      <c r="R690" s="13"/>
      <c r="S690" s="13"/>
    </row>
    <row r="691" spans="1:19" x14ac:dyDescent="0.25">
      <c r="A691" t="s">
        <v>248</v>
      </c>
      <c r="B691" t="s">
        <v>739</v>
      </c>
      <c r="C691" s="1"/>
      <c r="D691" s="1"/>
      <c r="E691" s="1"/>
      <c r="F691" s="1"/>
      <c r="G691" s="1"/>
      <c r="H691" s="1"/>
      <c r="I691" s="1"/>
      <c r="J691" s="1"/>
      <c r="L691" s="13">
        <v>211</v>
      </c>
      <c r="M691" s="13" t="s">
        <v>767</v>
      </c>
      <c r="N691" s="13">
        <v>4205</v>
      </c>
      <c r="O691" s="13">
        <v>8</v>
      </c>
      <c r="P691" s="13">
        <v>0</v>
      </c>
      <c r="Q691" s="13">
        <v>0</v>
      </c>
      <c r="R691" s="13">
        <v>0</v>
      </c>
      <c r="S691" s="13">
        <v>0</v>
      </c>
    </row>
    <row r="692" spans="1:19" x14ac:dyDescent="0.25">
      <c r="A692" t="s">
        <v>138</v>
      </c>
      <c r="B692" t="s">
        <v>740</v>
      </c>
      <c r="C692" s="1"/>
      <c r="D692" s="1"/>
      <c r="E692" s="1"/>
      <c r="F692" s="1"/>
      <c r="G692" s="1"/>
      <c r="H692" s="1"/>
      <c r="I692" s="1"/>
      <c r="J692" s="1"/>
      <c r="L692" s="13">
        <v>712</v>
      </c>
      <c r="M692" s="13" t="s">
        <v>768</v>
      </c>
      <c r="N692" s="13">
        <v>11332</v>
      </c>
      <c r="O692" s="13">
        <v>66</v>
      </c>
      <c r="P692" s="13">
        <v>0</v>
      </c>
      <c r="Q692" s="13">
        <v>0</v>
      </c>
      <c r="R692" s="13">
        <v>0</v>
      </c>
      <c r="S692" s="13">
        <v>0</v>
      </c>
    </row>
    <row r="693" spans="1:19" x14ac:dyDescent="0.25">
      <c r="A693" t="s">
        <v>134</v>
      </c>
      <c r="B693" t="s">
        <v>741</v>
      </c>
      <c r="C693" s="1">
        <v>1463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/>
      <c r="L693" s="13">
        <v>511</v>
      </c>
      <c r="M693" s="13" t="s">
        <v>769</v>
      </c>
      <c r="N693" s="13">
        <v>6780</v>
      </c>
      <c r="O693" s="13">
        <v>0</v>
      </c>
      <c r="P693" s="13">
        <v>0</v>
      </c>
      <c r="Q693" s="13">
        <v>0</v>
      </c>
      <c r="R693" s="13">
        <v>0</v>
      </c>
      <c r="S693" s="13">
        <v>0</v>
      </c>
    </row>
    <row r="694" spans="1:19" x14ac:dyDescent="0.25">
      <c r="A694" t="s">
        <v>188</v>
      </c>
      <c r="B694" t="s">
        <v>742</v>
      </c>
      <c r="C694" s="1"/>
      <c r="D694" s="1"/>
      <c r="E694" s="1"/>
      <c r="F694" s="1"/>
      <c r="G694" s="1"/>
      <c r="H694" s="1"/>
      <c r="I694" s="1"/>
      <c r="J694" s="1"/>
      <c r="L694" s="13">
        <v>114</v>
      </c>
      <c r="M694" s="13" t="s">
        <v>770</v>
      </c>
      <c r="N694" s="13">
        <v>194</v>
      </c>
      <c r="O694" s="13">
        <v>1</v>
      </c>
      <c r="P694" s="13">
        <v>0</v>
      </c>
      <c r="Q694" s="13">
        <v>0</v>
      </c>
      <c r="R694" s="13">
        <v>0</v>
      </c>
      <c r="S694" s="13">
        <v>0</v>
      </c>
    </row>
    <row r="695" spans="1:19" x14ac:dyDescent="0.25">
      <c r="A695" t="s">
        <v>83</v>
      </c>
      <c r="B695" t="s">
        <v>743</v>
      </c>
      <c r="C695" s="1"/>
      <c r="D695" s="1"/>
      <c r="E695" s="1"/>
      <c r="F695" s="1"/>
      <c r="G695" s="1"/>
      <c r="H695" s="1"/>
      <c r="I695" s="1"/>
      <c r="J695" s="1"/>
      <c r="L695" s="13"/>
      <c r="M695" s="13" t="s">
        <v>771</v>
      </c>
      <c r="N695" s="13"/>
      <c r="O695" s="13"/>
      <c r="P695" s="13"/>
      <c r="Q695" s="13"/>
      <c r="R695" s="13"/>
      <c r="S695" s="13"/>
    </row>
    <row r="696" spans="1:19" x14ac:dyDescent="0.25">
      <c r="A696" t="s">
        <v>826</v>
      </c>
      <c r="B696" t="s">
        <v>744</v>
      </c>
      <c r="C696" s="1"/>
      <c r="D696" s="1"/>
      <c r="E696" s="1"/>
      <c r="F696" s="1"/>
      <c r="G696" s="1"/>
      <c r="H696" s="1"/>
      <c r="I696" s="1"/>
      <c r="J696" s="1"/>
      <c r="L696" s="13">
        <v>161</v>
      </c>
      <c r="M696" s="13" t="s">
        <v>772</v>
      </c>
      <c r="N696" s="13">
        <v>1533</v>
      </c>
      <c r="O696" s="13">
        <v>0</v>
      </c>
      <c r="P696" s="13">
        <v>0</v>
      </c>
      <c r="Q696" s="13">
        <v>0</v>
      </c>
      <c r="R696" s="13">
        <v>0</v>
      </c>
      <c r="S696" s="13">
        <v>0</v>
      </c>
    </row>
    <row r="697" spans="1:19" x14ac:dyDescent="0.25">
      <c r="A697" t="s">
        <v>811</v>
      </c>
      <c r="B697" t="s">
        <v>745</v>
      </c>
      <c r="C697" s="1"/>
      <c r="D697" s="1"/>
      <c r="E697" s="1"/>
      <c r="F697" s="1"/>
      <c r="G697" s="1"/>
      <c r="H697" s="1"/>
      <c r="I697" s="1"/>
      <c r="J697" s="1"/>
      <c r="L697" s="13">
        <v>713</v>
      </c>
      <c r="M697" s="13" t="s">
        <v>773</v>
      </c>
      <c r="N697" s="13">
        <v>949</v>
      </c>
      <c r="O697" s="13">
        <v>0</v>
      </c>
      <c r="P697" s="13">
        <v>0</v>
      </c>
      <c r="Q697" s="13">
        <v>0</v>
      </c>
      <c r="R697" s="13">
        <v>0</v>
      </c>
      <c r="S697" s="13">
        <v>0</v>
      </c>
    </row>
    <row r="698" spans="1:19" x14ac:dyDescent="0.25">
      <c r="A698" t="s">
        <v>248</v>
      </c>
      <c r="B698" t="s">
        <v>746</v>
      </c>
      <c r="C698" s="1">
        <v>27016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/>
      <c r="L698" s="13">
        <v>120</v>
      </c>
      <c r="M698" s="13" t="s">
        <v>774</v>
      </c>
      <c r="N698" s="13"/>
      <c r="O698" s="13"/>
      <c r="P698" s="13"/>
      <c r="Q698" s="13"/>
      <c r="R698" s="13"/>
      <c r="S698" s="13"/>
    </row>
    <row r="699" spans="1:19" x14ac:dyDescent="0.25">
      <c r="A699" t="s">
        <v>801</v>
      </c>
      <c r="B699" t="s">
        <v>747</v>
      </c>
      <c r="C699" s="1">
        <f>1718+1</f>
        <v>1719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/>
      <c r="L699" s="15"/>
      <c r="M699" s="15" t="s">
        <v>775</v>
      </c>
      <c r="N699" s="13"/>
      <c r="O699" s="13"/>
      <c r="P699" s="13"/>
      <c r="Q699" s="13"/>
      <c r="R699" s="13"/>
      <c r="S699" s="13"/>
    </row>
    <row r="700" spans="1:19" x14ac:dyDescent="0.25">
      <c r="A700" t="s">
        <v>809</v>
      </c>
      <c r="B700" t="s">
        <v>748</v>
      </c>
      <c r="C700" s="1"/>
      <c r="D700" s="1"/>
      <c r="E700" s="1"/>
      <c r="F700" s="1"/>
      <c r="G700" s="1"/>
      <c r="H700" s="1"/>
      <c r="I700" s="1"/>
      <c r="J700" s="1"/>
      <c r="L700" s="13"/>
      <c r="M700" s="13" t="s">
        <v>776</v>
      </c>
      <c r="N700" s="13"/>
      <c r="O700" s="13"/>
      <c r="P700" s="13"/>
      <c r="Q700" s="13"/>
      <c r="R700" s="13"/>
      <c r="S700" s="13"/>
    </row>
    <row r="701" spans="1:19" x14ac:dyDescent="0.25">
      <c r="A701" t="s">
        <v>796</v>
      </c>
      <c r="B701" t="s">
        <v>749</v>
      </c>
      <c r="C701" s="1">
        <f>16580+12+307</f>
        <v>16899</v>
      </c>
      <c r="D701" s="1">
        <f>2</f>
        <v>2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/>
      <c r="L701" s="13"/>
      <c r="M701" s="13" t="s">
        <v>777</v>
      </c>
      <c r="N701" s="13"/>
      <c r="O701" s="13"/>
      <c r="P701" s="13"/>
      <c r="Q701" s="13"/>
      <c r="R701" s="13"/>
      <c r="S701" s="13"/>
    </row>
    <row r="702" spans="1:19" x14ac:dyDescent="0.25">
      <c r="A702" t="s">
        <v>226</v>
      </c>
      <c r="B702" t="s">
        <v>750</v>
      </c>
      <c r="C702" s="1">
        <f>751+5</f>
        <v>756</v>
      </c>
      <c r="D702" s="1">
        <v>27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/>
      <c r="L702" t="s">
        <v>805</v>
      </c>
      <c r="M702" t="s">
        <v>28</v>
      </c>
      <c r="N702" s="13"/>
      <c r="O702" s="13"/>
      <c r="P702" s="13"/>
      <c r="Q702" s="13"/>
      <c r="R702" s="13"/>
      <c r="S702" s="13"/>
    </row>
    <row r="703" spans="1:19" x14ac:dyDescent="0.25">
      <c r="A703" t="s">
        <v>811</v>
      </c>
      <c r="B703" t="s">
        <v>751</v>
      </c>
      <c r="C703" s="1"/>
      <c r="D703" s="1"/>
      <c r="E703" s="1"/>
      <c r="F703" s="1"/>
      <c r="G703" s="1"/>
      <c r="H703" s="1"/>
      <c r="I703" s="1"/>
      <c r="J703" s="1"/>
      <c r="L703" t="s">
        <v>805</v>
      </c>
      <c r="M703" t="s">
        <v>27</v>
      </c>
      <c r="N703" s="13"/>
      <c r="O703" s="13"/>
      <c r="P703" s="13"/>
      <c r="Q703" s="13"/>
      <c r="R703" s="13"/>
      <c r="S703" s="13"/>
    </row>
    <row r="704" spans="1:19" x14ac:dyDescent="0.25">
      <c r="A704" t="s">
        <v>797</v>
      </c>
      <c r="B704" t="s">
        <v>752</v>
      </c>
      <c r="C704" s="1"/>
      <c r="D704" s="1"/>
      <c r="E704" s="1"/>
      <c r="F704" s="1"/>
      <c r="G704" s="1"/>
      <c r="H704" s="1"/>
      <c r="I704" s="1"/>
      <c r="J704" s="1"/>
      <c r="L704" t="s">
        <v>805</v>
      </c>
      <c r="M704" t="s">
        <v>398</v>
      </c>
      <c r="N704" s="13"/>
      <c r="O704" s="13"/>
      <c r="P704" s="13"/>
      <c r="Q704" s="13"/>
      <c r="R704" s="13"/>
      <c r="S704" s="13"/>
    </row>
    <row r="705" spans="1:19" x14ac:dyDescent="0.25">
      <c r="A705" t="s">
        <v>69</v>
      </c>
      <c r="B705" t="s">
        <v>753</v>
      </c>
      <c r="C705" s="1">
        <v>13854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/>
      <c r="L705" t="s">
        <v>805</v>
      </c>
      <c r="M705" t="s">
        <v>30</v>
      </c>
      <c r="N705" s="13"/>
      <c r="O705" s="13"/>
      <c r="P705" s="13"/>
      <c r="Q705" s="13"/>
      <c r="R705" s="13"/>
      <c r="S705" s="13"/>
    </row>
    <row r="706" spans="1:19" x14ac:dyDescent="0.25">
      <c r="A706" t="s">
        <v>824</v>
      </c>
      <c r="B706" t="s">
        <v>754</v>
      </c>
      <c r="C706" s="1"/>
      <c r="D706" s="1"/>
      <c r="E706" s="1"/>
      <c r="F706" s="1"/>
      <c r="G706" s="1"/>
      <c r="H706" s="1"/>
      <c r="I706" s="1"/>
      <c r="J706" s="1"/>
      <c r="L706" s="15" t="s">
        <v>805</v>
      </c>
      <c r="M706" s="15" t="s">
        <v>389</v>
      </c>
      <c r="N706" s="13"/>
      <c r="O706" s="13"/>
      <c r="P706" s="13"/>
      <c r="Q706" s="13"/>
      <c r="R706" s="13"/>
      <c r="S706" s="13"/>
    </row>
    <row r="707" spans="1:19" x14ac:dyDescent="0.25">
      <c r="A707" t="s">
        <v>817</v>
      </c>
      <c r="B707" t="s">
        <v>755</v>
      </c>
      <c r="C707" s="1">
        <f>20110+2+31+61+4</f>
        <v>20208</v>
      </c>
      <c r="D707" s="1">
        <f>26+5+3</f>
        <v>34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/>
    </row>
    <row r="708" spans="1:19" x14ac:dyDescent="0.25">
      <c r="A708" t="s">
        <v>794</v>
      </c>
      <c r="B708" t="s">
        <v>756</v>
      </c>
      <c r="C708" s="1">
        <f>7317+23+4</f>
        <v>7344</v>
      </c>
      <c r="D708" s="1">
        <v>34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/>
    </row>
    <row r="709" spans="1:19" x14ac:dyDescent="0.25">
      <c r="A709" t="s">
        <v>120</v>
      </c>
      <c r="B709" t="s">
        <v>757</v>
      </c>
      <c r="C709" s="1"/>
      <c r="D709" s="1"/>
      <c r="E709" s="1"/>
      <c r="F709" s="1"/>
      <c r="G709" s="1"/>
      <c r="H709" s="1"/>
      <c r="I709" s="1"/>
      <c r="J709" s="1"/>
    </row>
    <row r="710" spans="1:19" x14ac:dyDescent="0.25">
      <c r="A710" t="s">
        <v>788</v>
      </c>
      <c r="B710" t="s">
        <v>758</v>
      </c>
      <c r="C710" s="1">
        <f>6053+1111</f>
        <v>7164</v>
      </c>
      <c r="D710" s="1">
        <v>1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/>
    </row>
    <row r="711" spans="1:19" x14ac:dyDescent="0.25">
      <c r="A711" t="s">
        <v>146</v>
      </c>
      <c r="B711" t="s">
        <v>759</v>
      </c>
      <c r="C711" s="1">
        <v>25710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/>
    </row>
    <row r="712" spans="1:19" x14ac:dyDescent="0.25">
      <c r="A712" t="s">
        <v>795</v>
      </c>
      <c r="B712" t="s">
        <v>760</v>
      </c>
      <c r="C712" s="1"/>
      <c r="D712" s="1"/>
      <c r="E712" s="1"/>
      <c r="F712" s="1"/>
      <c r="G712" s="1"/>
      <c r="H712" s="1"/>
      <c r="I712" s="1"/>
      <c r="J712" s="1"/>
    </row>
    <row r="713" spans="1:19" x14ac:dyDescent="0.25">
      <c r="A713" t="s">
        <v>248</v>
      </c>
      <c r="B713" t="s">
        <v>761</v>
      </c>
      <c r="C713" s="1"/>
      <c r="D713" s="1"/>
      <c r="E713" s="1"/>
      <c r="F713" s="1"/>
      <c r="G713" s="1"/>
      <c r="H713" s="1"/>
      <c r="I713" s="1"/>
      <c r="J713" s="1"/>
    </row>
    <row r="714" spans="1:19" x14ac:dyDescent="0.25">
      <c r="A714" t="s">
        <v>796</v>
      </c>
      <c r="B714" t="s">
        <v>762</v>
      </c>
      <c r="C714" s="1">
        <f>110</f>
        <v>110</v>
      </c>
      <c r="D714" s="1">
        <f>2</f>
        <v>2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/>
    </row>
    <row r="715" spans="1:19" x14ac:dyDescent="0.25">
      <c r="A715" t="s">
        <v>138</v>
      </c>
      <c r="B715" t="s">
        <v>763</v>
      </c>
      <c r="C715" s="1"/>
      <c r="D715" s="1"/>
      <c r="E715" s="1"/>
      <c r="F715" s="1"/>
      <c r="G715" s="1"/>
      <c r="H715" s="1"/>
      <c r="I715" s="1"/>
      <c r="J715" s="1"/>
    </row>
    <row r="716" spans="1:19" x14ac:dyDescent="0.25">
      <c r="A716" t="s">
        <v>265</v>
      </c>
      <c r="B716" t="s">
        <v>764</v>
      </c>
      <c r="C716" s="1">
        <v>3689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/>
    </row>
    <row r="717" spans="1:19" x14ac:dyDescent="0.25">
      <c r="A717" t="s">
        <v>823</v>
      </c>
      <c r="B717" t="s">
        <v>765</v>
      </c>
      <c r="C717" s="1">
        <f>968+18+2</f>
        <v>988</v>
      </c>
      <c r="D717" s="1">
        <v>21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/>
    </row>
    <row r="718" spans="1:19" x14ac:dyDescent="0.25">
      <c r="A718" t="s">
        <v>83</v>
      </c>
      <c r="B718" t="s">
        <v>766</v>
      </c>
      <c r="C718" s="1"/>
      <c r="D718" s="1"/>
      <c r="E718" s="1"/>
      <c r="F718" s="1"/>
      <c r="G718" s="1"/>
      <c r="H718" s="1"/>
      <c r="I718" s="1"/>
      <c r="J718" s="1"/>
    </row>
    <row r="719" spans="1:19" x14ac:dyDescent="0.25">
      <c r="A719" t="s">
        <v>131</v>
      </c>
      <c r="B719" t="s">
        <v>767</v>
      </c>
      <c r="C719" s="1">
        <v>4205</v>
      </c>
      <c r="D719" s="1">
        <v>8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/>
    </row>
    <row r="720" spans="1:19" x14ac:dyDescent="0.25">
      <c r="A720" t="s">
        <v>76</v>
      </c>
      <c r="B720" t="s">
        <v>768</v>
      </c>
      <c r="C720" s="1">
        <f>11329+3</f>
        <v>11332</v>
      </c>
      <c r="D720" s="1">
        <f>64+2</f>
        <v>66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/>
    </row>
    <row r="721" spans="1:10" x14ac:dyDescent="0.25">
      <c r="A721" s="53" t="s">
        <v>101</v>
      </c>
      <c r="B721" s="55" t="s">
        <v>769</v>
      </c>
      <c r="C721" s="1">
        <v>6780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/>
    </row>
    <row r="722" spans="1:10" x14ac:dyDescent="0.25">
      <c r="A722" s="53" t="s">
        <v>150</v>
      </c>
      <c r="B722" s="55" t="s">
        <v>770</v>
      </c>
      <c r="C722" s="1"/>
      <c r="D722" s="1"/>
      <c r="E722" s="1"/>
      <c r="F722" s="1"/>
      <c r="G722" s="1"/>
      <c r="H722" s="1"/>
      <c r="I722" s="1"/>
      <c r="J722" s="1"/>
    </row>
    <row r="723" spans="1:10" x14ac:dyDescent="0.25">
      <c r="A723" s="53" t="s">
        <v>512</v>
      </c>
      <c r="B723" s="55" t="s">
        <v>771</v>
      </c>
      <c r="C723" s="1"/>
      <c r="D723" s="1"/>
      <c r="E723" s="1"/>
      <c r="F723" s="1"/>
      <c r="G723" s="1"/>
      <c r="H723" s="1"/>
      <c r="I723" s="1"/>
      <c r="J723" s="1"/>
    </row>
    <row r="724" spans="1:10" x14ac:dyDescent="0.25">
      <c r="A724" s="53" t="s">
        <v>792</v>
      </c>
      <c r="B724" s="55" t="s">
        <v>772</v>
      </c>
      <c r="C724" s="1"/>
      <c r="D724" s="1"/>
      <c r="E724" s="1"/>
      <c r="F724" s="1"/>
      <c r="G724" s="1"/>
      <c r="H724" s="1"/>
      <c r="I724" s="1"/>
      <c r="J724" s="1"/>
    </row>
    <row r="725" spans="1:10" x14ac:dyDescent="0.25">
      <c r="A725" s="53" t="s">
        <v>796</v>
      </c>
      <c r="B725" s="55" t="s">
        <v>773</v>
      </c>
      <c r="C725" s="1">
        <f>949</f>
        <v>949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/>
    </row>
    <row r="726" spans="1:10" x14ac:dyDescent="0.25">
      <c r="A726" s="53" t="s">
        <v>802</v>
      </c>
      <c r="B726" s="55" t="s">
        <v>774</v>
      </c>
      <c r="C726" s="1"/>
      <c r="D726" s="1"/>
      <c r="E726" s="1"/>
      <c r="F726" s="1"/>
      <c r="G726" s="1"/>
      <c r="H726" s="1"/>
      <c r="I726" s="1"/>
      <c r="J726" s="1"/>
    </row>
    <row r="727" spans="1:10" x14ac:dyDescent="0.25">
      <c r="A727" s="53" t="s">
        <v>805</v>
      </c>
      <c r="B727" s="55" t="s">
        <v>775</v>
      </c>
      <c r="C727" s="1"/>
      <c r="D727" s="1"/>
      <c r="E727" s="1"/>
      <c r="F727" s="1"/>
      <c r="G727" s="1"/>
      <c r="H727" s="1"/>
      <c r="I727" s="1"/>
      <c r="J727" s="1"/>
    </row>
    <row r="728" spans="1:10" x14ac:dyDescent="0.25">
      <c r="A728" s="53" t="s">
        <v>805</v>
      </c>
      <c r="B728" s="55" t="s">
        <v>776</v>
      </c>
      <c r="C728" s="1"/>
      <c r="D728" s="1"/>
      <c r="E728" s="1"/>
      <c r="F728" s="1"/>
      <c r="G728" s="1"/>
      <c r="H728" s="1"/>
      <c r="I728" s="1"/>
      <c r="J728" s="1"/>
    </row>
    <row r="729" spans="1:10" x14ac:dyDescent="0.25">
      <c r="A729" s="54" t="s">
        <v>805</v>
      </c>
      <c r="B729" s="56" t="s">
        <v>777</v>
      </c>
      <c r="C729" s="1"/>
      <c r="D729" s="1"/>
      <c r="E729" s="1"/>
      <c r="F729" s="1"/>
      <c r="G729" s="1"/>
      <c r="H729" s="1"/>
      <c r="I729" s="1"/>
      <c r="J729" s="1"/>
    </row>
  </sheetData>
  <conditionalFormatting sqref="A709:B709">
    <cfRule type="expression" dxfId="110" priority="7">
      <formula>A709&lt;&gt;N709</formula>
    </cfRule>
  </conditionalFormatting>
  <conditionalFormatting sqref="B709">
    <cfRule type="expression" dxfId="109" priority="6">
      <formula>B709&lt;&gt;#REF!</formula>
    </cfRule>
  </conditionalFormatting>
  <conditionalFormatting sqref="B721:B729">
    <cfRule type="expression" dxfId="108" priority="1">
      <formula>B721&lt;&gt;M721</formula>
    </cfRule>
  </conditionalFormatting>
  <conditionalFormatting sqref="B710:C710">
    <cfRule type="expression" dxfId="107" priority="4">
      <formula>B710&lt;&gt;#REF!</formula>
    </cfRule>
  </conditionalFormatting>
  <conditionalFormatting sqref="B712:C712">
    <cfRule type="expression" dxfId="106" priority="3">
      <formula>B712&lt;&gt;#REF!</formula>
    </cfRule>
  </conditionalFormatting>
  <conditionalFormatting sqref="C2:H729">
    <cfRule type="expression" dxfId="105" priority="9">
      <formula>C2&lt;&gt;N2</formula>
    </cfRule>
  </conditionalFormatting>
  <conditionalFormatting sqref="N2:S6 N8:S706">
    <cfRule type="expression" dxfId="104" priority="8">
      <formula>C2&lt;&gt;N2</formula>
    </cfRule>
  </conditionalFormatting>
  <pageMargins left="0.7" right="0.7" top="0.75" bottom="0.75" header="0.3" footer="0.3"/>
  <pageSetup paperSize="9" orientation="portrait"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B8A3E1AD-7DCA-404B-B212-4A5B9C12AB2B}">
            <xm:f>A721&lt;&gt;'202212 DICIEMBRE'!#REF!</xm:f>
            <x14:dxf>
              <fill>
                <patternFill>
                  <bgColor theme="7" tint="0.39994506668294322"/>
                </patternFill>
              </fill>
            </x14:dxf>
          </x14:cfRule>
          <xm:sqref>A721:B729</xm:sqref>
        </x14:conditionalFormatting>
        <x14:conditionalFormatting xmlns:xm="http://schemas.microsoft.com/office/excel/2006/main">
          <x14:cfRule type="expression" priority="5" id="{54377E24-E8E8-4D07-AD16-6189EC61AE16}">
            <xm:f>A710&lt;&gt;'202210 OCTUBRE'!#REF!</xm:f>
            <x14:dxf>
              <fill>
                <patternFill>
                  <bgColor theme="7" tint="0.39994506668294322"/>
                </patternFill>
              </fill>
            </x14:dxf>
          </x14:cfRule>
          <xm:sqref>A710:I720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5F868-6B4D-4D7C-943A-CEB9ECB511E0}">
  <sheetPr>
    <tabColor rgb="FF92D050"/>
  </sheetPr>
  <dimension ref="A1:V729"/>
  <sheetViews>
    <sheetView topLeftCell="A704" workbookViewId="0">
      <selection activeCell="B728" sqref="B728"/>
    </sheetView>
  </sheetViews>
  <sheetFormatPr baseColWidth="10" defaultColWidth="11.42578125" defaultRowHeight="15" x14ac:dyDescent="0.25"/>
  <cols>
    <col min="1" max="1" width="12.140625" bestFit="1" customWidth="1"/>
    <col min="2" max="2" width="14.42578125" bestFit="1" customWidth="1"/>
    <col min="3" max="3" width="12.5703125" bestFit="1" customWidth="1"/>
    <col min="4" max="4" width="12.7109375" bestFit="1" customWidth="1"/>
    <col min="5" max="5" width="9" bestFit="1" customWidth="1"/>
    <col min="6" max="6" width="16.140625" bestFit="1" customWidth="1"/>
    <col min="7" max="7" width="16.42578125" bestFit="1" customWidth="1"/>
    <col min="8" max="9" width="10.28515625" bestFit="1" customWidth="1"/>
    <col min="10" max="10" width="18" bestFit="1" customWidth="1"/>
    <col min="11" max="11" width="19.5703125" customWidth="1"/>
    <col min="13" max="13" width="12.140625" bestFit="1" customWidth="1"/>
    <col min="14" max="15" width="14.42578125" bestFit="1" customWidth="1"/>
    <col min="16" max="16" width="12.7109375" bestFit="1" customWidth="1"/>
    <col min="18" max="18" width="16.140625" bestFit="1" customWidth="1"/>
    <col min="19" max="19" width="16.42578125" bestFit="1" customWidth="1"/>
    <col min="22" max="22" width="18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827</v>
      </c>
      <c r="K1" t="s">
        <v>9</v>
      </c>
      <c r="M1" s="20" t="s">
        <v>0</v>
      </c>
      <c r="N1" s="20" t="s">
        <v>1</v>
      </c>
      <c r="O1" s="20" t="s">
        <v>2</v>
      </c>
      <c r="P1" s="20" t="s">
        <v>3</v>
      </c>
      <c r="Q1" s="20" t="s">
        <v>4</v>
      </c>
      <c r="R1" s="20" t="s">
        <v>5</v>
      </c>
      <c r="S1" s="20" t="s">
        <v>6</v>
      </c>
      <c r="T1" s="20" t="s">
        <v>7</v>
      </c>
      <c r="U1" s="20" t="s">
        <v>8</v>
      </c>
      <c r="V1" s="20" t="s">
        <v>827</v>
      </c>
    </row>
    <row r="2" spans="1:22" x14ac:dyDescent="0.25">
      <c r="A2" t="s">
        <v>76</v>
      </c>
      <c r="B2" t="s">
        <v>11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27247</v>
      </c>
      <c r="I2" s="1">
        <v>0</v>
      </c>
      <c r="J2" s="1">
        <f>SUM(H2,I2)</f>
        <v>27247</v>
      </c>
      <c r="K2" s="1"/>
      <c r="M2" s="12">
        <v>712</v>
      </c>
      <c r="N2" s="12" t="s">
        <v>11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8">
        <v>27247</v>
      </c>
      <c r="U2" s="18"/>
      <c r="V2">
        <f t="shared" ref="V2:V16" si="0">SUM(T2:U2)</f>
        <v>27247</v>
      </c>
    </row>
    <row r="3" spans="1:22" x14ac:dyDescent="0.25">
      <c r="A3" s="2" t="s">
        <v>796</v>
      </c>
      <c r="B3" s="2" t="s">
        <v>12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577</v>
      </c>
      <c r="I3" s="1">
        <v>0</v>
      </c>
      <c r="J3" s="1">
        <f>SUM(H3,I3)</f>
        <v>577</v>
      </c>
      <c r="K3" s="1"/>
      <c r="M3" s="10">
        <v>713</v>
      </c>
      <c r="N3" s="10" t="s">
        <v>12</v>
      </c>
      <c r="O3" s="10">
        <v>0</v>
      </c>
      <c r="P3" s="10">
        <v>0</v>
      </c>
      <c r="Q3" s="10">
        <v>0</v>
      </c>
      <c r="R3" s="10">
        <v>0</v>
      </c>
      <c r="S3" s="10">
        <v>0</v>
      </c>
      <c r="T3" s="19">
        <v>577</v>
      </c>
      <c r="U3" s="19"/>
      <c r="V3">
        <f t="shared" si="0"/>
        <v>577</v>
      </c>
    </row>
    <row r="4" spans="1:22" x14ac:dyDescent="0.25">
      <c r="A4" t="s">
        <v>76</v>
      </c>
      <c r="B4" t="s">
        <v>13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2714</v>
      </c>
      <c r="I4" s="1">
        <v>0</v>
      </c>
      <c r="J4" s="1">
        <f>SUM(H4,I4)</f>
        <v>2714</v>
      </c>
      <c r="K4" s="1"/>
      <c r="M4" s="12">
        <v>712</v>
      </c>
      <c r="N4" s="12" t="s">
        <v>13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8">
        <v>2714</v>
      </c>
      <c r="U4" s="18"/>
      <c r="V4">
        <f t="shared" si="0"/>
        <v>2714</v>
      </c>
    </row>
    <row r="5" spans="1:22" x14ac:dyDescent="0.25">
      <c r="A5" t="s">
        <v>801</v>
      </c>
      <c r="B5" t="s">
        <v>14</v>
      </c>
      <c r="C5" s="1"/>
      <c r="D5" s="1"/>
      <c r="E5" s="1"/>
      <c r="F5" s="1"/>
      <c r="G5" s="1"/>
      <c r="H5" s="1"/>
      <c r="I5" s="1"/>
      <c r="J5" s="1"/>
      <c r="K5" s="1"/>
      <c r="M5" s="10">
        <v>711</v>
      </c>
      <c r="N5" s="10" t="s">
        <v>14</v>
      </c>
      <c r="O5" s="10"/>
      <c r="P5" s="10"/>
      <c r="Q5" s="10"/>
      <c r="R5" s="10"/>
      <c r="S5" s="10"/>
      <c r="T5" s="19"/>
      <c r="U5" s="19"/>
      <c r="V5">
        <f t="shared" si="0"/>
        <v>0</v>
      </c>
    </row>
    <row r="6" spans="1:22" x14ac:dyDescent="0.25">
      <c r="A6" t="s">
        <v>826</v>
      </c>
      <c r="B6" t="s">
        <v>15</v>
      </c>
      <c r="C6" s="1"/>
      <c r="D6" s="1"/>
      <c r="E6" s="1"/>
      <c r="F6" s="1"/>
      <c r="G6" s="1"/>
      <c r="H6" s="1"/>
      <c r="I6" s="1"/>
      <c r="J6" s="1"/>
      <c r="K6" s="1"/>
      <c r="M6" s="12">
        <v>120</v>
      </c>
      <c r="N6" s="12" t="s">
        <v>15</v>
      </c>
      <c r="O6" s="12"/>
      <c r="P6" s="12"/>
      <c r="Q6" s="12"/>
      <c r="R6" s="12"/>
      <c r="S6" s="12"/>
      <c r="T6" s="18"/>
      <c r="U6" s="18"/>
      <c r="V6">
        <f t="shared" si="0"/>
        <v>0</v>
      </c>
    </row>
    <row r="7" spans="1:22" x14ac:dyDescent="0.25">
      <c r="A7" t="s">
        <v>796</v>
      </c>
      <c r="B7" t="s">
        <v>16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1078</v>
      </c>
      <c r="I7" s="1">
        <v>0</v>
      </c>
      <c r="J7" s="1">
        <f>SUM(H7,I7)</f>
        <v>1078</v>
      </c>
      <c r="K7" s="1"/>
      <c r="M7" s="10">
        <v>713</v>
      </c>
      <c r="N7" s="10" t="s">
        <v>16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9">
        <v>1078</v>
      </c>
      <c r="U7" s="19"/>
      <c r="V7">
        <f t="shared" si="0"/>
        <v>1078</v>
      </c>
    </row>
    <row r="8" spans="1:22" x14ac:dyDescent="0.25">
      <c r="A8" t="s">
        <v>83</v>
      </c>
      <c r="B8" t="s">
        <v>17</v>
      </c>
      <c r="C8" s="1"/>
      <c r="D8" s="1"/>
      <c r="E8" s="1"/>
      <c r="F8" s="1"/>
      <c r="G8" s="1"/>
      <c r="H8" s="1"/>
      <c r="I8" s="1"/>
      <c r="J8" s="1"/>
      <c r="K8" s="1"/>
      <c r="M8" s="12">
        <v>700</v>
      </c>
      <c r="N8" s="12" t="s">
        <v>17</v>
      </c>
      <c r="O8" s="12"/>
      <c r="P8" s="12"/>
      <c r="Q8" s="12"/>
      <c r="R8" s="12"/>
      <c r="S8" s="12"/>
      <c r="T8" s="18"/>
      <c r="U8" s="18"/>
      <c r="V8">
        <f t="shared" si="0"/>
        <v>0</v>
      </c>
    </row>
    <row r="9" spans="1:22" x14ac:dyDescent="0.25">
      <c r="A9" t="s">
        <v>803</v>
      </c>
      <c r="B9" s="1" t="s">
        <v>18</v>
      </c>
      <c r="C9" s="1"/>
      <c r="D9" s="1"/>
      <c r="E9" s="1"/>
      <c r="F9" s="1"/>
      <c r="G9" s="1"/>
      <c r="H9" s="1"/>
      <c r="I9" s="1"/>
      <c r="J9" s="1"/>
      <c r="K9" s="1"/>
      <c r="M9" s="12">
        <v>712</v>
      </c>
      <c r="N9" s="12" t="s">
        <v>19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8">
        <v>3748</v>
      </c>
      <c r="U9" s="18"/>
      <c r="V9">
        <f t="shared" si="0"/>
        <v>3748</v>
      </c>
    </row>
    <row r="10" spans="1:22" x14ac:dyDescent="0.25">
      <c r="A10" t="s">
        <v>76</v>
      </c>
      <c r="B10" t="s">
        <v>19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3748</v>
      </c>
      <c r="I10" s="1">
        <v>0</v>
      </c>
      <c r="J10" s="1">
        <f>SUM(H10,I10)</f>
        <v>3748</v>
      </c>
      <c r="K10" s="1"/>
      <c r="M10" s="10">
        <v>700</v>
      </c>
      <c r="N10" s="10" t="s">
        <v>20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9">
        <v>516</v>
      </c>
      <c r="U10" s="19"/>
      <c r="V10">
        <f t="shared" si="0"/>
        <v>516</v>
      </c>
    </row>
    <row r="11" spans="1:22" x14ac:dyDescent="0.25">
      <c r="A11" t="s">
        <v>83</v>
      </c>
      <c r="B11" t="s">
        <v>20</v>
      </c>
      <c r="C11" s="1"/>
      <c r="D11" s="1"/>
      <c r="E11" s="1"/>
      <c r="F11" s="1"/>
      <c r="G11" s="1"/>
      <c r="H11" s="1"/>
      <c r="I11" s="1"/>
      <c r="J11" s="1"/>
      <c r="K11" s="1"/>
      <c r="M11" s="12">
        <v>600</v>
      </c>
      <c r="N11" s="12" t="s">
        <v>21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8">
        <v>552</v>
      </c>
      <c r="U11" s="18"/>
      <c r="V11">
        <f t="shared" si="0"/>
        <v>552</v>
      </c>
    </row>
    <row r="12" spans="1:22" x14ac:dyDescent="0.25">
      <c r="A12" t="s">
        <v>248</v>
      </c>
      <c r="B12" t="s">
        <v>21</v>
      </c>
      <c r="C12" s="1"/>
      <c r="D12" s="1"/>
      <c r="E12" s="1"/>
      <c r="F12" s="1"/>
      <c r="G12" s="1"/>
      <c r="H12" s="1"/>
      <c r="I12" s="1"/>
      <c r="J12" s="1"/>
      <c r="K12" s="1"/>
      <c r="M12" s="10">
        <v>700</v>
      </c>
      <c r="N12" s="10" t="s">
        <v>22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9">
        <v>1330</v>
      </c>
      <c r="U12" s="19"/>
      <c r="V12">
        <f t="shared" si="0"/>
        <v>1330</v>
      </c>
    </row>
    <row r="13" spans="1:22" x14ac:dyDescent="0.25">
      <c r="A13" t="s">
        <v>83</v>
      </c>
      <c r="B13" t="s">
        <v>22</v>
      </c>
      <c r="C13" s="1"/>
      <c r="D13" s="1"/>
      <c r="E13" s="1"/>
      <c r="F13" s="1"/>
      <c r="G13" s="1"/>
      <c r="H13" s="1"/>
      <c r="I13" s="1"/>
      <c r="J13" s="1"/>
      <c r="K13" s="1"/>
      <c r="M13" s="10">
        <v>711</v>
      </c>
      <c r="N13" s="10" t="s">
        <v>23</v>
      </c>
      <c r="O13" s="10"/>
      <c r="P13" s="10"/>
      <c r="Q13" s="10"/>
      <c r="R13" s="10"/>
      <c r="S13" s="10"/>
      <c r="T13" s="19"/>
      <c r="U13" s="19"/>
      <c r="V13">
        <f t="shared" si="0"/>
        <v>0</v>
      </c>
    </row>
    <row r="14" spans="1:22" x14ac:dyDescent="0.25">
      <c r="A14" t="s">
        <v>801</v>
      </c>
      <c r="B14" t="s">
        <v>23</v>
      </c>
      <c r="C14" s="1"/>
      <c r="D14" s="1"/>
      <c r="E14" s="1"/>
      <c r="F14" s="1"/>
      <c r="G14" s="1"/>
      <c r="H14" s="1"/>
      <c r="I14" s="1"/>
      <c r="J14" s="1"/>
      <c r="K14" s="1"/>
      <c r="M14" s="12">
        <v>713</v>
      </c>
      <c r="N14" s="12" t="s">
        <v>24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8">
        <v>19</v>
      </c>
      <c r="U14" s="18"/>
      <c r="V14">
        <f t="shared" si="0"/>
        <v>19</v>
      </c>
    </row>
    <row r="15" spans="1:22" x14ac:dyDescent="0.25">
      <c r="A15" t="s">
        <v>796</v>
      </c>
      <c r="B15" t="s">
        <v>24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19</v>
      </c>
      <c r="I15" s="1">
        <v>0</v>
      </c>
      <c r="J15" s="1">
        <f>SUM(H15,I15)</f>
        <v>19</v>
      </c>
      <c r="K15" s="1"/>
      <c r="M15" t="s">
        <v>804</v>
      </c>
      <c r="N15" t="s">
        <v>25</v>
      </c>
      <c r="O15" s="12"/>
      <c r="P15" s="12"/>
      <c r="Q15" s="12"/>
      <c r="R15" s="12"/>
      <c r="S15" s="12"/>
      <c r="T15" s="18"/>
      <c r="U15" s="18"/>
      <c r="V15">
        <f t="shared" si="0"/>
        <v>0</v>
      </c>
    </row>
    <row r="16" spans="1:22" x14ac:dyDescent="0.25">
      <c r="A16" t="s">
        <v>804</v>
      </c>
      <c r="B16" t="s">
        <v>25</v>
      </c>
      <c r="C16" s="1"/>
      <c r="D16" s="1"/>
      <c r="E16" s="1"/>
      <c r="F16" s="1"/>
      <c r="G16" s="1"/>
      <c r="H16" s="1"/>
      <c r="I16" s="1"/>
      <c r="J16" s="1"/>
      <c r="K16" s="1"/>
      <c r="M16" s="12" t="s">
        <v>828</v>
      </c>
      <c r="N16" s="12" t="s">
        <v>26</v>
      </c>
      <c r="O16" s="12"/>
      <c r="P16" s="12"/>
      <c r="Q16" s="12"/>
      <c r="R16" s="12"/>
      <c r="S16" s="12"/>
      <c r="T16" s="18"/>
      <c r="U16" s="18"/>
      <c r="V16">
        <f t="shared" si="0"/>
        <v>0</v>
      </c>
    </row>
    <row r="17" spans="1:22" x14ac:dyDescent="0.25">
      <c r="A17" t="s">
        <v>248</v>
      </c>
      <c r="B17" t="s">
        <v>26</v>
      </c>
      <c r="C17" s="1"/>
      <c r="D17" s="1"/>
      <c r="E17" s="1"/>
      <c r="F17" s="1"/>
      <c r="G17" s="1"/>
      <c r="H17" s="1"/>
      <c r="I17" s="1"/>
      <c r="J17" s="1"/>
      <c r="K17" s="1"/>
      <c r="M17" t="s">
        <v>805</v>
      </c>
      <c r="N17" t="s">
        <v>27</v>
      </c>
      <c r="O17" s="12"/>
      <c r="P17" s="12"/>
      <c r="Q17" s="12"/>
      <c r="R17" s="12"/>
      <c r="S17" s="12"/>
      <c r="T17" s="18"/>
      <c r="U17" s="18"/>
      <c r="V17">
        <f t="shared" ref="V17:V19" si="1">SUM(T17:U17)</f>
        <v>0</v>
      </c>
    </row>
    <row r="18" spans="1:22" x14ac:dyDescent="0.25">
      <c r="A18" t="s">
        <v>805</v>
      </c>
      <c r="B18" t="s">
        <v>27</v>
      </c>
      <c r="C18" s="1"/>
      <c r="D18" s="1"/>
      <c r="E18" s="1"/>
      <c r="F18" s="1"/>
      <c r="G18" s="1"/>
      <c r="H18" s="1"/>
      <c r="I18" s="1"/>
      <c r="J18" s="1"/>
      <c r="K18" s="1"/>
      <c r="M18" t="s">
        <v>805</v>
      </c>
      <c r="N18" t="s">
        <v>28</v>
      </c>
      <c r="O18" s="12"/>
      <c r="P18" s="12"/>
      <c r="Q18" s="12"/>
      <c r="R18" s="12"/>
      <c r="S18" s="12"/>
      <c r="T18" s="18"/>
      <c r="U18" s="18"/>
      <c r="V18">
        <f t="shared" si="1"/>
        <v>0</v>
      </c>
    </row>
    <row r="19" spans="1:22" x14ac:dyDescent="0.25">
      <c r="A19" t="s">
        <v>805</v>
      </c>
      <c r="B19" t="s">
        <v>28</v>
      </c>
      <c r="C19" s="1"/>
      <c r="D19" s="1"/>
      <c r="E19" s="1"/>
      <c r="F19" s="1"/>
      <c r="G19" s="1"/>
      <c r="H19" s="1"/>
      <c r="I19" s="1"/>
      <c r="J19" s="1"/>
      <c r="K19" s="1"/>
      <c r="M19" t="s">
        <v>805</v>
      </c>
      <c r="N19" t="s">
        <v>30</v>
      </c>
      <c r="O19" s="12"/>
      <c r="P19" s="12"/>
      <c r="Q19" s="12"/>
      <c r="R19" s="12"/>
      <c r="S19" s="12"/>
      <c r="T19" s="18"/>
      <c r="U19" s="18"/>
      <c r="V19">
        <f t="shared" si="1"/>
        <v>0</v>
      </c>
    </row>
    <row r="20" spans="1:22" x14ac:dyDescent="0.25">
      <c r="A20" t="s">
        <v>806</v>
      </c>
      <c r="B20" t="s">
        <v>29</v>
      </c>
      <c r="C20" s="1"/>
      <c r="D20" s="1"/>
      <c r="E20" s="1"/>
      <c r="F20" s="1"/>
      <c r="G20" s="1"/>
      <c r="H20" s="1"/>
      <c r="I20" s="1"/>
      <c r="J20" s="1"/>
      <c r="K20" s="1"/>
      <c r="M20" s="10">
        <v>141</v>
      </c>
      <c r="N20" s="10" t="s">
        <v>32</v>
      </c>
      <c r="O20" s="10">
        <v>12511</v>
      </c>
      <c r="P20" s="10">
        <v>0</v>
      </c>
      <c r="Q20" s="10">
        <v>0</v>
      </c>
      <c r="R20" s="10">
        <v>0</v>
      </c>
      <c r="S20" s="10">
        <v>0</v>
      </c>
      <c r="T20" s="19">
        <v>7354</v>
      </c>
      <c r="U20" s="19"/>
      <c r="V20">
        <f t="shared" ref="V20:V83" si="2">SUM(T20:U20)</f>
        <v>7354</v>
      </c>
    </row>
    <row r="21" spans="1:22" x14ac:dyDescent="0.25">
      <c r="A21" t="s">
        <v>805</v>
      </c>
      <c r="B21" t="s">
        <v>30</v>
      </c>
      <c r="C21" s="1"/>
      <c r="D21" s="1"/>
      <c r="E21" s="1"/>
      <c r="F21" s="1"/>
      <c r="G21" s="1"/>
      <c r="H21" s="1"/>
      <c r="I21" s="1"/>
      <c r="J21" s="1"/>
      <c r="K21" s="1"/>
      <c r="M21" s="12">
        <v>148</v>
      </c>
      <c r="N21" s="12" t="s">
        <v>34</v>
      </c>
      <c r="O21" s="12"/>
      <c r="P21" s="12"/>
      <c r="Q21" s="12"/>
      <c r="R21" s="12"/>
      <c r="S21" s="12"/>
      <c r="T21" s="18"/>
      <c r="U21" s="18"/>
      <c r="V21">
        <f t="shared" si="2"/>
        <v>0</v>
      </c>
    </row>
    <row r="22" spans="1:22" x14ac:dyDescent="0.25">
      <c r="A22" t="s">
        <v>829</v>
      </c>
      <c r="B22" t="s">
        <v>32</v>
      </c>
      <c r="C22" s="1"/>
      <c r="D22" s="1"/>
      <c r="E22" s="1"/>
      <c r="F22" s="1"/>
      <c r="G22" s="1"/>
      <c r="H22" s="1"/>
      <c r="I22" s="1"/>
      <c r="J22" s="1"/>
      <c r="K22" s="1"/>
      <c r="M22" s="10">
        <v>114</v>
      </c>
      <c r="N22" s="10" t="s">
        <v>35</v>
      </c>
      <c r="O22" s="10">
        <v>4947</v>
      </c>
      <c r="P22" s="10">
        <v>0</v>
      </c>
      <c r="Q22" s="10">
        <v>0</v>
      </c>
      <c r="R22" s="10">
        <v>0</v>
      </c>
      <c r="S22" s="10">
        <v>0</v>
      </c>
      <c r="T22" s="19">
        <v>1625</v>
      </c>
      <c r="U22" s="19"/>
      <c r="V22">
        <f t="shared" si="2"/>
        <v>1625</v>
      </c>
    </row>
    <row r="23" spans="1:22" x14ac:dyDescent="0.25">
      <c r="A23" t="s">
        <v>830</v>
      </c>
      <c r="B23" t="s">
        <v>34</v>
      </c>
      <c r="C23" s="1"/>
      <c r="D23" s="1"/>
      <c r="E23" s="1"/>
      <c r="F23" s="1"/>
      <c r="G23" s="1"/>
      <c r="H23" s="1"/>
      <c r="I23" s="1"/>
      <c r="J23" s="1"/>
      <c r="K23" s="1"/>
      <c r="M23" s="12">
        <v>146</v>
      </c>
      <c r="N23" s="12" t="s">
        <v>37</v>
      </c>
      <c r="O23" s="12">
        <v>5875</v>
      </c>
      <c r="P23" s="12">
        <v>10</v>
      </c>
      <c r="Q23" s="12">
        <v>0</v>
      </c>
      <c r="R23" s="12">
        <v>0</v>
      </c>
      <c r="S23" s="12">
        <v>0</v>
      </c>
      <c r="T23" s="18">
        <v>3123</v>
      </c>
      <c r="U23" s="18"/>
      <c r="V23">
        <f t="shared" si="2"/>
        <v>3123</v>
      </c>
    </row>
    <row r="24" spans="1:22" x14ac:dyDescent="0.25">
      <c r="A24" t="s">
        <v>831</v>
      </c>
      <c r="B24" t="s">
        <v>35</v>
      </c>
      <c r="C24" s="1">
        <f>4076+871</f>
        <v>4947</v>
      </c>
      <c r="D24" s="1">
        <v>0</v>
      </c>
      <c r="E24" s="1">
        <v>0</v>
      </c>
      <c r="F24" s="1">
        <v>0</v>
      </c>
      <c r="G24" s="1">
        <v>0</v>
      </c>
      <c r="H24" s="1">
        <v>1625</v>
      </c>
      <c r="I24" s="1">
        <v>643</v>
      </c>
      <c r="J24" s="1">
        <f>SUM(H24,I24)</f>
        <v>2268</v>
      </c>
      <c r="K24" s="1"/>
      <c r="M24" s="10">
        <v>145</v>
      </c>
      <c r="N24" s="10" t="s">
        <v>39</v>
      </c>
      <c r="O24" s="10">
        <v>2847</v>
      </c>
      <c r="P24" s="10">
        <v>0</v>
      </c>
      <c r="Q24" s="10">
        <v>0</v>
      </c>
      <c r="R24" s="10">
        <v>0</v>
      </c>
      <c r="S24" s="10">
        <v>0</v>
      </c>
      <c r="T24" s="19">
        <v>6332</v>
      </c>
      <c r="U24" s="19"/>
      <c r="V24">
        <f t="shared" si="2"/>
        <v>6332</v>
      </c>
    </row>
    <row r="25" spans="1:22" x14ac:dyDescent="0.25">
      <c r="A25" t="s">
        <v>832</v>
      </c>
      <c r="B25" t="s">
        <v>37</v>
      </c>
      <c r="C25" s="1"/>
      <c r="D25" s="1"/>
      <c r="E25" s="1"/>
      <c r="F25" s="1"/>
      <c r="G25" s="1"/>
      <c r="H25" s="1"/>
      <c r="I25" s="1"/>
      <c r="J25" s="1"/>
      <c r="K25" s="1"/>
      <c r="M25" s="12">
        <v>125</v>
      </c>
      <c r="N25" s="12" t="s">
        <v>41</v>
      </c>
      <c r="O25" s="12">
        <v>12474</v>
      </c>
      <c r="P25" s="12">
        <v>40</v>
      </c>
      <c r="Q25" s="12">
        <v>0</v>
      </c>
      <c r="R25" s="12">
        <v>0</v>
      </c>
      <c r="S25" s="12">
        <v>0</v>
      </c>
      <c r="T25" s="18">
        <v>2745</v>
      </c>
      <c r="U25" s="18"/>
      <c r="V25">
        <f t="shared" si="2"/>
        <v>2745</v>
      </c>
    </row>
    <row r="26" spans="1:22" x14ac:dyDescent="0.25">
      <c r="A26" t="s">
        <v>833</v>
      </c>
      <c r="B26" t="s">
        <v>39</v>
      </c>
      <c r="C26" s="1"/>
      <c r="D26" s="1"/>
      <c r="E26" s="1"/>
      <c r="F26" s="1"/>
      <c r="G26" s="1"/>
      <c r="H26" s="1"/>
      <c r="I26" s="1"/>
      <c r="J26" s="1"/>
      <c r="K26" s="1"/>
      <c r="M26" s="10">
        <v>144</v>
      </c>
      <c r="N26" s="10" t="s">
        <v>42</v>
      </c>
      <c r="O26" s="10">
        <v>3766</v>
      </c>
      <c r="P26" s="10">
        <v>14</v>
      </c>
      <c r="Q26" s="10">
        <v>0</v>
      </c>
      <c r="R26" s="10">
        <v>0</v>
      </c>
      <c r="S26" s="10">
        <v>0</v>
      </c>
      <c r="T26" s="19">
        <v>1576</v>
      </c>
      <c r="U26" s="19"/>
      <c r="V26">
        <f t="shared" si="2"/>
        <v>1576</v>
      </c>
    </row>
    <row r="27" spans="1:22" x14ac:dyDescent="0.25">
      <c r="A27" t="s">
        <v>834</v>
      </c>
      <c r="B27" t="s">
        <v>41</v>
      </c>
      <c r="C27" s="1"/>
      <c r="D27" s="1"/>
      <c r="E27" s="1"/>
      <c r="F27" s="1"/>
      <c r="G27" s="1"/>
      <c r="H27" s="1"/>
      <c r="I27" s="1"/>
      <c r="J27" s="1"/>
      <c r="K27" s="1"/>
      <c r="M27" s="12">
        <v>150</v>
      </c>
      <c r="N27" s="12" t="s">
        <v>44</v>
      </c>
      <c r="O27" s="12">
        <v>12514</v>
      </c>
      <c r="P27" s="12">
        <v>9</v>
      </c>
      <c r="Q27" s="12">
        <v>0</v>
      </c>
      <c r="R27" s="12">
        <v>0</v>
      </c>
      <c r="S27" s="12">
        <v>0</v>
      </c>
      <c r="T27" s="18">
        <v>5248</v>
      </c>
      <c r="U27" s="18"/>
      <c r="V27">
        <f t="shared" si="2"/>
        <v>5248</v>
      </c>
    </row>
    <row r="28" spans="1:22" x14ac:dyDescent="0.25">
      <c r="A28" t="s">
        <v>835</v>
      </c>
      <c r="B28" t="s">
        <v>42</v>
      </c>
      <c r="C28" s="1"/>
      <c r="D28" s="1"/>
      <c r="E28" s="1"/>
      <c r="F28" s="1"/>
      <c r="G28" s="1"/>
      <c r="H28" s="1"/>
      <c r="I28" s="1"/>
      <c r="J28" s="1"/>
      <c r="K28" s="1"/>
      <c r="M28" s="10">
        <v>140</v>
      </c>
      <c r="N28" s="10" t="s">
        <v>46</v>
      </c>
      <c r="O28" s="10"/>
      <c r="P28" s="10"/>
      <c r="Q28" s="10"/>
      <c r="R28" s="10"/>
      <c r="S28" s="10"/>
      <c r="T28" s="19"/>
      <c r="U28" s="19"/>
      <c r="V28">
        <f t="shared" si="2"/>
        <v>0</v>
      </c>
    </row>
    <row r="29" spans="1:22" x14ac:dyDescent="0.25">
      <c r="A29" t="s">
        <v>836</v>
      </c>
      <c r="B29" t="s">
        <v>44</v>
      </c>
      <c r="C29" s="1"/>
      <c r="D29" s="1"/>
      <c r="E29" s="1"/>
      <c r="F29" s="1"/>
      <c r="G29" s="1"/>
      <c r="H29" s="1"/>
      <c r="I29" s="1"/>
      <c r="J29" s="1"/>
      <c r="K29" s="1"/>
      <c r="M29" s="12">
        <v>151</v>
      </c>
      <c r="N29" s="12" t="s">
        <v>48</v>
      </c>
      <c r="O29" s="12">
        <v>9982</v>
      </c>
      <c r="P29" s="12">
        <v>17</v>
      </c>
      <c r="Q29" s="12">
        <v>0</v>
      </c>
      <c r="R29" s="12">
        <v>0</v>
      </c>
      <c r="S29" s="12">
        <v>0</v>
      </c>
      <c r="T29" s="18">
        <v>4681</v>
      </c>
      <c r="U29" s="18"/>
      <c r="V29">
        <f t="shared" si="2"/>
        <v>4681</v>
      </c>
    </row>
    <row r="30" spans="1:22" x14ac:dyDescent="0.25">
      <c r="A30" t="s">
        <v>837</v>
      </c>
      <c r="B30" t="s">
        <v>46</v>
      </c>
      <c r="C30" s="1"/>
      <c r="D30" s="1"/>
      <c r="E30" s="1"/>
      <c r="F30" s="1"/>
      <c r="G30" s="1"/>
      <c r="H30" s="1"/>
      <c r="I30" s="1"/>
      <c r="J30" s="1"/>
      <c r="K30" s="1"/>
      <c r="M30" s="10">
        <v>300</v>
      </c>
      <c r="N30" s="10" t="s">
        <v>49</v>
      </c>
      <c r="O30" s="10"/>
      <c r="P30" s="10"/>
      <c r="Q30" s="10"/>
      <c r="R30" s="10"/>
      <c r="S30" s="10"/>
      <c r="T30" s="19"/>
      <c r="U30" s="19"/>
      <c r="V30">
        <f t="shared" si="2"/>
        <v>0</v>
      </c>
    </row>
    <row r="31" spans="1:22" x14ac:dyDescent="0.25">
      <c r="A31" t="s">
        <v>838</v>
      </c>
      <c r="B31" t="s">
        <v>48</v>
      </c>
      <c r="C31" s="1"/>
      <c r="D31" s="1"/>
      <c r="E31" s="1"/>
      <c r="F31" s="1"/>
      <c r="G31" s="1"/>
      <c r="H31" s="1"/>
      <c r="I31" s="1"/>
      <c r="J31" s="1"/>
      <c r="K31" s="1"/>
      <c r="M31" s="12">
        <v>138</v>
      </c>
      <c r="N31" s="12" t="s">
        <v>51</v>
      </c>
      <c r="O31" s="12">
        <v>907</v>
      </c>
      <c r="P31" s="12">
        <v>0</v>
      </c>
      <c r="Q31" s="12">
        <v>0</v>
      </c>
      <c r="R31" s="12">
        <v>0</v>
      </c>
      <c r="S31" s="12">
        <v>0</v>
      </c>
      <c r="T31" s="18">
        <v>307</v>
      </c>
      <c r="U31" s="18"/>
      <c r="V31">
        <f t="shared" si="2"/>
        <v>307</v>
      </c>
    </row>
    <row r="32" spans="1:22" x14ac:dyDescent="0.25">
      <c r="A32" t="s">
        <v>839</v>
      </c>
      <c r="B32" t="s">
        <v>49</v>
      </c>
      <c r="C32" s="1"/>
      <c r="D32" s="1"/>
      <c r="E32" s="1"/>
      <c r="F32" s="1"/>
      <c r="G32" s="1"/>
      <c r="H32" s="1"/>
      <c r="I32" s="1"/>
      <c r="J32" s="1"/>
      <c r="K32" s="1"/>
      <c r="M32" s="10">
        <v>149</v>
      </c>
      <c r="N32" s="10" t="s">
        <v>53</v>
      </c>
      <c r="O32" s="10">
        <v>8353</v>
      </c>
      <c r="P32" s="10">
        <v>0</v>
      </c>
      <c r="Q32" s="10">
        <v>0</v>
      </c>
      <c r="R32" s="10">
        <v>0</v>
      </c>
      <c r="S32" s="10">
        <v>0</v>
      </c>
      <c r="T32" s="19">
        <v>5348</v>
      </c>
      <c r="U32" s="19"/>
      <c r="V32">
        <f t="shared" si="2"/>
        <v>5348</v>
      </c>
    </row>
    <row r="33" spans="1:22" x14ac:dyDescent="0.25">
      <c r="A33" t="s">
        <v>840</v>
      </c>
      <c r="B33" t="s">
        <v>51</v>
      </c>
      <c r="C33" s="1"/>
      <c r="D33" s="1"/>
      <c r="E33" s="1"/>
      <c r="F33" s="1"/>
      <c r="G33" s="1"/>
      <c r="H33" s="1"/>
      <c r="I33" s="1"/>
      <c r="J33" s="1"/>
      <c r="K33" s="1"/>
      <c r="M33" s="12">
        <v>142</v>
      </c>
      <c r="N33" s="12" t="s">
        <v>55</v>
      </c>
      <c r="O33" s="12">
        <v>12054</v>
      </c>
      <c r="P33" s="12">
        <v>22</v>
      </c>
      <c r="Q33" s="12">
        <v>0</v>
      </c>
      <c r="R33" s="12">
        <v>0</v>
      </c>
      <c r="S33" s="12">
        <v>0</v>
      </c>
      <c r="T33" s="18">
        <v>7396</v>
      </c>
      <c r="U33" s="18"/>
      <c r="V33">
        <f t="shared" si="2"/>
        <v>7396</v>
      </c>
    </row>
    <row r="34" spans="1:22" x14ac:dyDescent="0.25">
      <c r="A34" t="s">
        <v>841</v>
      </c>
      <c r="B34" t="s">
        <v>53</v>
      </c>
      <c r="C34" s="1"/>
      <c r="D34" s="1"/>
      <c r="E34" s="1"/>
      <c r="F34" s="1"/>
      <c r="G34" s="1"/>
      <c r="H34" s="1"/>
      <c r="I34" s="1"/>
      <c r="J34" s="1"/>
      <c r="K34" s="1"/>
      <c r="M34" s="10">
        <v>610</v>
      </c>
      <c r="N34" s="10" t="s">
        <v>56</v>
      </c>
      <c r="O34" s="10">
        <v>44130</v>
      </c>
      <c r="P34" s="10">
        <v>136</v>
      </c>
      <c r="Q34" s="10">
        <v>0</v>
      </c>
      <c r="R34" s="10">
        <v>0</v>
      </c>
      <c r="S34" s="10">
        <v>0</v>
      </c>
      <c r="T34" s="19">
        <v>9243</v>
      </c>
      <c r="U34" s="19"/>
      <c r="V34">
        <f t="shared" si="2"/>
        <v>9243</v>
      </c>
    </row>
    <row r="35" spans="1:22" x14ac:dyDescent="0.25">
      <c r="A35" t="s">
        <v>842</v>
      </c>
      <c r="B35" t="s">
        <v>55</v>
      </c>
      <c r="C35" s="1"/>
      <c r="D35" s="1"/>
      <c r="E35" s="1"/>
      <c r="F35" s="1"/>
      <c r="G35" s="1"/>
      <c r="H35" s="1"/>
      <c r="I35" s="1"/>
      <c r="J35" s="1"/>
      <c r="K35" s="1"/>
      <c r="M35" s="12">
        <v>613</v>
      </c>
      <c r="N35" s="12" t="s">
        <v>57</v>
      </c>
      <c r="O35" s="12">
        <v>2882</v>
      </c>
      <c r="P35" s="12">
        <v>0</v>
      </c>
      <c r="Q35" s="12">
        <v>0</v>
      </c>
      <c r="R35" s="12">
        <v>0</v>
      </c>
      <c r="S35" s="12">
        <v>0</v>
      </c>
      <c r="T35" s="18">
        <v>1682</v>
      </c>
      <c r="U35" s="18"/>
      <c r="V35">
        <f t="shared" si="2"/>
        <v>1682</v>
      </c>
    </row>
    <row r="36" spans="1:22" x14ac:dyDescent="0.25">
      <c r="A36" t="s">
        <v>788</v>
      </c>
      <c r="B36" t="s">
        <v>56</v>
      </c>
      <c r="C36" s="1">
        <f>28258+1+1+2+3+15865</f>
        <v>44130</v>
      </c>
      <c r="D36" s="1">
        <f>50+85+1</f>
        <v>136</v>
      </c>
      <c r="E36" s="1">
        <v>0</v>
      </c>
      <c r="F36" s="1">
        <v>0</v>
      </c>
      <c r="G36" s="1">
        <v>0</v>
      </c>
      <c r="H36" s="1">
        <v>9243</v>
      </c>
      <c r="I36" s="1">
        <v>9371</v>
      </c>
      <c r="J36" s="1">
        <f>SUM(H36,I36)</f>
        <v>18614</v>
      </c>
      <c r="K36" s="1"/>
      <c r="M36" s="10">
        <v>600</v>
      </c>
      <c r="N36" s="10" t="s">
        <v>58</v>
      </c>
      <c r="O36" s="10">
        <v>3769</v>
      </c>
      <c r="P36" s="10">
        <v>6</v>
      </c>
      <c r="Q36" s="10">
        <v>0</v>
      </c>
      <c r="R36" s="10">
        <v>0</v>
      </c>
      <c r="S36" s="10">
        <v>0</v>
      </c>
      <c r="T36" s="19">
        <v>3694</v>
      </c>
      <c r="U36" s="19"/>
      <c r="V36">
        <f t="shared" si="2"/>
        <v>3694</v>
      </c>
    </row>
    <row r="37" spans="1:22" x14ac:dyDescent="0.25">
      <c r="A37" t="s">
        <v>495</v>
      </c>
      <c r="B37" t="s">
        <v>57</v>
      </c>
      <c r="C37" s="1">
        <f>2694+188</f>
        <v>2882</v>
      </c>
      <c r="D37" s="1">
        <v>0</v>
      </c>
      <c r="E37" s="1">
        <v>0</v>
      </c>
      <c r="F37" s="1">
        <v>0</v>
      </c>
      <c r="G37" s="1">
        <v>0</v>
      </c>
      <c r="H37" s="1">
        <v>1682</v>
      </c>
      <c r="I37" s="1">
        <v>135</v>
      </c>
      <c r="J37" s="1">
        <f>SUM(H37,I37)</f>
        <v>1817</v>
      </c>
      <c r="K37" s="1"/>
      <c r="M37" s="12">
        <v>139</v>
      </c>
      <c r="N37" s="12" t="s">
        <v>60</v>
      </c>
      <c r="O37" s="12">
        <v>3687</v>
      </c>
      <c r="P37" s="12">
        <v>0</v>
      </c>
      <c r="Q37" s="12">
        <v>0</v>
      </c>
      <c r="R37" s="12">
        <v>0</v>
      </c>
      <c r="S37" s="12">
        <v>0</v>
      </c>
      <c r="T37" s="18">
        <v>2930</v>
      </c>
      <c r="U37" s="18"/>
      <c r="V37">
        <f t="shared" si="2"/>
        <v>2930</v>
      </c>
    </row>
    <row r="38" spans="1:22" x14ac:dyDescent="0.25">
      <c r="A38" t="s">
        <v>248</v>
      </c>
      <c r="B38" t="s">
        <v>58</v>
      </c>
      <c r="C38" s="1"/>
      <c r="D38" s="1"/>
      <c r="E38" s="1"/>
      <c r="F38" s="1"/>
      <c r="G38" s="1"/>
      <c r="H38" s="1"/>
      <c r="I38" s="1"/>
      <c r="J38" s="1"/>
      <c r="K38" s="1"/>
      <c r="M38" s="10">
        <v>143</v>
      </c>
      <c r="N38" s="10" t="s">
        <v>62</v>
      </c>
      <c r="O38" s="10">
        <v>5457</v>
      </c>
      <c r="P38" s="10">
        <v>13</v>
      </c>
      <c r="Q38" s="10">
        <v>0</v>
      </c>
      <c r="R38" s="10">
        <v>0</v>
      </c>
      <c r="S38" s="10">
        <v>0</v>
      </c>
      <c r="T38" s="19">
        <v>4670</v>
      </c>
      <c r="U38" s="19"/>
      <c r="V38">
        <f t="shared" si="2"/>
        <v>4670</v>
      </c>
    </row>
    <row r="39" spans="1:22" x14ac:dyDescent="0.25">
      <c r="A39" t="s">
        <v>843</v>
      </c>
      <c r="B39" t="s">
        <v>60</v>
      </c>
      <c r="C39" s="1"/>
      <c r="D39" s="1"/>
      <c r="E39" s="1"/>
      <c r="F39" s="1"/>
      <c r="G39" s="1"/>
      <c r="H39" s="1"/>
      <c r="I39" s="1"/>
      <c r="J39" s="1"/>
      <c r="K39" s="1"/>
      <c r="M39" s="12">
        <v>147</v>
      </c>
      <c r="N39" s="12" t="s">
        <v>63</v>
      </c>
      <c r="O39" s="12">
        <v>16921</v>
      </c>
      <c r="P39" s="12">
        <v>120</v>
      </c>
      <c r="Q39" s="12">
        <v>0</v>
      </c>
      <c r="R39" s="12">
        <v>0</v>
      </c>
      <c r="S39" s="12">
        <v>0</v>
      </c>
      <c r="T39" s="18">
        <v>6187</v>
      </c>
      <c r="U39" s="18"/>
      <c r="V39">
        <f t="shared" si="2"/>
        <v>6187</v>
      </c>
    </row>
    <row r="40" spans="1:22" x14ac:dyDescent="0.25">
      <c r="A40" t="s">
        <v>844</v>
      </c>
      <c r="B40" t="s">
        <v>62</v>
      </c>
      <c r="C40" s="1"/>
      <c r="D40" s="1"/>
      <c r="E40" s="1"/>
      <c r="F40" s="1"/>
      <c r="G40" s="1"/>
      <c r="H40" s="1"/>
      <c r="I40" s="1"/>
      <c r="J40" s="1"/>
      <c r="K40" s="1"/>
      <c r="M40" s="10">
        <v>152</v>
      </c>
      <c r="N40" s="10" t="s">
        <v>64</v>
      </c>
      <c r="O40" s="10"/>
      <c r="P40" s="10"/>
      <c r="Q40" s="10"/>
      <c r="R40" s="10"/>
      <c r="S40" s="10"/>
      <c r="T40" s="19"/>
      <c r="U40" s="19"/>
      <c r="V40">
        <f t="shared" si="2"/>
        <v>0</v>
      </c>
    </row>
    <row r="41" spans="1:22" x14ac:dyDescent="0.25">
      <c r="A41" t="s">
        <v>845</v>
      </c>
      <c r="B41" t="s">
        <v>63</v>
      </c>
      <c r="C41" s="1"/>
      <c r="D41" s="1"/>
      <c r="E41" s="1"/>
      <c r="F41" s="1"/>
      <c r="G41" s="1"/>
      <c r="H41" s="1"/>
      <c r="I41" s="1"/>
      <c r="J41" s="1"/>
      <c r="K41" s="1"/>
      <c r="M41" s="12">
        <v>610</v>
      </c>
      <c r="N41" s="12" t="s">
        <v>65</v>
      </c>
      <c r="O41" s="12"/>
      <c r="P41" s="12"/>
      <c r="Q41" s="12"/>
      <c r="R41" s="12"/>
      <c r="S41" s="12"/>
      <c r="T41" s="18"/>
      <c r="U41" s="18"/>
      <c r="V41">
        <f t="shared" si="2"/>
        <v>0</v>
      </c>
    </row>
    <row r="42" spans="1:22" x14ac:dyDescent="0.25">
      <c r="A42" t="s">
        <v>846</v>
      </c>
      <c r="B42" s="10" t="s">
        <v>64</v>
      </c>
      <c r="C42" s="1"/>
      <c r="D42" s="1"/>
      <c r="E42" s="1"/>
      <c r="F42" s="1"/>
      <c r="G42" s="1"/>
      <c r="H42" s="1"/>
      <c r="I42" s="1"/>
      <c r="J42" s="1"/>
      <c r="K42" s="1"/>
      <c r="M42" s="10">
        <v>712</v>
      </c>
      <c r="N42" s="10" t="s">
        <v>66</v>
      </c>
      <c r="O42" s="10">
        <v>3906</v>
      </c>
      <c r="P42" s="10">
        <v>22</v>
      </c>
      <c r="Q42" s="10">
        <v>0</v>
      </c>
      <c r="R42" s="10">
        <v>0</v>
      </c>
      <c r="S42" s="10">
        <v>0</v>
      </c>
      <c r="T42" s="19">
        <v>787</v>
      </c>
      <c r="U42" s="19"/>
      <c r="V42">
        <f t="shared" si="2"/>
        <v>787</v>
      </c>
    </row>
    <row r="43" spans="1:22" x14ac:dyDescent="0.25">
      <c r="A43" t="s">
        <v>788</v>
      </c>
      <c r="B43" t="s">
        <v>65</v>
      </c>
      <c r="C43" s="1">
        <f>1110+334</f>
        <v>1444</v>
      </c>
      <c r="D43" s="1">
        <v>0</v>
      </c>
      <c r="E43" s="1">
        <v>0</v>
      </c>
      <c r="F43" s="1">
        <v>0</v>
      </c>
      <c r="G43" s="1">
        <v>0</v>
      </c>
      <c r="H43" s="1">
        <v>975</v>
      </c>
      <c r="I43" s="1">
        <v>272</v>
      </c>
      <c r="J43" s="1">
        <f>SUM(H43,I43)</f>
        <v>1247</v>
      </c>
      <c r="K43" s="1"/>
      <c r="M43" s="12">
        <v>310</v>
      </c>
      <c r="N43" s="12" t="s">
        <v>68</v>
      </c>
      <c r="O43" s="12">
        <v>4378</v>
      </c>
      <c r="P43" s="12">
        <v>146</v>
      </c>
      <c r="Q43" s="12">
        <v>0</v>
      </c>
      <c r="R43" s="12">
        <v>0</v>
      </c>
      <c r="S43" s="12">
        <v>0</v>
      </c>
      <c r="T43" s="18">
        <v>1611</v>
      </c>
      <c r="U43" s="18"/>
      <c r="V43">
        <f t="shared" si="2"/>
        <v>1611</v>
      </c>
    </row>
    <row r="44" spans="1:22" x14ac:dyDescent="0.25">
      <c r="A44" t="s">
        <v>76</v>
      </c>
      <c r="B44" t="s">
        <v>66</v>
      </c>
      <c r="C44" s="1">
        <f>2382+12+1512</f>
        <v>3906</v>
      </c>
      <c r="D44" s="1">
        <f>21+1</f>
        <v>22</v>
      </c>
      <c r="E44" s="1">
        <v>0</v>
      </c>
      <c r="F44" s="1">
        <v>0</v>
      </c>
      <c r="G44" s="1">
        <v>0</v>
      </c>
      <c r="H44" s="1">
        <v>787</v>
      </c>
      <c r="I44" s="1">
        <v>843</v>
      </c>
      <c r="J44" s="1">
        <f>SUM(H44,I44)</f>
        <v>1630</v>
      </c>
      <c r="K44" s="1"/>
      <c r="M44" s="10">
        <v>710</v>
      </c>
      <c r="N44" s="10" t="s">
        <v>70</v>
      </c>
      <c r="O44" s="10">
        <v>77085</v>
      </c>
      <c r="P44" s="10">
        <v>110</v>
      </c>
      <c r="Q44" s="10">
        <v>0</v>
      </c>
      <c r="R44" s="10">
        <v>0</v>
      </c>
      <c r="S44" s="10">
        <v>0</v>
      </c>
      <c r="T44" s="19">
        <v>65281</v>
      </c>
      <c r="U44" s="19"/>
      <c r="V44">
        <f t="shared" si="2"/>
        <v>65281</v>
      </c>
    </row>
    <row r="45" spans="1:22" x14ac:dyDescent="0.25">
      <c r="A45" t="s">
        <v>67</v>
      </c>
      <c r="B45" t="s">
        <v>68</v>
      </c>
      <c r="C45" s="1"/>
      <c r="D45" s="1"/>
      <c r="E45" s="1"/>
      <c r="F45" s="1"/>
      <c r="G45" s="1"/>
      <c r="H45" s="1"/>
      <c r="I45" s="1"/>
      <c r="J45" s="1"/>
      <c r="K45" s="1"/>
      <c r="M45" s="12">
        <v>712</v>
      </c>
      <c r="N45" s="12" t="s">
        <v>71</v>
      </c>
      <c r="O45" s="12"/>
      <c r="P45" s="12"/>
      <c r="Q45" s="12"/>
      <c r="R45" s="12"/>
      <c r="S45" s="12"/>
      <c r="T45" s="18"/>
      <c r="U45" s="18"/>
      <c r="V45">
        <f t="shared" si="2"/>
        <v>0</v>
      </c>
    </row>
    <row r="46" spans="1:22" x14ac:dyDescent="0.25">
      <c r="A46" t="s">
        <v>76</v>
      </c>
      <c r="B46" s="5" t="s">
        <v>70</v>
      </c>
      <c r="C46" s="6"/>
      <c r="D46" s="6"/>
      <c r="E46" s="6"/>
      <c r="F46" s="6"/>
      <c r="G46" s="6"/>
      <c r="H46" s="6"/>
      <c r="I46" s="6"/>
      <c r="J46" s="6"/>
      <c r="K46" s="6"/>
      <c r="M46" s="10">
        <v>312</v>
      </c>
      <c r="N46" s="10" t="s">
        <v>73</v>
      </c>
      <c r="O46" s="10">
        <v>7483</v>
      </c>
      <c r="P46" s="10">
        <v>100</v>
      </c>
      <c r="Q46" s="10">
        <v>0</v>
      </c>
      <c r="R46" s="10">
        <v>0</v>
      </c>
      <c r="S46" s="10">
        <v>0</v>
      </c>
      <c r="T46" s="19">
        <v>4799</v>
      </c>
      <c r="U46" s="19"/>
      <c r="V46">
        <f t="shared" si="2"/>
        <v>4799</v>
      </c>
    </row>
    <row r="47" spans="1:22" x14ac:dyDescent="0.25">
      <c r="A47" t="s">
        <v>803</v>
      </c>
      <c r="B47" s="23" t="s">
        <v>71</v>
      </c>
      <c r="C47" s="1"/>
      <c r="D47" s="1"/>
      <c r="E47" s="1"/>
      <c r="F47" s="1"/>
      <c r="G47" s="1"/>
      <c r="H47" s="1"/>
      <c r="I47" s="1"/>
      <c r="J47" s="1"/>
      <c r="K47" s="1"/>
      <c r="M47" s="12" t="s">
        <v>808</v>
      </c>
      <c r="N47" s="12" t="s">
        <v>74</v>
      </c>
      <c r="O47" s="12">
        <v>17506</v>
      </c>
      <c r="P47" s="12">
        <v>117</v>
      </c>
      <c r="Q47" s="12">
        <v>0</v>
      </c>
      <c r="R47" s="12">
        <v>0</v>
      </c>
      <c r="S47" s="12">
        <v>0</v>
      </c>
      <c r="T47" s="18">
        <v>14959</v>
      </c>
      <c r="U47" s="18"/>
      <c r="V47">
        <f t="shared" si="2"/>
        <v>14959</v>
      </c>
    </row>
    <row r="48" spans="1:22" x14ac:dyDescent="0.25">
      <c r="A48" t="s">
        <v>72</v>
      </c>
      <c r="B48" t="s">
        <v>73</v>
      </c>
      <c r="C48" s="1">
        <f>6637+13+8+825</f>
        <v>7483</v>
      </c>
      <c r="D48" s="1">
        <v>100</v>
      </c>
      <c r="E48" s="1">
        <v>0</v>
      </c>
      <c r="F48" s="1">
        <v>0</v>
      </c>
      <c r="G48" s="1">
        <v>0</v>
      </c>
      <c r="H48" s="1">
        <v>4799</v>
      </c>
      <c r="I48" s="1">
        <v>698</v>
      </c>
      <c r="J48" s="1">
        <f>SUM(H48,I48)</f>
        <v>5497</v>
      </c>
      <c r="K48" s="1"/>
      <c r="M48" s="10">
        <v>611</v>
      </c>
      <c r="N48" s="10" t="s">
        <v>75</v>
      </c>
      <c r="O48" s="10">
        <v>7604</v>
      </c>
      <c r="P48" s="10">
        <v>5</v>
      </c>
      <c r="Q48" s="10">
        <v>0</v>
      </c>
      <c r="R48" s="10">
        <v>0</v>
      </c>
      <c r="S48" s="10">
        <v>0</v>
      </c>
      <c r="T48" s="19">
        <v>6111</v>
      </c>
      <c r="U48" s="19"/>
      <c r="V48">
        <f t="shared" si="2"/>
        <v>6111</v>
      </c>
    </row>
    <row r="49" spans="1:22" x14ac:dyDescent="0.25">
      <c r="A49" t="s">
        <v>809</v>
      </c>
      <c r="B49" t="s">
        <v>74</v>
      </c>
      <c r="C49" s="1">
        <f>13524+8+16+371+18+237+3332</f>
        <v>17506</v>
      </c>
      <c r="D49" s="1">
        <f>105+5+7</f>
        <v>117</v>
      </c>
      <c r="E49" s="1">
        <v>0</v>
      </c>
      <c r="F49" s="1">
        <v>0</v>
      </c>
      <c r="G49" s="1">
        <v>0</v>
      </c>
      <c r="H49" s="1">
        <v>14959</v>
      </c>
      <c r="I49" s="1">
        <v>2070</v>
      </c>
      <c r="J49" s="1">
        <f>SUM(H49,I49)</f>
        <v>17029</v>
      </c>
      <c r="K49" s="1"/>
      <c r="M49" s="12">
        <v>712</v>
      </c>
      <c r="N49" s="12" t="s">
        <v>77</v>
      </c>
      <c r="O49" s="12">
        <v>8144</v>
      </c>
      <c r="P49" s="12">
        <v>29</v>
      </c>
      <c r="Q49" s="12">
        <v>0</v>
      </c>
      <c r="R49" s="12">
        <v>0</v>
      </c>
      <c r="S49" s="12">
        <v>0</v>
      </c>
      <c r="T49" s="18">
        <v>1167</v>
      </c>
      <c r="U49" s="18"/>
      <c r="V49">
        <f t="shared" si="2"/>
        <v>1167</v>
      </c>
    </row>
    <row r="50" spans="1:22" x14ac:dyDescent="0.25">
      <c r="A50" t="s">
        <v>146</v>
      </c>
      <c r="B50" t="s">
        <v>75</v>
      </c>
      <c r="C50" s="1">
        <f>2406+5198</f>
        <v>7604</v>
      </c>
      <c r="D50" s="1">
        <f>3+2</f>
        <v>5</v>
      </c>
      <c r="E50" s="1">
        <v>0</v>
      </c>
      <c r="F50" s="1">
        <v>0</v>
      </c>
      <c r="G50" s="1">
        <v>0</v>
      </c>
      <c r="H50" s="1">
        <v>6111</v>
      </c>
      <c r="I50" s="1">
        <v>4930</v>
      </c>
      <c r="J50" s="1">
        <f>SUM(H50,I50)</f>
        <v>11041</v>
      </c>
      <c r="K50" s="1"/>
      <c r="M50" s="10">
        <v>711</v>
      </c>
      <c r="N50" s="10" t="s">
        <v>78</v>
      </c>
      <c r="O50" s="10"/>
      <c r="P50" s="10"/>
      <c r="Q50" s="10"/>
      <c r="R50" s="10"/>
      <c r="S50" s="10"/>
      <c r="T50" s="19"/>
      <c r="U50" s="19"/>
      <c r="V50">
        <f t="shared" si="2"/>
        <v>0</v>
      </c>
    </row>
    <row r="51" spans="1:22" x14ac:dyDescent="0.25">
      <c r="A51" t="s">
        <v>76</v>
      </c>
      <c r="B51" t="s">
        <v>77</v>
      </c>
      <c r="C51" s="1">
        <f>5904+2240</f>
        <v>8144</v>
      </c>
      <c r="D51" s="1">
        <v>29</v>
      </c>
      <c r="E51" s="1">
        <v>0</v>
      </c>
      <c r="F51" s="1">
        <v>0</v>
      </c>
      <c r="G51" s="1">
        <v>0</v>
      </c>
      <c r="H51" s="1">
        <v>1167</v>
      </c>
      <c r="I51" s="1">
        <v>1622</v>
      </c>
      <c r="J51" s="1">
        <f>SUM(H51,I51)</f>
        <v>2789</v>
      </c>
      <c r="K51" s="1"/>
      <c r="M51" s="12">
        <v>131</v>
      </c>
      <c r="N51" s="12" t="s">
        <v>79</v>
      </c>
      <c r="O51" s="12">
        <v>3164</v>
      </c>
      <c r="P51" s="12">
        <v>0</v>
      </c>
      <c r="Q51" s="12">
        <v>0</v>
      </c>
      <c r="R51" s="12">
        <v>0</v>
      </c>
      <c r="S51" s="12">
        <v>0</v>
      </c>
      <c r="T51" s="18">
        <v>434</v>
      </c>
      <c r="U51" s="18"/>
      <c r="V51">
        <f t="shared" si="2"/>
        <v>434</v>
      </c>
    </row>
    <row r="52" spans="1:22" x14ac:dyDescent="0.25">
      <c r="A52" t="s">
        <v>801</v>
      </c>
      <c r="B52" t="s">
        <v>78</v>
      </c>
      <c r="C52" s="1"/>
      <c r="D52" s="1"/>
      <c r="E52" s="1"/>
      <c r="F52" s="1"/>
      <c r="G52" s="1"/>
      <c r="H52" s="1"/>
      <c r="I52" s="1"/>
      <c r="J52" s="1"/>
      <c r="K52" s="1"/>
      <c r="M52" s="10">
        <v>300</v>
      </c>
      <c r="N52" s="10" t="s">
        <v>80</v>
      </c>
      <c r="O52" s="10">
        <v>4130</v>
      </c>
      <c r="P52" s="10">
        <v>7</v>
      </c>
      <c r="Q52" s="10">
        <v>0</v>
      </c>
      <c r="R52" s="10">
        <v>0</v>
      </c>
      <c r="S52" s="10">
        <v>0</v>
      </c>
      <c r="T52" s="19">
        <v>1728</v>
      </c>
      <c r="U52" s="19"/>
      <c r="V52">
        <f t="shared" si="2"/>
        <v>1728</v>
      </c>
    </row>
    <row r="53" spans="1:22" x14ac:dyDescent="0.25">
      <c r="A53" t="s">
        <v>847</v>
      </c>
      <c r="B53" t="s">
        <v>79</v>
      </c>
      <c r="C53" s="1"/>
      <c r="D53" s="1"/>
      <c r="E53" s="1"/>
      <c r="F53" s="1"/>
      <c r="G53" s="1"/>
      <c r="H53" s="1"/>
      <c r="I53" s="1"/>
      <c r="J53" s="1"/>
      <c r="K53" s="1"/>
      <c r="M53" s="12">
        <v>120</v>
      </c>
      <c r="N53" s="12" t="s">
        <v>81</v>
      </c>
      <c r="O53" s="12">
        <v>4998</v>
      </c>
      <c r="P53" s="12">
        <v>0</v>
      </c>
      <c r="Q53" s="12">
        <v>0</v>
      </c>
      <c r="R53" s="12">
        <v>0</v>
      </c>
      <c r="S53" s="12">
        <v>0</v>
      </c>
      <c r="T53" s="18">
        <v>1785</v>
      </c>
      <c r="U53" s="18"/>
      <c r="V53">
        <f t="shared" si="2"/>
        <v>1785</v>
      </c>
    </row>
    <row r="54" spans="1:22" x14ac:dyDescent="0.25">
      <c r="A54" t="s">
        <v>226</v>
      </c>
      <c r="B54" t="s">
        <v>80</v>
      </c>
      <c r="C54" s="1"/>
      <c r="D54" s="1"/>
      <c r="E54" s="1"/>
      <c r="F54" s="1"/>
      <c r="G54" s="1"/>
      <c r="H54" s="1"/>
      <c r="I54" s="1"/>
      <c r="J54" s="1"/>
      <c r="K54" s="1"/>
      <c r="M54" s="10">
        <v>712</v>
      </c>
      <c r="N54" s="10" t="s">
        <v>82</v>
      </c>
      <c r="O54" s="10">
        <v>22898</v>
      </c>
      <c r="P54" s="10">
        <v>199</v>
      </c>
      <c r="Q54" s="10">
        <v>0</v>
      </c>
      <c r="R54" s="10">
        <v>0</v>
      </c>
      <c r="S54" s="10">
        <v>0</v>
      </c>
      <c r="T54" s="19">
        <v>3420</v>
      </c>
      <c r="U54" s="19"/>
      <c r="V54">
        <f t="shared" si="2"/>
        <v>3420</v>
      </c>
    </row>
    <row r="55" spans="1:22" x14ac:dyDescent="0.25">
      <c r="A55" t="s">
        <v>826</v>
      </c>
      <c r="B55" t="s">
        <v>81</v>
      </c>
      <c r="C55" s="1"/>
      <c r="D55" s="1"/>
      <c r="E55" s="1"/>
      <c r="F55" s="1"/>
      <c r="G55" s="1"/>
      <c r="H55" s="1"/>
      <c r="I55" s="1"/>
      <c r="J55" s="1"/>
      <c r="K55" s="1"/>
      <c r="M55" s="12">
        <v>700</v>
      </c>
      <c r="N55" s="12" t="s">
        <v>84</v>
      </c>
      <c r="O55" s="12">
        <v>18526</v>
      </c>
      <c r="P55" s="12">
        <v>1</v>
      </c>
      <c r="Q55" s="12">
        <v>0</v>
      </c>
      <c r="R55" s="12">
        <v>0</v>
      </c>
      <c r="S55" s="12">
        <v>0</v>
      </c>
      <c r="T55" s="18">
        <v>15625</v>
      </c>
      <c r="U55" s="18"/>
      <c r="V55">
        <f t="shared" si="2"/>
        <v>15625</v>
      </c>
    </row>
    <row r="56" spans="1:22" x14ac:dyDescent="0.25">
      <c r="A56" t="s">
        <v>76</v>
      </c>
      <c r="B56" t="s">
        <v>82</v>
      </c>
      <c r="C56" s="1">
        <f>19693+1+9+3193+2</f>
        <v>22898</v>
      </c>
      <c r="D56" s="1">
        <f>128+55+16</f>
        <v>199</v>
      </c>
      <c r="E56" s="1">
        <v>0</v>
      </c>
      <c r="F56" s="1">
        <v>0</v>
      </c>
      <c r="G56" s="1">
        <v>0</v>
      </c>
      <c r="H56" s="1">
        <v>3420</v>
      </c>
      <c r="I56" s="1">
        <v>2198</v>
      </c>
      <c r="J56" s="1">
        <f>SUM(H56,I56)</f>
        <v>5618</v>
      </c>
      <c r="K56" s="1"/>
      <c r="M56" s="10" t="s">
        <v>808</v>
      </c>
      <c r="N56" s="10" t="s">
        <v>85</v>
      </c>
      <c r="O56" s="10">
        <v>1986</v>
      </c>
      <c r="P56" s="10">
        <v>0</v>
      </c>
      <c r="Q56" s="10">
        <v>0</v>
      </c>
      <c r="R56" s="10">
        <v>0</v>
      </c>
      <c r="S56" s="10">
        <v>0</v>
      </c>
      <c r="T56" s="19">
        <v>1231</v>
      </c>
      <c r="U56" s="19"/>
      <c r="V56">
        <f t="shared" si="2"/>
        <v>1231</v>
      </c>
    </row>
    <row r="57" spans="1:22" x14ac:dyDescent="0.25">
      <c r="A57" t="s">
        <v>83</v>
      </c>
      <c r="B57" t="s">
        <v>84</v>
      </c>
      <c r="C57" s="1"/>
      <c r="D57" s="1"/>
      <c r="E57" s="1"/>
      <c r="F57" s="1"/>
      <c r="G57" s="1"/>
      <c r="H57" s="1"/>
      <c r="I57" s="1"/>
      <c r="J57" s="1"/>
      <c r="K57" s="1"/>
      <c r="M57" s="12">
        <v>111</v>
      </c>
      <c r="N57" s="12" t="s">
        <v>86</v>
      </c>
      <c r="O57" s="12">
        <v>29090</v>
      </c>
      <c r="P57" s="12">
        <v>4630</v>
      </c>
      <c r="Q57" s="12">
        <v>0</v>
      </c>
      <c r="R57" s="12">
        <v>0</v>
      </c>
      <c r="S57" s="12">
        <v>0</v>
      </c>
      <c r="T57" s="18">
        <v>1521</v>
      </c>
      <c r="U57" s="18"/>
      <c r="V57">
        <f t="shared" si="2"/>
        <v>1521</v>
      </c>
    </row>
    <row r="58" spans="1:22" x14ac:dyDescent="0.25">
      <c r="A58" t="s">
        <v>809</v>
      </c>
      <c r="B58" t="s">
        <v>85</v>
      </c>
      <c r="C58" s="1">
        <f>1580+1+1+5+399</f>
        <v>1986</v>
      </c>
      <c r="D58" s="1">
        <v>0</v>
      </c>
      <c r="E58" s="1">
        <v>0</v>
      </c>
      <c r="F58" s="1">
        <v>0</v>
      </c>
      <c r="G58" s="1">
        <v>0</v>
      </c>
      <c r="H58" s="1">
        <v>1231</v>
      </c>
      <c r="I58" s="1">
        <v>391</v>
      </c>
      <c r="J58" s="1">
        <f>SUM(H58,I58)</f>
        <v>1622</v>
      </c>
      <c r="K58" s="1"/>
      <c r="M58" s="10">
        <v>111</v>
      </c>
      <c r="N58" s="10" t="s">
        <v>87</v>
      </c>
      <c r="O58" s="10">
        <v>10995</v>
      </c>
      <c r="P58" s="10">
        <v>1614</v>
      </c>
      <c r="Q58" s="10">
        <v>0</v>
      </c>
      <c r="R58" s="10">
        <v>0</v>
      </c>
      <c r="S58" s="10">
        <v>0</v>
      </c>
      <c r="T58" s="19">
        <v>2909</v>
      </c>
      <c r="U58" s="19"/>
      <c r="V58">
        <f t="shared" si="2"/>
        <v>2909</v>
      </c>
    </row>
    <row r="59" spans="1:22" x14ac:dyDescent="0.25">
      <c r="A59" t="s">
        <v>811</v>
      </c>
      <c r="B59" t="s">
        <v>86</v>
      </c>
      <c r="C59" s="1"/>
      <c r="D59" s="1"/>
      <c r="E59" s="1"/>
      <c r="F59" s="1"/>
      <c r="G59" s="1"/>
      <c r="H59" s="1"/>
      <c r="I59" s="1"/>
      <c r="J59" s="1"/>
      <c r="K59" s="1"/>
      <c r="M59" s="12">
        <v>100</v>
      </c>
      <c r="N59" s="12" t="s">
        <v>88</v>
      </c>
      <c r="O59" s="12"/>
      <c r="P59" s="12"/>
      <c r="Q59" s="12"/>
      <c r="R59" s="12"/>
      <c r="S59" s="12"/>
      <c r="T59" s="18"/>
      <c r="U59" s="18"/>
      <c r="V59">
        <f t="shared" si="2"/>
        <v>0</v>
      </c>
    </row>
    <row r="60" spans="1:22" x14ac:dyDescent="0.25">
      <c r="A60" t="s">
        <v>811</v>
      </c>
      <c r="B60" t="s">
        <v>87</v>
      </c>
      <c r="C60" s="1"/>
      <c r="D60" s="1"/>
      <c r="E60" s="1"/>
      <c r="F60" s="1"/>
      <c r="G60" s="1"/>
      <c r="H60" s="1"/>
      <c r="I60" s="1"/>
      <c r="J60" s="1"/>
      <c r="K60" s="1"/>
      <c r="M60" s="10" t="s">
        <v>808</v>
      </c>
      <c r="N60" s="10" t="s">
        <v>89</v>
      </c>
      <c r="O60" s="10">
        <v>478</v>
      </c>
      <c r="P60" s="10">
        <v>4</v>
      </c>
      <c r="Q60" s="10">
        <v>0</v>
      </c>
      <c r="R60" s="10">
        <v>0</v>
      </c>
      <c r="S60" s="10">
        <v>0</v>
      </c>
      <c r="T60" s="19">
        <v>1261</v>
      </c>
      <c r="U60" s="19"/>
      <c r="V60">
        <f t="shared" si="2"/>
        <v>1261</v>
      </c>
    </row>
    <row r="61" spans="1:22" x14ac:dyDescent="0.25">
      <c r="A61" t="s">
        <v>791</v>
      </c>
      <c r="B61" t="s">
        <v>88</v>
      </c>
      <c r="C61" s="1"/>
      <c r="D61" s="1"/>
      <c r="E61" s="1"/>
      <c r="F61" s="1"/>
      <c r="G61" s="1"/>
      <c r="H61" s="1"/>
      <c r="I61" s="1"/>
      <c r="J61" s="1"/>
      <c r="K61" s="1"/>
      <c r="M61" s="12">
        <v>161</v>
      </c>
      <c r="N61" s="12" t="s">
        <v>90</v>
      </c>
      <c r="O61" s="12">
        <v>19921</v>
      </c>
      <c r="P61" s="12">
        <v>80</v>
      </c>
      <c r="Q61" s="12">
        <v>0</v>
      </c>
      <c r="R61" s="12">
        <v>0</v>
      </c>
      <c r="S61" s="12">
        <v>0</v>
      </c>
      <c r="T61" s="18">
        <v>3969</v>
      </c>
      <c r="U61" s="18"/>
      <c r="V61">
        <f t="shared" si="2"/>
        <v>3969</v>
      </c>
    </row>
    <row r="62" spans="1:22" x14ac:dyDescent="0.25">
      <c r="A62" t="s">
        <v>809</v>
      </c>
      <c r="B62" t="s">
        <v>89</v>
      </c>
      <c r="C62" s="1">
        <f>399+2+77</f>
        <v>478</v>
      </c>
      <c r="D62" s="1">
        <v>4</v>
      </c>
      <c r="E62" s="1">
        <v>0</v>
      </c>
      <c r="F62" s="1">
        <v>0</v>
      </c>
      <c r="G62" s="1">
        <v>0</v>
      </c>
      <c r="H62" s="1">
        <v>1261</v>
      </c>
      <c r="I62" s="1">
        <v>83</v>
      </c>
      <c r="J62" s="1">
        <f>SUM(H62,I62)</f>
        <v>1344</v>
      </c>
      <c r="K62" s="1"/>
      <c r="M62" s="10">
        <v>111</v>
      </c>
      <c r="N62" s="10" t="s">
        <v>91</v>
      </c>
      <c r="O62" s="10">
        <v>85936</v>
      </c>
      <c r="P62" s="10">
        <v>1246</v>
      </c>
      <c r="Q62" s="10">
        <v>0</v>
      </c>
      <c r="R62" s="10">
        <v>0</v>
      </c>
      <c r="S62" s="10">
        <v>0</v>
      </c>
      <c r="T62" s="19">
        <v>27366</v>
      </c>
      <c r="U62" s="19"/>
      <c r="V62">
        <f t="shared" si="2"/>
        <v>27366</v>
      </c>
    </row>
    <row r="63" spans="1:22" x14ac:dyDescent="0.25">
      <c r="A63" t="s">
        <v>848</v>
      </c>
      <c r="B63" t="s">
        <v>90</v>
      </c>
      <c r="C63" s="1"/>
      <c r="D63" s="1"/>
      <c r="E63" s="1"/>
      <c r="F63" s="1"/>
      <c r="G63" s="1"/>
      <c r="H63" s="1"/>
      <c r="I63" s="1"/>
      <c r="J63" s="1"/>
      <c r="K63" s="1"/>
      <c r="M63" s="12">
        <v>120</v>
      </c>
      <c r="N63" s="12" t="s">
        <v>92</v>
      </c>
      <c r="O63" s="12"/>
      <c r="P63" s="12"/>
      <c r="Q63" s="12"/>
      <c r="R63" s="12"/>
      <c r="S63" s="12"/>
      <c r="T63" s="18"/>
      <c r="U63" s="18"/>
      <c r="V63">
        <f t="shared" si="2"/>
        <v>0</v>
      </c>
    </row>
    <row r="64" spans="1:22" x14ac:dyDescent="0.25">
      <c r="A64" t="s">
        <v>811</v>
      </c>
      <c r="B64" t="s">
        <v>91</v>
      </c>
      <c r="C64" s="1"/>
      <c r="D64" s="1"/>
      <c r="E64" s="1"/>
      <c r="F64" s="1"/>
      <c r="G64" s="1"/>
      <c r="H64" s="1"/>
      <c r="I64" s="1"/>
      <c r="J64" s="1"/>
      <c r="K64" s="1"/>
      <c r="M64" s="10">
        <v>132</v>
      </c>
      <c r="N64" s="10" t="s">
        <v>93</v>
      </c>
      <c r="O64" s="10">
        <v>1981</v>
      </c>
      <c r="P64" s="10">
        <v>2</v>
      </c>
      <c r="Q64" s="10">
        <v>0</v>
      </c>
      <c r="R64" s="10">
        <v>0</v>
      </c>
      <c r="S64" s="10">
        <v>0</v>
      </c>
      <c r="T64" s="19">
        <v>1385</v>
      </c>
      <c r="U64" s="19"/>
      <c r="V64">
        <f t="shared" si="2"/>
        <v>1385</v>
      </c>
    </row>
    <row r="65" spans="1:22" x14ac:dyDescent="0.25">
      <c r="A65" t="s">
        <v>826</v>
      </c>
      <c r="B65" t="s">
        <v>92</v>
      </c>
      <c r="C65" s="1"/>
      <c r="D65" s="1"/>
      <c r="E65" s="1"/>
      <c r="F65" s="1"/>
      <c r="G65" s="1"/>
      <c r="H65" s="1"/>
      <c r="I65" s="1"/>
      <c r="J65" s="1"/>
      <c r="K65" s="1"/>
      <c r="M65" s="12">
        <v>100</v>
      </c>
      <c r="N65" s="12" t="s">
        <v>94</v>
      </c>
      <c r="O65" s="12"/>
      <c r="P65" s="12"/>
      <c r="Q65" s="12"/>
      <c r="R65" s="12"/>
      <c r="S65" s="12"/>
      <c r="T65" s="18"/>
      <c r="U65" s="18"/>
      <c r="V65">
        <f t="shared" si="2"/>
        <v>0</v>
      </c>
    </row>
    <row r="66" spans="1:22" x14ac:dyDescent="0.25">
      <c r="A66" t="s">
        <v>849</v>
      </c>
      <c r="B66" t="s">
        <v>93</v>
      </c>
      <c r="C66" s="1"/>
      <c r="D66" s="1"/>
      <c r="E66" s="1"/>
      <c r="F66" s="1"/>
      <c r="G66" s="1"/>
      <c r="H66" s="1"/>
      <c r="I66" s="1"/>
      <c r="J66" s="1"/>
      <c r="K66" s="1"/>
      <c r="M66" s="10">
        <v>161</v>
      </c>
      <c r="N66" s="10" t="s">
        <v>95</v>
      </c>
      <c r="O66" s="10">
        <v>1308</v>
      </c>
      <c r="P66" s="10">
        <v>22</v>
      </c>
      <c r="Q66" s="10">
        <v>0</v>
      </c>
      <c r="R66" s="10">
        <v>0</v>
      </c>
      <c r="S66" s="10">
        <v>0</v>
      </c>
      <c r="T66" s="19">
        <v>395</v>
      </c>
      <c r="U66" s="19"/>
      <c r="V66">
        <f t="shared" si="2"/>
        <v>395</v>
      </c>
    </row>
    <row r="67" spans="1:22" x14ac:dyDescent="0.25">
      <c r="A67" t="s">
        <v>791</v>
      </c>
      <c r="B67" t="s">
        <v>94</v>
      </c>
      <c r="C67" s="1"/>
      <c r="D67" s="1"/>
      <c r="E67" s="1"/>
      <c r="F67" s="1"/>
      <c r="G67" s="1"/>
      <c r="H67" s="1"/>
      <c r="I67" s="1"/>
      <c r="J67" s="1"/>
      <c r="K67" s="1"/>
      <c r="M67" s="12">
        <v>120</v>
      </c>
      <c r="N67" s="12" t="s">
        <v>96</v>
      </c>
      <c r="O67" s="12">
        <v>2313</v>
      </c>
      <c r="P67" s="12">
        <v>9</v>
      </c>
      <c r="Q67" s="12">
        <v>0</v>
      </c>
      <c r="R67" s="12">
        <v>0</v>
      </c>
      <c r="S67" s="12">
        <v>0</v>
      </c>
      <c r="T67" s="18">
        <v>298</v>
      </c>
      <c r="U67" s="18"/>
      <c r="V67">
        <f t="shared" si="2"/>
        <v>298</v>
      </c>
    </row>
    <row r="68" spans="1:22" x14ac:dyDescent="0.25">
      <c r="A68" t="s">
        <v>848</v>
      </c>
      <c r="B68" t="s">
        <v>95</v>
      </c>
      <c r="C68" s="1"/>
      <c r="D68" s="1"/>
      <c r="E68" s="1"/>
      <c r="F68" s="1"/>
      <c r="G68" s="1"/>
      <c r="H68" s="1"/>
      <c r="I68" s="1"/>
      <c r="J68" s="1"/>
      <c r="K68" s="1"/>
      <c r="M68" s="10">
        <v>126</v>
      </c>
      <c r="N68" s="10" t="s">
        <v>98</v>
      </c>
      <c r="O68" s="10">
        <v>5073</v>
      </c>
      <c r="P68" s="10">
        <v>1</v>
      </c>
      <c r="Q68" s="10">
        <v>0</v>
      </c>
      <c r="R68" s="10">
        <v>0</v>
      </c>
      <c r="S68" s="10">
        <v>0</v>
      </c>
      <c r="T68" s="19">
        <v>3410</v>
      </c>
      <c r="U68" s="19"/>
      <c r="V68">
        <f t="shared" si="2"/>
        <v>3410</v>
      </c>
    </row>
    <row r="69" spans="1:22" x14ac:dyDescent="0.25">
      <c r="A69" t="s">
        <v>826</v>
      </c>
      <c r="B69" t="s">
        <v>96</v>
      </c>
      <c r="C69" s="1"/>
      <c r="D69" s="1"/>
      <c r="E69" s="1"/>
      <c r="F69" s="1"/>
      <c r="G69" s="1"/>
      <c r="H69" s="1"/>
      <c r="I69" s="1"/>
      <c r="J69" s="1"/>
      <c r="K69" s="1"/>
      <c r="M69" s="12">
        <v>134</v>
      </c>
      <c r="N69" s="12" t="s">
        <v>100</v>
      </c>
      <c r="O69" s="12">
        <v>2161</v>
      </c>
      <c r="P69" s="12">
        <v>100</v>
      </c>
      <c r="Q69" s="12">
        <v>0</v>
      </c>
      <c r="R69" s="12">
        <v>0</v>
      </c>
      <c r="S69" s="12">
        <v>0</v>
      </c>
      <c r="T69" s="18">
        <v>1489</v>
      </c>
      <c r="U69" s="18"/>
      <c r="V69">
        <f t="shared" si="2"/>
        <v>1489</v>
      </c>
    </row>
    <row r="70" spans="1:22" x14ac:dyDescent="0.25">
      <c r="A70" t="s">
        <v>850</v>
      </c>
      <c r="B70" t="s">
        <v>98</v>
      </c>
      <c r="C70" s="1"/>
      <c r="D70" s="1"/>
      <c r="E70" s="1"/>
      <c r="F70" s="1"/>
      <c r="G70" s="1"/>
      <c r="H70" s="1"/>
      <c r="I70" s="1"/>
      <c r="J70" s="1"/>
      <c r="K70" s="1"/>
      <c r="M70" s="10">
        <v>511</v>
      </c>
      <c r="N70" s="10" t="s">
        <v>102</v>
      </c>
      <c r="O70" s="10">
        <v>17649</v>
      </c>
      <c r="P70" s="10">
        <v>2</v>
      </c>
      <c r="Q70" s="10">
        <v>0</v>
      </c>
      <c r="R70" s="10">
        <v>0</v>
      </c>
      <c r="S70" s="10">
        <v>0</v>
      </c>
      <c r="T70" s="19">
        <v>15214</v>
      </c>
      <c r="U70" s="19"/>
      <c r="V70">
        <f t="shared" si="2"/>
        <v>15214</v>
      </c>
    </row>
    <row r="71" spans="1:22" x14ac:dyDescent="0.25">
      <c r="A71" t="s">
        <v>851</v>
      </c>
      <c r="B71" t="s">
        <v>100</v>
      </c>
      <c r="C71" s="1"/>
      <c r="D71" s="1"/>
      <c r="E71" s="1"/>
      <c r="F71" s="1"/>
      <c r="G71" s="1"/>
      <c r="H71" s="1"/>
      <c r="I71" s="1"/>
      <c r="J71" s="1"/>
      <c r="K71" s="1"/>
      <c r="M71" s="12">
        <v>313</v>
      </c>
      <c r="N71" s="12" t="s">
        <v>103</v>
      </c>
      <c r="O71" s="12">
        <v>5677</v>
      </c>
      <c r="P71" s="12">
        <v>0</v>
      </c>
      <c r="Q71" s="12">
        <v>0</v>
      </c>
      <c r="R71" s="12">
        <v>0</v>
      </c>
      <c r="S71" s="12">
        <v>0</v>
      </c>
      <c r="T71" s="18">
        <v>151</v>
      </c>
      <c r="U71" s="18"/>
      <c r="V71">
        <f t="shared" si="2"/>
        <v>151</v>
      </c>
    </row>
    <row r="72" spans="1:22" x14ac:dyDescent="0.25">
      <c r="A72" t="s">
        <v>101</v>
      </c>
      <c r="B72" t="s">
        <v>102</v>
      </c>
      <c r="C72" s="1">
        <f>14499+1+6+3143</f>
        <v>17649</v>
      </c>
      <c r="D72" s="1">
        <v>2</v>
      </c>
      <c r="E72" s="1">
        <v>0</v>
      </c>
      <c r="F72" s="1">
        <v>0</v>
      </c>
      <c r="G72" s="1">
        <v>0</v>
      </c>
      <c r="H72" s="1">
        <v>15214</v>
      </c>
      <c r="I72" s="1">
        <v>2495</v>
      </c>
      <c r="J72" s="1">
        <f>SUM(H72,I72)</f>
        <v>17709</v>
      </c>
      <c r="K72" s="1"/>
      <c r="M72" s="10">
        <v>121</v>
      </c>
      <c r="N72" s="10" t="s">
        <v>105</v>
      </c>
      <c r="O72" s="10">
        <v>6131</v>
      </c>
      <c r="P72" s="10">
        <v>6</v>
      </c>
      <c r="Q72" s="10">
        <v>0</v>
      </c>
      <c r="R72" s="10">
        <v>0</v>
      </c>
      <c r="S72" s="10">
        <v>0</v>
      </c>
      <c r="T72" s="19">
        <v>2837</v>
      </c>
      <c r="U72" s="19"/>
      <c r="V72">
        <f t="shared" si="2"/>
        <v>2837</v>
      </c>
    </row>
    <row r="73" spans="1:22" x14ac:dyDescent="0.25">
      <c r="A73" t="s">
        <v>512</v>
      </c>
      <c r="B73" t="s">
        <v>103</v>
      </c>
      <c r="C73" s="1">
        <f>4984+693</f>
        <v>5677</v>
      </c>
      <c r="D73" s="1">
        <v>0</v>
      </c>
      <c r="E73" s="1">
        <v>0</v>
      </c>
      <c r="F73" s="1">
        <v>0</v>
      </c>
      <c r="G73" s="1">
        <v>0</v>
      </c>
      <c r="H73" s="1">
        <v>151</v>
      </c>
      <c r="I73" s="1">
        <v>709</v>
      </c>
      <c r="J73" s="1">
        <f>SUM(H73,I73)</f>
        <v>860</v>
      </c>
      <c r="K73" s="1"/>
      <c r="M73" s="12">
        <v>133</v>
      </c>
      <c r="N73" s="12" t="s">
        <v>107</v>
      </c>
      <c r="O73" s="12">
        <v>20800</v>
      </c>
      <c r="P73" s="12">
        <v>125</v>
      </c>
      <c r="Q73" s="12">
        <v>0</v>
      </c>
      <c r="R73" s="12">
        <v>0</v>
      </c>
      <c r="S73" s="12">
        <v>0</v>
      </c>
      <c r="T73" s="18">
        <v>10100</v>
      </c>
      <c r="U73" s="18"/>
      <c r="V73">
        <f t="shared" si="2"/>
        <v>10100</v>
      </c>
    </row>
    <row r="74" spans="1:22" x14ac:dyDescent="0.25">
      <c r="A74" t="s">
        <v>852</v>
      </c>
      <c r="B74" t="s">
        <v>105</v>
      </c>
      <c r="C74" s="1"/>
      <c r="D74" s="1"/>
      <c r="E74" s="1"/>
      <c r="F74" s="1"/>
      <c r="G74" s="1"/>
      <c r="H74" s="1"/>
      <c r="I74" s="1"/>
      <c r="J74" s="1"/>
      <c r="K74" s="1"/>
      <c r="M74" s="10">
        <v>127</v>
      </c>
      <c r="N74" s="10" t="s">
        <v>109</v>
      </c>
      <c r="O74" s="10">
        <v>7474</v>
      </c>
      <c r="P74" s="10">
        <v>104</v>
      </c>
      <c r="Q74" s="10">
        <v>0</v>
      </c>
      <c r="R74" s="10">
        <v>0</v>
      </c>
      <c r="S74" s="10">
        <v>0</v>
      </c>
      <c r="T74" s="19">
        <v>5954</v>
      </c>
      <c r="U74" s="19"/>
      <c r="V74">
        <f t="shared" si="2"/>
        <v>5954</v>
      </c>
    </row>
    <row r="75" spans="1:22" x14ac:dyDescent="0.25">
      <c r="A75" t="s">
        <v>853</v>
      </c>
      <c r="B75" t="s">
        <v>107</v>
      </c>
      <c r="C75" s="1"/>
      <c r="D75" s="1"/>
      <c r="E75" s="1"/>
      <c r="F75" s="1"/>
      <c r="G75" s="1"/>
      <c r="H75" s="1"/>
      <c r="I75" s="1"/>
      <c r="J75" s="1"/>
      <c r="K75" s="1"/>
      <c r="M75" s="12">
        <v>123</v>
      </c>
      <c r="N75" s="12" t="s">
        <v>111</v>
      </c>
      <c r="O75" s="12">
        <v>4107</v>
      </c>
      <c r="P75" s="12">
        <v>34</v>
      </c>
      <c r="Q75" s="12">
        <v>0</v>
      </c>
      <c r="R75" s="12">
        <v>0</v>
      </c>
      <c r="S75" s="12">
        <v>0</v>
      </c>
      <c r="T75" s="18">
        <v>3392</v>
      </c>
      <c r="U75" s="18"/>
      <c r="V75">
        <f t="shared" si="2"/>
        <v>3392</v>
      </c>
    </row>
    <row r="76" spans="1:22" x14ac:dyDescent="0.25">
      <c r="A76" t="s">
        <v>854</v>
      </c>
      <c r="B76" t="s">
        <v>109</v>
      </c>
      <c r="C76" s="1"/>
      <c r="D76" s="1"/>
      <c r="E76" s="1"/>
      <c r="F76" s="1"/>
      <c r="G76" s="1"/>
      <c r="H76" s="1"/>
      <c r="I76" s="1"/>
      <c r="J76" s="1"/>
      <c r="K76" s="1"/>
      <c r="M76" s="10">
        <v>511</v>
      </c>
      <c r="N76" s="10" t="s">
        <v>112</v>
      </c>
      <c r="O76" s="10">
        <v>10925</v>
      </c>
      <c r="P76" s="10">
        <v>8</v>
      </c>
      <c r="Q76" s="10">
        <v>0</v>
      </c>
      <c r="R76" s="10">
        <v>0</v>
      </c>
      <c r="S76" s="10">
        <v>0</v>
      </c>
      <c r="T76" s="19">
        <v>24621</v>
      </c>
      <c r="U76" s="19"/>
      <c r="V76">
        <f t="shared" si="2"/>
        <v>24621</v>
      </c>
    </row>
    <row r="77" spans="1:22" x14ac:dyDescent="0.25">
      <c r="A77" t="s">
        <v>855</v>
      </c>
      <c r="B77" t="s">
        <v>111</v>
      </c>
      <c r="C77" s="1"/>
      <c r="D77" s="1"/>
      <c r="E77" s="1"/>
      <c r="F77" s="1"/>
      <c r="G77" s="1"/>
      <c r="H77" s="1"/>
      <c r="I77" s="1"/>
      <c r="J77" s="1"/>
      <c r="K77" s="1"/>
      <c r="M77" s="12">
        <v>135</v>
      </c>
      <c r="N77" s="12" t="s">
        <v>114</v>
      </c>
      <c r="O77" s="12">
        <v>5176</v>
      </c>
      <c r="P77" s="12">
        <v>157</v>
      </c>
      <c r="Q77" s="12">
        <v>0</v>
      </c>
      <c r="R77" s="12">
        <v>0</v>
      </c>
      <c r="S77" s="12">
        <v>0</v>
      </c>
      <c r="T77" s="18">
        <v>11107</v>
      </c>
      <c r="U77" s="18"/>
      <c r="V77">
        <f t="shared" si="2"/>
        <v>11107</v>
      </c>
    </row>
    <row r="78" spans="1:22" x14ac:dyDescent="0.25">
      <c r="A78" t="s">
        <v>101</v>
      </c>
      <c r="B78" t="s">
        <v>112</v>
      </c>
      <c r="C78" s="1">
        <f>9951+25+110+13+826</f>
        <v>10925</v>
      </c>
      <c r="D78" s="1">
        <f>5+3</f>
        <v>8</v>
      </c>
      <c r="E78" s="1">
        <v>0</v>
      </c>
      <c r="F78" s="1">
        <v>0</v>
      </c>
      <c r="G78" s="1">
        <v>0</v>
      </c>
      <c r="H78" s="1">
        <v>24621</v>
      </c>
      <c r="I78" s="1">
        <v>616</v>
      </c>
      <c r="J78" s="1">
        <f>SUM(H78,I78)</f>
        <v>25237</v>
      </c>
      <c r="K78" s="1"/>
      <c r="M78" s="10">
        <v>122</v>
      </c>
      <c r="N78" s="10" t="s">
        <v>116</v>
      </c>
      <c r="O78" s="10">
        <v>8358</v>
      </c>
      <c r="P78" s="10">
        <v>102</v>
      </c>
      <c r="Q78" s="10">
        <v>0</v>
      </c>
      <c r="R78" s="10">
        <v>0</v>
      </c>
      <c r="S78" s="10">
        <v>0</v>
      </c>
      <c r="T78" s="19">
        <v>1477</v>
      </c>
      <c r="U78" s="19"/>
      <c r="V78">
        <f t="shared" si="2"/>
        <v>1477</v>
      </c>
    </row>
    <row r="79" spans="1:22" x14ac:dyDescent="0.25">
      <c r="A79" t="s">
        <v>856</v>
      </c>
      <c r="B79" t="s">
        <v>114</v>
      </c>
      <c r="C79" s="1"/>
      <c r="D79" s="1"/>
      <c r="E79" s="1"/>
      <c r="F79" s="1"/>
      <c r="G79" s="1"/>
      <c r="H79" s="1"/>
      <c r="I79" s="1"/>
      <c r="J79" s="1"/>
      <c r="K79" s="1"/>
      <c r="M79" s="12">
        <v>113</v>
      </c>
      <c r="N79" s="12" t="s">
        <v>117</v>
      </c>
      <c r="O79" s="12">
        <v>3433</v>
      </c>
      <c r="P79" s="12">
        <v>0</v>
      </c>
      <c r="Q79" s="12">
        <v>0</v>
      </c>
      <c r="R79" s="12">
        <v>0</v>
      </c>
      <c r="S79" s="12">
        <v>0</v>
      </c>
      <c r="T79" s="18">
        <v>2</v>
      </c>
      <c r="U79" s="18"/>
      <c r="V79">
        <f t="shared" si="2"/>
        <v>2</v>
      </c>
    </row>
    <row r="80" spans="1:22" x14ac:dyDescent="0.25">
      <c r="A80" t="s">
        <v>857</v>
      </c>
      <c r="B80" t="s">
        <v>116</v>
      </c>
      <c r="C80" s="1"/>
      <c r="D80" s="1"/>
      <c r="E80" s="1"/>
      <c r="F80" s="1"/>
      <c r="G80" s="1"/>
      <c r="H80" s="1"/>
      <c r="I80" s="1"/>
      <c r="J80" s="1"/>
      <c r="K80" s="1"/>
      <c r="M80" s="10">
        <v>137</v>
      </c>
      <c r="N80" s="10" t="s">
        <v>119</v>
      </c>
      <c r="O80" s="10">
        <v>7721</v>
      </c>
      <c r="P80" s="10">
        <v>31</v>
      </c>
      <c r="Q80" s="10">
        <v>0</v>
      </c>
      <c r="R80" s="10">
        <v>0</v>
      </c>
      <c r="S80" s="10">
        <v>0</v>
      </c>
      <c r="T80" s="19">
        <v>3399</v>
      </c>
      <c r="U80" s="19"/>
      <c r="V80">
        <f t="shared" si="2"/>
        <v>3399</v>
      </c>
    </row>
    <row r="81" spans="1:22" x14ac:dyDescent="0.25">
      <c r="A81" t="s">
        <v>823</v>
      </c>
      <c r="B81" t="s">
        <v>117</v>
      </c>
      <c r="C81" s="1">
        <f>2512+921</f>
        <v>3433</v>
      </c>
      <c r="D81" s="1">
        <v>0</v>
      </c>
      <c r="E81" s="1">
        <v>0</v>
      </c>
      <c r="F81" s="1">
        <v>0</v>
      </c>
      <c r="G81" s="1">
        <v>0</v>
      </c>
      <c r="H81" s="1">
        <v>2</v>
      </c>
      <c r="I81" s="1">
        <v>835</v>
      </c>
      <c r="J81" s="1">
        <f>SUM(H81,I81)</f>
        <v>837</v>
      </c>
      <c r="K81" s="1"/>
      <c r="M81" s="12">
        <v>311</v>
      </c>
      <c r="N81" s="12" t="s">
        <v>121</v>
      </c>
      <c r="O81" s="12">
        <v>4765</v>
      </c>
      <c r="P81" s="12">
        <v>2</v>
      </c>
      <c r="Q81" s="12">
        <v>0</v>
      </c>
      <c r="R81" s="12">
        <v>0</v>
      </c>
      <c r="S81" s="12">
        <v>0</v>
      </c>
      <c r="T81" s="18">
        <v>7998</v>
      </c>
      <c r="U81" s="18"/>
      <c r="V81">
        <f t="shared" si="2"/>
        <v>7998</v>
      </c>
    </row>
    <row r="82" spans="1:22" x14ac:dyDescent="0.25">
      <c r="A82" t="s">
        <v>858</v>
      </c>
      <c r="B82" t="s">
        <v>119</v>
      </c>
      <c r="C82" s="1"/>
      <c r="D82" s="1"/>
      <c r="E82" s="1"/>
      <c r="F82" s="1"/>
      <c r="G82" s="1"/>
      <c r="H82" s="1"/>
      <c r="I82" s="1"/>
      <c r="J82" s="1"/>
      <c r="K82" s="1"/>
      <c r="M82" s="10">
        <v>130</v>
      </c>
      <c r="N82" s="10" t="s">
        <v>122</v>
      </c>
      <c r="O82" s="10"/>
      <c r="P82" s="10"/>
      <c r="Q82" s="10"/>
      <c r="R82" s="10"/>
      <c r="S82" s="10"/>
      <c r="T82" s="19"/>
      <c r="U82" s="19"/>
      <c r="V82">
        <f t="shared" si="2"/>
        <v>0</v>
      </c>
    </row>
    <row r="83" spans="1:22" x14ac:dyDescent="0.25">
      <c r="A83" t="s">
        <v>859</v>
      </c>
      <c r="B83" t="s">
        <v>121</v>
      </c>
      <c r="C83" s="1"/>
      <c r="D83" s="1"/>
      <c r="E83" s="1"/>
      <c r="F83" s="1"/>
      <c r="G83" s="1"/>
      <c r="H83" s="1"/>
      <c r="I83" s="1"/>
      <c r="J83" s="1"/>
      <c r="K83" s="1"/>
      <c r="M83" s="12">
        <v>124</v>
      </c>
      <c r="N83" s="12" t="s">
        <v>124</v>
      </c>
      <c r="O83" s="12">
        <v>6333</v>
      </c>
      <c r="P83" s="12">
        <v>0</v>
      </c>
      <c r="Q83" s="12">
        <v>0</v>
      </c>
      <c r="R83" s="12">
        <v>0</v>
      </c>
      <c r="S83" s="12">
        <v>0</v>
      </c>
      <c r="T83" s="18">
        <v>4079</v>
      </c>
      <c r="U83" s="18"/>
      <c r="V83">
        <f t="shared" si="2"/>
        <v>4079</v>
      </c>
    </row>
    <row r="84" spans="1:22" x14ac:dyDescent="0.25">
      <c r="A84" t="s">
        <v>860</v>
      </c>
      <c r="B84" t="s">
        <v>122</v>
      </c>
      <c r="C84" s="1"/>
      <c r="D84" s="1"/>
      <c r="E84" s="1"/>
      <c r="F84" s="1"/>
      <c r="G84" s="1"/>
      <c r="H84" s="1"/>
      <c r="I84" s="1"/>
      <c r="J84" s="1"/>
      <c r="K84" s="1"/>
      <c r="M84" s="10">
        <v>113</v>
      </c>
      <c r="N84" s="10" t="s">
        <v>125</v>
      </c>
      <c r="O84" s="10">
        <v>34859</v>
      </c>
      <c r="P84" s="10">
        <v>0</v>
      </c>
      <c r="Q84" s="10">
        <v>0</v>
      </c>
      <c r="R84" s="10">
        <v>0</v>
      </c>
      <c r="S84" s="10">
        <v>0</v>
      </c>
      <c r="T84" s="19">
        <v>342</v>
      </c>
      <c r="U84" s="19"/>
      <c r="V84">
        <f t="shared" ref="V84:V147" si="3">SUM(T84:U84)</f>
        <v>342</v>
      </c>
    </row>
    <row r="85" spans="1:22" x14ac:dyDescent="0.25">
      <c r="A85" t="s">
        <v>861</v>
      </c>
      <c r="B85" t="s">
        <v>124</v>
      </c>
      <c r="C85" s="1"/>
      <c r="D85" s="1"/>
      <c r="E85" s="1"/>
      <c r="F85" s="1"/>
      <c r="G85" s="1"/>
      <c r="H85" s="1"/>
      <c r="I85" s="1"/>
      <c r="J85" s="1"/>
      <c r="K85" s="1"/>
      <c r="M85" s="12">
        <v>600</v>
      </c>
      <c r="N85" s="12" t="s">
        <v>126</v>
      </c>
      <c r="O85" s="12">
        <v>9037</v>
      </c>
      <c r="P85" s="12">
        <v>6</v>
      </c>
      <c r="Q85" s="12">
        <v>0</v>
      </c>
      <c r="R85" s="12">
        <v>0</v>
      </c>
      <c r="S85" s="12">
        <v>0</v>
      </c>
      <c r="T85" s="18">
        <v>10450</v>
      </c>
      <c r="U85" s="18"/>
      <c r="V85">
        <f t="shared" si="3"/>
        <v>10450</v>
      </c>
    </row>
    <row r="86" spans="1:22" x14ac:dyDescent="0.25">
      <c r="A86" t="s">
        <v>823</v>
      </c>
      <c r="B86" t="s">
        <v>125</v>
      </c>
      <c r="C86" s="1">
        <f>33903+956</f>
        <v>34859</v>
      </c>
      <c r="D86" s="1">
        <v>0</v>
      </c>
      <c r="E86" s="1">
        <v>0</v>
      </c>
      <c r="F86" s="1">
        <v>0</v>
      </c>
      <c r="G86" s="1">
        <v>0</v>
      </c>
      <c r="H86" s="1">
        <v>342</v>
      </c>
      <c r="I86" s="1">
        <v>494</v>
      </c>
      <c r="J86" s="1">
        <f>SUM(H86,I86)</f>
        <v>836</v>
      </c>
      <c r="K86" s="1"/>
      <c r="M86" s="10">
        <v>128</v>
      </c>
      <c r="N86" s="10" t="s">
        <v>127</v>
      </c>
      <c r="O86" s="10">
        <v>3640</v>
      </c>
      <c r="P86" s="10">
        <v>53</v>
      </c>
      <c r="Q86" s="10">
        <v>0</v>
      </c>
      <c r="R86" s="10">
        <v>0</v>
      </c>
      <c r="S86" s="10">
        <v>0</v>
      </c>
      <c r="T86" s="19">
        <v>3053</v>
      </c>
      <c r="U86" s="19"/>
      <c r="V86">
        <f t="shared" si="3"/>
        <v>3053</v>
      </c>
    </row>
    <row r="87" spans="1:22" x14ac:dyDescent="0.25">
      <c r="A87" t="s">
        <v>248</v>
      </c>
      <c r="B87" t="s">
        <v>126</v>
      </c>
      <c r="C87" s="1"/>
      <c r="D87" s="1"/>
      <c r="E87" s="1"/>
      <c r="F87" s="1"/>
      <c r="G87" s="1"/>
      <c r="H87" s="1"/>
      <c r="I87" s="1"/>
      <c r="J87" s="1"/>
      <c r="K87" s="1"/>
      <c r="M87" s="12">
        <v>136</v>
      </c>
      <c r="N87" s="12" t="s">
        <v>129</v>
      </c>
      <c r="O87" s="12">
        <v>10030</v>
      </c>
      <c r="P87" s="12">
        <v>144</v>
      </c>
      <c r="Q87" s="12">
        <v>0</v>
      </c>
      <c r="R87" s="12">
        <v>0</v>
      </c>
      <c r="S87" s="12">
        <v>0</v>
      </c>
      <c r="T87" s="18">
        <v>3207</v>
      </c>
      <c r="U87" s="18"/>
      <c r="V87">
        <f t="shared" si="3"/>
        <v>3207</v>
      </c>
    </row>
    <row r="88" spans="1:22" x14ac:dyDescent="0.25">
      <c r="A88" t="s">
        <v>862</v>
      </c>
      <c r="B88" t="s">
        <v>127</v>
      </c>
      <c r="C88" s="1"/>
      <c r="D88" s="1"/>
      <c r="E88" s="1"/>
      <c r="F88" s="1"/>
      <c r="G88" s="1"/>
      <c r="H88" s="1"/>
      <c r="I88" s="1"/>
      <c r="J88" s="1"/>
      <c r="K88" s="1"/>
      <c r="M88" s="10" t="s">
        <v>814</v>
      </c>
      <c r="N88" s="10" t="s">
        <v>130</v>
      </c>
      <c r="O88" s="10">
        <v>17099</v>
      </c>
      <c r="P88" s="10">
        <v>84</v>
      </c>
      <c r="Q88" s="10">
        <v>0</v>
      </c>
      <c r="R88" s="10">
        <v>0</v>
      </c>
      <c r="S88" s="10">
        <v>0</v>
      </c>
      <c r="T88" s="19">
        <v>1544</v>
      </c>
      <c r="U88" s="19"/>
      <c r="V88">
        <f t="shared" si="3"/>
        <v>1544</v>
      </c>
    </row>
    <row r="89" spans="1:22" x14ac:dyDescent="0.25">
      <c r="A89" t="s">
        <v>863</v>
      </c>
      <c r="B89" t="s">
        <v>129</v>
      </c>
      <c r="C89" s="1"/>
      <c r="D89" s="1"/>
      <c r="E89" s="1"/>
      <c r="F89" s="1"/>
      <c r="G89" s="1"/>
      <c r="H89" s="1"/>
      <c r="I89" s="1"/>
      <c r="J89" s="1"/>
      <c r="K89" s="1"/>
      <c r="M89" s="12">
        <v>211</v>
      </c>
      <c r="N89" s="12" t="s">
        <v>132</v>
      </c>
      <c r="O89" s="12"/>
      <c r="P89" s="12"/>
      <c r="Q89" s="12"/>
      <c r="R89" s="12"/>
      <c r="S89" s="12"/>
      <c r="T89" s="18"/>
      <c r="U89" s="18"/>
      <c r="V89">
        <f t="shared" si="3"/>
        <v>0</v>
      </c>
    </row>
    <row r="90" spans="1:22" x14ac:dyDescent="0.25">
      <c r="A90" t="s">
        <v>794</v>
      </c>
      <c r="B90" t="s">
        <v>130</v>
      </c>
      <c r="C90" s="1">
        <f>14695+745+1659</f>
        <v>17099</v>
      </c>
      <c r="D90" s="1">
        <f>15+69</f>
        <v>84</v>
      </c>
      <c r="E90" s="1">
        <v>0</v>
      </c>
      <c r="F90" s="1">
        <v>0</v>
      </c>
      <c r="G90" s="1">
        <v>0</v>
      </c>
      <c r="H90" s="1">
        <v>1544</v>
      </c>
      <c r="I90" s="1">
        <v>1497</v>
      </c>
      <c r="J90" s="1">
        <f t="shared" ref="J90:J95" si="4">SUM(H90,I90)</f>
        <v>3041</v>
      </c>
      <c r="K90" s="1"/>
      <c r="M90" s="10">
        <v>313</v>
      </c>
      <c r="N90" s="10" t="s">
        <v>133</v>
      </c>
      <c r="O90" s="10">
        <v>7075</v>
      </c>
      <c r="P90" s="10">
        <v>0</v>
      </c>
      <c r="Q90" s="10">
        <v>0</v>
      </c>
      <c r="R90" s="10">
        <v>0</v>
      </c>
      <c r="S90" s="10">
        <v>0</v>
      </c>
      <c r="T90" s="19">
        <v>376</v>
      </c>
      <c r="U90" s="19"/>
      <c r="V90">
        <f t="shared" si="3"/>
        <v>376</v>
      </c>
    </row>
    <row r="91" spans="1:22" x14ac:dyDescent="0.25">
      <c r="A91" t="s">
        <v>864</v>
      </c>
      <c r="B91" t="s">
        <v>132</v>
      </c>
      <c r="C91" s="1">
        <f>7776+2871</f>
        <v>10647</v>
      </c>
      <c r="D91" s="1">
        <f>2+24</f>
        <v>26</v>
      </c>
      <c r="E91" s="1">
        <v>0</v>
      </c>
      <c r="F91" s="1">
        <v>0</v>
      </c>
      <c r="G91" s="1">
        <v>0</v>
      </c>
      <c r="H91" s="1">
        <v>16371</v>
      </c>
      <c r="I91" s="1">
        <v>2297</v>
      </c>
      <c r="J91" s="1">
        <f t="shared" si="4"/>
        <v>18668</v>
      </c>
      <c r="K91" s="1"/>
      <c r="M91" s="12">
        <v>514</v>
      </c>
      <c r="N91" s="12" t="s">
        <v>135</v>
      </c>
      <c r="O91" s="12">
        <v>16044</v>
      </c>
      <c r="P91" s="12">
        <v>10</v>
      </c>
      <c r="Q91" s="12">
        <v>0</v>
      </c>
      <c r="R91" s="12">
        <v>0</v>
      </c>
      <c r="S91" s="12">
        <v>0</v>
      </c>
      <c r="T91" s="18">
        <v>16533</v>
      </c>
      <c r="U91" s="18"/>
      <c r="V91">
        <f t="shared" si="3"/>
        <v>16533</v>
      </c>
    </row>
    <row r="92" spans="1:22" x14ac:dyDescent="0.25">
      <c r="A92" t="s">
        <v>512</v>
      </c>
      <c r="B92" t="s">
        <v>133</v>
      </c>
      <c r="C92" s="1">
        <f>5508+2+1565</f>
        <v>7075</v>
      </c>
      <c r="D92" s="1">
        <v>0</v>
      </c>
      <c r="E92" s="1">
        <v>0</v>
      </c>
      <c r="F92" s="1">
        <v>0</v>
      </c>
      <c r="G92" s="1">
        <v>0</v>
      </c>
      <c r="H92" s="1">
        <v>376</v>
      </c>
      <c r="I92" s="1">
        <v>1172</v>
      </c>
      <c r="J92" s="1">
        <f t="shared" si="4"/>
        <v>1548</v>
      </c>
      <c r="K92" s="1"/>
      <c r="M92" s="10">
        <v>116</v>
      </c>
      <c r="N92" s="10" t="s">
        <v>136</v>
      </c>
      <c r="O92" s="10">
        <v>6722</v>
      </c>
      <c r="P92" s="10">
        <v>138</v>
      </c>
      <c r="Q92" s="10">
        <v>0</v>
      </c>
      <c r="R92" s="10">
        <v>0</v>
      </c>
      <c r="S92" s="10">
        <v>0</v>
      </c>
      <c r="T92" s="19">
        <v>2576</v>
      </c>
      <c r="U92" s="19"/>
      <c r="V92">
        <f t="shared" si="3"/>
        <v>2576</v>
      </c>
    </row>
    <row r="93" spans="1:22" x14ac:dyDescent="0.25">
      <c r="A93" t="s">
        <v>134</v>
      </c>
      <c r="B93" t="s">
        <v>135</v>
      </c>
      <c r="C93" s="1">
        <f>10066+49+5929</f>
        <v>16044</v>
      </c>
      <c r="D93" s="1">
        <f>7+3</f>
        <v>10</v>
      </c>
      <c r="E93" s="1">
        <v>0</v>
      </c>
      <c r="F93" s="1">
        <v>0</v>
      </c>
      <c r="G93" s="1">
        <v>0</v>
      </c>
      <c r="H93" s="1">
        <v>16533</v>
      </c>
      <c r="I93" s="1">
        <v>5209</v>
      </c>
      <c r="J93" s="1">
        <f t="shared" si="4"/>
        <v>21742</v>
      </c>
      <c r="K93" s="1"/>
      <c r="M93" s="12">
        <v>311</v>
      </c>
      <c r="N93" s="12" t="s">
        <v>137</v>
      </c>
      <c r="O93" s="12">
        <v>15728</v>
      </c>
      <c r="P93" s="12">
        <v>45</v>
      </c>
      <c r="Q93" s="12">
        <v>0</v>
      </c>
      <c r="R93" s="12">
        <v>0</v>
      </c>
      <c r="S93" s="12">
        <v>0</v>
      </c>
      <c r="T93" s="18">
        <v>20732</v>
      </c>
      <c r="U93" s="18"/>
      <c r="V93">
        <f t="shared" si="3"/>
        <v>20732</v>
      </c>
    </row>
    <row r="94" spans="1:22" x14ac:dyDescent="0.25">
      <c r="A94" t="s">
        <v>795</v>
      </c>
      <c r="B94" t="s">
        <v>136</v>
      </c>
      <c r="C94" s="1">
        <f>4847+1+1874</f>
        <v>6722</v>
      </c>
      <c r="D94" s="1">
        <f>80+36+15+7</f>
        <v>138</v>
      </c>
      <c r="E94" s="1">
        <v>0</v>
      </c>
      <c r="F94" s="1">
        <v>0</v>
      </c>
      <c r="G94" s="1">
        <v>0</v>
      </c>
      <c r="H94" s="1">
        <v>2576</v>
      </c>
      <c r="I94" s="1">
        <v>1743</v>
      </c>
      <c r="J94" s="1">
        <f t="shared" si="4"/>
        <v>4319</v>
      </c>
      <c r="K94" s="1"/>
      <c r="M94" s="10" t="s">
        <v>815</v>
      </c>
      <c r="N94" s="10" t="s">
        <v>139</v>
      </c>
      <c r="O94" s="10">
        <v>9681</v>
      </c>
      <c r="P94" s="10">
        <v>17</v>
      </c>
      <c r="Q94" s="10">
        <v>0</v>
      </c>
      <c r="R94" s="10">
        <v>0</v>
      </c>
      <c r="S94" s="10">
        <v>0</v>
      </c>
      <c r="T94" s="19">
        <v>2983</v>
      </c>
      <c r="U94" s="19"/>
      <c r="V94">
        <f t="shared" si="3"/>
        <v>2983</v>
      </c>
    </row>
    <row r="95" spans="1:22" x14ac:dyDescent="0.25">
      <c r="A95" t="s">
        <v>120</v>
      </c>
      <c r="B95" t="s">
        <v>137</v>
      </c>
      <c r="C95" s="1">
        <f>14483+134+1+56+1054</f>
        <v>15728</v>
      </c>
      <c r="D95" s="1">
        <f>44+1</f>
        <v>45</v>
      </c>
      <c r="E95" s="1">
        <v>0</v>
      </c>
      <c r="F95" s="1">
        <v>0</v>
      </c>
      <c r="G95" s="1">
        <v>0</v>
      </c>
      <c r="H95" s="1">
        <v>20732</v>
      </c>
      <c r="I95" s="1">
        <v>1145</v>
      </c>
      <c r="J95" s="1">
        <f t="shared" si="4"/>
        <v>21877</v>
      </c>
      <c r="K95" s="1"/>
      <c r="M95" s="12">
        <v>200</v>
      </c>
      <c r="N95" s="12" t="s">
        <v>141</v>
      </c>
      <c r="O95" s="12">
        <v>649</v>
      </c>
      <c r="P95" s="12">
        <v>0</v>
      </c>
      <c r="Q95" s="12">
        <v>0</v>
      </c>
      <c r="R95" s="12">
        <v>0</v>
      </c>
      <c r="S95" s="12">
        <v>0</v>
      </c>
      <c r="T95" s="18">
        <v>213</v>
      </c>
      <c r="U95" s="18"/>
      <c r="V95">
        <f t="shared" si="3"/>
        <v>213</v>
      </c>
    </row>
    <row r="96" spans="1:22" x14ac:dyDescent="0.25">
      <c r="A96" t="s">
        <v>138</v>
      </c>
      <c r="B96" t="s">
        <v>139</v>
      </c>
      <c r="C96" s="1"/>
      <c r="D96" s="1"/>
      <c r="E96" s="1"/>
      <c r="F96" s="1"/>
      <c r="G96" s="1"/>
      <c r="H96" s="1"/>
      <c r="I96" s="1"/>
      <c r="J96" s="1"/>
      <c r="K96" s="1"/>
      <c r="M96" s="10">
        <v>310</v>
      </c>
      <c r="N96" s="10" t="s">
        <v>142</v>
      </c>
      <c r="O96" s="10">
        <v>8344</v>
      </c>
      <c r="P96" s="10">
        <v>1</v>
      </c>
      <c r="Q96" s="10">
        <v>0</v>
      </c>
      <c r="R96" s="10">
        <v>0</v>
      </c>
      <c r="S96" s="10">
        <v>0</v>
      </c>
      <c r="T96" s="19">
        <v>2466</v>
      </c>
      <c r="U96" s="19"/>
      <c r="V96">
        <f t="shared" si="3"/>
        <v>2466</v>
      </c>
    </row>
    <row r="97" spans="1:22" x14ac:dyDescent="0.25">
      <c r="A97" t="s">
        <v>806</v>
      </c>
      <c r="B97" t="s">
        <v>141</v>
      </c>
      <c r="C97" s="1">
        <f>596+8+45</f>
        <v>649</v>
      </c>
      <c r="D97" s="1">
        <v>0</v>
      </c>
      <c r="E97" s="1">
        <v>0</v>
      </c>
      <c r="F97" s="1">
        <v>0</v>
      </c>
      <c r="G97" s="1">
        <v>0</v>
      </c>
      <c r="H97" s="1">
        <v>213</v>
      </c>
      <c r="I97" s="1">
        <v>47</v>
      </c>
      <c r="J97" s="1">
        <f>SUM(H97,I97)</f>
        <v>260</v>
      </c>
      <c r="K97" s="1"/>
      <c r="M97" s="12">
        <v>113</v>
      </c>
      <c r="N97" s="12" t="s">
        <v>143</v>
      </c>
      <c r="O97" s="12">
        <v>3861</v>
      </c>
      <c r="P97" s="12">
        <v>0</v>
      </c>
      <c r="Q97" s="12">
        <v>0</v>
      </c>
      <c r="R97" s="12">
        <v>0</v>
      </c>
      <c r="S97" s="12">
        <v>0</v>
      </c>
      <c r="T97" s="18">
        <v>21</v>
      </c>
      <c r="U97" s="18"/>
      <c r="V97">
        <f t="shared" si="3"/>
        <v>21</v>
      </c>
    </row>
    <row r="98" spans="1:22" x14ac:dyDescent="0.25">
      <c r="A98" t="s">
        <v>67</v>
      </c>
      <c r="B98" t="s">
        <v>142</v>
      </c>
      <c r="C98" s="1"/>
      <c r="D98" s="1"/>
      <c r="E98" s="1"/>
      <c r="F98" s="1"/>
      <c r="G98" s="1"/>
      <c r="H98" s="1"/>
      <c r="I98" s="1"/>
      <c r="J98" s="1"/>
      <c r="K98" s="1"/>
      <c r="M98" s="10">
        <v>161</v>
      </c>
      <c r="N98" s="10" t="s">
        <v>144</v>
      </c>
      <c r="O98" s="10">
        <v>4336</v>
      </c>
      <c r="P98" s="10">
        <v>219</v>
      </c>
      <c r="Q98" s="10">
        <v>0</v>
      </c>
      <c r="R98" s="10">
        <v>0</v>
      </c>
      <c r="S98" s="10">
        <v>0</v>
      </c>
      <c r="T98" s="19">
        <v>1131</v>
      </c>
      <c r="U98" s="19"/>
      <c r="V98">
        <f t="shared" si="3"/>
        <v>1131</v>
      </c>
    </row>
    <row r="99" spans="1:22" x14ac:dyDescent="0.25">
      <c r="A99" t="s">
        <v>823</v>
      </c>
      <c r="B99" t="s">
        <v>143</v>
      </c>
      <c r="C99" s="1">
        <f>2701+1160</f>
        <v>3861</v>
      </c>
      <c r="D99" s="1">
        <v>0</v>
      </c>
      <c r="E99" s="1">
        <v>0</v>
      </c>
      <c r="F99" s="1">
        <v>0</v>
      </c>
      <c r="G99" s="1">
        <v>0</v>
      </c>
      <c r="H99" s="1">
        <v>21</v>
      </c>
      <c r="I99" s="1">
        <v>177</v>
      </c>
      <c r="J99" s="1">
        <f>SUM(H99,I99)</f>
        <v>198</v>
      </c>
      <c r="K99" s="1"/>
      <c r="M99" s="12">
        <v>515</v>
      </c>
      <c r="N99" s="12" t="s">
        <v>145</v>
      </c>
      <c r="O99" s="12">
        <v>18921</v>
      </c>
      <c r="P99" s="12">
        <v>18</v>
      </c>
      <c r="Q99" s="12">
        <v>0</v>
      </c>
      <c r="R99" s="12">
        <v>0</v>
      </c>
      <c r="S99" s="12">
        <v>0</v>
      </c>
      <c r="T99" s="18">
        <v>17624</v>
      </c>
      <c r="U99" s="18"/>
      <c r="V99">
        <f t="shared" si="3"/>
        <v>17624</v>
      </c>
    </row>
    <row r="100" spans="1:22" x14ac:dyDescent="0.25">
      <c r="A100" t="s">
        <v>848</v>
      </c>
      <c r="B100" t="s">
        <v>144</v>
      </c>
      <c r="C100" s="1"/>
      <c r="D100" s="1"/>
      <c r="E100" s="1"/>
      <c r="F100" s="1"/>
      <c r="G100" s="1"/>
      <c r="H100" s="1"/>
      <c r="I100" s="1"/>
      <c r="J100" s="1"/>
      <c r="K100" s="1"/>
      <c r="M100" s="10">
        <v>611</v>
      </c>
      <c r="N100" s="10" t="s">
        <v>147</v>
      </c>
      <c r="O100" s="10">
        <v>24162</v>
      </c>
      <c r="P100" s="10">
        <v>44</v>
      </c>
      <c r="Q100" s="10">
        <v>0</v>
      </c>
      <c r="R100" s="10">
        <v>0</v>
      </c>
      <c r="S100" s="10">
        <v>0</v>
      </c>
      <c r="T100" s="19">
        <v>19116</v>
      </c>
      <c r="U100" s="19"/>
      <c r="V100">
        <f t="shared" si="3"/>
        <v>19116</v>
      </c>
    </row>
    <row r="101" spans="1:22" x14ac:dyDescent="0.25">
      <c r="A101" t="s">
        <v>816</v>
      </c>
      <c r="B101" t="s">
        <v>145</v>
      </c>
      <c r="C101" s="1">
        <f>11473+9+6+7432+1</f>
        <v>18921</v>
      </c>
      <c r="D101" s="1">
        <v>18</v>
      </c>
      <c r="E101" s="1">
        <v>0</v>
      </c>
      <c r="F101" s="1">
        <v>0</v>
      </c>
      <c r="G101" s="1">
        <v>0</v>
      </c>
      <c r="H101" s="1">
        <v>17624</v>
      </c>
      <c r="I101" s="1">
        <v>6934</v>
      </c>
      <c r="J101" s="1">
        <f>SUM(H101,I101)</f>
        <v>24558</v>
      </c>
      <c r="K101" s="1"/>
      <c r="M101" s="12">
        <v>710</v>
      </c>
      <c r="N101" s="12" t="s">
        <v>148</v>
      </c>
      <c r="O101" s="12">
        <v>51581</v>
      </c>
      <c r="P101" s="12">
        <v>45</v>
      </c>
      <c r="Q101" s="12">
        <v>0</v>
      </c>
      <c r="R101" s="12">
        <v>0</v>
      </c>
      <c r="S101" s="12">
        <v>0</v>
      </c>
      <c r="T101" s="18">
        <v>66789</v>
      </c>
      <c r="U101" s="18"/>
      <c r="V101">
        <f t="shared" si="3"/>
        <v>66789</v>
      </c>
    </row>
    <row r="102" spans="1:22" x14ac:dyDescent="0.25">
      <c r="A102" t="s">
        <v>146</v>
      </c>
      <c r="B102" t="s">
        <v>147</v>
      </c>
      <c r="C102" s="1">
        <f>17148+22+6992</f>
        <v>24162</v>
      </c>
      <c r="D102" s="1">
        <f>42+2</f>
        <v>44</v>
      </c>
      <c r="E102" s="1">
        <v>0</v>
      </c>
      <c r="F102" s="1">
        <v>0</v>
      </c>
      <c r="G102" s="1">
        <v>0</v>
      </c>
      <c r="H102" s="1">
        <v>19116</v>
      </c>
      <c r="I102" s="1">
        <v>5963</v>
      </c>
      <c r="J102" s="1">
        <f>SUM(H102,I102)</f>
        <v>25079</v>
      </c>
      <c r="K102" s="1"/>
      <c r="M102" s="10">
        <v>616</v>
      </c>
      <c r="N102" s="10" t="s">
        <v>149</v>
      </c>
      <c r="O102" s="10">
        <v>8282</v>
      </c>
      <c r="P102" s="10">
        <v>297</v>
      </c>
      <c r="Q102" s="10">
        <v>0</v>
      </c>
      <c r="R102" s="10">
        <v>0</v>
      </c>
      <c r="S102" s="10">
        <v>0</v>
      </c>
      <c r="T102" s="19">
        <v>12422</v>
      </c>
      <c r="U102" s="19"/>
      <c r="V102">
        <f t="shared" si="3"/>
        <v>12422</v>
      </c>
    </row>
    <row r="103" spans="1:22" x14ac:dyDescent="0.25">
      <c r="A103" t="s">
        <v>804</v>
      </c>
      <c r="B103" t="s">
        <v>148</v>
      </c>
      <c r="C103" s="1"/>
      <c r="D103" s="1"/>
      <c r="E103" s="1"/>
      <c r="F103" s="1"/>
      <c r="G103" s="1"/>
      <c r="H103" s="1"/>
      <c r="I103" s="1"/>
      <c r="J103" s="1"/>
      <c r="K103" s="1"/>
      <c r="M103" s="12">
        <v>114</v>
      </c>
      <c r="N103" s="12" t="s">
        <v>151</v>
      </c>
      <c r="O103" s="12">
        <v>2988</v>
      </c>
      <c r="P103" s="12">
        <v>0</v>
      </c>
      <c r="Q103" s="12">
        <v>0</v>
      </c>
      <c r="R103" s="12">
        <v>0</v>
      </c>
      <c r="S103" s="12">
        <v>0</v>
      </c>
      <c r="T103" s="18">
        <v>331</v>
      </c>
      <c r="U103" s="18"/>
      <c r="V103">
        <f t="shared" si="3"/>
        <v>331</v>
      </c>
    </row>
    <row r="104" spans="1:22" x14ac:dyDescent="0.25">
      <c r="A104" t="s">
        <v>817</v>
      </c>
      <c r="B104" t="s">
        <v>149</v>
      </c>
      <c r="C104" s="1">
        <f>4788+1+3491+2</f>
        <v>8282</v>
      </c>
      <c r="D104" s="1">
        <f>247+14+34+2</f>
        <v>297</v>
      </c>
      <c r="E104" s="1">
        <v>0</v>
      </c>
      <c r="F104" s="1">
        <v>0</v>
      </c>
      <c r="G104" s="1">
        <v>0</v>
      </c>
      <c r="H104" s="1">
        <v>12422</v>
      </c>
      <c r="I104" s="1">
        <v>3074</v>
      </c>
      <c r="J104" s="1">
        <f>SUM(H104,I104)</f>
        <v>15496</v>
      </c>
      <c r="K104" s="1"/>
      <c r="M104" s="10">
        <v>611</v>
      </c>
      <c r="N104" s="10" t="s">
        <v>152</v>
      </c>
      <c r="O104" s="10">
        <v>7756</v>
      </c>
      <c r="P104" s="10">
        <v>12</v>
      </c>
      <c r="Q104" s="10">
        <v>0</v>
      </c>
      <c r="R104" s="10">
        <v>0</v>
      </c>
      <c r="S104" s="10">
        <v>0</v>
      </c>
      <c r="T104" s="19">
        <v>4227</v>
      </c>
      <c r="U104" s="19"/>
      <c r="V104">
        <f t="shared" si="3"/>
        <v>4227</v>
      </c>
    </row>
    <row r="105" spans="1:22" x14ac:dyDescent="0.25">
      <c r="A105" t="s">
        <v>831</v>
      </c>
      <c r="B105" t="s">
        <v>151</v>
      </c>
      <c r="C105" s="1">
        <f>2359+3+626</f>
        <v>2988</v>
      </c>
      <c r="D105" s="1">
        <v>0</v>
      </c>
      <c r="E105" s="1">
        <v>0</v>
      </c>
      <c r="F105" s="1">
        <v>0</v>
      </c>
      <c r="G105" s="1">
        <v>0</v>
      </c>
      <c r="H105" s="1">
        <v>331</v>
      </c>
      <c r="I105" s="1">
        <v>453</v>
      </c>
      <c r="J105" s="1">
        <f>SUM(H105,I105)</f>
        <v>784</v>
      </c>
      <c r="K105" s="1"/>
      <c r="M105" s="12">
        <v>613</v>
      </c>
      <c r="N105" s="12" t="s">
        <v>153</v>
      </c>
      <c r="O105" s="12">
        <v>3579</v>
      </c>
      <c r="P105" s="12">
        <v>0</v>
      </c>
      <c r="Q105" s="12">
        <v>0</v>
      </c>
      <c r="R105" s="12">
        <v>0</v>
      </c>
      <c r="S105" s="12">
        <v>0</v>
      </c>
      <c r="T105" s="18">
        <v>364</v>
      </c>
      <c r="U105" s="18"/>
      <c r="V105">
        <f t="shared" si="3"/>
        <v>364</v>
      </c>
    </row>
    <row r="106" spans="1:22" x14ac:dyDescent="0.25">
      <c r="A106" t="s">
        <v>146</v>
      </c>
      <c r="B106" t="s">
        <v>152</v>
      </c>
      <c r="C106" s="1">
        <f>3152+2+1+4601</f>
        <v>7756</v>
      </c>
      <c r="D106" s="1">
        <v>12</v>
      </c>
      <c r="E106" s="1">
        <v>0</v>
      </c>
      <c r="F106" s="1">
        <v>0</v>
      </c>
      <c r="G106" s="1">
        <v>0</v>
      </c>
      <c r="H106" s="1">
        <v>4227</v>
      </c>
      <c r="I106" s="1">
        <v>2960</v>
      </c>
      <c r="J106" s="1">
        <f>SUM(H106,I106)</f>
        <v>7187</v>
      </c>
      <c r="K106" s="1"/>
      <c r="M106" s="10">
        <v>712</v>
      </c>
      <c r="N106" s="10" t="s">
        <v>154</v>
      </c>
      <c r="O106" s="10">
        <v>15722</v>
      </c>
      <c r="P106" s="10">
        <v>2</v>
      </c>
      <c r="Q106" s="10">
        <v>0</v>
      </c>
      <c r="R106" s="10">
        <v>0</v>
      </c>
      <c r="S106" s="10">
        <v>0</v>
      </c>
      <c r="T106" s="19">
        <v>2631</v>
      </c>
      <c r="U106" s="19"/>
      <c r="V106">
        <f t="shared" si="3"/>
        <v>2631</v>
      </c>
    </row>
    <row r="107" spans="1:22" x14ac:dyDescent="0.25">
      <c r="A107" s="9" t="s">
        <v>495</v>
      </c>
      <c r="B107" s="10" t="s">
        <v>153</v>
      </c>
      <c r="C107" s="1">
        <f>3274+48+257</f>
        <v>3579</v>
      </c>
      <c r="D107" s="1">
        <v>0</v>
      </c>
      <c r="E107" s="1">
        <v>0</v>
      </c>
      <c r="F107" s="1">
        <v>0</v>
      </c>
      <c r="G107" s="1">
        <v>0</v>
      </c>
      <c r="H107" s="1">
        <v>364</v>
      </c>
      <c r="I107" s="1">
        <v>244</v>
      </c>
      <c r="J107" s="1">
        <f>SUM(H107,I107)</f>
        <v>608</v>
      </c>
      <c r="K107" s="1"/>
      <c r="M107" s="12">
        <v>700</v>
      </c>
      <c r="N107" s="12" t="s">
        <v>155</v>
      </c>
      <c r="O107" s="12">
        <v>6214</v>
      </c>
      <c r="P107" s="12">
        <v>5</v>
      </c>
      <c r="Q107" s="12">
        <v>0</v>
      </c>
      <c r="R107" s="12">
        <v>0</v>
      </c>
      <c r="S107" s="12">
        <v>0</v>
      </c>
      <c r="T107" s="18">
        <v>24681</v>
      </c>
      <c r="U107" s="18"/>
      <c r="V107">
        <f t="shared" si="3"/>
        <v>24681</v>
      </c>
    </row>
    <row r="108" spans="1:22" x14ac:dyDescent="0.25">
      <c r="A108" t="s">
        <v>76</v>
      </c>
      <c r="B108" t="s">
        <v>154</v>
      </c>
      <c r="C108" s="1">
        <f>7857+7865</f>
        <v>15722</v>
      </c>
      <c r="D108" s="1">
        <f>1+1</f>
        <v>2</v>
      </c>
      <c r="E108" s="1">
        <v>0</v>
      </c>
      <c r="F108" s="1">
        <v>0</v>
      </c>
      <c r="G108" s="1">
        <v>0</v>
      </c>
      <c r="H108" s="1">
        <v>2631</v>
      </c>
      <c r="I108" s="1">
        <v>5551</v>
      </c>
      <c r="J108" s="1">
        <f>SUM(H108,I108)</f>
        <v>8182</v>
      </c>
      <c r="K108" s="1"/>
      <c r="M108" s="10" t="s">
        <v>815</v>
      </c>
      <c r="N108" s="10" t="s">
        <v>156</v>
      </c>
      <c r="O108" s="10">
        <v>15988</v>
      </c>
      <c r="P108" s="10">
        <v>15</v>
      </c>
      <c r="Q108" s="10">
        <v>0</v>
      </c>
      <c r="R108" s="10">
        <v>0</v>
      </c>
      <c r="S108" s="10">
        <v>0</v>
      </c>
      <c r="T108" s="19">
        <v>9037</v>
      </c>
      <c r="U108" s="19"/>
      <c r="V108">
        <f t="shared" si="3"/>
        <v>9037</v>
      </c>
    </row>
    <row r="109" spans="1:22" x14ac:dyDescent="0.25">
      <c r="A109" t="s">
        <v>83</v>
      </c>
      <c r="B109" t="s">
        <v>155</v>
      </c>
      <c r="C109" s="1"/>
      <c r="D109" s="1"/>
      <c r="E109" s="1"/>
      <c r="F109" s="1"/>
      <c r="G109" s="1"/>
      <c r="H109" s="1"/>
      <c r="I109" s="1"/>
      <c r="J109" s="1"/>
      <c r="K109" s="1"/>
      <c r="M109" s="12">
        <v>114</v>
      </c>
      <c r="N109" s="12" t="s">
        <v>157</v>
      </c>
      <c r="O109" s="12">
        <v>4496</v>
      </c>
      <c r="P109" s="12">
        <v>0</v>
      </c>
      <c r="Q109" s="12">
        <v>0</v>
      </c>
      <c r="R109" s="12">
        <v>0</v>
      </c>
      <c r="S109" s="12">
        <v>0</v>
      </c>
      <c r="T109" s="18">
        <v>2965</v>
      </c>
      <c r="U109" s="18"/>
      <c r="V109">
        <f t="shared" si="3"/>
        <v>2965</v>
      </c>
    </row>
    <row r="110" spans="1:22" x14ac:dyDescent="0.25">
      <c r="A110" t="s">
        <v>138</v>
      </c>
      <c r="B110" t="s">
        <v>156</v>
      </c>
      <c r="C110" s="1"/>
      <c r="D110" s="1"/>
      <c r="E110" s="1"/>
      <c r="F110" s="1"/>
      <c r="G110" s="1"/>
      <c r="H110" s="1"/>
      <c r="I110" s="1"/>
      <c r="J110" s="1"/>
      <c r="K110" s="1"/>
      <c r="M110" s="10">
        <v>715</v>
      </c>
      <c r="N110" s="10" t="s">
        <v>158</v>
      </c>
      <c r="O110" s="10">
        <v>9015</v>
      </c>
      <c r="P110" s="10">
        <v>0</v>
      </c>
      <c r="Q110" s="10">
        <v>0</v>
      </c>
      <c r="R110" s="10">
        <v>0</v>
      </c>
      <c r="S110" s="10">
        <v>0</v>
      </c>
      <c r="T110" s="19">
        <v>4651</v>
      </c>
      <c r="U110" s="19"/>
      <c r="V110">
        <f t="shared" si="3"/>
        <v>4651</v>
      </c>
    </row>
    <row r="111" spans="1:22" x14ac:dyDescent="0.25">
      <c r="A111" t="s">
        <v>831</v>
      </c>
      <c r="B111" t="s">
        <v>157</v>
      </c>
      <c r="C111" s="1">
        <f>3137+7+1352</f>
        <v>4496</v>
      </c>
      <c r="D111" s="1">
        <v>0</v>
      </c>
      <c r="E111" s="1">
        <v>0</v>
      </c>
      <c r="F111" s="1">
        <v>0</v>
      </c>
      <c r="G111" s="1">
        <v>0</v>
      </c>
      <c r="H111" s="1">
        <v>2965</v>
      </c>
      <c r="I111" s="1">
        <v>1281</v>
      </c>
      <c r="J111" s="1">
        <f>SUM(H111,I111)</f>
        <v>4246</v>
      </c>
      <c r="K111" s="1"/>
      <c r="M111" s="12">
        <v>514</v>
      </c>
      <c r="N111" s="12" t="s">
        <v>159</v>
      </c>
      <c r="O111" s="12">
        <v>904</v>
      </c>
      <c r="P111" s="12">
        <v>0</v>
      </c>
      <c r="Q111" s="12">
        <v>0</v>
      </c>
      <c r="R111" s="12">
        <v>0</v>
      </c>
      <c r="S111" s="12">
        <v>0</v>
      </c>
      <c r="T111" s="18">
        <v>1099</v>
      </c>
      <c r="U111" s="18"/>
      <c r="V111">
        <f t="shared" si="3"/>
        <v>1099</v>
      </c>
    </row>
    <row r="112" spans="1:22" x14ac:dyDescent="0.25">
      <c r="A112" t="s">
        <v>818</v>
      </c>
      <c r="B112" t="s">
        <v>158</v>
      </c>
      <c r="C112" s="1"/>
      <c r="D112" s="1"/>
      <c r="E112" s="1"/>
      <c r="F112" s="1"/>
      <c r="G112" s="1"/>
      <c r="H112" s="1"/>
      <c r="I112" s="1"/>
      <c r="J112" s="1"/>
      <c r="K112" s="1"/>
      <c r="M112" s="10">
        <v>116</v>
      </c>
      <c r="N112" s="10" t="s">
        <v>160</v>
      </c>
      <c r="O112" s="10">
        <v>20801</v>
      </c>
      <c r="P112" s="10">
        <v>1068</v>
      </c>
      <c r="Q112" s="10">
        <v>0</v>
      </c>
      <c r="R112" s="10">
        <v>0</v>
      </c>
      <c r="S112" s="10">
        <v>0</v>
      </c>
      <c r="T112" s="19">
        <v>1693</v>
      </c>
      <c r="U112" s="19"/>
      <c r="V112">
        <f t="shared" si="3"/>
        <v>1693</v>
      </c>
    </row>
    <row r="113" spans="1:22" x14ac:dyDescent="0.25">
      <c r="A113" t="s">
        <v>134</v>
      </c>
      <c r="B113" t="s">
        <v>159</v>
      </c>
      <c r="C113" s="1">
        <f>820+4+80</f>
        <v>904</v>
      </c>
      <c r="D113" s="1">
        <v>0</v>
      </c>
      <c r="E113" s="1">
        <v>0</v>
      </c>
      <c r="F113" s="1">
        <v>0</v>
      </c>
      <c r="G113" s="1">
        <v>0</v>
      </c>
      <c r="H113" s="1">
        <v>1099</v>
      </c>
      <c r="I113" s="1">
        <v>58</v>
      </c>
      <c r="J113" s="1">
        <f>SUM(H113,I113)</f>
        <v>1157</v>
      </c>
      <c r="K113" s="1"/>
      <c r="M113" s="12">
        <v>300</v>
      </c>
      <c r="N113" s="12" t="s">
        <v>161</v>
      </c>
      <c r="O113" s="12">
        <v>1935</v>
      </c>
      <c r="P113" s="12">
        <v>0</v>
      </c>
      <c r="Q113" s="12">
        <v>0</v>
      </c>
      <c r="R113" s="12">
        <v>0</v>
      </c>
      <c r="S113" s="12">
        <v>0</v>
      </c>
      <c r="T113" s="18">
        <v>422</v>
      </c>
      <c r="U113" s="18"/>
      <c r="V113">
        <f t="shared" si="3"/>
        <v>422</v>
      </c>
    </row>
    <row r="114" spans="1:22" x14ac:dyDescent="0.25">
      <c r="A114" t="s">
        <v>795</v>
      </c>
      <c r="B114" t="s">
        <v>160</v>
      </c>
      <c r="C114" s="1">
        <f>14193+6608</f>
        <v>20801</v>
      </c>
      <c r="D114" s="1">
        <f>151+51+7+129+385+345</f>
        <v>1068</v>
      </c>
      <c r="E114" s="1">
        <v>0</v>
      </c>
      <c r="F114" s="1">
        <v>0</v>
      </c>
      <c r="G114" s="1">
        <v>0</v>
      </c>
      <c r="H114" s="1">
        <v>1693</v>
      </c>
      <c r="I114" s="1">
        <v>3995</v>
      </c>
      <c r="J114" s="1">
        <f>SUM(H114,I114)</f>
        <v>5688</v>
      </c>
      <c r="K114" s="1"/>
      <c r="M114" s="10">
        <v>100</v>
      </c>
      <c r="N114" s="10" t="s">
        <v>162</v>
      </c>
      <c r="O114" s="10"/>
      <c r="P114" s="10"/>
      <c r="Q114" s="10"/>
      <c r="R114" s="10"/>
      <c r="S114" s="10"/>
      <c r="T114" s="19"/>
      <c r="U114" s="19"/>
      <c r="V114">
        <f t="shared" si="3"/>
        <v>0</v>
      </c>
    </row>
    <row r="115" spans="1:22" x14ac:dyDescent="0.25">
      <c r="A115" s="9" t="s">
        <v>226</v>
      </c>
      <c r="B115" s="10" t="s">
        <v>161</v>
      </c>
      <c r="C115" s="1"/>
      <c r="D115" s="1"/>
      <c r="E115" s="1"/>
      <c r="F115" s="1"/>
      <c r="G115" s="1"/>
      <c r="H115" s="1"/>
      <c r="I115" s="1"/>
      <c r="J115" s="1"/>
      <c r="K115" s="1"/>
      <c r="M115" s="12">
        <v>111</v>
      </c>
      <c r="N115" s="12" t="s">
        <v>163</v>
      </c>
      <c r="O115" s="12">
        <v>19414</v>
      </c>
      <c r="P115" s="12">
        <v>793</v>
      </c>
      <c r="Q115" s="12">
        <v>0</v>
      </c>
      <c r="R115" s="12">
        <v>0</v>
      </c>
      <c r="S115" s="12">
        <v>0</v>
      </c>
      <c r="T115" s="18">
        <v>6574</v>
      </c>
      <c r="U115" s="18"/>
      <c r="V115">
        <f t="shared" si="3"/>
        <v>6574</v>
      </c>
    </row>
    <row r="116" spans="1:22" x14ac:dyDescent="0.25">
      <c r="A116" t="s">
        <v>791</v>
      </c>
      <c r="B116" t="s">
        <v>162</v>
      </c>
      <c r="C116" s="1"/>
      <c r="D116" s="1"/>
      <c r="E116" s="1"/>
      <c r="F116" s="1"/>
      <c r="G116" s="1"/>
      <c r="H116" s="1"/>
      <c r="I116" s="1"/>
      <c r="J116" s="1"/>
      <c r="K116" s="1"/>
      <c r="M116" s="10" t="s">
        <v>815</v>
      </c>
      <c r="N116" s="10" t="s">
        <v>164</v>
      </c>
      <c r="O116" s="10">
        <v>26723</v>
      </c>
      <c r="P116" s="10">
        <v>38</v>
      </c>
      <c r="Q116" s="10">
        <v>0</v>
      </c>
      <c r="R116" s="10">
        <v>0</v>
      </c>
      <c r="S116" s="10">
        <v>0</v>
      </c>
      <c r="T116" s="19">
        <v>9843</v>
      </c>
      <c r="U116" s="19"/>
      <c r="V116">
        <f t="shared" si="3"/>
        <v>9843</v>
      </c>
    </row>
    <row r="117" spans="1:22" x14ac:dyDescent="0.25">
      <c r="A117" t="s">
        <v>811</v>
      </c>
      <c r="B117" t="s">
        <v>163</v>
      </c>
      <c r="C117" s="1"/>
      <c r="D117" s="1"/>
      <c r="E117" s="1"/>
      <c r="F117" s="1"/>
      <c r="G117" s="1"/>
      <c r="H117" s="1"/>
      <c r="I117" s="1"/>
      <c r="J117" s="1"/>
      <c r="K117" s="1"/>
      <c r="M117" s="12">
        <v>700</v>
      </c>
      <c r="N117" s="12" t="s">
        <v>165</v>
      </c>
      <c r="O117" s="12">
        <v>4764</v>
      </c>
      <c r="P117" s="12">
        <v>123</v>
      </c>
      <c r="Q117" s="12">
        <v>0</v>
      </c>
      <c r="R117" s="12">
        <v>0</v>
      </c>
      <c r="S117" s="12">
        <v>0</v>
      </c>
      <c r="T117" s="18">
        <v>2241</v>
      </c>
      <c r="U117" s="18"/>
      <c r="V117">
        <f t="shared" si="3"/>
        <v>2241</v>
      </c>
    </row>
    <row r="118" spans="1:22" x14ac:dyDescent="0.25">
      <c r="A118" t="s">
        <v>138</v>
      </c>
      <c r="B118" t="s">
        <v>164</v>
      </c>
      <c r="C118" s="1"/>
      <c r="D118" s="1"/>
      <c r="E118" s="1"/>
      <c r="F118" s="1"/>
      <c r="G118" s="1"/>
      <c r="H118" s="1"/>
      <c r="I118" s="1"/>
      <c r="J118" s="1"/>
      <c r="K118" s="1"/>
      <c r="M118" s="10">
        <v>715</v>
      </c>
      <c r="N118" s="10" t="s">
        <v>166</v>
      </c>
      <c r="O118" s="10">
        <v>1680</v>
      </c>
      <c r="P118" s="10">
        <v>0</v>
      </c>
      <c r="Q118" s="10">
        <v>0</v>
      </c>
      <c r="R118" s="10">
        <v>0</v>
      </c>
      <c r="S118" s="10">
        <v>0</v>
      </c>
      <c r="T118" s="19">
        <v>201</v>
      </c>
      <c r="U118" s="19"/>
      <c r="V118">
        <f t="shared" si="3"/>
        <v>201</v>
      </c>
    </row>
    <row r="119" spans="1:22" x14ac:dyDescent="0.25">
      <c r="A119" t="s">
        <v>83</v>
      </c>
      <c r="B119" t="s">
        <v>165</v>
      </c>
      <c r="C119" s="1"/>
      <c r="D119" s="1"/>
      <c r="E119" s="1"/>
      <c r="F119" s="1"/>
      <c r="G119" s="1"/>
      <c r="H119" s="1"/>
      <c r="I119" s="1"/>
      <c r="J119" s="1"/>
      <c r="K119" s="1"/>
      <c r="M119" s="12">
        <v>711</v>
      </c>
      <c r="N119" s="12" t="s">
        <v>167</v>
      </c>
      <c r="O119" s="12"/>
      <c r="P119" s="12"/>
      <c r="Q119" s="12"/>
      <c r="R119" s="12"/>
      <c r="S119" s="12"/>
      <c r="T119" s="18"/>
      <c r="U119" s="18"/>
      <c r="V119">
        <f t="shared" si="3"/>
        <v>0</v>
      </c>
    </row>
    <row r="120" spans="1:22" x14ac:dyDescent="0.25">
      <c r="A120" t="s">
        <v>818</v>
      </c>
      <c r="B120" t="s">
        <v>166</v>
      </c>
      <c r="C120" s="1"/>
      <c r="D120" s="1"/>
      <c r="E120" s="1"/>
      <c r="F120" s="1"/>
      <c r="G120" s="1"/>
      <c r="H120" s="1"/>
      <c r="I120" s="1"/>
      <c r="J120" s="1"/>
      <c r="K120" s="1"/>
      <c r="M120" s="10">
        <v>120</v>
      </c>
      <c r="N120" s="10" t="s">
        <v>168</v>
      </c>
      <c r="O120" s="10">
        <v>12569</v>
      </c>
      <c r="P120" s="10">
        <v>145</v>
      </c>
      <c r="Q120" s="10">
        <v>0</v>
      </c>
      <c r="R120" s="10">
        <v>0</v>
      </c>
      <c r="S120" s="10">
        <v>0</v>
      </c>
      <c r="T120" s="19">
        <v>4237</v>
      </c>
      <c r="U120" s="19"/>
      <c r="V120">
        <f t="shared" si="3"/>
        <v>4237</v>
      </c>
    </row>
    <row r="121" spans="1:22" x14ac:dyDescent="0.25">
      <c r="A121" t="s">
        <v>801</v>
      </c>
      <c r="B121" t="s">
        <v>167</v>
      </c>
      <c r="C121" s="1">
        <f>13269+14+17+2+1554</f>
        <v>14856</v>
      </c>
      <c r="D121" s="1">
        <v>3</v>
      </c>
      <c r="E121" s="1">
        <v>0</v>
      </c>
      <c r="F121" s="1">
        <v>0</v>
      </c>
      <c r="G121" s="1">
        <v>0</v>
      </c>
      <c r="H121" s="1">
        <v>8010</v>
      </c>
      <c r="I121" s="1">
        <v>1447</v>
      </c>
      <c r="J121" s="1">
        <f>SUM(H121,I121)</f>
        <v>9457</v>
      </c>
      <c r="K121" s="1"/>
      <c r="M121" s="12">
        <v>161</v>
      </c>
      <c r="N121" s="12" t="s">
        <v>169</v>
      </c>
      <c r="O121" s="12">
        <v>3927</v>
      </c>
      <c r="P121" s="12">
        <v>75</v>
      </c>
      <c r="Q121" s="12">
        <v>0</v>
      </c>
      <c r="R121" s="12">
        <v>0</v>
      </c>
      <c r="S121" s="12">
        <v>0</v>
      </c>
      <c r="T121" s="18">
        <v>546</v>
      </c>
      <c r="U121" s="18"/>
      <c r="V121">
        <f t="shared" si="3"/>
        <v>546</v>
      </c>
    </row>
    <row r="122" spans="1:22" x14ac:dyDescent="0.25">
      <c r="A122" t="s">
        <v>826</v>
      </c>
      <c r="B122" t="s">
        <v>168</v>
      </c>
      <c r="C122" s="1"/>
      <c r="D122" s="1"/>
      <c r="E122" s="1"/>
      <c r="F122" s="1"/>
      <c r="G122" s="1"/>
      <c r="H122" s="1"/>
      <c r="I122" s="1"/>
      <c r="J122" s="1"/>
      <c r="K122" s="1"/>
      <c r="M122" s="10">
        <v>111</v>
      </c>
      <c r="N122" s="10" t="s">
        <v>170</v>
      </c>
      <c r="O122" s="10">
        <v>7768</v>
      </c>
      <c r="P122" s="10">
        <v>9</v>
      </c>
      <c r="Q122" s="10">
        <v>0</v>
      </c>
      <c r="R122" s="10">
        <v>0</v>
      </c>
      <c r="S122" s="10">
        <v>0</v>
      </c>
      <c r="T122" s="19">
        <v>4705</v>
      </c>
      <c r="U122" s="19"/>
      <c r="V122">
        <f t="shared" si="3"/>
        <v>4705</v>
      </c>
    </row>
    <row r="123" spans="1:22" x14ac:dyDescent="0.25">
      <c r="A123" t="s">
        <v>848</v>
      </c>
      <c r="B123" t="s">
        <v>169</v>
      </c>
      <c r="C123" s="1"/>
      <c r="D123" s="1"/>
      <c r="E123" s="1"/>
      <c r="F123" s="1"/>
      <c r="G123" s="1"/>
      <c r="H123" s="1"/>
      <c r="I123" s="1"/>
      <c r="J123" s="1"/>
      <c r="K123" s="1"/>
      <c r="M123" s="12">
        <v>313</v>
      </c>
      <c r="N123" s="12" t="s">
        <v>171</v>
      </c>
      <c r="O123" s="12">
        <v>2466</v>
      </c>
      <c r="P123" s="12">
        <v>0</v>
      </c>
      <c r="Q123" s="12">
        <v>0</v>
      </c>
      <c r="R123" s="12">
        <v>0</v>
      </c>
      <c r="S123" s="12">
        <v>0</v>
      </c>
      <c r="T123" s="18">
        <v>2544</v>
      </c>
      <c r="U123" s="18"/>
      <c r="V123">
        <f t="shared" si="3"/>
        <v>2544</v>
      </c>
    </row>
    <row r="124" spans="1:22" x14ac:dyDescent="0.25">
      <c r="A124" t="s">
        <v>811</v>
      </c>
      <c r="B124" t="s">
        <v>170</v>
      </c>
      <c r="C124" s="1"/>
      <c r="D124" s="1"/>
      <c r="E124" s="1"/>
      <c r="F124" s="1"/>
      <c r="G124" s="1"/>
      <c r="H124" s="1"/>
      <c r="I124" s="1"/>
      <c r="J124" s="1"/>
      <c r="K124" s="1"/>
      <c r="M124" s="10">
        <v>161</v>
      </c>
      <c r="N124" s="10" t="s">
        <v>172</v>
      </c>
      <c r="O124" s="10"/>
      <c r="P124" s="10"/>
      <c r="Q124" s="10"/>
      <c r="R124" s="10"/>
      <c r="S124" s="10"/>
      <c r="T124" s="19"/>
      <c r="U124" s="19"/>
      <c r="V124">
        <f t="shared" si="3"/>
        <v>0</v>
      </c>
    </row>
    <row r="125" spans="1:22" x14ac:dyDescent="0.25">
      <c r="A125" t="s">
        <v>512</v>
      </c>
      <c r="B125" t="s">
        <v>171</v>
      </c>
      <c r="C125" s="1">
        <f>1556+910</f>
        <v>2466</v>
      </c>
      <c r="D125" s="1">
        <v>0</v>
      </c>
      <c r="E125" s="1">
        <v>0</v>
      </c>
      <c r="F125" s="1">
        <v>0</v>
      </c>
      <c r="G125" s="1">
        <v>0</v>
      </c>
      <c r="H125" s="1">
        <v>2544</v>
      </c>
      <c r="I125" s="1">
        <v>599</v>
      </c>
      <c r="J125" s="1">
        <f>SUM(H125,I125)</f>
        <v>3143</v>
      </c>
      <c r="K125" s="1"/>
      <c r="M125" s="12">
        <v>711</v>
      </c>
      <c r="N125" s="12" t="s">
        <v>173</v>
      </c>
      <c r="O125" s="12"/>
      <c r="P125" s="12"/>
      <c r="Q125" s="12"/>
      <c r="R125" s="12"/>
      <c r="S125" s="12"/>
      <c r="T125" s="18"/>
      <c r="U125" s="18"/>
      <c r="V125">
        <f t="shared" si="3"/>
        <v>0</v>
      </c>
    </row>
    <row r="126" spans="1:22" x14ac:dyDescent="0.25">
      <c r="A126" t="s">
        <v>848</v>
      </c>
      <c r="B126" t="s">
        <v>172</v>
      </c>
      <c r="C126" s="1"/>
      <c r="D126" s="1"/>
      <c r="E126" s="1"/>
      <c r="F126" s="1"/>
      <c r="G126" s="1"/>
      <c r="H126" s="1"/>
      <c r="I126" s="1"/>
      <c r="J126" s="1"/>
      <c r="K126" s="1"/>
      <c r="M126" s="10">
        <v>211</v>
      </c>
      <c r="N126" s="10" t="s">
        <v>174</v>
      </c>
      <c r="O126" s="10"/>
      <c r="P126" s="10"/>
      <c r="Q126" s="10"/>
      <c r="R126" s="10"/>
      <c r="S126" s="10"/>
      <c r="T126" s="19"/>
      <c r="U126" s="19"/>
      <c r="V126">
        <f t="shared" si="3"/>
        <v>0</v>
      </c>
    </row>
    <row r="127" spans="1:22" x14ac:dyDescent="0.25">
      <c r="A127" t="s">
        <v>801</v>
      </c>
      <c r="B127" t="s">
        <v>173</v>
      </c>
      <c r="C127" s="1">
        <f>12762+1+1206+6+3+6333</f>
        <v>20311</v>
      </c>
      <c r="D127" s="1">
        <f>69+229</f>
        <v>298</v>
      </c>
      <c r="E127" s="1">
        <v>0</v>
      </c>
      <c r="F127" s="1">
        <v>0</v>
      </c>
      <c r="G127" s="1">
        <v>0</v>
      </c>
      <c r="H127" s="1">
        <v>18282</v>
      </c>
      <c r="I127" s="1">
        <v>6258</v>
      </c>
      <c r="J127" s="1">
        <f>SUM(H127,I127)</f>
        <v>24540</v>
      </c>
      <c r="K127" s="1"/>
      <c r="M127" s="12">
        <v>300</v>
      </c>
      <c r="N127" s="12" t="s">
        <v>175</v>
      </c>
      <c r="O127" s="12">
        <v>1606</v>
      </c>
      <c r="P127" s="12">
        <v>344</v>
      </c>
      <c r="Q127" s="12">
        <v>0</v>
      </c>
      <c r="R127" s="12">
        <v>0</v>
      </c>
      <c r="S127" s="12">
        <v>0</v>
      </c>
      <c r="T127" s="18">
        <v>477</v>
      </c>
      <c r="U127" s="18"/>
      <c r="V127">
        <f t="shared" si="3"/>
        <v>477</v>
      </c>
    </row>
    <row r="128" spans="1:22" x14ac:dyDescent="0.25">
      <c r="A128" t="s">
        <v>864</v>
      </c>
      <c r="B128" t="s">
        <v>174</v>
      </c>
      <c r="C128" s="1">
        <f>2476+926</f>
        <v>3402</v>
      </c>
      <c r="D128" s="1">
        <f>2+14</f>
        <v>16</v>
      </c>
      <c r="E128" s="1">
        <v>0</v>
      </c>
      <c r="F128" s="1">
        <v>0</v>
      </c>
      <c r="G128" s="1">
        <v>0</v>
      </c>
      <c r="H128" s="1">
        <v>4109</v>
      </c>
      <c r="I128" s="1">
        <v>922</v>
      </c>
      <c r="J128" s="1">
        <f>SUM(H128,I128)</f>
        <v>5031</v>
      </c>
      <c r="K128" s="1"/>
      <c r="M128" s="10" t="s">
        <v>814</v>
      </c>
      <c r="N128" s="10" t="s">
        <v>176</v>
      </c>
      <c r="O128" s="10">
        <v>40357</v>
      </c>
      <c r="P128" s="10">
        <v>10</v>
      </c>
      <c r="Q128" s="10">
        <v>0</v>
      </c>
      <c r="R128" s="10">
        <v>0</v>
      </c>
      <c r="S128" s="10">
        <v>0</v>
      </c>
      <c r="T128" s="19">
        <v>4851</v>
      </c>
      <c r="U128" s="19"/>
      <c r="V128">
        <f t="shared" si="3"/>
        <v>4851</v>
      </c>
    </row>
    <row r="129" spans="1:22" x14ac:dyDescent="0.25">
      <c r="A129" t="s">
        <v>226</v>
      </c>
      <c r="B129" t="s">
        <v>175</v>
      </c>
      <c r="C129" s="1"/>
      <c r="D129" s="1"/>
      <c r="E129" s="1"/>
      <c r="F129" s="1"/>
      <c r="G129" s="1"/>
      <c r="H129" s="1"/>
      <c r="I129" s="1"/>
      <c r="J129" s="1"/>
      <c r="K129" s="1"/>
      <c r="M129" s="12">
        <v>600</v>
      </c>
      <c r="N129" s="12" t="s">
        <v>177</v>
      </c>
      <c r="O129" s="12">
        <v>6305</v>
      </c>
      <c r="P129" s="12">
        <v>0</v>
      </c>
      <c r="Q129" s="12">
        <v>0</v>
      </c>
      <c r="R129" s="12">
        <v>0</v>
      </c>
      <c r="S129" s="12">
        <v>0</v>
      </c>
      <c r="T129" s="18">
        <v>3792</v>
      </c>
      <c r="U129" s="18"/>
      <c r="V129">
        <f t="shared" si="3"/>
        <v>3792</v>
      </c>
    </row>
    <row r="130" spans="1:22" x14ac:dyDescent="0.25">
      <c r="A130" t="s">
        <v>794</v>
      </c>
      <c r="B130" t="s">
        <v>176</v>
      </c>
      <c r="C130" s="1">
        <f>37401+1+2955</f>
        <v>40357</v>
      </c>
      <c r="D130" s="1">
        <v>10</v>
      </c>
      <c r="E130" s="1">
        <v>0</v>
      </c>
      <c r="F130" s="1">
        <v>0</v>
      </c>
      <c r="G130" s="1">
        <v>0</v>
      </c>
      <c r="H130" s="1">
        <v>4851</v>
      </c>
      <c r="I130" s="1">
        <v>2190</v>
      </c>
      <c r="J130" s="1">
        <f>SUM(H130,I130)</f>
        <v>7041</v>
      </c>
      <c r="K130" s="1"/>
      <c r="M130" s="10">
        <v>700</v>
      </c>
      <c r="N130" s="10" t="s">
        <v>178</v>
      </c>
      <c r="O130" s="10">
        <v>18228</v>
      </c>
      <c r="P130" s="10">
        <v>117</v>
      </c>
      <c r="Q130" s="10">
        <v>0</v>
      </c>
      <c r="R130" s="10">
        <v>0</v>
      </c>
      <c r="S130" s="10">
        <v>0</v>
      </c>
      <c r="T130" s="19">
        <v>24045</v>
      </c>
      <c r="U130" s="19"/>
      <c r="V130">
        <f t="shared" si="3"/>
        <v>24045</v>
      </c>
    </row>
    <row r="131" spans="1:22" x14ac:dyDescent="0.25">
      <c r="A131" t="s">
        <v>248</v>
      </c>
      <c r="B131" t="s">
        <v>177</v>
      </c>
      <c r="C131" s="1"/>
      <c r="D131" s="1"/>
      <c r="E131" s="1"/>
      <c r="F131" s="1"/>
      <c r="G131" s="1"/>
      <c r="H131" s="1"/>
      <c r="I131" s="1"/>
      <c r="J131" s="1"/>
      <c r="K131" s="1"/>
      <c r="M131" s="12">
        <v>113</v>
      </c>
      <c r="N131" s="12" t="s">
        <v>179</v>
      </c>
      <c r="O131" s="12">
        <v>13502</v>
      </c>
      <c r="P131" s="12">
        <v>5</v>
      </c>
      <c r="Q131" s="12">
        <v>0</v>
      </c>
      <c r="R131" s="12">
        <v>0</v>
      </c>
      <c r="S131" s="12">
        <v>0</v>
      </c>
      <c r="T131" s="18">
        <v>12140</v>
      </c>
      <c r="U131" s="18"/>
      <c r="V131">
        <f t="shared" si="3"/>
        <v>12140</v>
      </c>
    </row>
    <row r="132" spans="1:22" x14ac:dyDescent="0.25">
      <c r="A132" t="s">
        <v>83</v>
      </c>
      <c r="B132" t="s">
        <v>178</v>
      </c>
      <c r="C132" s="1"/>
      <c r="D132" s="1"/>
      <c r="E132" s="1"/>
      <c r="F132" s="1"/>
      <c r="G132" s="1"/>
      <c r="H132" s="1"/>
      <c r="I132" s="1"/>
      <c r="J132" s="1"/>
      <c r="K132" s="1"/>
      <c r="M132" s="10">
        <v>116</v>
      </c>
      <c r="N132" s="10" t="s">
        <v>180</v>
      </c>
      <c r="O132" s="10">
        <v>43814</v>
      </c>
      <c r="P132" s="10">
        <v>29</v>
      </c>
      <c r="Q132" s="10">
        <v>0</v>
      </c>
      <c r="R132" s="10">
        <v>0</v>
      </c>
      <c r="S132" s="10">
        <v>0</v>
      </c>
      <c r="T132" s="19">
        <v>19268</v>
      </c>
      <c r="U132" s="19"/>
      <c r="V132">
        <f t="shared" si="3"/>
        <v>19268</v>
      </c>
    </row>
    <row r="133" spans="1:22" x14ac:dyDescent="0.25">
      <c r="A133" t="s">
        <v>823</v>
      </c>
      <c r="B133" t="s">
        <v>179</v>
      </c>
      <c r="C133" s="1">
        <f>9461+4041</f>
        <v>13502</v>
      </c>
      <c r="D133" s="1">
        <f>1+4</f>
        <v>5</v>
      </c>
      <c r="E133" s="1">
        <v>0</v>
      </c>
      <c r="F133" s="1">
        <v>0</v>
      </c>
      <c r="G133" s="1">
        <v>0</v>
      </c>
      <c r="H133" s="1">
        <v>12140</v>
      </c>
      <c r="I133" s="1">
        <v>3749</v>
      </c>
      <c r="J133" s="1">
        <f>SUM(H133,I133)</f>
        <v>15889</v>
      </c>
      <c r="K133" s="1"/>
      <c r="M133" s="12">
        <v>100</v>
      </c>
      <c r="N133" s="12" t="s">
        <v>181</v>
      </c>
      <c r="O133" s="12"/>
      <c r="P133" s="12"/>
      <c r="Q133" s="12"/>
      <c r="R133" s="12"/>
      <c r="S133" s="12"/>
      <c r="T133" s="18"/>
      <c r="U133" s="18"/>
      <c r="V133">
        <f t="shared" si="3"/>
        <v>0</v>
      </c>
    </row>
    <row r="134" spans="1:22" x14ac:dyDescent="0.25">
      <c r="A134" t="s">
        <v>795</v>
      </c>
      <c r="B134" t="s">
        <v>180</v>
      </c>
      <c r="C134" s="1">
        <f>35784+16+8014</f>
        <v>43814</v>
      </c>
      <c r="D134" s="1">
        <f>23+6</f>
        <v>29</v>
      </c>
      <c r="E134" s="1">
        <v>0</v>
      </c>
      <c r="F134" s="1">
        <v>0</v>
      </c>
      <c r="G134" s="1">
        <v>0</v>
      </c>
      <c r="H134" s="1">
        <v>19268</v>
      </c>
      <c r="I134" s="1">
        <v>7294</v>
      </c>
      <c r="J134" s="1">
        <f>SUM(H134,I134)</f>
        <v>26562</v>
      </c>
      <c r="K134" s="1"/>
      <c r="M134" s="10">
        <v>700</v>
      </c>
      <c r="N134" s="10" t="s">
        <v>182</v>
      </c>
      <c r="O134" s="10">
        <v>15189</v>
      </c>
      <c r="P134" s="10">
        <v>75</v>
      </c>
      <c r="Q134" s="10">
        <v>0</v>
      </c>
      <c r="R134" s="10">
        <v>0</v>
      </c>
      <c r="S134" s="10">
        <v>0</v>
      </c>
      <c r="T134" s="19">
        <v>2207</v>
      </c>
      <c r="U134" s="19"/>
      <c r="V134">
        <f t="shared" si="3"/>
        <v>2207</v>
      </c>
    </row>
    <row r="135" spans="1:22" x14ac:dyDescent="0.25">
      <c r="A135" t="s">
        <v>791</v>
      </c>
      <c r="B135" t="s">
        <v>181</v>
      </c>
      <c r="C135" s="1"/>
      <c r="D135" s="1"/>
      <c r="E135" s="1"/>
      <c r="F135" s="1"/>
      <c r="G135" s="1"/>
      <c r="H135" s="1"/>
      <c r="I135" s="1"/>
      <c r="J135" s="1"/>
      <c r="K135" s="1"/>
      <c r="M135" s="12">
        <v>616</v>
      </c>
      <c r="N135" s="12" t="s">
        <v>183</v>
      </c>
      <c r="O135" s="12">
        <v>1084</v>
      </c>
      <c r="P135" s="12">
        <v>11</v>
      </c>
      <c r="Q135" s="12">
        <v>0</v>
      </c>
      <c r="R135" s="12">
        <v>0</v>
      </c>
      <c r="S135" s="12">
        <v>0</v>
      </c>
      <c r="T135" s="18">
        <v>3387</v>
      </c>
      <c r="U135" s="18"/>
      <c r="V135">
        <f t="shared" si="3"/>
        <v>3387</v>
      </c>
    </row>
    <row r="136" spans="1:22" x14ac:dyDescent="0.25">
      <c r="A136" t="s">
        <v>83</v>
      </c>
      <c r="B136" t="s">
        <v>182</v>
      </c>
      <c r="C136" s="1"/>
      <c r="D136" s="1"/>
      <c r="E136" s="1"/>
      <c r="F136" s="1"/>
      <c r="G136" s="1"/>
      <c r="H136" s="1"/>
      <c r="I136" s="1"/>
      <c r="J136" s="1"/>
      <c r="K136" s="1"/>
      <c r="M136" s="10">
        <v>310</v>
      </c>
      <c r="N136" s="10" t="s">
        <v>184</v>
      </c>
      <c r="O136" s="10">
        <v>15615</v>
      </c>
      <c r="P136" s="10">
        <v>144</v>
      </c>
      <c r="Q136" s="10">
        <v>0</v>
      </c>
      <c r="R136" s="10">
        <v>0</v>
      </c>
      <c r="S136" s="10">
        <v>0</v>
      </c>
      <c r="T136" s="19">
        <v>9080</v>
      </c>
      <c r="U136" s="19"/>
      <c r="V136">
        <f t="shared" si="3"/>
        <v>9080</v>
      </c>
    </row>
    <row r="137" spans="1:22" x14ac:dyDescent="0.25">
      <c r="A137" t="s">
        <v>817</v>
      </c>
      <c r="B137" t="s">
        <v>183</v>
      </c>
      <c r="C137" s="1">
        <f>9+1075</f>
        <v>1084</v>
      </c>
      <c r="D137" s="1">
        <f>10+1</f>
        <v>11</v>
      </c>
      <c r="E137" s="1">
        <v>0</v>
      </c>
      <c r="F137" s="1">
        <v>0</v>
      </c>
      <c r="G137" s="1">
        <v>0</v>
      </c>
      <c r="H137" s="1">
        <v>3387</v>
      </c>
      <c r="I137" s="1">
        <v>865</v>
      </c>
      <c r="J137" s="1">
        <f>SUM(H137,I137)</f>
        <v>4252</v>
      </c>
      <c r="K137" s="1"/>
      <c r="M137" s="12">
        <v>210</v>
      </c>
      <c r="N137" s="12" t="s">
        <v>186</v>
      </c>
      <c r="O137" s="12">
        <v>4342</v>
      </c>
      <c r="P137" s="12">
        <v>0</v>
      </c>
      <c r="Q137" s="12">
        <v>0</v>
      </c>
      <c r="R137" s="12">
        <v>0</v>
      </c>
      <c r="S137" s="12">
        <v>0</v>
      </c>
      <c r="T137" s="18">
        <v>5810</v>
      </c>
      <c r="U137" s="18"/>
      <c r="V137">
        <f t="shared" si="3"/>
        <v>5810</v>
      </c>
    </row>
    <row r="138" spans="1:22" x14ac:dyDescent="0.25">
      <c r="A138" t="s">
        <v>67</v>
      </c>
      <c r="B138" t="s">
        <v>184</v>
      </c>
      <c r="C138" s="1"/>
      <c r="D138" s="1"/>
      <c r="E138" s="1"/>
      <c r="F138" s="1"/>
      <c r="G138" s="1"/>
      <c r="H138" s="1"/>
      <c r="I138" s="1"/>
      <c r="J138" s="1"/>
      <c r="K138" s="1"/>
      <c r="M138" s="10">
        <v>313</v>
      </c>
      <c r="N138" s="10" t="s">
        <v>187</v>
      </c>
      <c r="O138" s="10">
        <v>7714</v>
      </c>
      <c r="P138" s="10">
        <v>0</v>
      </c>
      <c r="Q138" s="10">
        <v>0</v>
      </c>
      <c r="R138" s="10">
        <v>0</v>
      </c>
      <c r="S138" s="10">
        <v>0</v>
      </c>
      <c r="T138" s="19">
        <v>8037</v>
      </c>
      <c r="U138" s="19"/>
      <c r="V138">
        <f t="shared" si="3"/>
        <v>8037</v>
      </c>
    </row>
    <row r="139" spans="1:22" x14ac:dyDescent="0.25">
      <c r="A139" t="s">
        <v>865</v>
      </c>
      <c r="B139" t="s">
        <v>186</v>
      </c>
      <c r="C139" s="1">
        <f>3098+1244</f>
        <v>4342</v>
      </c>
      <c r="D139" s="1">
        <v>0</v>
      </c>
      <c r="E139" s="1">
        <v>0</v>
      </c>
      <c r="F139" s="1">
        <v>0</v>
      </c>
      <c r="G139" s="1">
        <v>0</v>
      </c>
      <c r="H139" s="1">
        <v>5810</v>
      </c>
      <c r="I139" s="1">
        <v>697</v>
      </c>
      <c r="J139" s="1">
        <f>SUM(H139,I139)</f>
        <v>6507</v>
      </c>
      <c r="K139" s="1"/>
      <c r="M139" s="12">
        <v>118</v>
      </c>
      <c r="N139" s="12" t="s">
        <v>189</v>
      </c>
      <c r="O139" s="12">
        <v>18847</v>
      </c>
      <c r="P139" s="12">
        <v>28</v>
      </c>
      <c r="Q139" s="12">
        <v>0</v>
      </c>
      <c r="R139" s="12">
        <v>0</v>
      </c>
      <c r="S139" s="12">
        <v>0</v>
      </c>
      <c r="T139" s="18">
        <v>1597</v>
      </c>
      <c r="U139" s="18"/>
      <c r="V139">
        <f t="shared" si="3"/>
        <v>1597</v>
      </c>
    </row>
    <row r="140" spans="1:22" x14ac:dyDescent="0.25">
      <c r="A140" t="s">
        <v>512</v>
      </c>
      <c r="B140" t="s">
        <v>187</v>
      </c>
      <c r="C140" s="1">
        <f>5983+112+29+2+1563</f>
        <v>7689</v>
      </c>
      <c r="D140" s="1">
        <v>0</v>
      </c>
      <c r="E140" s="1">
        <v>0</v>
      </c>
      <c r="F140" s="1">
        <v>0</v>
      </c>
      <c r="G140" s="1">
        <v>0</v>
      </c>
      <c r="H140" s="1">
        <v>8037</v>
      </c>
      <c r="I140" s="1">
        <v>1314</v>
      </c>
      <c r="J140" s="1">
        <f>SUM(H140,I140)</f>
        <v>9351</v>
      </c>
      <c r="K140" s="1"/>
      <c r="M140" s="10">
        <v>700</v>
      </c>
      <c r="N140" s="10" t="s">
        <v>190</v>
      </c>
      <c r="O140" s="10">
        <v>19498</v>
      </c>
      <c r="P140" s="10">
        <v>11</v>
      </c>
      <c r="Q140" s="10">
        <v>0</v>
      </c>
      <c r="R140" s="10">
        <v>0</v>
      </c>
      <c r="S140" s="10">
        <v>0</v>
      </c>
      <c r="T140" s="19">
        <v>2936</v>
      </c>
      <c r="U140" s="19"/>
      <c r="V140">
        <f t="shared" si="3"/>
        <v>2936</v>
      </c>
    </row>
    <row r="141" spans="1:22" x14ac:dyDescent="0.25">
      <c r="A141" t="s">
        <v>231</v>
      </c>
      <c r="B141" t="s">
        <v>189</v>
      </c>
      <c r="C141" s="1"/>
      <c r="D141" s="1"/>
      <c r="E141" s="1"/>
      <c r="F141" s="1"/>
      <c r="G141" s="1"/>
      <c r="H141" s="1"/>
      <c r="I141" s="1"/>
      <c r="J141" s="1"/>
      <c r="K141" s="1"/>
      <c r="M141" s="12">
        <v>712</v>
      </c>
      <c r="N141" s="12" t="s">
        <v>191</v>
      </c>
      <c r="O141" s="12">
        <v>23420</v>
      </c>
      <c r="P141" s="12">
        <v>606</v>
      </c>
      <c r="Q141" s="12">
        <v>0</v>
      </c>
      <c r="R141" s="12">
        <v>0</v>
      </c>
      <c r="S141" s="12">
        <v>0</v>
      </c>
      <c r="T141" s="18">
        <v>284</v>
      </c>
      <c r="U141" s="18"/>
      <c r="V141">
        <f t="shared" si="3"/>
        <v>284</v>
      </c>
    </row>
    <row r="142" spans="1:22" x14ac:dyDescent="0.25">
      <c r="A142" t="s">
        <v>83</v>
      </c>
      <c r="B142" t="s">
        <v>190</v>
      </c>
      <c r="C142" s="1"/>
      <c r="D142" s="1"/>
      <c r="E142" s="1"/>
      <c r="F142" s="1"/>
      <c r="G142" s="1"/>
      <c r="H142" s="1"/>
      <c r="I142" s="1"/>
      <c r="J142" s="1"/>
      <c r="K142" s="1"/>
      <c r="M142" s="10">
        <v>511</v>
      </c>
      <c r="N142" s="10" t="s">
        <v>192</v>
      </c>
      <c r="O142" s="10">
        <v>25193</v>
      </c>
      <c r="P142" s="10">
        <v>188</v>
      </c>
      <c r="Q142" s="10">
        <v>0</v>
      </c>
      <c r="R142" s="10">
        <v>0</v>
      </c>
      <c r="S142" s="10">
        <v>0</v>
      </c>
      <c r="T142" s="19">
        <v>22844</v>
      </c>
      <c r="U142" s="19"/>
      <c r="V142">
        <f t="shared" si="3"/>
        <v>22844</v>
      </c>
    </row>
    <row r="143" spans="1:22" x14ac:dyDescent="0.25">
      <c r="A143" t="s">
        <v>76</v>
      </c>
      <c r="B143" t="s">
        <v>191</v>
      </c>
      <c r="C143" s="1">
        <f>14267+9153</f>
        <v>23420</v>
      </c>
      <c r="D143" s="1">
        <f>3+603</f>
        <v>606</v>
      </c>
      <c r="E143" s="1">
        <v>0</v>
      </c>
      <c r="F143" s="1">
        <v>0</v>
      </c>
      <c r="G143" s="1">
        <v>0</v>
      </c>
      <c r="H143" s="1">
        <v>284</v>
      </c>
      <c r="I143" s="1">
        <v>5788</v>
      </c>
      <c r="J143" s="1">
        <f>SUM(H143,I143)</f>
        <v>6072</v>
      </c>
      <c r="K143" s="1"/>
      <c r="M143" s="12">
        <v>114</v>
      </c>
      <c r="N143" s="12" t="s">
        <v>193</v>
      </c>
      <c r="O143" s="12">
        <v>1290</v>
      </c>
      <c r="P143" s="12">
        <v>0</v>
      </c>
      <c r="Q143" s="12">
        <v>0</v>
      </c>
      <c r="R143" s="12">
        <v>0</v>
      </c>
      <c r="S143" s="12">
        <v>0</v>
      </c>
      <c r="T143" s="18">
        <v>274</v>
      </c>
      <c r="U143" s="18"/>
      <c r="V143">
        <f t="shared" si="3"/>
        <v>274</v>
      </c>
    </row>
    <row r="144" spans="1:22" x14ac:dyDescent="0.25">
      <c r="A144" t="s">
        <v>101</v>
      </c>
      <c r="B144" t="s">
        <v>192</v>
      </c>
      <c r="C144" s="1">
        <f>21315+7+3871</f>
        <v>25193</v>
      </c>
      <c r="D144" s="1">
        <v>188</v>
      </c>
      <c r="E144" s="1">
        <v>0</v>
      </c>
      <c r="F144" s="1">
        <v>0</v>
      </c>
      <c r="G144" s="1">
        <v>0</v>
      </c>
      <c r="H144" s="1">
        <v>22844</v>
      </c>
      <c r="I144" s="1">
        <v>2580</v>
      </c>
      <c r="J144" s="1">
        <f>SUM(H144,I144)</f>
        <v>25424</v>
      </c>
      <c r="K144" s="1"/>
      <c r="M144" s="10">
        <v>111</v>
      </c>
      <c r="N144" s="10" t="s">
        <v>194</v>
      </c>
      <c r="O144" s="10">
        <v>27371</v>
      </c>
      <c r="P144" s="10">
        <v>185</v>
      </c>
      <c r="Q144" s="10">
        <v>0</v>
      </c>
      <c r="R144" s="10">
        <v>0</v>
      </c>
      <c r="S144" s="10">
        <v>0</v>
      </c>
      <c r="T144" s="19">
        <v>776</v>
      </c>
      <c r="U144" s="19"/>
      <c r="V144">
        <f t="shared" si="3"/>
        <v>776</v>
      </c>
    </row>
    <row r="145" spans="1:22" x14ac:dyDescent="0.25">
      <c r="A145" t="s">
        <v>831</v>
      </c>
      <c r="B145" t="s">
        <v>193</v>
      </c>
      <c r="C145" s="1">
        <f>1153+137</f>
        <v>1290</v>
      </c>
      <c r="D145" s="1">
        <v>0</v>
      </c>
      <c r="E145" s="1">
        <v>0</v>
      </c>
      <c r="F145" s="1">
        <v>0</v>
      </c>
      <c r="G145" s="1">
        <v>0</v>
      </c>
      <c r="H145" s="1">
        <v>274</v>
      </c>
      <c r="I145" s="1">
        <v>119</v>
      </c>
      <c r="J145" s="1">
        <f>SUM(H145,I145)</f>
        <v>393</v>
      </c>
      <c r="K145" s="1"/>
      <c r="M145" s="12">
        <v>712</v>
      </c>
      <c r="N145" s="12" t="s">
        <v>195</v>
      </c>
      <c r="O145" s="12">
        <v>30894</v>
      </c>
      <c r="P145" s="12">
        <v>31</v>
      </c>
      <c r="Q145" s="12">
        <v>0</v>
      </c>
      <c r="R145" s="12">
        <v>0</v>
      </c>
      <c r="S145" s="12">
        <v>0</v>
      </c>
      <c r="T145" s="18">
        <v>10249</v>
      </c>
      <c r="U145" s="18"/>
      <c r="V145">
        <f t="shared" si="3"/>
        <v>10249</v>
      </c>
    </row>
    <row r="146" spans="1:22" x14ac:dyDescent="0.25">
      <c r="A146" t="s">
        <v>811</v>
      </c>
      <c r="B146" t="s">
        <v>194</v>
      </c>
      <c r="C146" s="1"/>
      <c r="D146" s="1"/>
      <c r="E146" s="1"/>
      <c r="F146" s="1"/>
      <c r="G146" s="1"/>
      <c r="H146" s="1"/>
      <c r="I146" s="1"/>
      <c r="J146" s="1"/>
      <c r="K146" s="1"/>
      <c r="M146" s="10">
        <v>610</v>
      </c>
      <c r="N146" s="10" t="s">
        <v>196</v>
      </c>
      <c r="O146" s="10">
        <v>18733</v>
      </c>
      <c r="P146" s="10">
        <v>194</v>
      </c>
      <c r="Q146" s="10">
        <v>0</v>
      </c>
      <c r="R146" s="10">
        <v>0</v>
      </c>
      <c r="S146" s="10">
        <v>0</v>
      </c>
      <c r="T146" s="19">
        <v>18590</v>
      </c>
      <c r="U146" s="19"/>
      <c r="V146">
        <f t="shared" si="3"/>
        <v>18590</v>
      </c>
    </row>
    <row r="147" spans="1:22" x14ac:dyDescent="0.25">
      <c r="A147" t="s">
        <v>76</v>
      </c>
      <c r="B147" t="s">
        <v>195</v>
      </c>
      <c r="C147" s="1">
        <f>27274+8+56+3556</f>
        <v>30894</v>
      </c>
      <c r="D147" s="1">
        <f>25+6</f>
        <v>31</v>
      </c>
      <c r="E147" s="1">
        <v>0</v>
      </c>
      <c r="F147" s="1">
        <v>0</v>
      </c>
      <c r="G147" s="1">
        <v>0</v>
      </c>
      <c r="H147" s="1">
        <v>10249</v>
      </c>
      <c r="I147" s="1">
        <v>3115</v>
      </c>
      <c r="J147" s="1">
        <f t="shared" ref="J147:J167" si="5">SUM(H147,I147)</f>
        <v>13364</v>
      </c>
      <c r="K147" s="1"/>
      <c r="M147" s="12">
        <v>616</v>
      </c>
      <c r="N147" s="12" t="s">
        <v>197</v>
      </c>
      <c r="O147" s="12">
        <v>9271</v>
      </c>
      <c r="P147" s="12">
        <v>100</v>
      </c>
      <c r="Q147" s="12">
        <v>0</v>
      </c>
      <c r="R147" s="12">
        <v>0</v>
      </c>
      <c r="S147" s="12">
        <v>0</v>
      </c>
      <c r="T147" s="18">
        <v>12290</v>
      </c>
      <c r="U147" s="18"/>
      <c r="V147">
        <f t="shared" si="3"/>
        <v>12290</v>
      </c>
    </row>
    <row r="148" spans="1:22" x14ac:dyDescent="0.25">
      <c r="A148" t="s">
        <v>788</v>
      </c>
      <c r="B148" t="s">
        <v>196</v>
      </c>
      <c r="C148" s="1">
        <f>10071+5+4+1+8652</f>
        <v>18733</v>
      </c>
      <c r="D148" s="1">
        <f>1+2+28+163</f>
        <v>194</v>
      </c>
      <c r="E148" s="1">
        <v>0</v>
      </c>
      <c r="F148" s="1">
        <v>0</v>
      </c>
      <c r="G148" s="1">
        <v>0</v>
      </c>
      <c r="H148" s="1">
        <v>18590</v>
      </c>
      <c r="I148" s="1">
        <v>7177</v>
      </c>
      <c r="J148" s="1">
        <f t="shared" si="5"/>
        <v>25767</v>
      </c>
      <c r="K148" s="1"/>
      <c r="M148" s="10">
        <v>616</v>
      </c>
      <c r="N148" s="10" t="s">
        <v>198</v>
      </c>
      <c r="O148" s="10">
        <v>7691</v>
      </c>
      <c r="P148" s="10">
        <v>109</v>
      </c>
      <c r="Q148" s="10">
        <v>0</v>
      </c>
      <c r="R148" s="10">
        <v>0</v>
      </c>
      <c r="S148" s="10">
        <v>0</v>
      </c>
      <c r="T148" s="19">
        <v>10907</v>
      </c>
      <c r="U148" s="19"/>
      <c r="V148">
        <f t="shared" ref="V148:V211" si="6">SUM(T148:U148)</f>
        <v>10907</v>
      </c>
    </row>
    <row r="149" spans="1:22" x14ac:dyDescent="0.25">
      <c r="A149" t="s">
        <v>817</v>
      </c>
      <c r="B149" t="s">
        <v>197</v>
      </c>
      <c r="C149" s="1">
        <f>2186+23+7062</f>
        <v>9271</v>
      </c>
      <c r="D149" s="1">
        <f>8+5+25+62</f>
        <v>100</v>
      </c>
      <c r="E149" s="1">
        <v>0</v>
      </c>
      <c r="F149" s="1">
        <v>0</v>
      </c>
      <c r="G149" s="1">
        <v>0</v>
      </c>
      <c r="H149" s="1">
        <v>12290</v>
      </c>
      <c r="I149" s="1">
        <v>6156</v>
      </c>
      <c r="J149" s="1">
        <f t="shared" si="5"/>
        <v>18446</v>
      </c>
      <c r="K149" s="1"/>
      <c r="M149" s="12">
        <v>710</v>
      </c>
      <c r="N149" s="12" t="s">
        <v>199</v>
      </c>
      <c r="O149" s="12">
        <v>12428</v>
      </c>
      <c r="P149" s="12">
        <v>7</v>
      </c>
      <c r="Q149" s="12">
        <v>0</v>
      </c>
      <c r="R149" s="12">
        <v>0</v>
      </c>
      <c r="S149" s="12">
        <v>0</v>
      </c>
      <c r="T149" s="18">
        <v>92211</v>
      </c>
      <c r="U149" s="18"/>
      <c r="V149">
        <f t="shared" si="6"/>
        <v>92211</v>
      </c>
    </row>
    <row r="150" spans="1:22" x14ac:dyDescent="0.25">
      <c r="A150" t="s">
        <v>817</v>
      </c>
      <c r="B150" t="s">
        <v>198</v>
      </c>
      <c r="C150" s="1">
        <f>2498+5193</f>
        <v>7691</v>
      </c>
      <c r="D150" s="1">
        <f>3+62+44</f>
        <v>109</v>
      </c>
      <c r="E150" s="1">
        <v>0</v>
      </c>
      <c r="F150" s="1">
        <v>0</v>
      </c>
      <c r="G150" s="1">
        <v>0</v>
      </c>
      <c r="H150" s="1">
        <v>10907</v>
      </c>
      <c r="I150" s="1">
        <v>5215</v>
      </c>
      <c r="J150" s="1">
        <f t="shared" si="5"/>
        <v>16122</v>
      </c>
      <c r="K150" s="1"/>
      <c r="M150" s="10">
        <v>712</v>
      </c>
      <c r="N150" s="10" t="s">
        <v>200</v>
      </c>
      <c r="O150" s="10">
        <v>15861</v>
      </c>
      <c r="P150" s="10">
        <v>100</v>
      </c>
      <c r="Q150" s="10">
        <v>0</v>
      </c>
      <c r="R150" s="10">
        <v>0</v>
      </c>
      <c r="S150" s="10">
        <v>0</v>
      </c>
      <c r="T150" s="19">
        <v>9778</v>
      </c>
      <c r="U150" s="19"/>
      <c r="V150">
        <f t="shared" si="6"/>
        <v>9778</v>
      </c>
    </row>
    <row r="151" spans="1:22" x14ac:dyDescent="0.25">
      <c r="A151" t="s">
        <v>69</v>
      </c>
      <c r="B151" t="s">
        <v>199</v>
      </c>
      <c r="C151" s="1">
        <f>9053+3375</f>
        <v>12428</v>
      </c>
      <c r="D151" s="1">
        <v>7</v>
      </c>
      <c r="E151" s="1">
        <v>0</v>
      </c>
      <c r="F151" s="1">
        <v>0</v>
      </c>
      <c r="G151" s="1">
        <v>0</v>
      </c>
      <c r="H151" s="1">
        <v>92211</v>
      </c>
      <c r="I151" s="1">
        <v>2949</v>
      </c>
      <c r="J151" s="1">
        <f t="shared" si="5"/>
        <v>95160</v>
      </c>
      <c r="K151" s="1"/>
      <c r="M151" s="12">
        <v>311</v>
      </c>
      <c r="N151" s="12" t="s">
        <v>201</v>
      </c>
      <c r="O151" s="12">
        <v>14235</v>
      </c>
      <c r="P151" s="12">
        <v>249</v>
      </c>
      <c r="Q151" s="12">
        <v>0</v>
      </c>
      <c r="R151" s="12">
        <v>0</v>
      </c>
      <c r="S151" s="12">
        <v>0</v>
      </c>
      <c r="T151" s="18">
        <v>3280</v>
      </c>
      <c r="U151" s="18"/>
      <c r="V151">
        <f t="shared" si="6"/>
        <v>3280</v>
      </c>
    </row>
    <row r="152" spans="1:22" x14ac:dyDescent="0.25">
      <c r="A152" t="s">
        <v>76</v>
      </c>
      <c r="B152" t="s">
        <v>200</v>
      </c>
      <c r="C152" s="1">
        <f>11125+23+2+68+27+4616</f>
        <v>15861</v>
      </c>
      <c r="D152" s="1">
        <f>53+4+24+19</f>
        <v>100</v>
      </c>
      <c r="E152" s="1">
        <v>0</v>
      </c>
      <c r="F152" s="1">
        <v>0</v>
      </c>
      <c r="G152" s="1">
        <v>0</v>
      </c>
      <c r="H152" s="1">
        <v>9778</v>
      </c>
      <c r="I152" s="1">
        <v>4062</v>
      </c>
      <c r="J152" s="1">
        <f t="shared" si="5"/>
        <v>13840</v>
      </c>
      <c r="K152" s="1"/>
      <c r="M152" s="10">
        <v>613</v>
      </c>
      <c r="N152" s="10" t="s">
        <v>202</v>
      </c>
      <c r="O152" s="10">
        <v>8552</v>
      </c>
      <c r="P152" s="10">
        <v>0</v>
      </c>
      <c r="Q152" s="10">
        <v>0</v>
      </c>
      <c r="R152" s="10">
        <v>0</v>
      </c>
      <c r="S152" s="10">
        <v>0</v>
      </c>
      <c r="T152" s="19">
        <v>3950</v>
      </c>
      <c r="U152" s="19"/>
      <c r="V152">
        <f t="shared" si="6"/>
        <v>3950</v>
      </c>
    </row>
    <row r="153" spans="1:22" x14ac:dyDescent="0.25">
      <c r="A153" t="s">
        <v>120</v>
      </c>
      <c r="B153" t="s">
        <v>201</v>
      </c>
      <c r="C153" s="1">
        <f>10605+3630</f>
        <v>14235</v>
      </c>
      <c r="D153" s="1">
        <f>111+120+18</f>
        <v>249</v>
      </c>
      <c r="E153" s="1">
        <v>0</v>
      </c>
      <c r="F153" s="1">
        <v>0</v>
      </c>
      <c r="G153" s="1">
        <v>0</v>
      </c>
      <c r="H153" s="1">
        <v>3280</v>
      </c>
      <c r="I153" s="1">
        <v>2000</v>
      </c>
      <c r="J153" s="1">
        <f t="shared" si="5"/>
        <v>5280</v>
      </c>
      <c r="K153" s="1"/>
      <c r="M153" s="12">
        <v>610</v>
      </c>
      <c r="N153" s="12" t="s">
        <v>203</v>
      </c>
      <c r="O153" s="12">
        <v>48678</v>
      </c>
      <c r="P153" s="12">
        <v>4</v>
      </c>
      <c r="Q153" s="12">
        <v>0</v>
      </c>
      <c r="R153" s="12">
        <v>0</v>
      </c>
      <c r="S153" s="12">
        <v>0</v>
      </c>
      <c r="T153" s="18">
        <v>3184</v>
      </c>
      <c r="U153" s="18"/>
      <c r="V153">
        <f t="shared" si="6"/>
        <v>3184</v>
      </c>
    </row>
    <row r="154" spans="1:22" x14ac:dyDescent="0.25">
      <c r="A154" t="s">
        <v>495</v>
      </c>
      <c r="B154" t="s">
        <v>202</v>
      </c>
      <c r="C154" s="1">
        <f>3992+2+5+1+420+4087+1+44</f>
        <v>8552</v>
      </c>
      <c r="D154" s="1">
        <v>0</v>
      </c>
      <c r="E154" s="1">
        <v>0</v>
      </c>
      <c r="F154" s="1">
        <v>0</v>
      </c>
      <c r="G154" s="1">
        <v>0</v>
      </c>
      <c r="H154" s="1">
        <v>3950</v>
      </c>
      <c r="I154" s="1">
        <v>3570</v>
      </c>
      <c r="J154" s="1">
        <f t="shared" si="5"/>
        <v>7520</v>
      </c>
      <c r="K154" s="1"/>
      <c r="M154" s="10">
        <v>312</v>
      </c>
      <c r="N154" s="10" t="s">
        <v>204</v>
      </c>
      <c r="O154" s="10">
        <v>9142</v>
      </c>
      <c r="P154" s="10">
        <v>7</v>
      </c>
      <c r="Q154" s="10">
        <v>0</v>
      </c>
      <c r="R154" s="10">
        <v>0</v>
      </c>
      <c r="S154" s="10">
        <v>0</v>
      </c>
      <c r="T154" s="19">
        <v>1558</v>
      </c>
      <c r="U154" s="19"/>
      <c r="V154">
        <f t="shared" si="6"/>
        <v>1558</v>
      </c>
    </row>
    <row r="155" spans="1:22" x14ac:dyDescent="0.25">
      <c r="A155" t="s">
        <v>788</v>
      </c>
      <c r="B155" t="s">
        <v>203</v>
      </c>
      <c r="C155" s="1">
        <f>21685+10+3+3+26980</f>
        <v>48681</v>
      </c>
      <c r="D155" s="1">
        <f>3+1</f>
        <v>4</v>
      </c>
      <c r="E155" s="1">
        <v>0</v>
      </c>
      <c r="F155" s="1">
        <v>0</v>
      </c>
      <c r="G155" s="1">
        <v>0</v>
      </c>
      <c r="H155" s="1">
        <v>3184</v>
      </c>
      <c r="I155" s="1">
        <v>3036</v>
      </c>
      <c r="J155" s="1">
        <f t="shared" si="5"/>
        <v>6220</v>
      </c>
      <c r="K155" s="1"/>
      <c r="M155" s="12">
        <v>712</v>
      </c>
      <c r="N155" s="12" t="s">
        <v>205</v>
      </c>
      <c r="O155" s="12">
        <v>11483</v>
      </c>
      <c r="P155" s="12">
        <v>209</v>
      </c>
      <c r="Q155" s="12">
        <v>0</v>
      </c>
      <c r="R155" s="12">
        <v>0</v>
      </c>
      <c r="S155" s="12">
        <v>0</v>
      </c>
      <c r="T155" s="18">
        <v>17487</v>
      </c>
      <c r="U155" s="18"/>
      <c r="V155">
        <f t="shared" si="6"/>
        <v>17487</v>
      </c>
    </row>
    <row r="156" spans="1:22" x14ac:dyDescent="0.25">
      <c r="A156" t="s">
        <v>72</v>
      </c>
      <c r="B156" t="s">
        <v>204</v>
      </c>
      <c r="C156" s="1">
        <f>8234+8+8+892</f>
        <v>9142</v>
      </c>
      <c r="D156" s="1">
        <v>7</v>
      </c>
      <c r="E156" s="1">
        <v>0</v>
      </c>
      <c r="F156" s="1">
        <v>0</v>
      </c>
      <c r="G156" s="1">
        <v>0</v>
      </c>
      <c r="H156" s="1">
        <v>1558</v>
      </c>
      <c r="I156" s="1">
        <v>822</v>
      </c>
      <c r="J156" s="1">
        <f t="shared" si="5"/>
        <v>2380</v>
      </c>
      <c r="K156" s="1"/>
      <c r="M156" s="10">
        <v>211</v>
      </c>
      <c r="N156" s="10" t="s">
        <v>206</v>
      </c>
      <c r="O156" s="10"/>
      <c r="P156" s="10"/>
      <c r="Q156" s="10"/>
      <c r="R156" s="10"/>
      <c r="S156" s="10"/>
      <c r="T156" s="19"/>
      <c r="U156" s="19"/>
      <c r="V156">
        <f t="shared" si="6"/>
        <v>0</v>
      </c>
    </row>
    <row r="157" spans="1:22" x14ac:dyDescent="0.25">
      <c r="A157" t="s">
        <v>76</v>
      </c>
      <c r="B157" t="s">
        <v>205</v>
      </c>
      <c r="C157" s="1">
        <f>4492+18+22+1+6950</f>
        <v>11483</v>
      </c>
      <c r="D157" s="1">
        <f>46+163</f>
        <v>209</v>
      </c>
      <c r="E157" s="1">
        <v>0</v>
      </c>
      <c r="F157" s="1">
        <v>0</v>
      </c>
      <c r="G157" s="1">
        <v>0</v>
      </c>
      <c r="H157" s="1">
        <v>17487</v>
      </c>
      <c r="I157" s="1">
        <v>4476</v>
      </c>
      <c r="J157" s="1">
        <f t="shared" si="5"/>
        <v>21963</v>
      </c>
      <c r="K157" s="1"/>
      <c r="M157" s="12">
        <v>712</v>
      </c>
      <c r="N157" s="12" t="s">
        <v>207</v>
      </c>
      <c r="O157" s="12">
        <v>25318</v>
      </c>
      <c r="P157" s="12">
        <v>29</v>
      </c>
      <c r="Q157" s="12">
        <v>0</v>
      </c>
      <c r="R157" s="12">
        <v>0</v>
      </c>
      <c r="S157" s="12">
        <v>0</v>
      </c>
      <c r="T157" s="18">
        <v>5697</v>
      </c>
      <c r="U157" s="18"/>
      <c r="V157">
        <f t="shared" si="6"/>
        <v>5697</v>
      </c>
    </row>
    <row r="158" spans="1:22" x14ac:dyDescent="0.25">
      <c r="A158" t="s">
        <v>864</v>
      </c>
      <c r="B158" t="s">
        <v>206</v>
      </c>
      <c r="C158" s="1">
        <f>2137+237+3494+1007</f>
        <v>6875</v>
      </c>
      <c r="D158" s="1">
        <v>1</v>
      </c>
      <c r="E158" s="1">
        <v>0</v>
      </c>
      <c r="F158" s="1">
        <v>0</v>
      </c>
      <c r="G158" s="1">
        <v>0</v>
      </c>
      <c r="H158" s="1">
        <v>8521</v>
      </c>
      <c r="I158" s="1">
        <v>4220</v>
      </c>
      <c r="J158" s="1">
        <f t="shared" si="5"/>
        <v>12741</v>
      </c>
      <c r="K158" s="1"/>
      <c r="M158" s="10" t="s">
        <v>820</v>
      </c>
      <c r="N158" s="10" t="s">
        <v>208</v>
      </c>
      <c r="O158" s="10">
        <v>3661</v>
      </c>
      <c r="P158" s="10">
        <v>0</v>
      </c>
      <c r="Q158" s="10">
        <v>0</v>
      </c>
      <c r="R158" s="10">
        <v>0</v>
      </c>
      <c r="S158" s="10">
        <v>0</v>
      </c>
      <c r="T158" s="19">
        <v>8372</v>
      </c>
      <c r="U158" s="19"/>
      <c r="V158">
        <f t="shared" si="6"/>
        <v>8372</v>
      </c>
    </row>
    <row r="159" spans="1:22" x14ac:dyDescent="0.25">
      <c r="A159" t="s">
        <v>76</v>
      </c>
      <c r="B159" t="s">
        <v>207</v>
      </c>
      <c r="C159" s="1">
        <f>15275+10043</f>
        <v>25318</v>
      </c>
      <c r="D159" s="1">
        <f>5+24</f>
        <v>29</v>
      </c>
      <c r="E159" s="1">
        <v>0</v>
      </c>
      <c r="F159" s="1">
        <v>0</v>
      </c>
      <c r="G159" s="1">
        <v>0</v>
      </c>
      <c r="H159" s="1">
        <v>5697</v>
      </c>
      <c r="I159" s="1">
        <v>8883</v>
      </c>
      <c r="J159" s="1">
        <f t="shared" si="5"/>
        <v>14580</v>
      </c>
      <c r="K159" s="1"/>
      <c r="M159" s="12">
        <v>711</v>
      </c>
      <c r="N159" s="12" t="s">
        <v>209</v>
      </c>
      <c r="O159" s="12"/>
      <c r="P159" s="12"/>
      <c r="Q159" s="12"/>
      <c r="R159" s="12"/>
      <c r="S159" s="12"/>
      <c r="T159" s="18"/>
      <c r="U159" s="18"/>
      <c r="V159">
        <f t="shared" si="6"/>
        <v>0</v>
      </c>
    </row>
    <row r="160" spans="1:22" x14ac:dyDescent="0.25">
      <c r="A160" t="s">
        <v>265</v>
      </c>
      <c r="B160" t="s">
        <v>208</v>
      </c>
      <c r="C160" s="1">
        <f>3075+586</f>
        <v>3661</v>
      </c>
      <c r="D160" s="1">
        <v>0</v>
      </c>
      <c r="E160" s="1">
        <v>0</v>
      </c>
      <c r="F160" s="1">
        <v>0</v>
      </c>
      <c r="G160" s="1">
        <v>0</v>
      </c>
      <c r="H160" s="1">
        <v>8372</v>
      </c>
      <c r="I160" s="1">
        <v>576</v>
      </c>
      <c r="J160" s="1">
        <f t="shared" si="5"/>
        <v>8948</v>
      </c>
      <c r="K160" s="1"/>
      <c r="M160" s="10">
        <v>312</v>
      </c>
      <c r="N160" s="10" t="s">
        <v>210</v>
      </c>
      <c r="O160" s="10">
        <v>15937</v>
      </c>
      <c r="P160" s="10">
        <v>60</v>
      </c>
      <c r="Q160" s="10">
        <v>0</v>
      </c>
      <c r="R160" s="10">
        <v>0</v>
      </c>
      <c r="S160" s="10">
        <v>0</v>
      </c>
      <c r="T160" s="19">
        <v>12031</v>
      </c>
      <c r="U160" s="19"/>
      <c r="V160">
        <f t="shared" si="6"/>
        <v>12031</v>
      </c>
    </row>
    <row r="161" spans="1:22" x14ac:dyDescent="0.25">
      <c r="A161" t="s">
        <v>801</v>
      </c>
      <c r="B161" t="s">
        <v>209</v>
      </c>
      <c r="C161" s="1">
        <f>8092+20+14+6980+2</f>
        <v>15108</v>
      </c>
      <c r="D161" s="1">
        <f>8+117+6+84</f>
        <v>215</v>
      </c>
      <c r="E161" s="1">
        <v>0</v>
      </c>
      <c r="F161" s="1">
        <v>0</v>
      </c>
      <c r="G161" s="1">
        <v>0</v>
      </c>
      <c r="H161" s="1">
        <v>28778</v>
      </c>
      <c r="I161" s="1">
        <v>6800</v>
      </c>
      <c r="J161" s="1">
        <f t="shared" si="5"/>
        <v>35578</v>
      </c>
      <c r="K161" s="1"/>
      <c r="M161" s="12">
        <v>616</v>
      </c>
      <c r="N161" s="12" t="s">
        <v>211</v>
      </c>
      <c r="O161" s="12">
        <v>34419</v>
      </c>
      <c r="P161" s="12">
        <v>160</v>
      </c>
      <c r="Q161" s="12">
        <v>0</v>
      </c>
      <c r="R161" s="12">
        <v>0</v>
      </c>
      <c r="S161" s="12">
        <v>0</v>
      </c>
      <c r="T161" s="18">
        <v>22115</v>
      </c>
      <c r="U161" s="18"/>
      <c r="V161">
        <f t="shared" si="6"/>
        <v>22115</v>
      </c>
    </row>
    <row r="162" spans="1:22" x14ac:dyDescent="0.25">
      <c r="A162" t="s">
        <v>72</v>
      </c>
      <c r="B162" t="s">
        <v>210</v>
      </c>
      <c r="C162" s="1">
        <f>9268+40+5+1+12+6611</f>
        <v>15937</v>
      </c>
      <c r="D162" s="1">
        <f>25+34+1</f>
        <v>60</v>
      </c>
      <c r="E162" s="1">
        <v>0</v>
      </c>
      <c r="F162" s="1">
        <v>0</v>
      </c>
      <c r="G162" s="1">
        <v>0</v>
      </c>
      <c r="H162" s="1">
        <v>12031</v>
      </c>
      <c r="I162" s="1">
        <v>6133</v>
      </c>
      <c r="J162" s="1">
        <f t="shared" si="5"/>
        <v>18164</v>
      </c>
      <c r="K162" s="1"/>
      <c r="M162" s="10">
        <v>312</v>
      </c>
      <c r="N162" s="10" t="s">
        <v>212</v>
      </c>
      <c r="O162" s="10">
        <v>11391</v>
      </c>
      <c r="P162" s="10">
        <v>1</v>
      </c>
      <c r="Q162" s="10">
        <v>0</v>
      </c>
      <c r="R162" s="10">
        <v>0</v>
      </c>
      <c r="S162" s="10">
        <v>0</v>
      </c>
      <c r="T162" s="19">
        <v>2410</v>
      </c>
      <c r="U162" s="19"/>
      <c r="V162">
        <f t="shared" si="6"/>
        <v>2410</v>
      </c>
    </row>
    <row r="163" spans="1:22" x14ac:dyDescent="0.25">
      <c r="A163" t="s">
        <v>817</v>
      </c>
      <c r="B163" t="s">
        <v>211</v>
      </c>
      <c r="C163" s="1">
        <f>1770+35+4+32609+1</f>
        <v>34419</v>
      </c>
      <c r="D163" s="1">
        <f>47+77+36</f>
        <v>160</v>
      </c>
      <c r="E163" s="1">
        <v>0</v>
      </c>
      <c r="F163" s="1">
        <v>0</v>
      </c>
      <c r="G163" s="1">
        <v>0</v>
      </c>
      <c r="H163" s="1">
        <v>22115</v>
      </c>
      <c r="I163" s="1">
        <v>28416</v>
      </c>
      <c r="J163" s="1">
        <f t="shared" si="5"/>
        <v>50531</v>
      </c>
      <c r="K163" s="1"/>
      <c r="M163" s="12">
        <v>514</v>
      </c>
      <c r="N163" s="12" t="s">
        <v>213</v>
      </c>
      <c r="O163" s="12">
        <v>2357</v>
      </c>
      <c r="P163" s="12">
        <v>0</v>
      </c>
      <c r="Q163" s="12">
        <v>0</v>
      </c>
      <c r="R163" s="12">
        <v>0</v>
      </c>
      <c r="S163" s="12">
        <v>0</v>
      </c>
      <c r="T163" s="18">
        <v>6188</v>
      </c>
      <c r="U163" s="18"/>
      <c r="V163">
        <f t="shared" si="6"/>
        <v>6188</v>
      </c>
    </row>
    <row r="164" spans="1:22" x14ac:dyDescent="0.25">
      <c r="A164" t="s">
        <v>72</v>
      </c>
      <c r="B164" t="s">
        <v>212</v>
      </c>
      <c r="C164" s="1">
        <f>10272+4+1115</f>
        <v>11391</v>
      </c>
      <c r="D164" s="1">
        <v>1</v>
      </c>
      <c r="E164" s="1">
        <v>0</v>
      </c>
      <c r="F164" s="1">
        <v>0</v>
      </c>
      <c r="G164" s="1">
        <v>0</v>
      </c>
      <c r="H164" s="1">
        <v>2410</v>
      </c>
      <c r="I164" s="1">
        <v>1091</v>
      </c>
      <c r="J164" s="1">
        <f t="shared" si="5"/>
        <v>3501</v>
      </c>
      <c r="K164" s="1"/>
      <c r="M164" s="10">
        <v>613</v>
      </c>
      <c r="N164" s="10" t="s">
        <v>214</v>
      </c>
      <c r="O164" s="10">
        <v>21884</v>
      </c>
      <c r="P164" s="10">
        <v>328</v>
      </c>
      <c r="Q164" s="10">
        <v>0</v>
      </c>
      <c r="R164" s="10">
        <v>0</v>
      </c>
      <c r="S164" s="10">
        <v>0</v>
      </c>
      <c r="T164" s="19">
        <v>12825</v>
      </c>
      <c r="U164" s="19"/>
      <c r="V164">
        <f t="shared" si="6"/>
        <v>12825</v>
      </c>
    </row>
    <row r="165" spans="1:22" x14ac:dyDescent="0.25">
      <c r="A165" t="s">
        <v>134</v>
      </c>
      <c r="B165" t="s">
        <v>213</v>
      </c>
      <c r="C165" s="1">
        <f>2085+272</f>
        <v>2357</v>
      </c>
      <c r="D165" s="1">
        <v>0</v>
      </c>
      <c r="E165" s="1">
        <v>0</v>
      </c>
      <c r="F165" s="1">
        <v>0</v>
      </c>
      <c r="G165" s="1">
        <v>0</v>
      </c>
      <c r="H165" s="1">
        <v>6188</v>
      </c>
      <c r="I165" s="1">
        <v>275</v>
      </c>
      <c r="J165" s="1">
        <f t="shared" si="5"/>
        <v>6463</v>
      </c>
      <c r="K165" s="1"/>
      <c r="M165" s="12">
        <v>611</v>
      </c>
      <c r="N165" s="12" t="s">
        <v>215</v>
      </c>
      <c r="O165" s="12">
        <v>25520</v>
      </c>
      <c r="P165" s="12">
        <v>0</v>
      </c>
      <c r="Q165" s="12">
        <v>0</v>
      </c>
      <c r="R165" s="12">
        <v>0</v>
      </c>
      <c r="S165" s="12">
        <v>0</v>
      </c>
      <c r="T165" s="18">
        <v>21455</v>
      </c>
      <c r="U165" s="18"/>
      <c r="V165">
        <f t="shared" si="6"/>
        <v>21455</v>
      </c>
    </row>
    <row r="166" spans="1:22" x14ac:dyDescent="0.25">
      <c r="A166" t="s">
        <v>495</v>
      </c>
      <c r="B166" t="s">
        <v>214</v>
      </c>
      <c r="C166" s="1">
        <f>15711+34+14+6125</f>
        <v>21884</v>
      </c>
      <c r="D166" s="1">
        <f>284+2+38+2+2</f>
        <v>328</v>
      </c>
      <c r="E166" s="1">
        <v>0</v>
      </c>
      <c r="F166" s="1">
        <v>0</v>
      </c>
      <c r="G166" s="1">
        <v>0</v>
      </c>
      <c r="H166" s="1">
        <v>12825</v>
      </c>
      <c r="I166" s="1">
        <v>5084</v>
      </c>
      <c r="J166" s="1">
        <f t="shared" si="5"/>
        <v>17909</v>
      </c>
      <c r="K166" s="1"/>
      <c r="M166" s="10" t="s">
        <v>815</v>
      </c>
      <c r="N166" s="10" t="s">
        <v>216</v>
      </c>
      <c r="O166" s="10">
        <v>7244</v>
      </c>
      <c r="P166" s="10">
        <v>7</v>
      </c>
      <c r="Q166" s="10">
        <v>0</v>
      </c>
      <c r="R166" s="10">
        <v>0</v>
      </c>
      <c r="S166" s="10">
        <v>0</v>
      </c>
      <c r="T166" s="19">
        <v>1034</v>
      </c>
      <c r="U166" s="19"/>
      <c r="V166">
        <f t="shared" si="6"/>
        <v>1034</v>
      </c>
    </row>
    <row r="167" spans="1:22" x14ac:dyDescent="0.25">
      <c r="A167" t="s">
        <v>146</v>
      </c>
      <c r="B167" t="s">
        <v>215</v>
      </c>
      <c r="C167" s="1">
        <f>17562+1+1+7956</f>
        <v>25520</v>
      </c>
      <c r="D167" s="1">
        <v>0</v>
      </c>
      <c r="E167" s="1">
        <v>0</v>
      </c>
      <c r="F167" s="1">
        <v>0</v>
      </c>
      <c r="G167" s="1">
        <v>0</v>
      </c>
      <c r="H167" s="1">
        <v>21455</v>
      </c>
      <c r="I167" s="1">
        <v>7182</v>
      </c>
      <c r="J167" s="1">
        <f t="shared" si="5"/>
        <v>28637</v>
      </c>
      <c r="K167" s="1"/>
      <c r="M167" s="12" t="s">
        <v>814</v>
      </c>
      <c r="N167" s="12" t="s">
        <v>217</v>
      </c>
      <c r="O167" s="12">
        <v>3891</v>
      </c>
      <c r="P167" s="12">
        <v>0</v>
      </c>
      <c r="Q167" s="12">
        <v>0</v>
      </c>
      <c r="R167" s="12">
        <v>0</v>
      </c>
      <c r="S167" s="12">
        <v>0</v>
      </c>
      <c r="T167" s="18">
        <v>5431</v>
      </c>
      <c r="U167" s="18"/>
      <c r="V167">
        <f t="shared" si="6"/>
        <v>5431</v>
      </c>
    </row>
    <row r="168" spans="1:22" x14ac:dyDescent="0.25">
      <c r="A168" t="s">
        <v>138</v>
      </c>
      <c r="B168" t="s">
        <v>216</v>
      </c>
      <c r="C168" s="1"/>
      <c r="D168" s="1"/>
      <c r="E168" s="1"/>
      <c r="F168" s="1"/>
      <c r="G168" s="1"/>
      <c r="H168" s="1"/>
      <c r="I168" s="1"/>
      <c r="J168" s="1"/>
      <c r="K168" s="1"/>
      <c r="M168" s="10" t="s">
        <v>820</v>
      </c>
      <c r="N168" s="10" t="s">
        <v>218</v>
      </c>
      <c r="O168" s="10">
        <v>4771</v>
      </c>
      <c r="P168" s="10">
        <v>0</v>
      </c>
      <c r="Q168" s="10">
        <v>0</v>
      </c>
      <c r="R168" s="10">
        <v>0</v>
      </c>
      <c r="S168" s="10">
        <v>0</v>
      </c>
      <c r="T168" s="19">
        <v>7093</v>
      </c>
      <c r="U168" s="19"/>
      <c r="V168">
        <f t="shared" si="6"/>
        <v>7093</v>
      </c>
    </row>
    <row r="169" spans="1:22" x14ac:dyDescent="0.25">
      <c r="A169" t="s">
        <v>794</v>
      </c>
      <c r="B169" t="s">
        <v>217</v>
      </c>
      <c r="C169" s="1">
        <f>2667+1+1223</f>
        <v>3891</v>
      </c>
      <c r="D169" s="1">
        <v>0</v>
      </c>
      <c r="E169" s="1">
        <v>0</v>
      </c>
      <c r="F169" s="1">
        <v>0</v>
      </c>
      <c r="G169" s="1">
        <v>0</v>
      </c>
      <c r="H169" s="1">
        <v>5431</v>
      </c>
      <c r="I169" s="1">
        <v>944</v>
      </c>
      <c r="J169" s="1">
        <f t="shared" ref="J169:J174" si="7">SUM(H169,I169)</f>
        <v>6375</v>
      </c>
      <c r="K169" s="1"/>
      <c r="M169" s="12">
        <v>711</v>
      </c>
      <c r="N169" s="12" t="s">
        <v>219</v>
      </c>
      <c r="O169" s="12"/>
      <c r="P169" s="12"/>
      <c r="Q169" s="12"/>
      <c r="R169" s="12"/>
      <c r="S169" s="12"/>
      <c r="T169" s="18"/>
      <c r="U169" s="18"/>
      <c r="V169">
        <f t="shared" si="6"/>
        <v>0</v>
      </c>
    </row>
    <row r="170" spans="1:22" x14ac:dyDescent="0.25">
      <c r="A170" t="s">
        <v>265</v>
      </c>
      <c r="B170" t="s">
        <v>218</v>
      </c>
      <c r="C170" s="1">
        <f>4116+2+5+3+4+1+640</f>
        <v>4771</v>
      </c>
      <c r="D170" s="1">
        <v>0</v>
      </c>
      <c r="E170" s="1">
        <v>0</v>
      </c>
      <c r="F170" s="1">
        <v>0</v>
      </c>
      <c r="G170" s="1">
        <v>0</v>
      </c>
      <c r="H170" s="1">
        <v>7093</v>
      </c>
      <c r="I170" s="1">
        <v>510</v>
      </c>
      <c r="J170" s="1">
        <f t="shared" si="7"/>
        <v>7603</v>
      </c>
      <c r="K170" s="1"/>
      <c r="M170" s="10">
        <v>114</v>
      </c>
      <c r="N170" s="10" t="s">
        <v>220</v>
      </c>
      <c r="O170" s="10">
        <v>1211</v>
      </c>
      <c r="P170" s="10">
        <v>0</v>
      </c>
      <c r="Q170" s="10">
        <v>0</v>
      </c>
      <c r="R170" s="10">
        <v>0</v>
      </c>
      <c r="S170" s="10">
        <v>0</v>
      </c>
      <c r="T170" s="19">
        <v>1757</v>
      </c>
      <c r="U170" s="19"/>
      <c r="V170">
        <f t="shared" si="6"/>
        <v>1757</v>
      </c>
    </row>
    <row r="171" spans="1:22" x14ac:dyDescent="0.25">
      <c r="A171" t="s">
        <v>801</v>
      </c>
      <c r="B171" t="s">
        <v>219</v>
      </c>
      <c r="C171" s="1">
        <f>30315+2+45+1778</f>
        <v>32140</v>
      </c>
      <c r="D171" s="1">
        <f>55+5</f>
        <v>60</v>
      </c>
      <c r="E171" s="1">
        <v>0</v>
      </c>
      <c r="F171" s="1">
        <v>0</v>
      </c>
      <c r="G171" s="1">
        <v>0</v>
      </c>
      <c r="H171" s="1">
        <v>16822</v>
      </c>
      <c r="I171" s="1">
        <v>1303</v>
      </c>
      <c r="J171" s="1">
        <f t="shared" si="7"/>
        <v>18125</v>
      </c>
      <c r="K171" s="1"/>
      <c r="M171" s="12" t="s">
        <v>814</v>
      </c>
      <c r="N171" s="12" t="s">
        <v>221</v>
      </c>
      <c r="O171" s="12">
        <v>10896</v>
      </c>
      <c r="P171" s="12">
        <v>44</v>
      </c>
      <c r="Q171" s="12">
        <v>0</v>
      </c>
      <c r="R171" s="12">
        <v>0</v>
      </c>
      <c r="S171" s="12">
        <v>0</v>
      </c>
      <c r="T171" s="18">
        <v>11046</v>
      </c>
      <c r="U171" s="18"/>
      <c r="V171">
        <f t="shared" si="6"/>
        <v>11046</v>
      </c>
    </row>
    <row r="172" spans="1:22" x14ac:dyDescent="0.25">
      <c r="A172" s="9" t="s">
        <v>831</v>
      </c>
      <c r="B172" s="10" t="s">
        <v>220</v>
      </c>
      <c r="C172" s="1">
        <f>998+213</f>
        <v>1211</v>
      </c>
      <c r="D172" s="1">
        <v>0</v>
      </c>
      <c r="E172" s="1">
        <v>0</v>
      </c>
      <c r="F172" s="1">
        <v>0</v>
      </c>
      <c r="G172" s="1">
        <v>0</v>
      </c>
      <c r="H172" s="1">
        <v>1757</v>
      </c>
      <c r="I172" s="1">
        <v>220</v>
      </c>
      <c r="J172" s="1">
        <f t="shared" si="7"/>
        <v>1977</v>
      </c>
      <c r="K172" s="1"/>
      <c r="M172" s="10">
        <v>311</v>
      </c>
      <c r="N172" s="10" t="s">
        <v>222</v>
      </c>
      <c r="O172" s="10">
        <v>13264</v>
      </c>
      <c r="P172" s="10">
        <v>18</v>
      </c>
      <c r="Q172" s="10">
        <v>0</v>
      </c>
      <c r="R172" s="10">
        <v>0</v>
      </c>
      <c r="S172" s="10">
        <v>0</v>
      </c>
      <c r="T172" s="19">
        <v>1358</v>
      </c>
      <c r="U172" s="19"/>
      <c r="V172">
        <f t="shared" si="6"/>
        <v>1358</v>
      </c>
    </row>
    <row r="173" spans="1:22" x14ac:dyDescent="0.25">
      <c r="A173" t="s">
        <v>794</v>
      </c>
      <c r="B173" t="s">
        <v>221</v>
      </c>
      <c r="C173" s="1">
        <f>6600+4+4290+2</f>
        <v>10896</v>
      </c>
      <c r="D173" s="1">
        <f>8+36</f>
        <v>44</v>
      </c>
      <c r="E173" s="1">
        <v>0</v>
      </c>
      <c r="F173" s="1">
        <v>0</v>
      </c>
      <c r="G173" s="1">
        <v>0</v>
      </c>
      <c r="H173" s="1">
        <v>11046</v>
      </c>
      <c r="I173" s="1">
        <v>2934</v>
      </c>
      <c r="J173" s="1">
        <f t="shared" si="7"/>
        <v>13980</v>
      </c>
      <c r="K173" s="1"/>
      <c r="M173" s="12">
        <v>161</v>
      </c>
      <c r="N173" s="12" t="s">
        <v>223</v>
      </c>
      <c r="O173" s="12">
        <v>2508</v>
      </c>
      <c r="P173" s="12">
        <v>13</v>
      </c>
      <c r="Q173" s="12">
        <v>0</v>
      </c>
      <c r="R173" s="12">
        <v>0</v>
      </c>
      <c r="S173" s="12">
        <v>0</v>
      </c>
      <c r="T173" s="18">
        <v>415</v>
      </c>
      <c r="U173" s="18"/>
      <c r="V173">
        <f t="shared" si="6"/>
        <v>415</v>
      </c>
    </row>
    <row r="174" spans="1:22" x14ac:dyDescent="0.25">
      <c r="A174" t="s">
        <v>120</v>
      </c>
      <c r="B174" t="s">
        <v>222</v>
      </c>
      <c r="C174" s="1">
        <f>12244+1020</f>
        <v>13264</v>
      </c>
      <c r="D174" s="1">
        <f>14+4</f>
        <v>18</v>
      </c>
      <c r="E174" s="1">
        <v>0</v>
      </c>
      <c r="F174" s="1">
        <v>0</v>
      </c>
      <c r="G174" s="1">
        <v>0</v>
      </c>
      <c r="H174" s="1">
        <v>1358</v>
      </c>
      <c r="I174" s="1">
        <v>732</v>
      </c>
      <c r="J174" s="1">
        <f t="shared" si="7"/>
        <v>2090</v>
      </c>
      <c r="K174" s="1"/>
      <c r="M174" s="10">
        <v>412</v>
      </c>
      <c r="N174" s="10" t="s">
        <v>224</v>
      </c>
      <c r="O174" s="10"/>
      <c r="P174" s="10"/>
      <c r="Q174" s="10"/>
      <c r="R174" s="10"/>
      <c r="S174" s="10"/>
      <c r="T174" s="19"/>
      <c r="U174" s="19"/>
      <c r="V174">
        <f t="shared" si="6"/>
        <v>0</v>
      </c>
    </row>
    <row r="175" spans="1:22" x14ac:dyDescent="0.25">
      <c r="A175" t="s">
        <v>848</v>
      </c>
      <c r="B175" t="s">
        <v>223</v>
      </c>
      <c r="C175" s="1"/>
      <c r="D175" s="1"/>
      <c r="E175" s="1"/>
      <c r="F175" s="1"/>
      <c r="G175" s="1"/>
      <c r="H175" s="1"/>
      <c r="I175" s="1"/>
      <c r="J175" s="1"/>
      <c r="K175" s="1"/>
      <c r="M175" s="12">
        <v>710</v>
      </c>
      <c r="N175" s="12" t="s">
        <v>225</v>
      </c>
      <c r="O175" s="12">
        <v>20060</v>
      </c>
      <c r="P175" s="12">
        <v>35</v>
      </c>
      <c r="Q175" s="12">
        <v>0</v>
      </c>
      <c r="R175" s="12">
        <v>0</v>
      </c>
      <c r="S175" s="12">
        <v>0</v>
      </c>
      <c r="T175" s="18">
        <v>66008</v>
      </c>
      <c r="U175" s="18"/>
      <c r="V175">
        <f t="shared" si="6"/>
        <v>66008</v>
      </c>
    </row>
    <row r="176" spans="1:22" x14ac:dyDescent="0.25">
      <c r="A176" t="s">
        <v>825</v>
      </c>
      <c r="B176" t="s">
        <v>224</v>
      </c>
      <c r="C176" s="1">
        <f>5281+154+877</f>
        <v>6312</v>
      </c>
      <c r="D176" s="1">
        <v>30</v>
      </c>
      <c r="E176" s="1">
        <v>0</v>
      </c>
      <c r="F176" s="1">
        <v>0</v>
      </c>
      <c r="G176" s="1">
        <v>0</v>
      </c>
      <c r="H176" s="1">
        <v>3874</v>
      </c>
      <c r="I176" s="1">
        <v>756</v>
      </c>
      <c r="J176" s="1">
        <f>SUM(H176,I176)</f>
        <v>4630</v>
      </c>
      <c r="K176" s="1"/>
      <c r="M176" s="10">
        <v>300</v>
      </c>
      <c r="N176" s="10" t="s">
        <v>227</v>
      </c>
      <c r="O176" s="10">
        <v>5033</v>
      </c>
      <c r="P176" s="10">
        <v>17</v>
      </c>
      <c r="Q176" s="10">
        <v>0</v>
      </c>
      <c r="R176" s="10">
        <v>0</v>
      </c>
      <c r="S176" s="10">
        <v>0</v>
      </c>
      <c r="T176" s="19">
        <v>1366</v>
      </c>
      <c r="U176" s="19"/>
      <c r="V176">
        <f t="shared" si="6"/>
        <v>1366</v>
      </c>
    </row>
    <row r="177" spans="1:22" x14ac:dyDescent="0.25">
      <c r="A177" s="23" t="s">
        <v>805</v>
      </c>
      <c r="B177" s="23" t="s">
        <v>225</v>
      </c>
      <c r="C177" s="1"/>
      <c r="D177" s="1"/>
      <c r="E177" s="1"/>
      <c r="F177" s="1"/>
      <c r="G177" s="1"/>
      <c r="H177" s="1"/>
      <c r="I177" s="1"/>
      <c r="J177" s="1"/>
      <c r="K177" s="1"/>
      <c r="M177" s="12">
        <v>300</v>
      </c>
      <c r="N177" s="12" t="s">
        <v>228</v>
      </c>
      <c r="O177" s="12">
        <v>8700</v>
      </c>
      <c r="P177" s="12">
        <v>22</v>
      </c>
      <c r="Q177" s="12">
        <v>0</v>
      </c>
      <c r="R177" s="12">
        <v>0</v>
      </c>
      <c r="S177" s="12">
        <v>0</v>
      </c>
      <c r="T177" s="18">
        <v>10546</v>
      </c>
      <c r="U177" s="18"/>
      <c r="V177">
        <f t="shared" si="6"/>
        <v>10546</v>
      </c>
    </row>
    <row r="178" spans="1:22" x14ac:dyDescent="0.25">
      <c r="A178" t="s">
        <v>226</v>
      </c>
      <c r="B178" t="s">
        <v>227</v>
      </c>
      <c r="C178" s="1">
        <f>3961+1+1071</f>
        <v>5033</v>
      </c>
      <c r="D178" s="1">
        <v>17</v>
      </c>
      <c r="E178" s="1">
        <v>0</v>
      </c>
      <c r="F178" s="1">
        <v>0</v>
      </c>
      <c r="G178" s="1">
        <v>0</v>
      </c>
      <c r="H178" s="1">
        <v>1366</v>
      </c>
      <c r="I178" s="1">
        <v>971</v>
      </c>
      <c r="J178" s="1">
        <f>SUM(H178,I178)</f>
        <v>2337</v>
      </c>
      <c r="K178" s="1"/>
      <c r="M178" s="10">
        <v>173</v>
      </c>
      <c r="N178" s="10" t="s">
        <v>230</v>
      </c>
      <c r="O178" s="10">
        <v>2749</v>
      </c>
      <c r="P178" s="10">
        <v>20</v>
      </c>
      <c r="Q178" s="10">
        <v>0</v>
      </c>
      <c r="R178" s="10">
        <v>0</v>
      </c>
      <c r="S178" s="10">
        <v>0</v>
      </c>
      <c r="T178" s="19">
        <v>788</v>
      </c>
      <c r="U178" s="19"/>
      <c r="V178">
        <f t="shared" si="6"/>
        <v>788</v>
      </c>
    </row>
    <row r="179" spans="1:22" x14ac:dyDescent="0.25">
      <c r="A179" t="s">
        <v>226</v>
      </c>
      <c r="B179" t="s">
        <v>228</v>
      </c>
      <c r="C179" s="1">
        <f>6757+1+1942</f>
        <v>8700</v>
      </c>
      <c r="D179" s="1">
        <f>19+2+1</f>
        <v>22</v>
      </c>
      <c r="E179" s="1">
        <v>0</v>
      </c>
      <c r="F179" s="1">
        <v>0</v>
      </c>
      <c r="G179" s="1">
        <v>0</v>
      </c>
      <c r="H179" s="1">
        <v>10546</v>
      </c>
      <c r="I179" s="1">
        <v>1835</v>
      </c>
      <c r="J179" s="1">
        <f>SUM(H179,I179)</f>
        <v>12381</v>
      </c>
      <c r="K179" s="1"/>
      <c r="M179" s="12">
        <v>118</v>
      </c>
      <c r="N179" s="12" t="s">
        <v>232</v>
      </c>
      <c r="O179" s="12">
        <v>4459</v>
      </c>
      <c r="P179" s="12">
        <v>0</v>
      </c>
      <c r="Q179" s="12">
        <v>0</v>
      </c>
      <c r="R179" s="12">
        <v>0</v>
      </c>
      <c r="S179" s="12">
        <v>0</v>
      </c>
      <c r="T179" s="18">
        <v>205</v>
      </c>
      <c r="U179" s="18"/>
      <c r="V179">
        <f t="shared" si="6"/>
        <v>205</v>
      </c>
    </row>
    <row r="180" spans="1:22" x14ac:dyDescent="0.25">
      <c r="A180" t="s">
        <v>229</v>
      </c>
      <c r="B180" t="s">
        <v>230</v>
      </c>
      <c r="C180" s="1">
        <f>2367+1+381</f>
        <v>2749</v>
      </c>
      <c r="D180" s="1">
        <f>10+10</f>
        <v>20</v>
      </c>
      <c r="E180" s="1">
        <v>0</v>
      </c>
      <c r="F180" s="1">
        <v>0</v>
      </c>
      <c r="G180" s="1">
        <v>0</v>
      </c>
      <c r="H180" s="1">
        <v>788</v>
      </c>
      <c r="I180" s="1">
        <v>323</v>
      </c>
      <c r="J180" s="1">
        <f>SUM(H180,I180)</f>
        <v>1111</v>
      </c>
      <c r="K180" s="1"/>
      <c r="M180" s="10">
        <v>600</v>
      </c>
      <c r="N180" s="10" t="s">
        <v>233</v>
      </c>
      <c r="O180" s="10">
        <v>5345</v>
      </c>
      <c r="P180" s="10">
        <v>24</v>
      </c>
      <c r="Q180" s="10">
        <v>0</v>
      </c>
      <c r="R180" s="10">
        <v>0</v>
      </c>
      <c r="S180" s="10">
        <v>0</v>
      </c>
      <c r="T180" s="19">
        <v>13544</v>
      </c>
      <c r="U180" s="19"/>
      <c r="V180">
        <f t="shared" si="6"/>
        <v>13544</v>
      </c>
    </row>
    <row r="181" spans="1:22" x14ac:dyDescent="0.25">
      <c r="A181" t="s">
        <v>231</v>
      </c>
      <c r="B181" t="s">
        <v>232</v>
      </c>
      <c r="C181" s="1"/>
      <c r="D181" s="1"/>
      <c r="E181" s="1"/>
      <c r="F181" s="1"/>
      <c r="G181" s="1"/>
      <c r="H181" s="1"/>
      <c r="I181" s="1"/>
      <c r="J181" s="1"/>
      <c r="K181" s="1"/>
      <c r="M181" s="12">
        <v>710</v>
      </c>
      <c r="N181" s="12" t="s">
        <v>234</v>
      </c>
      <c r="O181" s="12">
        <v>88611</v>
      </c>
      <c r="P181" s="12">
        <v>72</v>
      </c>
      <c r="Q181" s="12">
        <v>0</v>
      </c>
      <c r="R181" s="12">
        <v>0</v>
      </c>
      <c r="S181" s="12">
        <v>0</v>
      </c>
      <c r="T181" s="18">
        <v>63196</v>
      </c>
      <c r="U181" s="18"/>
      <c r="V181">
        <f t="shared" si="6"/>
        <v>63196</v>
      </c>
    </row>
    <row r="182" spans="1:22" x14ac:dyDescent="0.25">
      <c r="A182" t="s">
        <v>248</v>
      </c>
      <c r="B182" t="s">
        <v>233</v>
      </c>
      <c r="C182" s="1"/>
      <c r="D182" s="1"/>
      <c r="E182" s="1"/>
      <c r="F182" s="1"/>
      <c r="G182" s="1"/>
      <c r="H182" s="1"/>
      <c r="I182" s="1"/>
      <c r="J182" s="1"/>
      <c r="K182" s="1"/>
      <c r="M182" s="10">
        <v>116</v>
      </c>
      <c r="N182" s="10" t="s">
        <v>235</v>
      </c>
      <c r="O182" s="10">
        <v>15747</v>
      </c>
      <c r="P182" s="10">
        <v>30</v>
      </c>
      <c r="Q182" s="10">
        <v>0</v>
      </c>
      <c r="R182" s="10">
        <v>0</v>
      </c>
      <c r="S182" s="10">
        <v>0</v>
      </c>
      <c r="T182" s="19">
        <v>504</v>
      </c>
      <c r="U182" s="19"/>
      <c r="V182">
        <f t="shared" si="6"/>
        <v>504</v>
      </c>
    </row>
    <row r="183" spans="1:22" x14ac:dyDescent="0.25">
      <c r="A183" t="s">
        <v>69</v>
      </c>
      <c r="B183" t="s">
        <v>234</v>
      </c>
      <c r="C183" s="1">
        <f>73624+93+293+14601</f>
        <v>88611</v>
      </c>
      <c r="D183" s="1">
        <f>10+11+39+1+11</f>
        <v>72</v>
      </c>
      <c r="E183" s="1">
        <v>0</v>
      </c>
      <c r="F183" s="1">
        <v>0</v>
      </c>
      <c r="G183" s="1">
        <v>0</v>
      </c>
      <c r="H183" s="1">
        <v>63196</v>
      </c>
      <c r="I183" s="1">
        <v>12180</v>
      </c>
      <c r="J183" s="1">
        <f>SUM(H183,I183)</f>
        <v>75376</v>
      </c>
      <c r="K183" s="1"/>
      <c r="M183" s="12">
        <v>116</v>
      </c>
      <c r="N183" s="12" t="s">
        <v>236</v>
      </c>
      <c r="O183" s="12">
        <v>11448</v>
      </c>
      <c r="P183" s="12">
        <v>58</v>
      </c>
      <c r="Q183" s="12">
        <v>0</v>
      </c>
      <c r="R183" s="12">
        <v>0</v>
      </c>
      <c r="S183" s="12">
        <v>0</v>
      </c>
      <c r="T183" s="18">
        <v>9191</v>
      </c>
      <c r="U183" s="18"/>
      <c r="V183">
        <f t="shared" si="6"/>
        <v>9191</v>
      </c>
    </row>
    <row r="184" spans="1:22" x14ac:dyDescent="0.25">
      <c r="A184" t="s">
        <v>795</v>
      </c>
      <c r="B184" t="s">
        <v>235</v>
      </c>
      <c r="C184" s="1">
        <f>7127+8620</f>
        <v>15747</v>
      </c>
      <c r="D184" s="1">
        <f>29+1</f>
        <v>30</v>
      </c>
      <c r="E184" s="1">
        <v>0</v>
      </c>
      <c r="F184" s="1">
        <v>0</v>
      </c>
      <c r="G184" s="1">
        <v>0</v>
      </c>
      <c r="H184" s="1">
        <v>504</v>
      </c>
      <c r="I184" s="1">
        <v>7382</v>
      </c>
      <c r="J184" s="1">
        <f>SUM(H184,I184)</f>
        <v>7886</v>
      </c>
      <c r="K184" s="1"/>
      <c r="M184" s="10">
        <v>711</v>
      </c>
      <c r="N184" s="10" t="s">
        <v>237</v>
      </c>
      <c r="O184" s="10"/>
      <c r="P184" s="10"/>
      <c r="Q184" s="10"/>
      <c r="R184" s="10"/>
      <c r="S184" s="10"/>
      <c r="T184" s="19"/>
      <c r="U184" s="19"/>
      <c r="V184">
        <f t="shared" si="6"/>
        <v>0</v>
      </c>
    </row>
    <row r="185" spans="1:22" x14ac:dyDescent="0.25">
      <c r="A185" t="s">
        <v>795</v>
      </c>
      <c r="B185" t="s">
        <v>236</v>
      </c>
      <c r="C185" s="1">
        <f>5746+1+179+2+5519+1</f>
        <v>11448</v>
      </c>
      <c r="D185" s="1">
        <f>19+4+29+6</f>
        <v>58</v>
      </c>
      <c r="E185" s="1">
        <v>0</v>
      </c>
      <c r="F185" s="1">
        <v>0</v>
      </c>
      <c r="G185" s="1">
        <v>0</v>
      </c>
      <c r="H185" s="1">
        <v>9191</v>
      </c>
      <c r="I185" s="1">
        <v>4191</v>
      </c>
      <c r="J185" s="1">
        <f>SUM(H185,I185)</f>
        <v>13382</v>
      </c>
      <c r="K185" s="1"/>
      <c r="M185" s="12">
        <v>610</v>
      </c>
      <c r="N185" s="12" t="s">
        <v>238</v>
      </c>
      <c r="O185" s="12">
        <v>650</v>
      </c>
      <c r="P185" s="12">
        <v>0</v>
      </c>
      <c r="Q185" s="12">
        <v>0</v>
      </c>
      <c r="R185" s="12">
        <v>0</v>
      </c>
      <c r="S185" s="12">
        <v>0</v>
      </c>
      <c r="T185" s="18">
        <v>43</v>
      </c>
      <c r="U185" s="18"/>
      <c r="V185">
        <f t="shared" si="6"/>
        <v>43</v>
      </c>
    </row>
    <row r="186" spans="1:22" x14ac:dyDescent="0.25">
      <c r="A186" t="s">
        <v>801</v>
      </c>
      <c r="B186" t="s">
        <v>237</v>
      </c>
      <c r="C186" s="1"/>
      <c r="D186" s="1"/>
      <c r="E186" s="1"/>
      <c r="F186" s="1"/>
      <c r="G186" s="1"/>
      <c r="H186" s="1"/>
      <c r="I186" s="1"/>
      <c r="J186" s="1"/>
      <c r="K186" s="1"/>
      <c r="M186" s="10">
        <v>100</v>
      </c>
      <c r="N186" s="10" t="s">
        <v>239</v>
      </c>
      <c r="O186" s="10"/>
      <c r="P186" s="10"/>
      <c r="Q186" s="10"/>
      <c r="R186" s="10"/>
      <c r="S186" s="10"/>
      <c r="T186" s="19"/>
      <c r="U186" s="19"/>
      <c r="V186">
        <f t="shared" si="6"/>
        <v>0</v>
      </c>
    </row>
    <row r="187" spans="1:22" x14ac:dyDescent="0.25">
      <c r="A187" t="s">
        <v>788</v>
      </c>
      <c r="B187" t="s">
        <v>238</v>
      </c>
      <c r="C187" s="1">
        <f>641+9</f>
        <v>650</v>
      </c>
      <c r="D187" s="1">
        <v>0</v>
      </c>
      <c r="E187" s="1">
        <v>0</v>
      </c>
      <c r="F187" s="1">
        <v>0</v>
      </c>
      <c r="G187" s="1">
        <v>0</v>
      </c>
      <c r="H187" s="1">
        <v>43</v>
      </c>
      <c r="I187" s="1">
        <v>9</v>
      </c>
      <c r="J187" s="1">
        <f>SUM(H187,I187)</f>
        <v>52</v>
      </c>
      <c r="K187" s="1"/>
      <c r="M187" s="12">
        <v>711</v>
      </c>
      <c r="N187" s="12" t="s">
        <v>240</v>
      </c>
      <c r="O187" s="12"/>
      <c r="P187" s="12"/>
      <c r="Q187" s="12"/>
      <c r="R187" s="12"/>
      <c r="S187" s="12"/>
      <c r="T187" s="18"/>
      <c r="U187" s="18"/>
      <c r="V187">
        <f t="shared" si="6"/>
        <v>0</v>
      </c>
    </row>
    <row r="188" spans="1:22" x14ac:dyDescent="0.25">
      <c r="A188" t="s">
        <v>791</v>
      </c>
      <c r="B188" t="s">
        <v>239</v>
      </c>
      <c r="C188" s="1"/>
      <c r="D188" s="1"/>
      <c r="E188" s="1"/>
      <c r="F188" s="1"/>
      <c r="G188" s="1"/>
      <c r="H188" s="1"/>
      <c r="I188" s="1"/>
      <c r="J188" s="1"/>
      <c r="K188" s="1"/>
      <c r="M188" s="10">
        <v>610</v>
      </c>
      <c r="N188" s="10" t="s">
        <v>241</v>
      </c>
      <c r="O188" s="10">
        <v>28321</v>
      </c>
      <c r="P188" s="10">
        <v>15</v>
      </c>
      <c r="Q188" s="10">
        <v>0</v>
      </c>
      <c r="R188" s="10">
        <v>0</v>
      </c>
      <c r="S188" s="10">
        <v>0</v>
      </c>
      <c r="T188" s="19">
        <v>6030</v>
      </c>
      <c r="U188" s="19"/>
      <c r="V188">
        <f t="shared" si="6"/>
        <v>6030</v>
      </c>
    </row>
    <row r="189" spans="1:22" x14ac:dyDescent="0.25">
      <c r="A189" t="s">
        <v>801</v>
      </c>
      <c r="B189" t="s">
        <v>240</v>
      </c>
      <c r="C189" s="1">
        <f>41316+6+691</f>
        <v>42013</v>
      </c>
      <c r="D189" s="1">
        <v>77</v>
      </c>
      <c r="E189" s="1">
        <v>0</v>
      </c>
      <c r="F189" s="1">
        <v>0</v>
      </c>
      <c r="G189" s="1">
        <v>0</v>
      </c>
      <c r="H189" s="1">
        <v>3337</v>
      </c>
      <c r="I189" s="1">
        <v>589</v>
      </c>
      <c r="J189" s="1">
        <f>SUM(H189,I189)</f>
        <v>3926</v>
      </c>
      <c r="K189" s="1"/>
      <c r="M189" s="12" t="s">
        <v>815</v>
      </c>
      <c r="N189" s="12" t="s">
        <v>242</v>
      </c>
      <c r="O189" s="12">
        <v>21073</v>
      </c>
      <c r="P189" s="12">
        <v>9</v>
      </c>
      <c r="Q189" s="12">
        <v>0</v>
      </c>
      <c r="R189" s="12">
        <v>0</v>
      </c>
      <c r="S189" s="12">
        <v>0</v>
      </c>
      <c r="T189" s="18">
        <v>9594</v>
      </c>
      <c r="U189" s="18"/>
      <c r="V189">
        <f t="shared" si="6"/>
        <v>9594</v>
      </c>
    </row>
    <row r="190" spans="1:22" x14ac:dyDescent="0.25">
      <c r="A190" t="s">
        <v>788</v>
      </c>
      <c r="B190" t="s">
        <v>241</v>
      </c>
      <c r="C190" s="1">
        <f>20870+3+7448</f>
        <v>28321</v>
      </c>
      <c r="D190" s="1">
        <f>5+10</f>
        <v>15</v>
      </c>
      <c r="E190" s="1">
        <v>0</v>
      </c>
      <c r="F190" s="1">
        <v>0</v>
      </c>
      <c r="G190" s="1">
        <v>0</v>
      </c>
      <c r="H190" s="1">
        <v>6030</v>
      </c>
      <c r="I190" s="1">
        <v>6356</v>
      </c>
      <c r="J190" s="1">
        <f>SUM(H190,I190)</f>
        <v>12386</v>
      </c>
      <c r="K190" s="1"/>
      <c r="M190" s="10">
        <v>313</v>
      </c>
      <c r="N190" s="10" t="s">
        <v>243</v>
      </c>
      <c r="O190" s="10">
        <v>2564</v>
      </c>
      <c r="P190" s="10">
        <v>0</v>
      </c>
      <c r="Q190" s="10">
        <v>0</v>
      </c>
      <c r="R190" s="10">
        <v>0</v>
      </c>
      <c r="S190" s="10">
        <v>0</v>
      </c>
      <c r="T190" s="19">
        <v>123</v>
      </c>
      <c r="U190" s="19"/>
      <c r="V190">
        <f t="shared" si="6"/>
        <v>123</v>
      </c>
    </row>
    <row r="191" spans="1:22" x14ac:dyDescent="0.25">
      <c r="A191" t="s">
        <v>138</v>
      </c>
      <c r="B191" t="s">
        <v>242</v>
      </c>
      <c r="C191" s="1"/>
      <c r="D191" s="1"/>
      <c r="E191" s="1"/>
      <c r="F191" s="1"/>
      <c r="G191" s="1"/>
      <c r="H191" s="1"/>
      <c r="I191" s="1"/>
      <c r="J191" s="1"/>
      <c r="K191" s="1"/>
      <c r="M191" s="12">
        <v>713</v>
      </c>
      <c r="N191" s="12" t="s">
        <v>244</v>
      </c>
      <c r="O191" s="12">
        <v>28745</v>
      </c>
      <c r="P191" s="12">
        <v>124</v>
      </c>
      <c r="Q191" s="12">
        <v>0</v>
      </c>
      <c r="R191" s="12">
        <v>0</v>
      </c>
      <c r="S191" s="12">
        <v>0</v>
      </c>
      <c r="T191" s="18">
        <v>39706</v>
      </c>
      <c r="U191" s="18"/>
      <c r="V191">
        <f t="shared" si="6"/>
        <v>39706</v>
      </c>
    </row>
    <row r="192" spans="1:22" x14ac:dyDescent="0.25">
      <c r="A192" t="s">
        <v>512</v>
      </c>
      <c r="B192" t="s">
        <v>243</v>
      </c>
      <c r="C192" s="1">
        <f>2225+1+338</f>
        <v>2564</v>
      </c>
      <c r="D192" s="1">
        <v>0</v>
      </c>
      <c r="E192" s="1">
        <v>0</v>
      </c>
      <c r="F192" s="1">
        <v>0</v>
      </c>
      <c r="G192" s="1">
        <v>0</v>
      </c>
      <c r="H192" s="1">
        <v>123</v>
      </c>
      <c r="I192" s="1">
        <v>309</v>
      </c>
      <c r="J192" s="1">
        <f>SUM(H192,I192)</f>
        <v>432</v>
      </c>
      <c r="K192" s="1"/>
      <c r="M192" s="10">
        <v>611</v>
      </c>
      <c r="N192" s="10" t="s">
        <v>245</v>
      </c>
      <c r="O192" s="10">
        <v>4590</v>
      </c>
      <c r="P192" s="10">
        <v>12</v>
      </c>
      <c r="Q192" s="10">
        <v>0</v>
      </c>
      <c r="R192" s="10">
        <v>0</v>
      </c>
      <c r="S192" s="10">
        <v>0</v>
      </c>
      <c r="T192" s="19">
        <v>8469</v>
      </c>
      <c r="U192" s="19"/>
      <c r="V192">
        <f t="shared" si="6"/>
        <v>8469</v>
      </c>
    </row>
    <row r="193" spans="1:22" x14ac:dyDescent="0.25">
      <c r="A193" t="s">
        <v>796</v>
      </c>
      <c r="B193" t="s">
        <v>244</v>
      </c>
      <c r="C193" s="1">
        <f>23261+2+9+5473</f>
        <v>28745</v>
      </c>
      <c r="D193" s="1">
        <f>99+2+4+1+16+2</f>
        <v>124</v>
      </c>
      <c r="E193" s="1">
        <v>0</v>
      </c>
      <c r="F193" s="1">
        <v>0</v>
      </c>
      <c r="G193" s="1">
        <v>0</v>
      </c>
      <c r="H193" s="1">
        <v>39706</v>
      </c>
      <c r="I193" s="1">
        <v>5457</v>
      </c>
      <c r="J193" s="1">
        <f>SUM(H193,I193)</f>
        <v>45163</v>
      </c>
      <c r="K193" s="1"/>
      <c r="M193" s="12">
        <v>114</v>
      </c>
      <c r="N193" s="12" t="s">
        <v>246</v>
      </c>
      <c r="O193" s="12">
        <v>2086</v>
      </c>
      <c r="P193" s="12">
        <v>8</v>
      </c>
      <c r="Q193" s="12">
        <v>0</v>
      </c>
      <c r="R193" s="12">
        <v>0</v>
      </c>
      <c r="S193" s="12">
        <v>0</v>
      </c>
      <c r="T193" s="18">
        <v>452</v>
      </c>
      <c r="U193" s="18"/>
      <c r="V193">
        <f t="shared" si="6"/>
        <v>452</v>
      </c>
    </row>
    <row r="194" spans="1:22" x14ac:dyDescent="0.25">
      <c r="A194" t="s">
        <v>146</v>
      </c>
      <c r="B194" t="s">
        <v>245</v>
      </c>
      <c r="C194" s="1">
        <f>3781+21+788</f>
        <v>4590</v>
      </c>
      <c r="D194" s="1">
        <f>11+1</f>
        <v>12</v>
      </c>
      <c r="E194" s="1">
        <v>0</v>
      </c>
      <c r="F194" s="1">
        <v>0</v>
      </c>
      <c r="G194" s="1">
        <v>0</v>
      </c>
      <c r="H194" s="1">
        <v>8469</v>
      </c>
      <c r="I194" s="1">
        <v>760</v>
      </c>
      <c r="J194" s="1">
        <f>SUM(H194,I194)</f>
        <v>9229</v>
      </c>
      <c r="K194" s="1"/>
      <c r="M194" s="10">
        <v>100</v>
      </c>
      <c r="N194" s="10" t="s">
        <v>247</v>
      </c>
      <c r="O194" s="10"/>
      <c r="P194" s="10"/>
      <c r="Q194" s="10"/>
      <c r="R194" s="10"/>
      <c r="S194" s="10"/>
      <c r="T194" s="19"/>
      <c r="U194" s="19"/>
      <c r="V194">
        <f t="shared" si="6"/>
        <v>0</v>
      </c>
    </row>
    <row r="195" spans="1:22" x14ac:dyDescent="0.25">
      <c r="A195" t="s">
        <v>831</v>
      </c>
      <c r="B195" t="s">
        <v>246</v>
      </c>
      <c r="C195" s="1">
        <f>1562+524</f>
        <v>2086</v>
      </c>
      <c r="D195" s="1">
        <v>8</v>
      </c>
      <c r="E195" s="1">
        <v>0</v>
      </c>
      <c r="F195" s="1">
        <v>0</v>
      </c>
      <c r="G195" s="1">
        <v>0</v>
      </c>
      <c r="H195" s="1">
        <v>452</v>
      </c>
      <c r="I195" s="1">
        <v>321</v>
      </c>
      <c r="J195" s="1">
        <f>SUM(H195,I195)</f>
        <v>773</v>
      </c>
      <c r="K195" s="1"/>
      <c r="M195" s="12">
        <v>600</v>
      </c>
      <c r="N195" s="12" t="s">
        <v>249</v>
      </c>
      <c r="O195" s="12">
        <v>17781</v>
      </c>
      <c r="P195" s="12">
        <v>32</v>
      </c>
      <c r="Q195" s="12">
        <v>0</v>
      </c>
      <c r="R195" s="12">
        <v>0</v>
      </c>
      <c r="S195" s="12">
        <v>0</v>
      </c>
      <c r="T195" s="18">
        <v>19178</v>
      </c>
      <c r="U195" s="18"/>
      <c r="V195">
        <f t="shared" si="6"/>
        <v>19178</v>
      </c>
    </row>
    <row r="196" spans="1:22" x14ac:dyDescent="0.25">
      <c r="A196" t="s">
        <v>791</v>
      </c>
      <c r="B196" t="s">
        <v>247</v>
      </c>
      <c r="C196" s="1"/>
      <c r="D196" s="1"/>
      <c r="E196" s="1"/>
      <c r="F196" s="1"/>
      <c r="G196" s="1"/>
      <c r="H196" s="1"/>
      <c r="I196" s="1"/>
      <c r="J196" s="1"/>
      <c r="K196" s="1"/>
      <c r="M196" s="10">
        <v>210</v>
      </c>
      <c r="N196" s="10" t="s">
        <v>250</v>
      </c>
      <c r="O196" s="10">
        <v>2230</v>
      </c>
      <c r="P196" s="10">
        <v>0</v>
      </c>
      <c r="Q196" s="10">
        <v>0</v>
      </c>
      <c r="R196" s="10">
        <v>0</v>
      </c>
      <c r="S196" s="10">
        <v>0</v>
      </c>
      <c r="T196" s="19">
        <v>1172</v>
      </c>
      <c r="U196" s="19"/>
      <c r="V196">
        <f t="shared" si="6"/>
        <v>1172</v>
      </c>
    </row>
    <row r="197" spans="1:22" x14ac:dyDescent="0.25">
      <c r="A197" t="s">
        <v>248</v>
      </c>
      <c r="B197" t="s">
        <v>249</v>
      </c>
      <c r="C197" s="1"/>
      <c r="D197" s="1"/>
      <c r="E197" s="1"/>
      <c r="F197" s="1"/>
      <c r="G197" s="1"/>
      <c r="H197" s="1"/>
      <c r="I197" s="1"/>
      <c r="J197" s="1"/>
      <c r="K197" s="1"/>
      <c r="M197" s="12">
        <v>600</v>
      </c>
      <c r="N197" s="12" t="s">
        <v>251</v>
      </c>
      <c r="O197" s="12">
        <v>10876</v>
      </c>
      <c r="P197" s="12">
        <v>358</v>
      </c>
      <c r="Q197" s="12">
        <v>0</v>
      </c>
      <c r="R197" s="12">
        <v>0</v>
      </c>
      <c r="S197" s="12">
        <v>0</v>
      </c>
      <c r="T197" s="18">
        <v>20069</v>
      </c>
      <c r="U197" s="18"/>
      <c r="V197">
        <f t="shared" si="6"/>
        <v>20069</v>
      </c>
    </row>
    <row r="198" spans="1:22" x14ac:dyDescent="0.25">
      <c r="A198" t="s">
        <v>865</v>
      </c>
      <c r="B198" t="s">
        <v>250</v>
      </c>
      <c r="C198" s="1">
        <f>1906+7+317</f>
        <v>2230</v>
      </c>
      <c r="D198" s="1">
        <v>0</v>
      </c>
      <c r="E198" s="1">
        <v>0</v>
      </c>
      <c r="F198" s="1">
        <v>0</v>
      </c>
      <c r="G198" s="1">
        <v>0</v>
      </c>
      <c r="H198" s="1">
        <v>1172</v>
      </c>
      <c r="I198" s="1">
        <v>291</v>
      </c>
      <c r="J198" s="1">
        <f>SUM(H198,I198)</f>
        <v>1463</v>
      </c>
      <c r="K198" s="1"/>
      <c r="M198" s="10">
        <v>116</v>
      </c>
      <c r="N198" s="10" t="s">
        <v>252</v>
      </c>
      <c r="O198" s="10">
        <v>11397</v>
      </c>
      <c r="P198" s="10">
        <v>17</v>
      </c>
      <c r="Q198" s="10">
        <v>0</v>
      </c>
      <c r="R198" s="10">
        <v>0</v>
      </c>
      <c r="S198" s="10">
        <v>0</v>
      </c>
      <c r="T198" s="19">
        <v>4900</v>
      </c>
      <c r="U198" s="19"/>
      <c r="V198">
        <f t="shared" si="6"/>
        <v>4900</v>
      </c>
    </row>
    <row r="199" spans="1:22" x14ac:dyDescent="0.25">
      <c r="A199" t="s">
        <v>248</v>
      </c>
      <c r="B199" t="s">
        <v>251</v>
      </c>
      <c r="C199" s="1"/>
      <c r="D199" s="1"/>
      <c r="E199" s="1"/>
      <c r="F199" s="1"/>
      <c r="G199" s="1"/>
      <c r="H199" s="1"/>
      <c r="I199" s="1"/>
      <c r="J199" s="1"/>
      <c r="K199" s="1"/>
      <c r="M199" s="12">
        <v>600</v>
      </c>
      <c r="N199" s="12" t="s">
        <v>253</v>
      </c>
      <c r="O199" s="12">
        <v>17740</v>
      </c>
      <c r="P199" s="12">
        <v>151</v>
      </c>
      <c r="Q199" s="12">
        <v>0</v>
      </c>
      <c r="R199" s="12">
        <v>0</v>
      </c>
      <c r="S199" s="12">
        <v>0</v>
      </c>
      <c r="T199" s="18">
        <v>4122</v>
      </c>
      <c r="U199" s="18"/>
      <c r="V199">
        <f t="shared" si="6"/>
        <v>4122</v>
      </c>
    </row>
    <row r="200" spans="1:22" x14ac:dyDescent="0.25">
      <c r="A200" t="s">
        <v>795</v>
      </c>
      <c r="B200" t="s">
        <v>252</v>
      </c>
      <c r="C200" s="1">
        <f>5172+7+6218</f>
        <v>11397</v>
      </c>
      <c r="D200" s="1">
        <f>10+6+1</f>
        <v>17</v>
      </c>
      <c r="E200" s="1">
        <v>0</v>
      </c>
      <c r="F200" s="1">
        <v>0</v>
      </c>
      <c r="G200" s="1">
        <v>0</v>
      </c>
      <c r="H200" s="1">
        <v>4900</v>
      </c>
      <c r="I200" s="1">
        <v>3515</v>
      </c>
      <c r="J200" s="1">
        <f>SUM(H200,I200)</f>
        <v>8415</v>
      </c>
      <c r="K200" s="1"/>
      <c r="M200" s="10" t="s">
        <v>820</v>
      </c>
      <c r="N200" s="10" t="s">
        <v>254</v>
      </c>
      <c r="O200" s="10"/>
      <c r="P200" s="10"/>
      <c r="Q200" s="10"/>
      <c r="R200" s="10"/>
      <c r="S200" s="10"/>
      <c r="T200" s="19"/>
      <c r="U200" s="19"/>
      <c r="V200">
        <f t="shared" si="6"/>
        <v>0</v>
      </c>
    </row>
    <row r="201" spans="1:22" x14ac:dyDescent="0.25">
      <c r="A201" t="s">
        <v>248</v>
      </c>
      <c r="B201" t="s">
        <v>253</v>
      </c>
      <c r="C201" s="1"/>
      <c r="D201" s="1"/>
      <c r="E201" s="1"/>
      <c r="F201" s="1"/>
      <c r="G201" s="1"/>
      <c r="H201" s="1"/>
      <c r="I201" s="1"/>
      <c r="J201" s="1"/>
      <c r="K201" s="1"/>
      <c r="M201" s="12">
        <v>310</v>
      </c>
      <c r="N201" s="12" t="s">
        <v>255</v>
      </c>
      <c r="O201" s="12">
        <v>14811</v>
      </c>
      <c r="P201" s="12">
        <v>0</v>
      </c>
      <c r="Q201" s="12">
        <v>0</v>
      </c>
      <c r="R201" s="12">
        <v>0</v>
      </c>
      <c r="S201" s="12">
        <v>0</v>
      </c>
      <c r="T201" s="18">
        <v>5220</v>
      </c>
      <c r="U201" s="18"/>
      <c r="V201">
        <f t="shared" si="6"/>
        <v>5220</v>
      </c>
    </row>
    <row r="202" spans="1:22" x14ac:dyDescent="0.25">
      <c r="A202" t="s">
        <v>823</v>
      </c>
      <c r="B202" t="s">
        <v>254</v>
      </c>
      <c r="C202" s="1"/>
      <c r="D202" s="1"/>
      <c r="E202" s="1"/>
      <c r="F202" s="1"/>
      <c r="G202" s="1"/>
      <c r="H202" s="1"/>
      <c r="I202" s="1"/>
      <c r="J202" s="1"/>
      <c r="K202" s="1"/>
      <c r="M202" s="10">
        <v>312</v>
      </c>
      <c r="N202" s="10" t="s">
        <v>256</v>
      </c>
      <c r="O202" s="10">
        <v>7813</v>
      </c>
      <c r="P202" s="10">
        <v>0</v>
      </c>
      <c r="Q202" s="10">
        <v>0</v>
      </c>
      <c r="R202" s="10">
        <v>0</v>
      </c>
      <c r="S202" s="10">
        <v>0</v>
      </c>
      <c r="T202" s="19">
        <v>2894</v>
      </c>
      <c r="U202" s="19"/>
      <c r="V202">
        <f t="shared" si="6"/>
        <v>2894</v>
      </c>
    </row>
    <row r="203" spans="1:22" x14ac:dyDescent="0.25">
      <c r="A203" t="s">
        <v>67</v>
      </c>
      <c r="B203" t="s">
        <v>255</v>
      </c>
      <c r="C203" s="1"/>
      <c r="D203" s="1"/>
      <c r="E203" s="1"/>
      <c r="F203" s="1"/>
      <c r="G203" s="1"/>
      <c r="H203" s="1"/>
      <c r="I203" s="1"/>
      <c r="J203" s="1"/>
      <c r="K203" s="1"/>
      <c r="M203" s="12" t="s">
        <v>815</v>
      </c>
      <c r="N203" s="12" t="s">
        <v>257</v>
      </c>
      <c r="O203" s="12">
        <v>17643</v>
      </c>
      <c r="P203" s="12">
        <v>2550</v>
      </c>
      <c r="Q203" s="12">
        <v>0</v>
      </c>
      <c r="R203" s="12">
        <v>0</v>
      </c>
      <c r="S203" s="12">
        <v>0</v>
      </c>
      <c r="T203" s="18">
        <v>3991</v>
      </c>
      <c r="U203" s="18"/>
      <c r="V203">
        <f t="shared" si="6"/>
        <v>3991</v>
      </c>
    </row>
    <row r="204" spans="1:22" x14ac:dyDescent="0.25">
      <c r="A204" t="s">
        <v>72</v>
      </c>
      <c r="B204" t="s">
        <v>256</v>
      </c>
      <c r="C204" s="1">
        <f>6274+1+2+27+1509</f>
        <v>7813</v>
      </c>
      <c r="D204" s="1">
        <v>0</v>
      </c>
      <c r="E204" s="1">
        <v>0</v>
      </c>
      <c r="F204" s="1">
        <v>0</v>
      </c>
      <c r="G204" s="1">
        <v>0</v>
      </c>
      <c r="H204" s="1">
        <v>2894</v>
      </c>
      <c r="I204" s="1">
        <v>1476</v>
      </c>
      <c r="J204" s="1">
        <f>SUM(H204,I204)</f>
        <v>4370</v>
      </c>
      <c r="K204" s="1"/>
      <c r="M204" s="10">
        <v>616</v>
      </c>
      <c r="N204" s="10" t="s">
        <v>258</v>
      </c>
      <c r="O204" s="10">
        <v>14872</v>
      </c>
      <c r="P204" s="10">
        <v>194</v>
      </c>
      <c r="Q204" s="10">
        <v>0</v>
      </c>
      <c r="R204" s="10">
        <v>0</v>
      </c>
      <c r="S204" s="10">
        <v>0</v>
      </c>
      <c r="T204" s="19">
        <v>82129</v>
      </c>
      <c r="U204" s="19"/>
      <c r="V204">
        <f t="shared" si="6"/>
        <v>82129</v>
      </c>
    </row>
    <row r="205" spans="1:22" x14ac:dyDescent="0.25">
      <c r="A205" t="s">
        <v>138</v>
      </c>
      <c r="B205" t="s">
        <v>257</v>
      </c>
      <c r="C205" s="1"/>
      <c r="D205" s="1"/>
      <c r="E205" s="1"/>
      <c r="F205" s="1"/>
      <c r="G205" s="1"/>
      <c r="H205" s="1"/>
      <c r="I205" s="1"/>
      <c r="J205" s="1"/>
      <c r="K205" s="1"/>
      <c r="M205" s="12">
        <v>116</v>
      </c>
      <c r="N205" s="12" t="s">
        <v>259</v>
      </c>
      <c r="O205" s="12">
        <v>51847</v>
      </c>
      <c r="P205" s="12">
        <v>303</v>
      </c>
      <c r="Q205" s="12">
        <v>0</v>
      </c>
      <c r="R205" s="12">
        <v>0</v>
      </c>
      <c r="S205" s="12">
        <v>0</v>
      </c>
      <c r="T205" s="18">
        <v>11180</v>
      </c>
      <c r="U205" s="18"/>
      <c r="V205">
        <f t="shared" si="6"/>
        <v>11180</v>
      </c>
    </row>
    <row r="206" spans="1:22" x14ac:dyDescent="0.25">
      <c r="A206" t="s">
        <v>817</v>
      </c>
      <c r="B206" t="s">
        <v>258</v>
      </c>
      <c r="C206" s="1">
        <f>8827+47+5+5992+1</f>
        <v>14872</v>
      </c>
      <c r="D206" s="1">
        <f>192+2</f>
        <v>194</v>
      </c>
      <c r="E206" s="1">
        <v>0</v>
      </c>
      <c r="F206" s="1">
        <v>0</v>
      </c>
      <c r="G206" s="1">
        <v>0</v>
      </c>
      <c r="H206" s="1">
        <v>82129</v>
      </c>
      <c r="I206" s="1">
        <v>4621</v>
      </c>
      <c r="J206" s="1">
        <f>SUM(H206,I206)</f>
        <v>86750</v>
      </c>
      <c r="K206" s="1"/>
      <c r="M206" s="10">
        <v>211</v>
      </c>
      <c r="N206" s="10" t="s">
        <v>260</v>
      </c>
      <c r="O206" s="10"/>
      <c r="P206" s="10"/>
      <c r="Q206" s="10"/>
      <c r="R206" s="10"/>
      <c r="S206" s="10"/>
      <c r="T206" s="19"/>
      <c r="U206" s="19"/>
      <c r="V206">
        <f t="shared" si="6"/>
        <v>0</v>
      </c>
    </row>
    <row r="207" spans="1:22" x14ac:dyDescent="0.25">
      <c r="A207" t="s">
        <v>795</v>
      </c>
      <c r="B207" t="s">
        <v>259</v>
      </c>
      <c r="C207" s="1">
        <f>25708+6898+19119+122</f>
        <v>51847</v>
      </c>
      <c r="D207" s="1">
        <f>256+3+9+35</f>
        <v>303</v>
      </c>
      <c r="E207" s="1">
        <v>0</v>
      </c>
      <c r="F207" s="1">
        <v>0</v>
      </c>
      <c r="G207" s="1">
        <v>0</v>
      </c>
      <c r="H207" s="1">
        <v>11180</v>
      </c>
      <c r="I207" s="1">
        <v>16341</v>
      </c>
      <c r="J207" s="1">
        <f>SUM(H207,I207)</f>
        <v>27521</v>
      </c>
      <c r="K207" s="1"/>
      <c r="M207" s="12">
        <v>120</v>
      </c>
      <c r="N207" s="12" t="s">
        <v>261</v>
      </c>
      <c r="O207" s="12"/>
      <c r="P207" s="12"/>
      <c r="Q207" s="12"/>
      <c r="R207" s="12"/>
      <c r="S207" s="12"/>
      <c r="T207" s="18"/>
      <c r="U207" s="18"/>
      <c r="V207">
        <f t="shared" si="6"/>
        <v>0</v>
      </c>
    </row>
    <row r="208" spans="1:22" x14ac:dyDescent="0.25">
      <c r="A208" t="s">
        <v>864</v>
      </c>
      <c r="B208" t="s">
        <v>260</v>
      </c>
      <c r="C208" s="1">
        <f>7785+4+37+4+5655</f>
        <v>13485</v>
      </c>
      <c r="D208" s="1">
        <f>18+158+12</f>
        <v>188</v>
      </c>
      <c r="E208" s="1">
        <v>0</v>
      </c>
      <c r="F208" s="1">
        <v>0</v>
      </c>
      <c r="G208" s="1">
        <v>0</v>
      </c>
      <c r="H208" s="1">
        <v>5805</v>
      </c>
      <c r="I208" s="1">
        <v>4776</v>
      </c>
      <c r="J208" s="1">
        <f>SUM(H208,I208)</f>
        <v>10581</v>
      </c>
      <c r="K208" s="1"/>
      <c r="M208" s="10">
        <v>711</v>
      </c>
      <c r="N208" s="10" t="s">
        <v>262</v>
      </c>
      <c r="O208" s="10"/>
      <c r="P208" s="10"/>
      <c r="Q208" s="10"/>
      <c r="R208" s="10"/>
      <c r="S208" s="10"/>
      <c r="T208" s="19"/>
      <c r="U208" s="19"/>
      <c r="V208">
        <f t="shared" si="6"/>
        <v>0</v>
      </c>
    </row>
    <row r="209" spans="1:22" x14ac:dyDescent="0.25">
      <c r="A209" t="s">
        <v>826</v>
      </c>
      <c r="B209" t="s">
        <v>261</v>
      </c>
      <c r="C209" s="1"/>
      <c r="D209" s="1"/>
      <c r="E209" s="1"/>
      <c r="F209" s="1"/>
      <c r="G209" s="1"/>
      <c r="H209" s="1"/>
      <c r="I209" s="1"/>
      <c r="J209" s="1"/>
      <c r="K209" s="1"/>
      <c r="M209" s="12">
        <v>311</v>
      </c>
      <c r="N209" s="12" t="s">
        <v>263</v>
      </c>
      <c r="O209" s="12">
        <v>4745</v>
      </c>
      <c r="P209" s="12">
        <v>0</v>
      </c>
      <c r="Q209" s="12">
        <v>0</v>
      </c>
      <c r="R209" s="12">
        <v>0</v>
      </c>
      <c r="S209" s="12">
        <v>0</v>
      </c>
      <c r="T209" s="18">
        <v>343</v>
      </c>
      <c r="U209" s="18"/>
      <c r="V209">
        <f t="shared" si="6"/>
        <v>343</v>
      </c>
    </row>
    <row r="210" spans="1:22" x14ac:dyDescent="0.25">
      <c r="A210" t="s">
        <v>801</v>
      </c>
      <c r="B210" t="s">
        <v>262</v>
      </c>
      <c r="C210" s="1">
        <f>19707+1+2+792+1+25+16+1+1+9717</f>
        <v>30263</v>
      </c>
      <c r="D210" s="1">
        <f>79+10+141+95+22+2</f>
        <v>349</v>
      </c>
      <c r="E210" s="1">
        <v>0</v>
      </c>
      <c r="F210" s="1">
        <v>0</v>
      </c>
      <c r="G210" s="1">
        <v>0</v>
      </c>
      <c r="H210" s="1">
        <v>29083</v>
      </c>
      <c r="I210" s="1">
        <v>8030</v>
      </c>
      <c r="J210" s="1">
        <f>SUM(H210,I210)</f>
        <v>37113</v>
      </c>
      <c r="K210" s="1"/>
      <c r="M210" s="10">
        <v>200</v>
      </c>
      <c r="N210" s="10" t="s">
        <v>264</v>
      </c>
      <c r="O210" s="10">
        <v>5002</v>
      </c>
      <c r="P210" s="10">
        <v>0</v>
      </c>
      <c r="Q210" s="10">
        <v>0</v>
      </c>
      <c r="R210" s="10">
        <v>0</v>
      </c>
      <c r="S210" s="10">
        <v>0</v>
      </c>
      <c r="T210" s="19">
        <v>951</v>
      </c>
      <c r="U210" s="19"/>
      <c r="V210">
        <f t="shared" si="6"/>
        <v>951</v>
      </c>
    </row>
    <row r="211" spans="1:22" x14ac:dyDescent="0.25">
      <c r="A211" t="s">
        <v>120</v>
      </c>
      <c r="B211" t="s">
        <v>263</v>
      </c>
      <c r="C211" s="1">
        <f>4453+48+14+230</f>
        <v>4745</v>
      </c>
      <c r="D211" s="1">
        <v>0</v>
      </c>
      <c r="E211" s="1">
        <v>0</v>
      </c>
      <c r="F211" s="1">
        <v>0</v>
      </c>
      <c r="G211" s="1">
        <v>0</v>
      </c>
      <c r="H211" s="1">
        <v>343</v>
      </c>
      <c r="I211" s="1">
        <v>217</v>
      </c>
      <c r="J211" s="1">
        <f>SUM(H211,I211)</f>
        <v>560</v>
      </c>
      <c r="K211" s="1"/>
      <c r="M211" s="12" t="s">
        <v>820</v>
      </c>
      <c r="N211" s="12" t="s">
        <v>266</v>
      </c>
      <c r="O211" s="12">
        <v>36441</v>
      </c>
      <c r="P211" s="12">
        <v>164</v>
      </c>
      <c r="Q211" s="12">
        <v>0</v>
      </c>
      <c r="R211" s="12">
        <v>0</v>
      </c>
      <c r="S211" s="12">
        <v>0</v>
      </c>
      <c r="T211" s="18">
        <v>21257</v>
      </c>
      <c r="U211" s="18"/>
      <c r="V211">
        <f t="shared" si="6"/>
        <v>21257</v>
      </c>
    </row>
    <row r="212" spans="1:22" x14ac:dyDescent="0.25">
      <c r="A212" t="s">
        <v>806</v>
      </c>
      <c r="B212" t="s">
        <v>264</v>
      </c>
      <c r="C212" s="1">
        <f>3760+20+125+1097</f>
        <v>5002</v>
      </c>
      <c r="D212" s="1">
        <v>0</v>
      </c>
      <c r="E212" s="1">
        <v>0</v>
      </c>
      <c r="F212" s="1">
        <v>0</v>
      </c>
      <c r="G212" s="1">
        <v>0</v>
      </c>
      <c r="H212" s="1">
        <v>951</v>
      </c>
      <c r="I212" s="1">
        <v>756</v>
      </c>
      <c r="J212" s="1">
        <f>SUM(H212,I212)</f>
        <v>1707</v>
      </c>
      <c r="K212" s="1"/>
      <c r="M212" s="10" t="s">
        <v>822</v>
      </c>
      <c r="N212" s="10" t="s">
        <v>267</v>
      </c>
      <c r="O212" s="10"/>
      <c r="P212" s="10"/>
      <c r="Q212" s="10"/>
      <c r="R212" s="10"/>
      <c r="S212" s="10"/>
      <c r="T212" s="19"/>
      <c r="U212" s="19"/>
      <c r="V212">
        <f t="shared" ref="V212:V275" si="8">SUM(T212:U212)</f>
        <v>0</v>
      </c>
    </row>
    <row r="213" spans="1:22" x14ac:dyDescent="0.25">
      <c r="A213" t="s">
        <v>265</v>
      </c>
      <c r="B213" t="s">
        <v>266</v>
      </c>
      <c r="C213" s="1">
        <f>25676+24+1+6+10734</f>
        <v>36441</v>
      </c>
      <c r="D213" s="1">
        <f>75+89</f>
        <v>164</v>
      </c>
      <c r="E213" s="1">
        <v>0</v>
      </c>
      <c r="F213" s="1">
        <v>0</v>
      </c>
      <c r="G213" s="1">
        <v>0</v>
      </c>
      <c r="H213" s="1">
        <v>21257</v>
      </c>
      <c r="I213" s="1">
        <v>9921</v>
      </c>
      <c r="J213" s="1">
        <f>SUM(H213,I213)</f>
        <v>31178</v>
      </c>
      <c r="K213" s="1"/>
      <c r="M213" s="12">
        <v>114</v>
      </c>
      <c r="N213" s="12" t="s">
        <v>268</v>
      </c>
      <c r="O213" s="12">
        <v>8174</v>
      </c>
      <c r="P213" s="12">
        <v>214</v>
      </c>
      <c r="Q213" s="12">
        <v>0</v>
      </c>
      <c r="R213" s="12">
        <v>0</v>
      </c>
      <c r="S213" s="12">
        <v>0</v>
      </c>
      <c r="T213" s="18">
        <v>2306</v>
      </c>
      <c r="U213" s="18"/>
      <c r="V213">
        <f t="shared" si="8"/>
        <v>2306</v>
      </c>
    </row>
    <row r="214" spans="1:22" x14ac:dyDescent="0.25">
      <c r="A214" t="s">
        <v>797</v>
      </c>
      <c r="B214" t="s">
        <v>267</v>
      </c>
      <c r="C214" s="1"/>
      <c r="D214" s="1"/>
      <c r="E214" s="1"/>
      <c r="F214" s="1"/>
      <c r="G214" s="1"/>
      <c r="H214" s="1"/>
      <c r="I214" s="1"/>
      <c r="J214" s="1"/>
      <c r="K214" s="1"/>
      <c r="M214" s="10" t="s">
        <v>814</v>
      </c>
      <c r="N214" s="10" t="s">
        <v>269</v>
      </c>
      <c r="O214" s="10">
        <v>3189</v>
      </c>
      <c r="P214" s="10">
        <v>46</v>
      </c>
      <c r="Q214" s="10">
        <v>0</v>
      </c>
      <c r="R214" s="10">
        <v>0</v>
      </c>
      <c r="S214" s="10">
        <v>0</v>
      </c>
      <c r="T214" s="19">
        <v>249</v>
      </c>
      <c r="U214" s="19"/>
      <c r="V214">
        <f t="shared" si="8"/>
        <v>249</v>
      </c>
    </row>
    <row r="215" spans="1:22" x14ac:dyDescent="0.25">
      <c r="A215" t="s">
        <v>831</v>
      </c>
      <c r="B215" t="s">
        <v>268</v>
      </c>
      <c r="C215" s="1">
        <f>6073+2101</f>
        <v>8174</v>
      </c>
      <c r="D215" s="1">
        <f>165+49</f>
        <v>214</v>
      </c>
      <c r="E215" s="1">
        <v>0</v>
      </c>
      <c r="F215" s="1">
        <v>0</v>
      </c>
      <c r="G215" s="1">
        <v>0</v>
      </c>
      <c r="H215" s="1">
        <v>2306</v>
      </c>
      <c r="I215" s="1">
        <v>1961</v>
      </c>
      <c r="J215" s="1">
        <f>SUM(H215,I215)</f>
        <v>4267</v>
      </c>
      <c r="K215" s="1"/>
      <c r="M215" s="12" t="s">
        <v>808</v>
      </c>
      <c r="N215" s="12" t="s">
        <v>270</v>
      </c>
      <c r="O215" s="12">
        <v>7542</v>
      </c>
      <c r="P215" s="12">
        <v>4</v>
      </c>
      <c r="Q215" s="12">
        <v>0</v>
      </c>
      <c r="R215" s="12">
        <v>0</v>
      </c>
      <c r="S215" s="12">
        <v>0</v>
      </c>
      <c r="T215" s="18">
        <v>7187</v>
      </c>
      <c r="U215" s="18"/>
      <c r="V215">
        <f t="shared" si="8"/>
        <v>7187</v>
      </c>
    </row>
    <row r="216" spans="1:22" x14ac:dyDescent="0.25">
      <c r="A216" t="s">
        <v>794</v>
      </c>
      <c r="B216" t="s">
        <v>269</v>
      </c>
      <c r="C216" s="1">
        <f>2920+269</f>
        <v>3189</v>
      </c>
      <c r="D216" s="1">
        <f>44+2</f>
        <v>46</v>
      </c>
      <c r="E216" s="1">
        <v>0</v>
      </c>
      <c r="F216" s="1">
        <v>0</v>
      </c>
      <c r="G216" s="1">
        <v>0</v>
      </c>
      <c r="H216" s="1">
        <v>249</v>
      </c>
      <c r="I216" s="1">
        <v>275</v>
      </c>
      <c r="J216" s="1">
        <f>SUM(H216,I216)</f>
        <v>524</v>
      </c>
      <c r="K216" s="1"/>
      <c r="M216" s="10">
        <v>600</v>
      </c>
      <c r="N216" s="10" t="s">
        <v>271</v>
      </c>
      <c r="O216" s="10">
        <v>29596</v>
      </c>
      <c r="P216" s="10">
        <v>798</v>
      </c>
      <c r="Q216" s="10">
        <v>0</v>
      </c>
      <c r="R216" s="10">
        <v>0</v>
      </c>
      <c r="S216" s="10">
        <v>0</v>
      </c>
      <c r="T216" s="19">
        <v>46378</v>
      </c>
      <c r="U216" s="19"/>
      <c r="V216">
        <f t="shared" si="8"/>
        <v>46378</v>
      </c>
    </row>
    <row r="217" spans="1:22" x14ac:dyDescent="0.25">
      <c r="A217" s="9" t="s">
        <v>809</v>
      </c>
      <c r="B217" s="10" t="s">
        <v>270</v>
      </c>
      <c r="C217" s="1">
        <f>3672+1+26+3843</f>
        <v>7542</v>
      </c>
      <c r="D217" s="1">
        <v>4</v>
      </c>
      <c r="E217" s="1">
        <v>0</v>
      </c>
      <c r="F217" s="1">
        <v>0</v>
      </c>
      <c r="G217" s="1">
        <v>0</v>
      </c>
      <c r="H217" s="1">
        <v>7187</v>
      </c>
      <c r="I217" s="1">
        <v>1015</v>
      </c>
      <c r="J217" s="1">
        <f>SUM(H217,I217)</f>
        <v>8202</v>
      </c>
      <c r="K217" s="1"/>
      <c r="M217" s="12">
        <v>113</v>
      </c>
      <c r="N217" s="12" t="s">
        <v>272</v>
      </c>
      <c r="O217" s="12">
        <v>7144</v>
      </c>
      <c r="P217" s="12">
        <v>20</v>
      </c>
      <c r="Q217" s="12">
        <v>0</v>
      </c>
      <c r="R217" s="12">
        <v>0</v>
      </c>
      <c r="S217" s="12">
        <v>0</v>
      </c>
      <c r="T217" s="18">
        <v>2684</v>
      </c>
      <c r="U217" s="18"/>
      <c r="V217">
        <f t="shared" si="8"/>
        <v>2684</v>
      </c>
    </row>
    <row r="218" spans="1:22" x14ac:dyDescent="0.25">
      <c r="A218" s="9" t="s">
        <v>248</v>
      </c>
      <c r="B218" s="10" t="s">
        <v>271</v>
      </c>
      <c r="C218" s="1"/>
      <c r="D218" s="1"/>
      <c r="E218" s="1"/>
      <c r="F218" s="1"/>
      <c r="G218" s="1"/>
      <c r="H218" s="1"/>
      <c r="I218" s="1"/>
      <c r="J218" s="1"/>
      <c r="K218" s="1"/>
      <c r="M218" s="10">
        <v>611</v>
      </c>
      <c r="N218" s="10" t="s">
        <v>273</v>
      </c>
      <c r="O218" s="10">
        <v>7350</v>
      </c>
      <c r="P218" s="10">
        <v>148</v>
      </c>
      <c r="Q218" s="10">
        <v>0</v>
      </c>
      <c r="R218" s="10">
        <v>0</v>
      </c>
      <c r="S218" s="10">
        <v>0</v>
      </c>
      <c r="T218" s="19">
        <v>13105</v>
      </c>
      <c r="U218" s="19"/>
      <c r="V218">
        <f t="shared" si="8"/>
        <v>13105</v>
      </c>
    </row>
    <row r="219" spans="1:22" x14ac:dyDescent="0.25">
      <c r="A219" t="s">
        <v>823</v>
      </c>
      <c r="B219" t="s">
        <v>272</v>
      </c>
      <c r="C219" s="1">
        <f>4748+1+3+2392</f>
        <v>7144</v>
      </c>
      <c r="D219" s="1">
        <v>20</v>
      </c>
      <c r="E219" s="1">
        <v>0</v>
      </c>
      <c r="F219" s="1">
        <v>0</v>
      </c>
      <c r="G219" s="1">
        <v>0</v>
      </c>
      <c r="H219" s="1">
        <v>2684</v>
      </c>
      <c r="I219" s="1">
        <v>1683</v>
      </c>
      <c r="J219" s="1">
        <f>SUM(H219,I219)</f>
        <v>4367</v>
      </c>
      <c r="K219" s="1"/>
      <c r="M219" s="12">
        <v>610</v>
      </c>
      <c r="N219" s="12" t="s">
        <v>274</v>
      </c>
      <c r="O219" s="12">
        <v>10180</v>
      </c>
      <c r="P219" s="12">
        <v>4</v>
      </c>
      <c r="Q219" s="12">
        <v>0</v>
      </c>
      <c r="R219" s="12">
        <v>0</v>
      </c>
      <c r="S219" s="12">
        <v>0</v>
      </c>
      <c r="T219" s="18">
        <v>10556</v>
      </c>
      <c r="U219" s="18"/>
      <c r="V219">
        <f t="shared" si="8"/>
        <v>10556</v>
      </c>
    </row>
    <row r="220" spans="1:22" x14ac:dyDescent="0.25">
      <c r="A220" t="s">
        <v>146</v>
      </c>
      <c r="B220" t="s">
        <v>273</v>
      </c>
      <c r="C220" s="1">
        <f>3071+1+342+8+3928</f>
        <v>7350</v>
      </c>
      <c r="D220" s="1">
        <f>2+143+1+2</f>
        <v>148</v>
      </c>
      <c r="E220" s="1">
        <v>0</v>
      </c>
      <c r="F220" s="1">
        <v>0</v>
      </c>
      <c r="G220" s="1">
        <v>0</v>
      </c>
      <c r="H220" s="1">
        <v>13105</v>
      </c>
      <c r="I220" s="1">
        <v>3774</v>
      </c>
      <c r="J220" s="1">
        <f>SUM(H220,I220)</f>
        <v>16879</v>
      </c>
      <c r="K220" s="1"/>
      <c r="M220" t="s">
        <v>805</v>
      </c>
      <c r="N220" t="s">
        <v>275</v>
      </c>
      <c r="O220" s="12"/>
      <c r="P220" s="12"/>
      <c r="Q220" s="12"/>
      <c r="R220" s="12"/>
      <c r="S220" s="12"/>
      <c r="T220" s="18"/>
      <c r="U220" s="18"/>
      <c r="V220">
        <f t="shared" si="8"/>
        <v>0</v>
      </c>
    </row>
    <row r="221" spans="1:22" x14ac:dyDescent="0.25">
      <c r="A221" t="s">
        <v>788</v>
      </c>
      <c r="B221" t="s">
        <v>274</v>
      </c>
      <c r="C221" s="1">
        <f>6190+316+3674</f>
        <v>10180</v>
      </c>
      <c r="D221" s="1">
        <f>3+1</f>
        <v>4</v>
      </c>
      <c r="E221" s="1">
        <v>0</v>
      </c>
      <c r="F221" s="1">
        <v>0</v>
      </c>
      <c r="G221" s="1">
        <v>0</v>
      </c>
      <c r="H221" s="1">
        <v>10556</v>
      </c>
      <c r="I221" s="1">
        <v>2696</v>
      </c>
      <c r="J221" s="1">
        <f>SUM(H221,I221)</f>
        <v>13252</v>
      </c>
      <c r="K221" s="1"/>
      <c r="M221" s="23" t="s">
        <v>805</v>
      </c>
      <c r="N221" s="24" t="s">
        <v>276</v>
      </c>
      <c r="O221" s="12"/>
      <c r="P221" s="12"/>
      <c r="Q221" s="12"/>
      <c r="R221" s="12"/>
      <c r="S221" s="12"/>
      <c r="T221" s="18"/>
      <c r="U221" s="18"/>
      <c r="V221">
        <f t="shared" si="8"/>
        <v>0</v>
      </c>
    </row>
    <row r="222" spans="1:22" x14ac:dyDescent="0.25">
      <c r="A222" t="s">
        <v>805</v>
      </c>
      <c r="B222" t="s">
        <v>275</v>
      </c>
      <c r="C222" s="1"/>
      <c r="D222" s="1"/>
      <c r="E222" s="1"/>
      <c r="F222" s="1"/>
      <c r="G222" s="1"/>
      <c r="H222" s="1"/>
      <c r="I222" s="1"/>
      <c r="J222" s="1"/>
      <c r="K222" s="1"/>
      <c r="M222" s="10">
        <v>712</v>
      </c>
      <c r="N222" s="10" t="s">
        <v>277</v>
      </c>
      <c r="O222" s="10">
        <v>35492</v>
      </c>
      <c r="P222" s="10">
        <v>439</v>
      </c>
      <c r="Q222" s="10">
        <v>0</v>
      </c>
      <c r="R222" s="10">
        <v>0</v>
      </c>
      <c r="S222" s="10">
        <v>0</v>
      </c>
      <c r="T222" s="19">
        <v>0</v>
      </c>
      <c r="U222" s="19"/>
      <c r="V222">
        <f t="shared" si="8"/>
        <v>0</v>
      </c>
    </row>
    <row r="223" spans="1:22" x14ac:dyDescent="0.25">
      <c r="A223" s="23" t="s">
        <v>805</v>
      </c>
      <c r="B223" s="24" t="s">
        <v>276</v>
      </c>
      <c r="C223" s="1"/>
      <c r="D223" s="1"/>
      <c r="E223" s="1"/>
      <c r="F223" s="1"/>
      <c r="G223" s="1"/>
      <c r="H223" s="1"/>
      <c r="I223" s="1"/>
      <c r="J223" s="1"/>
      <c r="K223" s="1"/>
      <c r="M223" s="12">
        <v>113</v>
      </c>
      <c r="N223" s="12" t="s">
        <v>278</v>
      </c>
      <c r="O223" s="12">
        <v>1268</v>
      </c>
      <c r="P223" s="12">
        <v>0</v>
      </c>
      <c r="Q223" s="12">
        <v>0</v>
      </c>
      <c r="R223" s="12">
        <v>0</v>
      </c>
      <c r="S223" s="12">
        <v>0</v>
      </c>
      <c r="T223" s="18">
        <v>0</v>
      </c>
      <c r="U223" s="18"/>
      <c r="V223">
        <f t="shared" si="8"/>
        <v>0</v>
      </c>
    </row>
    <row r="224" spans="1:22" x14ac:dyDescent="0.25">
      <c r="A224" t="s">
        <v>76</v>
      </c>
      <c r="B224" t="s">
        <v>277</v>
      </c>
      <c r="C224" s="1">
        <f>29910+1+47+5534</f>
        <v>35492</v>
      </c>
      <c r="D224" s="1">
        <v>439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f>SUM(H224,I224)</f>
        <v>0</v>
      </c>
      <c r="K224" s="1"/>
      <c r="M224" s="10">
        <v>311</v>
      </c>
      <c r="N224" s="10" t="s">
        <v>279</v>
      </c>
      <c r="O224" s="10"/>
      <c r="P224" s="10"/>
      <c r="Q224" s="10"/>
      <c r="R224" s="10"/>
      <c r="S224" s="10"/>
      <c r="T224" s="19"/>
      <c r="U224" s="19"/>
      <c r="V224">
        <f t="shared" si="8"/>
        <v>0</v>
      </c>
    </row>
    <row r="225" spans="1:22" x14ac:dyDescent="0.25">
      <c r="A225" t="s">
        <v>823</v>
      </c>
      <c r="B225" t="s">
        <v>278</v>
      </c>
      <c r="C225" s="1">
        <v>1268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f>SUM(H225,I225)</f>
        <v>0</v>
      </c>
      <c r="K225" s="1"/>
      <c r="M225" s="10">
        <v>613</v>
      </c>
      <c r="N225" s="10" t="s">
        <v>280</v>
      </c>
      <c r="O225" s="10">
        <v>1905</v>
      </c>
      <c r="P225" s="10">
        <v>13</v>
      </c>
      <c r="Q225" s="10">
        <v>0</v>
      </c>
      <c r="R225" s="10">
        <v>0</v>
      </c>
      <c r="S225" s="10">
        <v>0</v>
      </c>
      <c r="T225" s="19">
        <v>0</v>
      </c>
      <c r="U225" s="19"/>
      <c r="V225">
        <f t="shared" si="8"/>
        <v>0</v>
      </c>
    </row>
    <row r="226" spans="1:22" x14ac:dyDescent="0.25">
      <c r="A226" t="s">
        <v>120</v>
      </c>
      <c r="B226" t="s">
        <v>279</v>
      </c>
      <c r="C226" s="1"/>
      <c r="D226" s="1"/>
      <c r="E226" s="1"/>
      <c r="F226" s="1"/>
      <c r="G226" s="1"/>
      <c r="H226" s="1"/>
      <c r="I226" s="1"/>
      <c r="J226" s="1"/>
      <c r="K226" s="1"/>
      <c r="M226" s="12">
        <v>100</v>
      </c>
      <c r="N226" s="12" t="s">
        <v>281</v>
      </c>
      <c r="O226" s="12"/>
      <c r="P226" s="12"/>
      <c r="Q226" s="12"/>
      <c r="R226" s="12"/>
      <c r="S226" s="12"/>
      <c r="T226" s="18"/>
      <c r="U226" s="18"/>
      <c r="V226">
        <f t="shared" si="8"/>
        <v>0</v>
      </c>
    </row>
    <row r="227" spans="1:22" x14ac:dyDescent="0.25">
      <c r="A227" t="s">
        <v>495</v>
      </c>
      <c r="B227" t="s">
        <v>280</v>
      </c>
      <c r="C227" s="1">
        <f>1855+12+38</f>
        <v>1905</v>
      </c>
      <c r="D227" s="1">
        <f>6+7</f>
        <v>13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f>SUM(H227,I227)</f>
        <v>0</v>
      </c>
      <c r="K227" s="1"/>
      <c r="M227" s="10">
        <v>711</v>
      </c>
      <c r="N227" s="10" t="s">
        <v>282</v>
      </c>
      <c r="O227" s="10"/>
      <c r="P227" s="10"/>
      <c r="Q227" s="10"/>
      <c r="R227" s="10"/>
      <c r="S227" s="10"/>
      <c r="T227" s="19"/>
      <c r="U227" s="19"/>
      <c r="V227">
        <f t="shared" si="8"/>
        <v>0</v>
      </c>
    </row>
    <row r="228" spans="1:22" x14ac:dyDescent="0.25">
      <c r="A228" t="s">
        <v>791</v>
      </c>
      <c r="B228" t="s">
        <v>281</v>
      </c>
      <c r="C228" s="1"/>
      <c r="D228" s="1"/>
      <c r="E228" s="1"/>
      <c r="F228" s="1"/>
      <c r="G228" s="1"/>
      <c r="H228" s="1"/>
      <c r="I228" s="1"/>
      <c r="J228" s="1"/>
      <c r="K228" s="1"/>
      <c r="M228" s="12">
        <v>116</v>
      </c>
      <c r="N228" s="12" t="s">
        <v>283</v>
      </c>
      <c r="O228" s="12">
        <v>98021</v>
      </c>
      <c r="P228" s="12">
        <v>0</v>
      </c>
      <c r="Q228" s="12">
        <v>0</v>
      </c>
      <c r="R228" s="12">
        <v>0</v>
      </c>
      <c r="S228" s="12">
        <v>0</v>
      </c>
      <c r="T228" s="18">
        <v>0</v>
      </c>
      <c r="U228" s="18"/>
      <c r="V228">
        <f t="shared" si="8"/>
        <v>0</v>
      </c>
    </row>
    <row r="229" spans="1:22" x14ac:dyDescent="0.25">
      <c r="A229" t="s">
        <v>801</v>
      </c>
      <c r="B229" t="s">
        <v>282</v>
      </c>
      <c r="C229" s="1"/>
      <c r="D229" s="1"/>
      <c r="E229" s="1"/>
      <c r="F229" s="1"/>
      <c r="G229" s="1"/>
      <c r="H229" s="1"/>
      <c r="I229" s="1"/>
      <c r="J229" s="1"/>
      <c r="K229" s="1"/>
      <c r="M229" s="10">
        <v>111</v>
      </c>
      <c r="N229" s="10" t="s">
        <v>284</v>
      </c>
      <c r="O229" s="10">
        <v>44847</v>
      </c>
      <c r="P229" s="10">
        <v>1394</v>
      </c>
      <c r="Q229" s="10">
        <v>0</v>
      </c>
      <c r="R229" s="10">
        <v>0</v>
      </c>
      <c r="S229" s="10">
        <v>0</v>
      </c>
      <c r="T229" s="19">
        <v>0</v>
      </c>
      <c r="U229" s="19"/>
      <c r="V229">
        <f t="shared" si="8"/>
        <v>0</v>
      </c>
    </row>
    <row r="230" spans="1:22" x14ac:dyDescent="0.25">
      <c r="A230" t="s">
        <v>795</v>
      </c>
      <c r="B230" t="s">
        <v>283</v>
      </c>
      <c r="C230" s="1">
        <f>98006+15</f>
        <v>98021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f>SUM(H230,I230)</f>
        <v>0</v>
      </c>
      <c r="K230" s="1"/>
      <c r="M230" s="12">
        <v>311</v>
      </c>
      <c r="N230" s="12" t="s">
        <v>285</v>
      </c>
      <c r="O230" s="12">
        <v>13032</v>
      </c>
      <c r="P230" s="12">
        <v>105</v>
      </c>
      <c r="Q230" s="12">
        <v>0</v>
      </c>
      <c r="R230" s="12">
        <v>0</v>
      </c>
      <c r="S230" s="12">
        <v>0</v>
      </c>
      <c r="T230" s="18">
        <v>0</v>
      </c>
      <c r="U230" s="18"/>
      <c r="V230">
        <f t="shared" si="8"/>
        <v>0</v>
      </c>
    </row>
    <row r="231" spans="1:22" x14ac:dyDescent="0.25">
      <c r="A231" t="s">
        <v>811</v>
      </c>
      <c r="B231" t="s">
        <v>284</v>
      </c>
      <c r="C231" s="1"/>
      <c r="D231" s="1"/>
      <c r="E231" s="1"/>
      <c r="F231" s="1"/>
      <c r="G231" s="1"/>
      <c r="H231" s="1"/>
      <c r="I231" s="1"/>
      <c r="J231" s="1"/>
      <c r="K231" s="1"/>
      <c r="M231" s="10">
        <v>511</v>
      </c>
      <c r="N231" s="10" t="s">
        <v>286</v>
      </c>
      <c r="O231" s="10">
        <v>11759</v>
      </c>
      <c r="P231" s="10">
        <v>86</v>
      </c>
      <c r="Q231" s="10">
        <v>0</v>
      </c>
      <c r="R231" s="10">
        <v>0</v>
      </c>
      <c r="S231" s="10">
        <v>0</v>
      </c>
      <c r="T231" s="19">
        <v>0</v>
      </c>
      <c r="U231" s="19"/>
      <c r="V231">
        <f t="shared" si="8"/>
        <v>0</v>
      </c>
    </row>
    <row r="232" spans="1:22" x14ac:dyDescent="0.25">
      <c r="A232" t="s">
        <v>120</v>
      </c>
      <c r="B232" t="s">
        <v>285</v>
      </c>
      <c r="C232" s="1">
        <f>13027+5</f>
        <v>13032</v>
      </c>
      <c r="D232" s="1">
        <v>105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f>SUM(H232,I232)</f>
        <v>0</v>
      </c>
      <c r="K232" s="1"/>
      <c r="M232" s="12">
        <v>300</v>
      </c>
      <c r="N232" s="12" t="s">
        <v>287</v>
      </c>
      <c r="O232" s="12">
        <v>2256</v>
      </c>
      <c r="P232" s="12">
        <v>0</v>
      </c>
      <c r="Q232" s="12">
        <v>0</v>
      </c>
      <c r="R232" s="12">
        <v>0</v>
      </c>
      <c r="S232" s="12">
        <v>0</v>
      </c>
      <c r="T232" s="18">
        <v>0</v>
      </c>
      <c r="U232" s="18"/>
      <c r="V232">
        <f t="shared" si="8"/>
        <v>0</v>
      </c>
    </row>
    <row r="233" spans="1:22" x14ac:dyDescent="0.25">
      <c r="A233" t="s">
        <v>101</v>
      </c>
      <c r="B233" t="s">
        <v>286</v>
      </c>
      <c r="C233" s="1">
        <f>11747+10+2</f>
        <v>11759</v>
      </c>
      <c r="D233" s="1">
        <v>86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f>SUM(H233,I233)</f>
        <v>0</v>
      </c>
      <c r="K233" s="1"/>
      <c r="M233" s="10">
        <v>311</v>
      </c>
      <c r="N233" s="10" t="s">
        <v>288</v>
      </c>
      <c r="O233" s="10">
        <v>2053</v>
      </c>
      <c r="P233" s="10">
        <v>0</v>
      </c>
      <c r="Q233" s="10">
        <v>0</v>
      </c>
      <c r="R233" s="10">
        <v>16331</v>
      </c>
      <c r="S233" s="10">
        <v>46</v>
      </c>
      <c r="T233" s="19">
        <v>0</v>
      </c>
      <c r="U233" s="19"/>
      <c r="V233">
        <f t="shared" si="8"/>
        <v>0</v>
      </c>
    </row>
    <row r="234" spans="1:22" x14ac:dyDescent="0.25">
      <c r="A234" t="s">
        <v>226</v>
      </c>
      <c r="B234" t="s">
        <v>287</v>
      </c>
      <c r="C234" s="1">
        <v>2256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f>SUM(H234,I234)</f>
        <v>0</v>
      </c>
      <c r="K234" s="1"/>
      <c r="M234" s="12">
        <v>120</v>
      </c>
      <c r="N234" s="12" t="s">
        <v>289</v>
      </c>
      <c r="O234" s="12"/>
      <c r="P234" s="12"/>
      <c r="Q234" s="12"/>
      <c r="R234" s="12"/>
      <c r="S234" s="12"/>
      <c r="T234" s="18"/>
      <c r="U234" s="18"/>
      <c r="V234">
        <f t="shared" si="8"/>
        <v>0</v>
      </c>
    </row>
    <row r="235" spans="1:22" x14ac:dyDescent="0.25">
      <c r="A235" t="s">
        <v>120</v>
      </c>
      <c r="B235" t="s">
        <v>288</v>
      </c>
      <c r="C235" s="1">
        <v>2053</v>
      </c>
      <c r="D235" s="1">
        <v>0</v>
      </c>
      <c r="E235" s="1">
        <v>0</v>
      </c>
      <c r="F235" s="1">
        <f>16329+2</f>
        <v>16331</v>
      </c>
      <c r="G235" s="1">
        <v>46</v>
      </c>
      <c r="H235" s="1">
        <v>0</v>
      </c>
      <c r="I235" s="1">
        <v>0</v>
      </c>
      <c r="J235" s="1">
        <f>SUM(H235,I235)</f>
        <v>0</v>
      </c>
      <c r="K235" s="1"/>
      <c r="M235" s="10">
        <v>100</v>
      </c>
      <c r="N235" s="10" t="s">
        <v>290</v>
      </c>
      <c r="O235" s="10"/>
      <c r="P235" s="10"/>
      <c r="Q235" s="10"/>
      <c r="R235" s="10"/>
      <c r="S235" s="10"/>
      <c r="T235" s="19"/>
      <c r="U235" s="19"/>
      <c r="V235">
        <f t="shared" si="8"/>
        <v>0</v>
      </c>
    </row>
    <row r="236" spans="1:22" x14ac:dyDescent="0.25">
      <c r="A236" t="s">
        <v>826</v>
      </c>
      <c r="B236" t="s">
        <v>289</v>
      </c>
      <c r="C236" s="1"/>
      <c r="D236" s="1"/>
      <c r="E236" s="1"/>
      <c r="F236" s="1"/>
      <c r="G236" s="1"/>
      <c r="H236" s="1"/>
      <c r="I236" s="1"/>
      <c r="J236" s="1"/>
      <c r="K236" s="1"/>
      <c r="M236" s="12">
        <v>120</v>
      </c>
      <c r="N236" s="12" t="s">
        <v>291</v>
      </c>
      <c r="O236" s="12">
        <v>373</v>
      </c>
      <c r="P236" s="12">
        <v>0</v>
      </c>
      <c r="Q236" s="12">
        <v>0</v>
      </c>
      <c r="R236" s="12">
        <v>1986</v>
      </c>
      <c r="S236" s="12">
        <v>0</v>
      </c>
      <c r="T236" s="18">
        <v>0</v>
      </c>
      <c r="U236" s="18"/>
      <c r="V236">
        <f t="shared" si="8"/>
        <v>0</v>
      </c>
    </row>
    <row r="237" spans="1:22" x14ac:dyDescent="0.25">
      <c r="A237" t="s">
        <v>791</v>
      </c>
      <c r="B237" t="s">
        <v>290</v>
      </c>
      <c r="C237" s="1"/>
      <c r="D237" s="1"/>
      <c r="E237" s="1"/>
      <c r="F237" s="1"/>
      <c r="G237" s="1"/>
      <c r="H237" s="1"/>
      <c r="I237" s="1"/>
      <c r="J237" s="1"/>
      <c r="K237" s="1"/>
      <c r="M237" s="10">
        <v>300</v>
      </c>
      <c r="N237" s="10" t="s">
        <v>292</v>
      </c>
      <c r="O237" s="10">
        <v>250</v>
      </c>
      <c r="P237" s="10">
        <v>0</v>
      </c>
      <c r="Q237" s="10">
        <v>0</v>
      </c>
      <c r="R237" s="10">
        <v>2619</v>
      </c>
      <c r="S237" s="10">
        <v>2</v>
      </c>
      <c r="T237" s="19">
        <v>0</v>
      </c>
      <c r="U237" s="19"/>
      <c r="V237">
        <f t="shared" si="8"/>
        <v>0</v>
      </c>
    </row>
    <row r="238" spans="1:22" x14ac:dyDescent="0.25">
      <c r="A238" t="s">
        <v>826</v>
      </c>
      <c r="B238" t="s">
        <v>291</v>
      </c>
      <c r="C238" s="1"/>
      <c r="D238" s="1"/>
      <c r="E238" s="1"/>
      <c r="F238" s="1"/>
      <c r="G238" s="1"/>
      <c r="H238" s="1"/>
      <c r="I238" s="1"/>
      <c r="J238" s="1"/>
      <c r="K238" s="1"/>
      <c r="M238" s="12">
        <v>613</v>
      </c>
      <c r="N238" s="12" t="s">
        <v>293</v>
      </c>
      <c r="O238" s="12">
        <v>636</v>
      </c>
      <c r="P238" s="12">
        <v>18</v>
      </c>
      <c r="Q238" s="12">
        <v>0</v>
      </c>
      <c r="R238" s="12">
        <v>471</v>
      </c>
      <c r="S238" s="12">
        <v>1</v>
      </c>
      <c r="T238" s="18">
        <v>0</v>
      </c>
      <c r="U238" s="18"/>
      <c r="V238">
        <f t="shared" si="8"/>
        <v>0</v>
      </c>
    </row>
    <row r="239" spans="1:22" x14ac:dyDescent="0.25">
      <c r="A239" s="9" t="s">
        <v>226</v>
      </c>
      <c r="B239" s="10" t="s">
        <v>292</v>
      </c>
      <c r="C239" s="1">
        <v>250</v>
      </c>
      <c r="D239" s="1">
        <v>0</v>
      </c>
      <c r="E239" s="1">
        <v>0</v>
      </c>
      <c r="F239" s="1">
        <f>2581+4+23+11</f>
        <v>2619</v>
      </c>
      <c r="G239" s="1">
        <v>2</v>
      </c>
      <c r="H239" s="1">
        <v>0</v>
      </c>
      <c r="I239" s="1">
        <v>0</v>
      </c>
      <c r="J239" s="1">
        <f>SUM(H239,I239)</f>
        <v>0</v>
      </c>
      <c r="K239" s="1"/>
      <c r="M239" s="10">
        <v>600</v>
      </c>
      <c r="N239" s="10" t="s">
        <v>294</v>
      </c>
      <c r="O239" s="10">
        <v>64</v>
      </c>
      <c r="P239" s="10">
        <v>0</v>
      </c>
      <c r="Q239" s="10">
        <v>0</v>
      </c>
      <c r="R239" s="10">
        <v>4076</v>
      </c>
      <c r="S239" s="10">
        <v>0</v>
      </c>
      <c r="T239" s="19">
        <v>0</v>
      </c>
      <c r="U239" s="19"/>
      <c r="V239">
        <f t="shared" si="8"/>
        <v>0</v>
      </c>
    </row>
    <row r="240" spans="1:22" x14ac:dyDescent="0.25">
      <c r="A240" t="s">
        <v>495</v>
      </c>
      <c r="B240" t="s">
        <v>293</v>
      </c>
      <c r="C240" s="1">
        <f>616+20</f>
        <v>636</v>
      </c>
      <c r="D240" s="1">
        <f>3+15</f>
        <v>18</v>
      </c>
      <c r="E240" s="1">
        <v>0</v>
      </c>
      <c r="F240" s="1">
        <f>408+63</f>
        <v>471</v>
      </c>
      <c r="G240" s="1">
        <v>1</v>
      </c>
      <c r="H240" s="1">
        <v>0</v>
      </c>
      <c r="I240" s="1">
        <v>0</v>
      </c>
      <c r="J240" s="1">
        <f>SUM(H240,I240)</f>
        <v>0</v>
      </c>
      <c r="K240" s="1"/>
      <c r="M240" s="12">
        <v>210</v>
      </c>
      <c r="N240" s="12" t="s">
        <v>295</v>
      </c>
      <c r="O240" s="12">
        <v>95</v>
      </c>
      <c r="P240" s="12">
        <v>0</v>
      </c>
      <c r="Q240" s="12">
        <v>0</v>
      </c>
      <c r="R240" s="12">
        <v>4853</v>
      </c>
      <c r="S240" s="12">
        <v>0</v>
      </c>
      <c r="T240" s="18">
        <v>0</v>
      </c>
      <c r="U240" s="18"/>
      <c r="V240">
        <f t="shared" si="8"/>
        <v>0</v>
      </c>
    </row>
    <row r="241" spans="1:22" x14ac:dyDescent="0.25">
      <c r="A241" t="s">
        <v>248</v>
      </c>
      <c r="B241" t="s">
        <v>294</v>
      </c>
      <c r="C241" s="1"/>
      <c r="D241" s="1"/>
      <c r="E241" s="1"/>
      <c r="F241" s="1"/>
      <c r="G241" s="1"/>
      <c r="H241" s="1"/>
      <c r="I241" s="1"/>
      <c r="J241" s="1"/>
      <c r="K241" s="1"/>
      <c r="M241" s="10">
        <v>114</v>
      </c>
      <c r="N241" s="10" t="s">
        <v>296</v>
      </c>
      <c r="O241" s="10">
        <v>373</v>
      </c>
      <c r="P241" s="10">
        <v>0</v>
      </c>
      <c r="Q241" s="10">
        <v>0</v>
      </c>
      <c r="R241" s="10">
        <v>6488</v>
      </c>
      <c r="S241" s="10">
        <v>2</v>
      </c>
      <c r="T241" s="19">
        <v>0</v>
      </c>
      <c r="U241" s="19"/>
      <c r="V241">
        <f t="shared" si="8"/>
        <v>0</v>
      </c>
    </row>
    <row r="242" spans="1:22" x14ac:dyDescent="0.25">
      <c r="A242" t="s">
        <v>865</v>
      </c>
      <c r="B242" t="s">
        <v>295</v>
      </c>
      <c r="C242" s="1">
        <v>95</v>
      </c>
      <c r="D242" s="1">
        <v>0</v>
      </c>
      <c r="E242" s="1">
        <v>0</v>
      </c>
      <c r="F242" s="1">
        <f>4839+3+3+8</f>
        <v>4853</v>
      </c>
      <c r="G242" s="1">
        <v>0</v>
      </c>
      <c r="H242" s="1">
        <v>0</v>
      </c>
      <c r="I242" s="1">
        <v>0</v>
      </c>
      <c r="J242" s="1">
        <f>SUM(H242,I242)</f>
        <v>0</v>
      </c>
      <c r="K242" s="1"/>
      <c r="M242" s="12">
        <v>715</v>
      </c>
      <c r="N242" s="12" t="s">
        <v>297</v>
      </c>
      <c r="O242" s="12">
        <v>1238</v>
      </c>
      <c r="P242" s="12">
        <v>0</v>
      </c>
      <c r="Q242" s="12">
        <v>0</v>
      </c>
      <c r="R242" s="12">
        <v>2828</v>
      </c>
      <c r="S242" s="12">
        <v>2</v>
      </c>
      <c r="T242" s="18">
        <v>0</v>
      </c>
      <c r="U242" s="18"/>
      <c r="V242">
        <f t="shared" si="8"/>
        <v>0</v>
      </c>
    </row>
    <row r="243" spans="1:22" x14ac:dyDescent="0.25">
      <c r="A243" t="s">
        <v>831</v>
      </c>
      <c r="B243" t="s">
        <v>296</v>
      </c>
      <c r="C243" s="1">
        <v>373</v>
      </c>
      <c r="D243" s="1">
        <v>0</v>
      </c>
      <c r="E243" s="1">
        <v>0</v>
      </c>
      <c r="F243" s="1">
        <f>6251+6+57+174</f>
        <v>6488</v>
      </c>
      <c r="G243" s="1">
        <v>2</v>
      </c>
      <c r="H243" s="1">
        <v>0</v>
      </c>
      <c r="I243" s="1">
        <v>0</v>
      </c>
      <c r="J243" s="1">
        <f>SUM(H243,I243)</f>
        <v>0</v>
      </c>
      <c r="K243" s="1"/>
      <c r="M243" s="10">
        <v>111</v>
      </c>
      <c r="N243" s="10" t="s">
        <v>298</v>
      </c>
      <c r="O243" s="10">
        <v>2365</v>
      </c>
      <c r="P243" s="10">
        <v>40</v>
      </c>
      <c r="Q243" s="10">
        <v>0</v>
      </c>
      <c r="R243" s="10">
        <v>5971</v>
      </c>
      <c r="S243" s="10">
        <v>24</v>
      </c>
      <c r="T243" s="19">
        <v>0</v>
      </c>
      <c r="U243" s="19"/>
      <c r="V243">
        <f t="shared" si="8"/>
        <v>0</v>
      </c>
    </row>
    <row r="244" spans="1:22" x14ac:dyDescent="0.25">
      <c r="A244" t="s">
        <v>818</v>
      </c>
      <c r="B244" t="s">
        <v>297</v>
      </c>
      <c r="C244" s="1"/>
      <c r="D244" s="1"/>
      <c r="E244" s="1"/>
      <c r="F244" s="1"/>
      <c r="G244" s="1"/>
      <c r="H244" s="1"/>
      <c r="I244" s="1"/>
      <c r="J244" s="1"/>
      <c r="K244" s="1"/>
      <c r="M244" s="12">
        <v>312</v>
      </c>
      <c r="N244" s="12" t="s">
        <v>299</v>
      </c>
      <c r="O244" s="12">
        <v>493</v>
      </c>
      <c r="P244" s="12">
        <v>0</v>
      </c>
      <c r="Q244" s="12">
        <v>0</v>
      </c>
      <c r="R244" s="12">
        <v>3659</v>
      </c>
      <c r="S244" s="12">
        <v>19</v>
      </c>
      <c r="T244" s="18">
        <v>0</v>
      </c>
      <c r="U244" s="18"/>
      <c r="V244">
        <f t="shared" si="8"/>
        <v>0</v>
      </c>
    </row>
    <row r="245" spans="1:22" x14ac:dyDescent="0.25">
      <c r="A245" t="s">
        <v>811</v>
      </c>
      <c r="B245" t="s">
        <v>298</v>
      </c>
      <c r="C245" s="1"/>
      <c r="D245" s="1"/>
      <c r="E245" s="1"/>
      <c r="F245" s="1"/>
      <c r="G245" s="1"/>
      <c r="H245" s="1"/>
      <c r="I245" s="1"/>
      <c r="J245" s="1"/>
      <c r="K245" s="1"/>
      <c r="M245" s="10">
        <v>310</v>
      </c>
      <c r="N245" s="10" t="s">
        <v>300</v>
      </c>
      <c r="O245" s="10">
        <v>839</v>
      </c>
      <c r="P245" s="10">
        <v>0</v>
      </c>
      <c r="Q245" s="10">
        <v>0</v>
      </c>
      <c r="R245" s="10">
        <v>1442</v>
      </c>
      <c r="S245" s="10">
        <v>0</v>
      </c>
      <c r="T245" s="19">
        <v>0</v>
      </c>
      <c r="U245" s="19"/>
      <c r="V245">
        <f t="shared" si="8"/>
        <v>0</v>
      </c>
    </row>
    <row r="246" spans="1:22" x14ac:dyDescent="0.25">
      <c r="A246" t="s">
        <v>72</v>
      </c>
      <c r="B246" t="s">
        <v>299</v>
      </c>
      <c r="C246" s="1">
        <f>476+17</f>
        <v>493</v>
      </c>
      <c r="D246" s="1">
        <v>0</v>
      </c>
      <c r="E246" s="1">
        <v>0</v>
      </c>
      <c r="F246" s="1">
        <f>3599+4+51+5</f>
        <v>3659</v>
      </c>
      <c r="G246" s="1">
        <v>0</v>
      </c>
      <c r="H246" s="1">
        <v>0</v>
      </c>
      <c r="I246" s="1">
        <v>0</v>
      </c>
      <c r="J246" s="1">
        <f>SUM(H246,I246)</f>
        <v>0</v>
      </c>
      <c r="K246" s="1"/>
      <c r="M246" s="12" t="s">
        <v>822</v>
      </c>
      <c r="N246" s="12" t="s">
        <v>301</v>
      </c>
      <c r="O246" s="12"/>
      <c r="P246" s="12"/>
      <c r="Q246" s="12"/>
      <c r="R246" s="12"/>
      <c r="S246" s="12"/>
      <c r="T246" s="18"/>
      <c r="U246" s="18"/>
      <c r="V246">
        <f t="shared" si="8"/>
        <v>0</v>
      </c>
    </row>
    <row r="247" spans="1:22" x14ac:dyDescent="0.25">
      <c r="A247" t="s">
        <v>67</v>
      </c>
      <c r="B247" t="s">
        <v>300</v>
      </c>
      <c r="C247" s="1"/>
      <c r="D247" s="1"/>
      <c r="E247" s="1"/>
      <c r="F247" s="1"/>
      <c r="G247" s="1"/>
      <c r="H247" s="1"/>
      <c r="I247" s="1"/>
      <c r="J247" s="1"/>
      <c r="K247" s="1"/>
      <c r="M247" s="10">
        <v>500</v>
      </c>
      <c r="N247" s="10" t="s">
        <v>302</v>
      </c>
      <c r="O247" s="10"/>
      <c r="P247" s="10"/>
      <c r="Q247" s="10"/>
      <c r="R247" s="10"/>
      <c r="S247" s="10"/>
      <c r="T247" s="19"/>
      <c r="U247" s="19"/>
      <c r="V247">
        <f t="shared" si="8"/>
        <v>0</v>
      </c>
    </row>
    <row r="248" spans="1:22" x14ac:dyDescent="0.25">
      <c r="A248" t="s">
        <v>798</v>
      </c>
      <c r="B248" t="s">
        <v>301</v>
      </c>
      <c r="C248" s="1"/>
      <c r="D248" s="1"/>
      <c r="E248" s="1"/>
      <c r="F248" s="1"/>
      <c r="G248" s="1"/>
      <c r="H248" s="1"/>
      <c r="I248" s="1"/>
      <c r="J248" s="1"/>
      <c r="K248" s="1"/>
      <c r="M248" s="12">
        <v>610</v>
      </c>
      <c r="N248" s="12" t="s">
        <v>303</v>
      </c>
      <c r="O248" s="12">
        <v>315</v>
      </c>
      <c r="P248" s="12">
        <v>0</v>
      </c>
      <c r="Q248" s="12">
        <v>0</v>
      </c>
      <c r="R248" s="12">
        <v>3497</v>
      </c>
      <c r="S248" s="12">
        <v>0</v>
      </c>
      <c r="T248" s="18">
        <v>0</v>
      </c>
      <c r="U248" s="18"/>
      <c r="V248">
        <f t="shared" si="8"/>
        <v>0</v>
      </c>
    </row>
    <row r="249" spans="1:22" x14ac:dyDescent="0.25">
      <c r="A249" t="s">
        <v>824</v>
      </c>
      <c r="B249" t="s">
        <v>302</v>
      </c>
      <c r="C249" s="1"/>
      <c r="D249" s="1"/>
      <c r="E249" s="1"/>
      <c r="F249" s="1"/>
      <c r="G249" s="1"/>
      <c r="H249" s="1"/>
      <c r="I249" s="1"/>
      <c r="J249" s="1"/>
      <c r="K249" s="1"/>
      <c r="M249" s="10">
        <v>311</v>
      </c>
      <c r="N249" s="10" t="s">
        <v>304</v>
      </c>
      <c r="O249" s="10">
        <v>585</v>
      </c>
      <c r="P249" s="10">
        <v>0</v>
      </c>
      <c r="Q249" s="10">
        <v>0</v>
      </c>
      <c r="R249" s="10">
        <v>4054</v>
      </c>
      <c r="S249" s="10">
        <v>0</v>
      </c>
      <c r="T249" s="19">
        <v>0</v>
      </c>
      <c r="U249" s="19"/>
      <c r="V249">
        <f t="shared" si="8"/>
        <v>0</v>
      </c>
    </row>
    <row r="250" spans="1:22" x14ac:dyDescent="0.25">
      <c r="A250" t="s">
        <v>788</v>
      </c>
      <c r="B250" t="s">
        <v>303</v>
      </c>
      <c r="C250" s="1">
        <v>315</v>
      </c>
      <c r="D250" s="1">
        <v>0</v>
      </c>
      <c r="E250" s="1">
        <v>0</v>
      </c>
      <c r="F250" s="1">
        <f>3496+1</f>
        <v>3497</v>
      </c>
      <c r="G250" s="1">
        <v>0</v>
      </c>
      <c r="H250" s="1">
        <v>0</v>
      </c>
      <c r="I250" s="1">
        <v>0</v>
      </c>
      <c r="J250" s="1">
        <f>SUM(H250,I250)</f>
        <v>0</v>
      </c>
      <c r="K250" s="1"/>
      <c r="M250" s="12">
        <v>173</v>
      </c>
      <c r="N250" s="12" t="s">
        <v>306</v>
      </c>
      <c r="O250" s="12">
        <v>670</v>
      </c>
      <c r="P250" s="12">
        <v>0</v>
      </c>
      <c r="Q250" s="12">
        <v>0</v>
      </c>
      <c r="R250" s="12">
        <v>787</v>
      </c>
      <c r="S250" s="12">
        <v>0</v>
      </c>
      <c r="T250" s="18">
        <v>0</v>
      </c>
      <c r="U250" s="18"/>
      <c r="V250">
        <f t="shared" si="8"/>
        <v>0</v>
      </c>
    </row>
    <row r="251" spans="1:22" x14ac:dyDescent="0.25">
      <c r="A251" t="s">
        <v>120</v>
      </c>
      <c r="B251" t="s">
        <v>304</v>
      </c>
      <c r="C251" s="1">
        <v>585</v>
      </c>
      <c r="D251" s="1">
        <v>0</v>
      </c>
      <c r="E251" s="1">
        <v>0</v>
      </c>
      <c r="F251" s="1">
        <f>3975+52+21+1+5</f>
        <v>4054</v>
      </c>
      <c r="G251" s="1">
        <v>0</v>
      </c>
      <c r="H251" s="1">
        <v>0</v>
      </c>
      <c r="I251" s="1">
        <v>0</v>
      </c>
      <c r="J251" s="1">
        <f>SUM(H251,I251)</f>
        <v>0</v>
      </c>
      <c r="K251" s="1"/>
      <c r="M251" s="10">
        <v>313</v>
      </c>
      <c r="N251" s="10" t="s">
        <v>307</v>
      </c>
      <c r="O251" s="10">
        <v>198</v>
      </c>
      <c r="P251" s="10">
        <v>1</v>
      </c>
      <c r="Q251" s="10">
        <v>0</v>
      </c>
      <c r="R251" s="10">
        <v>2794</v>
      </c>
      <c r="S251" s="10">
        <v>18</v>
      </c>
      <c r="T251" s="19">
        <v>0</v>
      </c>
      <c r="U251" s="19"/>
      <c r="V251">
        <f t="shared" si="8"/>
        <v>0</v>
      </c>
    </row>
    <row r="252" spans="1:22" x14ac:dyDescent="0.25">
      <c r="A252" t="s">
        <v>229</v>
      </c>
      <c r="B252" t="s">
        <v>306</v>
      </c>
      <c r="C252" s="1">
        <v>670</v>
      </c>
      <c r="D252" s="1">
        <v>0</v>
      </c>
      <c r="E252" s="1">
        <v>0</v>
      </c>
      <c r="F252" s="1">
        <f>788+2</f>
        <v>790</v>
      </c>
      <c r="G252" s="1">
        <v>0</v>
      </c>
      <c r="H252" s="1">
        <v>0</v>
      </c>
      <c r="I252" s="1">
        <v>0</v>
      </c>
      <c r="J252" s="1">
        <f>SUM(H252,I252)</f>
        <v>0</v>
      </c>
      <c r="K252" s="1"/>
      <c r="M252" s="12">
        <v>100</v>
      </c>
      <c r="N252" s="12" t="s">
        <v>308</v>
      </c>
      <c r="O252" s="12"/>
      <c r="P252" s="12"/>
      <c r="Q252" s="12"/>
      <c r="R252" s="12"/>
      <c r="S252" s="12"/>
      <c r="T252" s="18"/>
      <c r="U252" s="18"/>
      <c r="V252">
        <f t="shared" si="8"/>
        <v>0</v>
      </c>
    </row>
    <row r="253" spans="1:22" x14ac:dyDescent="0.25">
      <c r="A253" t="s">
        <v>512</v>
      </c>
      <c r="B253" t="s">
        <v>307</v>
      </c>
      <c r="C253" s="1">
        <v>198</v>
      </c>
      <c r="D253" s="1">
        <v>1</v>
      </c>
      <c r="E253" s="1">
        <v>0</v>
      </c>
      <c r="F253" s="1">
        <v>2794</v>
      </c>
      <c r="G253" s="1">
        <v>18</v>
      </c>
      <c r="H253" s="1">
        <v>0</v>
      </c>
      <c r="I253" s="1">
        <v>0</v>
      </c>
      <c r="J253" s="1">
        <f>SUM(H253,I253)</f>
        <v>0</v>
      </c>
      <c r="K253" s="1"/>
      <c r="M253" s="10">
        <v>149</v>
      </c>
      <c r="N253" s="10" t="s">
        <v>309</v>
      </c>
      <c r="O253" s="10">
        <v>1501</v>
      </c>
      <c r="P253" s="10">
        <v>3</v>
      </c>
      <c r="Q253" s="10">
        <v>0</v>
      </c>
      <c r="R253" s="10">
        <v>17510</v>
      </c>
      <c r="S253" s="10">
        <v>0</v>
      </c>
      <c r="T253" s="19">
        <v>0</v>
      </c>
      <c r="U253" s="19"/>
      <c r="V253">
        <f t="shared" si="8"/>
        <v>0</v>
      </c>
    </row>
    <row r="254" spans="1:22" x14ac:dyDescent="0.25">
      <c r="A254" t="s">
        <v>791</v>
      </c>
      <c r="B254" t="s">
        <v>308</v>
      </c>
      <c r="C254" s="1"/>
      <c r="D254" s="1"/>
      <c r="E254" s="1"/>
      <c r="F254" s="1"/>
      <c r="G254" s="1"/>
      <c r="H254" s="1"/>
      <c r="I254" s="1"/>
      <c r="J254" s="1"/>
      <c r="K254" s="1"/>
      <c r="M254" s="12">
        <v>114</v>
      </c>
      <c r="N254" s="12" t="s">
        <v>310</v>
      </c>
      <c r="O254" s="12">
        <v>89</v>
      </c>
      <c r="P254" s="12">
        <v>0</v>
      </c>
      <c r="Q254" s="12">
        <v>0</v>
      </c>
      <c r="R254" s="12">
        <v>710</v>
      </c>
      <c r="S254" s="12">
        <v>0</v>
      </c>
      <c r="T254" s="18">
        <v>0</v>
      </c>
      <c r="U254" s="18"/>
      <c r="V254">
        <f t="shared" si="8"/>
        <v>0</v>
      </c>
    </row>
    <row r="255" spans="1:22" x14ac:dyDescent="0.25">
      <c r="A255" t="s">
        <v>841</v>
      </c>
      <c r="B255" t="s">
        <v>309</v>
      </c>
      <c r="C255" s="1"/>
      <c r="D255" s="1"/>
      <c r="E255" s="1"/>
      <c r="F255" s="1"/>
      <c r="G255" s="1"/>
      <c r="H255" s="1"/>
      <c r="I255" s="1"/>
      <c r="J255" s="1"/>
      <c r="K255" s="1"/>
      <c r="M255" s="10">
        <v>211</v>
      </c>
      <c r="N255" s="10" t="s">
        <v>311</v>
      </c>
      <c r="O255" s="10"/>
      <c r="P255" s="10"/>
      <c r="Q255" s="10"/>
      <c r="R255" s="10"/>
      <c r="S255" s="10"/>
      <c r="T255" s="19"/>
      <c r="U255" s="19"/>
      <c r="V255">
        <f t="shared" si="8"/>
        <v>0</v>
      </c>
    </row>
    <row r="256" spans="1:22" x14ac:dyDescent="0.25">
      <c r="A256" t="s">
        <v>831</v>
      </c>
      <c r="B256" t="s">
        <v>310</v>
      </c>
      <c r="C256" s="1">
        <v>89</v>
      </c>
      <c r="D256" s="1">
        <v>0</v>
      </c>
      <c r="E256" s="1">
        <v>0</v>
      </c>
      <c r="F256" s="1">
        <v>710</v>
      </c>
      <c r="G256" s="1">
        <v>0</v>
      </c>
      <c r="H256" s="1">
        <v>0</v>
      </c>
      <c r="I256" s="1">
        <v>0</v>
      </c>
      <c r="J256" s="1">
        <f>SUM(H256,I256)</f>
        <v>0</v>
      </c>
      <c r="K256" s="1"/>
      <c r="M256" s="12">
        <v>151</v>
      </c>
      <c r="N256" s="12" t="s">
        <v>312</v>
      </c>
      <c r="O256" s="12">
        <v>4256</v>
      </c>
      <c r="P256" s="12">
        <v>3</v>
      </c>
      <c r="Q256" s="12">
        <v>0</v>
      </c>
      <c r="R256" s="12">
        <v>443</v>
      </c>
      <c r="S256" s="12">
        <v>0</v>
      </c>
      <c r="T256" s="18">
        <v>0</v>
      </c>
      <c r="U256" s="18"/>
      <c r="V256">
        <f t="shared" si="8"/>
        <v>0</v>
      </c>
    </row>
    <row r="257" spans="1:22" x14ac:dyDescent="0.25">
      <c r="A257" t="s">
        <v>864</v>
      </c>
      <c r="B257" t="s">
        <v>311</v>
      </c>
      <c r="C257" s="1">
        <f>335+12</f>
        <v>347</v>
      </c>
      <c r="D257" s="1">
        <v>0</v>
      </c>
      <c r="E257" s="1">
        <v>0</v>
      </c>
      <c r="F257" s="1">
        <f>1929+2+23+31</f>
        <v>1985</v>
      </c>
      <c r="G257" s="1">
        <v>0</v>
      </c>
      <c r="H257" s="1">
        <v>0</v>
      </c>
      <c r="I257" s="1">
        <v>0</v>
      </c>
      <c r="J257" s="1">
        <f>SUM(H257,I257)</f>
        <v>0</v>
      </c>
      <c r="K257" s="1"/>
      <c r="M257" s="10" t="s">
        <v>814</v>
      </c>
      <c r="N257" s="10" t="s">
        <v>313</v>
      </c>
      <c r="O257" s="10">
        <v>534</v>
      </c>
      <c r="P257" s="10">
        <v>0</v>
      </c>
      <c r="Q257" s="10">
        <v>0</v>
      </c>
      <c r="R257" s="10">
        <v>1710</v>
      </c>
      <c r="S257" s="10">
        <v>0</v>
      </c>
      <c r="T257" s="19">
        <v>0</v>
      </c>
      <c r="U257" s="19"/>
      <c r="V257">
        <f t="shared" si="8"/>
        <v>0</v>
      </c>
    </row>
    <row r="258" spans="1:22" x14ac:dyDescent="0.25">
      <c r="A258" t="s">
        <v>838</v>
      </c>
      <c r="B258" t="s">
        <v>312</v>
      </c>
      <c r="C258" s="1"/>
      <c r="D258" s="1"/>
      <c r="E258" s="1"/>
      <c r="F258" s="1"/>
      <c r="G258" s="1"/>
      <c r="H258" s="1"/>
      <c r="I258" s="1"/>
      <c r="J258" s="1"/>
      <c r="K258" s="1"/>
      <c r="M258" s="12">
        <v>148</v>
      </c>
      <c r="N258" s="12" t="s">
        <v>314</v>
      </c>
      <c r="O258" s="12"/>
      <c r="P258" s="12"/>
      <c r="Q258" s="12"/>
      <c r="R258" s="12"/>
      <c r="S258" s="12"/>
      <c r="T258" s="18"/>
      <c r="U258" s="18"/>
      <c r="V258">
        <f t="shared" si="8"/>
        <v>0</v>
      </c>
    </row>
    <row r="259" spans="1:22" x14ac:dyDescent="0.25">
      <c r="A259" t="s">
        <v>794</v>
      </c>
      <c r="B259" t="s">
        <v>313</v>
      </c>
      <c r="C259" s="1">
        <v>534</v>
      </c>
      <c r="D259" s="1">
        <v>0</v>
      </c>
      <c r="E259" s="1">
        <v>0</v>
      </c>
      <c r="F259" s="1">
        <f>1678+8+24</f>
        <v>1710</v>
      </c>
      <c r="G259" s="1">
        <v>0</v>
      </c>
      <c r="H259" s="1">
        <v>0</v>
      </c>
      <c r="I259" s="1">
        <v>0</v>
      </c>
      <c r="J259" s="1">
        <f>SUM(H259,I259)</f>
        <v>0</v>
      </c>
      <c r="K259" s="1"/>
      <c r="M259" s="10">
        <v>143</v>
      </c>
      <c r="N259" s="10" t="s">
        <v>315</v>
      </c>
      <c r="O259" s="10">
        <v>96</v>
      </c>
      <c r="P259" s="10">
        <v>0</v>
      </c>
      <c r="Q259" s="10">
        <v>0</v>
      </c>
      <c r="R259" s="10">
        <v>1240</v>
      </c>
      <c r="S259" s="10">
        <v>0</v>
      </c>
      <c r="T259" s="19">
        <v>0</v>
      </c>
      <c r="U259" s="19"/>
      <c r="V259">
        <f t="shared" si="8"/>
        <v>0</v>
      </c>
    </row>
    <row r="260" spans="1:22" x14ac:dyDescent="0.25">
      <c r="A260" t="s">
        <v>830</v>
      </c>
      <c r="B260" t="s">
        <v>314</v>
      </c>
      <c r="C260" s="1"/>
      <c r="D260" s="1"/>
      <c r="E260" s="1"/>
      <c r="F260" s="1"/>
      <c r="G260" s="1"/>
      <c r="H260" s="1"/>
      <c r="I260" s="1"/>
      <c r="J260" s="1"/>
      <c r="K260" s="1"/>
      <c r="M260" s="12">
        <v>150</v>
      </c>
      <c r="N260" s="12" t="s">
        <v>316</v>
      </c>
      <c r="O260" s="12">
        <v>92</v>
      </c>
      <c r="P260" s="12">
        <v>0</v>
      </c>
      <c r="Q260" s="12">
        <v>0</v>
      </c>
      <c r="R260" s="12">
        <v>902</v>
      </c>
      <c r="S260" s="12">
        <v>0</v>
      </c>
      <c r="T260" s="18">
        <v>0</v>
      </c>
      <c r="U260" s="18"/>
      <c r="V260">
        <f t="shared" si="8"/>
        <v>0</v>
      </c>
    </row>
    <row r="261" spans="1:22" x14ac:dyDescent="0.25">
      <c r="A261" t="s">
        <v>844</v>
      </c>
      <c r="B261" t="s">
        <v>315</v>
      </c>
      <c r="C261" s="1"/>
      <c r="D261" s="1"/>
      <c r="E261" s="1"/>
      <c r="F261" s="1"/>
      <c r="G261" s="1"/>
      <c r="H261" s="1"/>
      <c r="I261" s="1"/>
      <c r="J261" s="1"/>
      <c r="K261" s="1"/>
      <c r="M261" s="10">
        <v>147</v>
      </c>
      <c r="N261" s="10" t="s">
        <v>317</v>
      </c>
      <c r="O261" s="10">
        <v>1941</v>
      </c>
      <c r="P261" s="10">
        <v>0</v>
      </c>
      <c r="Q261" s="10">
        <v>0</v>
      </c>
      <c r="R261" s="10">
        <v>1617</v>
      </c>
      <c r="S261" s="10">
        <v>6</v>
      </c>
      <c r="T261" s="19">
        <v>0</v>
      </c>
      <c r="U261" s="19"/>
      <c r="V261">
        <f t="shared" si="8"/>
        <v>0</v>
      </c>
    </row>
    <row r="262" spans="1:22" x14ac:dyDescent="0.25">
      <c r="A262" t="s">
        <v>836</v>
      </c>
      <c r="B262" t="s">
        <v>316</v>
      </c>
      <c r="C262" s="1"/>
      <c r="D262" s="1"/>
      <c r="E262" s="1"/>
      <c r="F262" s="1"/>
      <c r="G262" s="1"/>
      <c r="H262" s="1"/>
      <c r="I262" s="1"/>
      <c r="J262" s="1"/>
      <c r="K262" s="1"/>
      <c r="M262" s="12">
        <v>152</v>
      </c>
      <c r="N262" s="12" t="s">
        <v>318</v>
      </c>
      <c r="O262" s="12">
        <v>490</v>
      </c>
      <c r="P262" s="12">
        <v>13</v>
      </c>
      <c r="Q262" s="12">
        <v>0</v>
      </c>
      <c r="R262" s="12">
        <v>1248</v>
      </c>
      <c r="S262" s="12">
        <v>6</v>
      </c>
      <c r="T262" s="18">
        <v>0</v>
      </c>
      <c r="U262" s="18"/>
      <c r="V262">
        <f t="shared" si="8"/>
        <v>0</v>
      </c>
    </row>
    <row r="263" spans="1:22" x14ac:dyDescent="0.25">
      <c r="A263" t="s">
        <v>845</v>
      </c>
      <c r="B263" t="s">
        <v>317</v>
      </c>
      <c r="C263" s="1"/>
      <c r="D263" s="1"/>
      <c r="E263" s="1"/>
      <c r="F263" s="1"/>
      <c r="G263" s="1"/>
      <c r="H263" s="1"/>
      <c r="I263" s="1"/>
      <c r="J263" s="1"/>
      <c r="K263" s="1"/>
      <c r="M263" s="10">
        <v>171</v>
      </c>
      <c r="N263" s="10" t="s">
        <v>319</v>
      </c>
      <c r="O263" s="10">
        <v>809</v>
      </c>
      <c r="P263" s="10">
        <v>0</v>
      </c>
      <c r="Q263" s="10">
        <v>0</v>
      </c>
      <c r="R263" s="10">
        <v>1065</v>
      </c>
      <c r="S263" s="10">
        <v>0</v>
      </c>
      <c r="T263" s="19">
        <v>0</v>
      </c>
      <c r="U263" s="19"/>
      <c r="V263">
        <f t="shared" si="8"/>
        <v>0</v>
      </c>
    </row>
    <row r="264" spans="1:22" x14ac:dyDescent="0.25">
      <c r="A264" t="s">
        <v>846</v>
      </c>
      <c r="B264" t="s">
        <v>318</v>
      </c>
      <c r="C264" s="1"/>
      <c r="D264" s="1"/>
      <c r="E264" s="1"/>
      <c r="F264" s="1"/>
      <c r="G264" s="1"/>
      <c r="H264" s="1"/>
      <c r="I264" s="1"/>
      <c r="J264" s="1"/>
      <c r="K264" s="1"/>
      <c r="M264" s="12" t="s">
        <v>808</v>
      </c>
      <c r="N264" s="12" t="s">
        <v>320</v>
      </c>
      <c r="O264" s="12">
        <v>9319</v>
      </c>
      <c r="P264" s="12">
        <v>0</v>
      </c>
      <c r="Q264" s="12">
        <v>0</v>
      </c>
      <c r="R264" s="12">
        <v>2370</v>
      </c>
      <c r="S264" s="12">
        <v>0</v>
      </c>
      <c r="T264" s="18">
        <v>0</v>
      </c>
      <c r="U264" s="18"/>
      <c r="V264">
        <f t="shared" si="8"/>
        <v>0</v>
      </c>
    </row>
    <row r="265" spans="1:22" x14ac:dyDescent="0.25">
      <c r="A265" t="s">
        <v>804</v>
      </c>
      <c r="B265" t="s">
        <v>319</v>
      </c>
      <c r="C265" s="1">
        <f>807+2</f>
        <v>809</v>
      </c>
      <c r="D265" s="1">
        <v>0</v>
      </c>
      <c r="E265" s="1">
        <v>0</v>
      </c>
      <c r="F265" s="1">
        <v>1065</v>
      </c>
      <c r="G265" s="1">
        <v>0</v>
      </c>
      <c r="H265" s="1">
        <v>0</v>
      </c>
      <c r="I265" s="1">
        <v>0</v>
      </c>
      <c r="J265" s="1">
        <f>SUM(H265,I265)</f>
        <v>0</v>
      </c>
      <c r="K265" s="1"/>
      <c r="M265" s="10">
        <v>711</v>
      </c>
      <c r="N265" s="10" t="s">
        <v>321</v>
      </c>
      <c r="O265" s="10"/>
      <c r="P265" s="10"/>
      <c r="Q265" s="10"/>
      <c r="R265" s="10"/>
      <c r="S265" s="10"/>
      <c r="T265" s="19"/>
      <c r="U265" s="19"/>
      <c r="V265">
        <f t="shared" si="8"/>
        <v>0</v>
      </c>
    </row>
    <row r="266" spans="1:22" x14ac:dyDescent="0.25">
      <c r="A266" t="s">
        <v>809</v>
      </c>
      <c r="B266" t="s">
        <v>320</v>
      </c>
      <c r="C266" s="1">
        <v>9319</v>
      </c>
      <c r="D266" s="1">
        <v>0</v>
      </c>
      <c r="E266" s="1">
        <v>0</v>
      </c>
      <c r="F266" s="1">
        <f>2369+1</f>
        <v>2370</v>
      </c>
      <c r="G266" s="1">
        <v>0</v>
      </c>
      <c r="H266" s="1">
        <v>0</v>
      </c>
      <c r="I266" s="1">
        <v>0</v>
      </c>
      <c r="J266" s="1">
        <f>SUM(H266,I266)</f>
        <v>0</v>
      </c>
      <c r="K266" s="1"/>
      <c r="M266" s="12" t="s">
        <v>815</v>
      </c>
      <c r="N266" s="12" t="s">
        <v>322</v>
      </c>
      <c r="O266" s="12">
        <v>4685</v>
      </c>
      <c r="P266" s="12">
        <v>20</v>
      </c>
      <c r="Q266" s="12">
        <v>0</v>
      </c>
      <c r="R266" s="12">
        <v>31657</v>
      </c>
      <c r="S266" s="12">
        <v>79</v>
      </c>
      <c r="T266" s="18">
        <v>0</v>
      </c>
      <c r="U266" s="18"/>
      <c r="V266">
        <f t="shared" si="8"/>
        <v>0</v>
      </c>
    </row>
    <row r="267" spans="1:22" x14ac:dyDescent="0.25">
      <c r="A267" t="s">
        <v>801</v>
      </c>
      <c r="B267" t="s">
        <v>321</v>
      </c>
      <c r="C267" s="1">
        <f>4286+5+1</f>
        <v>4292</v>
      </c>
      <c r="D267" s="1">
        <v>22</v>
      </c>
      <c r="E267" s="1">
        <v>0</v>
      </c>
      <c r="F267" s="1">
        <f>7680+1+1+44+12+4+6</f>
        <v>7748</v>
      </c>
      <c r="G267" s="1">
        <v>124</v>
      </c>
      <c r="H267" s="1">
        <v>0</v>
      </c>
      <c r="I267" s="1">
        <v>0</v>
      </c>
      <c r="J267" s="1">
        <f>SUM(H267,I267)</f>
        <v>0</v>
      </c>
      <c r="K267" s="1"/>
      <c r="M267" s="10">
        <v>713</v>
      </c>
      <c r="N267" s="10" t="s">
        <v>323</v>
      </c>
      <c r="O267" s="10">
        <v>1392</v>
      </c>
      <c r="P267" s="10">
        <v>18</v>
      </c>
      <c r="Q267" s="10">
        <v>0</v>
      </c>
      <c r="R267" s="10">
        <v>3580</v>
      </c>
      <c r="S267" s="10">
        <v>38</v>
      </c>
      <c r="T267" s="19">
        <v>0</v>
      </c>
      <c r="U267" s="19"/>
      <c r="V267">
        <f t="shared" si="8"/>
        <v>0</v>
      </c>
    </row>
    <row r="268" spans="1:22" x14ac:dyDescent="0.25">
      <c r="A268" t="s">
        <v>138</v>
      </c>
      <c r="B268" t="s">
        <v>322</v>
      </c>
      <c r="C268" s="1"/>
      <c r="D268" s="1"/>
      <c r="E268" s="1"/>
      <c r="F268" s="1"/>
      <c r="G268" s="1"/>
      <c r="H268" s="1"/>
      <c r="I268" s="1"/>
      <c r="J268" s="1"/>
      <c r="K268" s="1"/>
      <c r="M268" s="12">
        <v>412</v>
      </c>
      <c r="N268" s="12" t="s">
        <v>324</v>
      </c>
      <c r="O268" s="12"/>
      <c r="P268" s="12"/>
      <c r="Q268" s="12"/>
      <c r="R268" s="12"/>
      <c r="S268" s="12"/>
      <c r="T268" s="18"/>
      <c r="U268" s="18"/>
      <c r="V268">
        <f t="shared" si="8"/>
        <v>0</v>
      </c>
    </row>
    <row r="269" spans="1:22" x14ac:dyDescent="0.25">
      <c r="A269" t="s">
        <v>83</v>
      </c>
      <c r="B269" t="s">
        <v>323</v>
      </c>
      <c r="C269" s="1">
        <f>1390+2</f>
        <v>1392</v>
      </c>
      <c r="D269" s="1">
        <v>18</v>
      </c>
      <c r="E269" s="1">
        <v>0</v>
      </c>
      <c r="F269" s="1">
        <f>3361+37+182</f>
        <v>3580</v>
      </c>
      <c r="G269" s="1">
        <f>33+3+2</f>
        <v>38</v>
      </c>
      <c r="H269" s="1">
        <v>0</v>
      </c>
      <c r="I269" s="1">
        <v>0</v>
      </c>
      <c r="J269" s="1">
        <f>SUM(H269,I269)</f>
        <v>0</v>
      </c>
      <c r="K269" s="1"/>
      <c r="M269" s="10">
        <v>600</v>
      </c>
      <c r="N269" s="10" t="s">
        <v>325</v>
      </c>
      <c r="O269" s="10">
        <v>154</v>
      </c>
      <c r="P269" s="10">
        <v>0</v>
      </c>
      <c r="Q269" s="10">
        <v>0</v>
      </c>
      <c r="R269" s="10">
        <v>224</v>
      </c>
      <c r="S269" s="10">
        <v>0</v>
      </c>
      <c r="T269" s="19">
        <v>0</v>
      </c>
      <c r="U269" s="19"/>
      <c r="V269">
        <f t="shared" si="8"/>
        <v>0</v>
      </c>
    </row>
    <row r="270" spans="1:22" x14ac:dyDescent="0.25">
      <c r="A270" t="s">
        <v>825</v>
      </c>
      <c r="B270" t="s">
        <v>324</v>
      </c>
      <c r="C270" s="1">
        <f>1307+4</f>
        <v>1311</v>
      </c>
      <c r="D270" s="1">
        <v>1</v>
      </c>
      <c r="E270" s="1">
        <v>0</v>
      </c>
      <c r="F270" s="1">
        <f>3125+3+1+13+10</f>
        <v>3152</v>
      </c>
      <c r="G270" s="1">
        <v>4</v>
      </c>
      <c r="H270" s="1">
        <v>0</v>
      </c>
      <c r="I270" s="1">
        <v>0</v>
      </c>
      <c r="J270" s="1">
        <f>SUM(H270,I270)</f>
        <v>0</v>
      </c>
      <c r="K270" s="1"/>
      <c r="M270" s="12">
        <v>700</v>
      </c>
      <c r="N270" s="12" t="s">
        <v>326</v>
      </c>
      <c r="O270" s="12"/>
      <c r="P270" s="12"/>
      <c r="Q270" s="12"/>
      <c r="R270" s="12"/>
      <c r="S270" s="12"/>
      <c r="T270" s="18"/>
      <c r="U270" s="18"/>
      <c r="V270">
        <f t="shared" si="8"/>
        <v>0</v>
      </c>
    </row>
    <row r="271" spans="1:22" x14ac:dyDescent="0.25">
      <c r="A271" t="s">
        <v>248</v>
      </c>
      <c r="B271" t="s">
        <v>325</v>
      </c>
      <c r="C271" s="1"/>
      <c r="D271" s="1"/>
      <c r="E271" s="1"/>
      <c r="F271" s="1"/>
      <c r="G271" s="1"/>
      <c r="H271" s="1"/>
      <c r="I271" s="1"/>
      <c r="J271" s="1"/>
      <c r="K271" s="1"/>
      <c r="M271" s="10">
        <v>116</v>
      </c>
      <c r="N271" s="10" t="s">
        <v>327</v>
      </c>
      <c r="O271" s="10">
        <v>33</v>
      </c>
      <c r="P271" s="10">
        <v>0</v>
      </c>
      <c r="Q271" s="10">
        <v>0</v>
      </c>
      <c r="R271" s="10">
        <v>645</v>
      </c>
      <c r="S271" s="10">
        <v>43</v>
      </c>
      <c r="T271" s="19">
        <v>0</v>
      </c>
      <c r="U271" s="19"/>
      <c r="V271">
        <f t="shared" si="8"/>
        <v>0</v>
      </c>
    </row>
    <row r="272" spans="1:22" x14ac:dyDescent="0.25">
      <c r="A272" t="s">
        <v>83</v>
      </c>
      <c r="B272" t="s">
        <v>326</v>
      </c>
      <c r="C272" s="1"/>
      <c r="D272" s="1"/>
      <c r="E272" s="1"/>
      <c r="F272" s="1"/>
      <c r="G272" s="1"/>
      <c r="H272" s="1"/>
      <c r="I272" s="1"/>
      <c r="J272" s="1"/>
      <c r="K272" s="1"/>
      <c r="M272" s="12">
        <v>712</v>
      </c>
      <c r="N272" s="12" t="s">
        <v>329</v>
      </c>
      <c r="O272" s="12">
        <v>2884</v>
      </c>
      <c r="P272" s="12">
        <v>35</v>
      </c>
      <c r="Q272" s="12">
        <v>0</v>
      </c>
      <c r="R272" s="12">
        <v>10179</v>
      </c>
      <c r="S272" s="12">
        <v>40</v>
      </c>
      <c r="T272" s="18">
        <v>0</v>
      </c>
      <c r="U272" s="18"/>
      <c r="V272">
        <f t="shared" si="8"/>
        <v>0</v>
      </c>
    </row>
    <row r="273" spans="1:22" x14ac:dyDescent="0.25">
      <c r="A273" t="s">
        <v>795</v>
      </c>
      <c r="B273" t="s">
        <v>327</v>
      </c>
      <c r="C273" s="1">
        <v>33</v>
      </c>
      <c r="D273" s="1">
        <v>0</v>
      </c>
      <c r="E273" s="1">
        <v>0</v>
      </c>
      <c r="F273" s="1">
        <v>645</v>
      </c>
      <c r="G273" s="1">
        <v>43</v>
      </c>
      <c r="H273" s="1">
        <v>0</v>
      </c>
      <c r="I273" s="1">
        <v>0</v>
      </c>
      <c r="J273" s="1">
        <f>SUM(H273,I273)</f>
        <v>0</v>
      </c>
      <c r="K273" s="1"/>
      <c r="M273" s="10" t="s">
        <v>808</v>
      </c>
      <c r="N273" s="10" t="s">
        <v>330</v>
      </c>
      <c r="O273" s="10">
        <v>1638</v>
      </c>
      <c r="P273" s="10">
        <v>79</v>
      </c>
      <c r="Q273" s="10">
        <v>0</v>
      </c>
      <c r="R273" s="10">
        <v>5212</v>
      </c>
      <c r="S273" s="10">
        <v>4</v>
      </c>
      <c r="T273" s="19">
        <v>0</v>
      </c>
      <c r="U273" s="19"/>
      <c r="V273">
        <f t="shared" si="8"/>
        <v>0</v>
      </c>
    </row>
    <row r="274" spans="1:22" x14ac:dyDescent="0.25">
      <c r="A274" t="s">
        <v>76</v>
      </c>
      <c r="B274" t="s">
        <v>329</v>
      </c>
      <c r="C274" s="1">
        <f>2880+4</f>
        <v>2884</v>
      </c>
      <c r="D274" s="1">
        <f>19+16</f>
        <v>35</v>
      </c>
      <c r="E274" s="1">
        <v>0</v>
      </c>
      <c r="F274" s="1">
        <f>9954+1+2+1+221</f>
        <v>10179</v>
      </c>
      <c r="G274" s="1">
        <f>22+18</f>
        <v>40</v>
      </c>
      <c r="H274" s="1">
        <v>0</v>
      </c>
      <c r="I274" s="1">
        <v>0</v>
      </c>
      <c r="J274" s="1">
        <f>SUM(H274,I274)</f>
        <v>0</v>
      </c>
      <c r="K274" s="1"/>
      <c r="M274" s="12">
        <v>300</v>
      </c>
      <c r="N274" s="12" t="s">
        <v>331</v>
      </c>
      <c r="O274" s="12"/>
      <c r="P274" s="12"/>
      <c r="Q274" s="12"/>
      <c r="R274" s="12"/>
      <c r="S274" s="12"/>
      <c r="T274" s="18"/>
      <c r="U274" s="18"/>
      <c r="V274">
        <f t="shared" si="8"/>
        <v>0</v>
      </c>
    </row>
    <row r="275" spans="1:22" x14ac:dyDescent="0.25">
      <c r="A275" t="s">
        <v>809</v>
      </c>
      <c r="B275" t="s">
        <v>330</v>
      </c>
      <c r="C275" s="1">
        <f>1636+2</f>
        <v>1638</v>
      </c>
      <c r="D275" s="1">
        <f>7+72</f>
        <v>79</v>
      </c>
      <c r="E275" s="1">
        <v>0</v>
      </c>
      <c r="F275" s="1">
        <f>5209+1+2</f>
        <v>5212</v>
      </c>
      <c r="G275" s="1">
        <f>2+2</f>
        <v>4</v>
      </c>
      <c r="H275" s="1">
        <v>0</v>
      </c>
      <c r="I275" s="1">
        <v>0</v>
      </c>
      <c r="J275" s="1">
        <f>SUM(H275,I275)</f>
        <v>0</v>
      </c>
      <c r="K275" s="1"/>
      <c r="M275" s="10">
        <v>600</v>
      </c>
      <c r="N275" s="10" t="s">
        <v>332</v>
      </c>
      <c r="O275" s="10">
        <v>32</v>
      </c>
      <c r="P275" s="10">
        <v>0</v>
      </c>
      <c r="Q275" s="10">
        <v>0</v>
      </c>
      <c r="R275" s="10">
        <v>16</v>
      </c>
      <c r="S275" s="10">
        <v>0</v>
      </c>
      <c r="T275" s="19">
        <v>0</v>
      </c>
      <c r="U275" s="19"/>
      <c r="V275">
        <f t="shared" si="8"/>
        <v>0</v>
      </c>
    </row>
    <row r="276" spans="1:22" x14ac:dyDescent="0.25">
      <c r="A276" t="s">
        <v>839</v>
      </c>
      <c r="B276" t="s">
        <v>331</v>
      </c>
      <c r="C276" s="1"/>
      <c r="D276" s="1"/>
      <c r="E276" s="1"/>
      <c r="F276" s="1"/>
      <c r="G276" s="1"/>
      <c r="H276" s="1"/>
      <c r="I276" s="1"/>
      <c r="J276" s="1"/>
      <c r="K276" s="1"/>
      <c r="M276" s="12">
        <v>128</v>
      </c>
      <c r="N276" s="12" t="s">
        <v>333</v>
      </c>
      <c r="O276" s="12">
        <v>128</v>
      </c>
      <c r="P276" s="12">
        <v>0</v>
      </c>
      <c r="Q276" s="12">
        <v>0</v>
      </c>
      <c r="R276" s="12">
        <v>567</v>
      </c>
      <c r="S276" s="12">
        <v>0</v>
      </c>
      <c r="T276" s="18">
        <v>0</v>
      </c>
      <c r="U276" s="18"/>
      <c r="V276">
        <f t="shared" ref="V276:V330" si="9">SUM(T276:U276)</f>
        <v>0</v>
      </c>
    </row>
    <row r="277" spans="1:22" x14ac:dyDescent="0.25">
      <c r="A277" t="s">
        <v>248</v>
      </c>
      <c r="B277" t="s">
        <v>332</v>
      </c>
      <c r="C277" s="1"/>
      <c r="D277" s="1"/>
      <c r="E277" s="1"/>
      <c r="F277" s="1"/>
      <c r="G277" s="1"/>
      <c r="H277" s="1"/>
      <c r="I277" s="1"/>
      <c r="J277" s="1"/>
      <c r="K277" s="1"/>
      <c r="M277" s="10">
        <v>122</v>
      </c>
      <c r="N277" s="10" t="s">
        <v>334</v>
      </c>
      <c r="O277" s="10">
        <v>896</v>
      </c>
      <c r="P277" s="10">
        <v>0</v>
      </c>
      <c r="Q277" s="10">
        <v>0</v>
      </c>
      <c r="R277" s="10">
        <v>653</v>
      </c>
      <c r="S277" s="10">
        <v>0</v>
      </c>
      <c r="T277" s="19">
        <v>0</v>
      </c>
      <c r="U277" s="19"/>
      <c r="V277">
        <f t="shared" si="9"/>
        <v>0</v>
      </c>
    </row>
    <row r="278" spans="1:22" x14ac:dyDescent="0.25">
      <c r="A278" t="s">
        <v>862</v>
      </c>
      <c r="B278" t="s">
        <v>333</v>
      </c>
      <c r="C278" s="1"/>
      <c r="D278" s="1"/>
      <c r="E278" s="1"/>
      <c r="F278" s="1"/>
      <c r="G278" s="1"/>
      <c r="H278" s="1"/>
      <c r="I278" s="1"/>
      <c r="J278" s="1"/>
      <c r="K278" s="1"/>
      <c r="M278" s="12" t="s">
        <v>820</v>
      </c>
      <c r="N278" s="12" t="s">
        <v>335</v>
      </c>
      <c r="O278" s="12">
        <v>704</v>
      </c>
      <c r="P278" s="12">
        <v>0</v>
      </c>
      <c r="Q278" s="12">
        <v>0</v>
      </c>
      <c r="R278" s="12">
        <v>3129</v>
      </c>
      <c r="S278" s="12">
        <v>0</v>
      </c>
      <c r="T278" s="18">
        <v>0</v>
      </c>
      <c r="U278" s="18"/>
      <c r="V278">
        <f t="shared" si="9"/>
        <v>0</v>
      </c>
    </row>
    <row r="279" spans="1:22" x14ac:dyDescent="0.25">
      <c r="A279" t="s">
        <v>857</v>
      </c>
      <c r="B279" t="s">
        <v>334</v>
      </c>
      <c r="C279" s="1"/>
      <c r="D279" s="1"/>
      <c r="E279" s="1"/>
      <c r="F279" s="1"/>
      <c r="G279" s="1"/>
      <c r="H279" s="1"/>
      <c r="I279" s="1"/>
      <c r="J279" s="1"/>
      <c r="K279" s="1"/>
      <c r="M279" s="10">
        <v>123</v>
      </c>
      <c r="N279" s="10" t="s">
        <v>336</v>
      </c>
      <c r="O279" s="10">
        <v>853</v>
      </c>
      <c r="P279" s="10">
        <v>5</v>
      </c>
      <c r="Q279" s="10">
        <v>0</v>
      </c>
      <c r="R279" s="10">
        <v>2876</v>
      </c>
      <c r="S279" s="10">
        <v>12</v>
      </c>
      <c r="T279" s="19">
        <v>0</v>
      </c>
      <c r="U279" s="19"/>
      <c r="V279">
        <f t="shared" si="9"/>
        <v>0</v>
      </c>
    </row>
    <row r="280" spans="1:22" x14ac:dyDescent="0.25">
      <c r="A280" t="s">
        <v>265</v>
      </c>
      <c r="B280" t="s">
        <v>335</v>
      </c>
      <c r="C280" s="1">
        <v>704</v>
      </c>
      <c r="D280" s="1">
        <v>0</v>
      </c>
      <c r="E280" s="1">
        <v>0</v>
      </c>
      <c r="F280" s="1">
        <v>3129</v>
      </c>
      <c r="G280" s="1">
        <v>0</v>
      </c>
      <c r="H280" s="1">
        <v>0</v>
      </c>
      <c r="I280" s="1">
        <v>0</v>
      </c>
      <c r="J280" s="1">
        <f>SUM(H280,I280)</f>
        <v>0</v>
      </c>
      <c r="K280" s="1"/>
      <c r="M280" s="12">
        <v>200</v>
      </c>
      <c r="N280" s="12" t="s">
        <v>337</v>
      </c>
      <c r="O280" s="12">
        <v>2464</v>
      </c>
      <c r="P280" s="12">
        <v>50</v>
      </c>
      <c r="Q280" s="12">
        <v>0</v>
      </c>
      <c r="R280" s="12">
        <v>10000</v>
      </c>
      <c r="S280" s="12">
        <v>80</v>
      </c>
      <c r="T280" s="18">
        <v>0</v>
      </c>
      <c r="U280" s="18"/>
      <c r="V280">
        <f t="shared" si="9"/>
        <v>0</v>
      </c>
    </row>
    <row r="281" spans="1:22" x14ac:dyDescent="0.25">
      <c r="A281" t="s">
        <v>855</v>
      </c>
      <c r="B281" t="s">
        <v>336</v>
      </c>
      <c r="C281" s="1"/>
      <c r="D281" s="1"/>
      <c r="E281" s="1"/>
      <c r="F281" s="1"/>
      <c r="G281" s="1"/>
      <c r="H281" s="1"/>
      <c r="I281" s="1"/>
      <c r="J281" s="1"/>
      <c r="K281" s="1"/>
      <c r="M281" s="10">
        <v>121</v>
      </c>
      <c r="N281" s="10" t="s">
        <v>338</v>
      </c>
      <c r="O281" s="10">
        <v>251</v>
      </c>
      <c r="P281" s="10">
        <v>0</v>
      </c>
      <c r="Q281" s="10">
        <v>0</v>
      </c>
      <c r="R281" s="10">
        <v>1903</v>
      </c>
      <c r="S281" s="10">
        <v>8</v>
      </c>
      <c r="T281" s="19">
        <v>0</v>
      </c>
      <c r="U281" s="19"/>
      <c r="V281">
        <f t="shared" si="9"/>
        <v>0</v>
      </c>
    </row>
    <row r="282" spans="1:22" x14ac:dyDescent="0.25">
      <c r="A282" t="s">
        <v>806</v>
      </c>
      <c r="B282" t="s">
        <v>337</v>
      </c>
      <c r="C282" s="1">
        <f>2423+1+21+19</f>
        <v>2464</v>
      </c>
      <c r="D282" s="1">
        <v>50</v>
      </c>
      <c r="E282" s="1">
        <v>0</v>
      </c>
      <c r="F282" s="1">
        <f>9918+2+72+3+2+2+1</f>
        <v>10000</v>
      </c>
      <c r="G282" s="1">
        <f>79+1</f>
        <v>80</v>
      </c>
      <c r="H282" s="1">
        <v>0</v>
      </c>
      <c r="I282" s="1">
        <v>0</v>
      </c>
      <c r="J282" s="1">
        <f>SUM(H282,I282)</f>
        <v>0</v>
      </c>
      <c r="K282" s="1"/>
      <c r="M282" s="12">
        <v>130</v>
      </c>
      <c r="N282" s="12" t="s">
        <v>339</v>
      </c>
      <c r="O282" s="12"/>
      <c r="P282" s="12"/>
      <c r="Q282" s="12"/>
      <c r="R282" s="12"/>
      <c r="S282" s="12"/>
      <c r="T282" s="18"/>
      <c r="U282" s="18"/>
      <c r="V282">
        <f t="shared" si="9"/>
        <v>0</v>
      </c>
    </row>
    <row r="283" spans="1:22" x14ac:dyDescent="0.25">
      <c r="A283" t="s">
        <v>852</v>
      </c>
      <c r="B283" t="s">
        <v>338</v>
      </c>
      <c r="C283" s="1"/>
      <c r="D283" s="1"/>
      <c r="E283" s="1"/>
      <c r="F283" s="1"/>
      <c r="G283" s="1"/>
      <c r="H283" s="1"/>
      <c r="I283" s="1"/>
      <c r="J283" s="1"/>
      <c r="K283" s="1"/>
      <c r="M283" s="10">
        <v>124</v>
      </c>
      <c r="N283" s="10" t="s">
        <v>340</v>
      </c>
      <c r="O283" s="10">
        <v>73</v>
      </c>
      <c r="P283" s="10">
        <v>0</v>
      </c>
      <c r="Q283" s="10">
        <v>0</v>
      </c>
      <c r="R283" s="10">
        <v>490</v>
      </c>
      <c r="S283" s="10">
        <v>1</v>
      </c>
      <c r="T283" s="19">
        <v>0</v>
      </c>
      <c r="U283" s="19"/>
      <c r="V283">
        <f t="shared" si="9"/>
        <v>0</v>
      </c>
    </row>
    <row r="284" spans="1:22" x14ac:dyDescent="0.25">
      <c r="A284" t="s">
        <v>860</v>
      </c>
      <c r="B284" t="s">
        <v>339</v>
      </c>
      <c r="C284" s="1"/>
      <c r="D284" s="1"/>
      <c r="E284" s="1"/>
      <c r="F284" s="1"/>
      <c r="G284" s="1"/>
      <c r="H284" s="1"/>
      <c r="I284" s="1"/>
      <c r="J284" s="1"/>
      <c r="K284" s="1"/>
      <c r="M284" s="12">
        <v>125</v>
      </c>
      <c r="N284" s="12" t="s">
        <v>341</v>
      </c>
      <c r="O284" s="12">
        <v>225</v>
      </c>
      <c r="P284" s="12">
        <v>0</v>
      </c>
      <c r="Q284" s="12">
        <v>0</v>
      </c>
      <c r="R284" s="12">
        <v>2938</v>
      </c>
      <c r="S284" s="12">
        <v>0</v>
      </c>
      <c r="T284" s="18">
        <v>0</v>
      </c>
      <c r="U284" s="18"/>
      <c r="V284">
        <f t="shared" si="9"/>
        <v>0</v>
      </c>
    </row>
    <row r="285" spans="1:22" x14ac:dyDescent="0.25">
      <c r="A285" t="s">
        <v>861</v>
      </c>
      <c r="B285" t="s">
        <v>340</v>
      </c>
      <c r="C285" s="1"/>
      <c r="D285" s="1"/>
      <c r="E285" s="1"/>
      <c r="F285" s="1"/>
      <c r="G285" s="1"/>
      <c r="H285" s="1"/>
      <c r="I285" s="1"/>
      <c r="J285" s="1"/>
      <c r="K285" s="1"/>
      <c r="M285" s="10">
        <v>126</v>
      </c>
      <c r="N285" s="10" t="s">
        <v>342</v>
      </c>
      <c r="O285" s="10">
        <v>281</v>
      </c>
      <c r="P285" s="10">
        <v>7</v>
      </c>
      <c r="Q285" s="10">
        <v>0</v>
      </c>
      <c r="R285" s="10">
        <v>677</v>
      </c>
      <c r="S285" s="10">
        <v>0</v>
      </c>
      <c r="T285" s="19">
        <v>0</v>
      </c>
      <c r="U285" s="19"/>
      <c r="V285">
        <f t="shared" si="9"/>
        <v>0</v>
      </c>
    </row>
    <row r="286" spans="1:22" x14ac:dyDescent="0.25">
      <c r="A286" t="s">
        <v>834</v>
      </c>
      <c r="B286" t="s">
        <v>341</v>
      </c>
      <c r="C286" s="1"/>
      <c r="D286" s="1"/>
      <c r="E286" s="1"/>
      <c r="F286" s="1"/>
      <c r="G286" s="1"/>
      <c r="H286" s="1"/>
      <c r="I286" s="1"/>
      <c r="J286" s="1"/>
      <c r="K286" s="1"/>
      <c r="M286" s="12">
        <v>711</v>
      </c>
      <c r="N286" s="12" t="s">
        <v>343</v>
      </c>
      <c r="O286" s="12"/>
      <c r="P286" s="12"/>
      <c r="Q286" s="12"/>
      <c r="R286" s="12"/>
      <c r="S286" s="12"/>
      <c r="T286" s="18"/>
      <c r="U286" s="18"/>
      <c r="V286">
        <f t="shared" si="9"/>
        <v>0</v>
      </c>
    </row>
    <row r="287" spans="1:22" x14ac:dyDescent="0.25">
      <c r="A287" t="s">
        <v>850</v>
      </c>
      <c r="B287" t="s">
        <v>342</v>
      </c>
      <c r="C287" s="1"/>
      <c r="D287" s="1"/>
      <c r="E287" s="1"/>
      <c r="F287" s="1"/>
      <c r="G287" s="1"/>
      <c r="H287" s="1"/>
      <c r="I287" s="1"/>
      <c r="J287" s="1"/>
      <c r="K287" s="1"/>
      <c r="M287" s="10" t="s">
        <v>815</v>
      </c>
      <c r="N287" s="10" t="s">
        <v>344</v>
      </c>
      <c r="O287" s="10">
        <v>518</v>
      </c>
      <c r="P287" s="10">
        <v>0</v>
      </c>
      <c r="Q287" s="10">
        <v>0</v>
      </c>
      <c r="R287" s="10">
        <v>7608</v>
      </c>
      <c r="S287" s="10">
        <v>0</v>
      </c>
      <c r="T287" s="19">
        <v>0</v>
      </c>
      <c r="U287" s="19"/>
      <c r="V287">
        <f t="shared" si="9"/>
        <v>0</v>
      </c>
    </row>
    <row r="288" spans="1:22" x14ac:dyDescent="0.25">
      <c r="A288" t="s">
        <v>801</v>
      </c>
      <c r="B288" t="s">
        <v>343</v>
      </c>
      <c r="C288" s="1">
        <v>163</v>
      </c>
      <c r="D288" s="1">
        <v>0</v>
      </c>
      <c r="E288" s="1">
        <v>0</v>
      </c>
      <c r="F288" s="1">
        <f>1037+2</f>
        <v>1039</v>
      </c>
      <c r="G288" s="1">
        <v>1</v>
      </c>
      <c r="H288" s="1">
        <v>0</v>
      </c>
      <c r="I288" s="1">
        <v>0</v>
      </c>
      <c r="J288" s="1">
        <f>SUM(H288,I288)</f>
        <v>0</v>
      </c>
      <c r="K288" s="1"/>
      <c r="M288" s="12">
        <v>200</v>
      </c>
      <c r="N288" s="12" t="s">
        <v>345</v>
      </c>
      <c r="O288" s="12">
        <v>242</v>
      </c>
      <c r="P288" s="12">
        <v>0</v>
      </c>
      <c r="Q288" s="12">
        <v>0</v>
      </c>
      <c r="R288" s="12">
        <v>2093</v>
      </c>
      <c r="S288" s="12">
        <v>0</v>
      </c>
      <c r="T288" s="18">
        <v>0</v>
      </c>
      <c r="U288" s="18"/>
      <c r="V288">
        <f t="shared" si="9"/>
        <v>0</v>
      </c>
    </row>
    <row r="289" spans="1:22" x14ac:dyDescent="0.25">
      <c r="A289" t="s">
        <v>138</v>
      </c>
      <c r="B289" t="s">
        <v>344</v>
      </c>
      <c r="C289" s="1"/>
      <c r="D289" s="1"/>
      <c r="E289" s="1"/>
      <c r="F289" s="1"/>
      <c r="G289" s="1"/>
      <c r="H289" s="1"/>
      <c r="I289" s="1"/>
      <c r="J289" s="1"/>
      <c r="K289" s="1"/>
      <c r="M289" s="10">
        <v>710</v>
      </c>
      <c r="N289" s="10" t="s">
        <v>346</v>
      </c>
      <c r="O289" s="10">
        <v>2249</v>
      </c>
      <c r="P289" s="10">
        <v>0</v>
      </c>
      <c r="Q289" s="10">
        <v>0</v>
      </c>
      <c r="R289" s="10">
        <v>16714</v>
      </c>
      <c r="S289" s="10">
        <v>36</v>
      </c>
      <c r="T289" s="19">
        <v>0</v>
      </c>
      <c r="U289" s="19"/>
      <c r="V289">
        <f t="shared" si="9"/>
        <v>0</v>
      </c>
    </row>
    <row r="290" spans="1:22" x14ac:dyDescent="0.25">
      <c r="A290" t="s">
        <v>806</v>
      </c>
      <c r="B290" t="s">
        <v>345</v>
      </c>
      <c r="C290" s="1">
        <v>242</v>
      </c>
      <c r="D290" s="1">
        <v>0</v>
      </c>
      <c r="E290" s="1">
        <v>0</v>
      </c>
      <c r="F290" s="1">
        <f>2086+3+4</f>
        <v>2093</v>
      </c>
      <c r="G290" s="1">
        <v>0</v>
      </c>
      <c r="H290" s="1">
        <v>0</v>
      </c>
      <c r="I290" s="1">
        <v>0</v>
      </c>
      <c r="J290" s="1">
        <f>SUM(H290,I290)</f>
        <v>0</v>
      </c>
      <c r="K290" s="1"/>
      <c r="M290" s="12">
        <v>700</v>
      </c>
      <c r="N290" s="12" t="s">
        <v>347</v>
      </c>
      <c r="O290" s="12">
        <v>18</v>
      </c>
      <c r="P290" s="12">
        <v>0</v>
      </c>
      <c r="Q290" s="12">
        <v>0</v>
      </c>
      <c r="R290" s="12">
        <v>6</v>
      </c>
      <c r="S290" s="12">
        <v>0</v>
      </c>
      <c r="T290" s="18">
        <v>0</v>
      </c>
      <c r="U290" s="18"/>
      <c r="V290">
        <f t="shared" si="9"/>
        <v>0</v>
      </c>
    </row>
    <row r="291" spans="1:22" x14ac:dyDescent="0.25">
      <c r="A291" t="s">
        <v>69</v>
      </c>
      <c r="B291" t="s">
        <v>346</v>
      </c>
      <c r="C291" s="1">
        <f>2232+17</f>
        <v>2249</v>
      </c>
      <c r="D291" s="1">
        <v>0</v>
      </c>
      <c r="E291" s="1">
        <v>0</v>
      </c>
      <c r="F291" s="1">
        <f>16687+1+4+22</f>
        <v>16714</v>
      </c>
      <c r="G291" s="1">
        <v>36</v>
      </c>
      <c r="H291" s="1">
        <v>0</v>
      </c>
      <c r="I291" s="1">
        <v>0</v>
      </c>
      <c r="J291" s="1">
        <f>SUM(H291,I291)</f>
        <v>0</v>
      </c>
      <c r="K291" s="1"/>
      <c r="M291" s="10">
        <v>511</v>
      </c>
      <c r="N291" s="10" t="s">
        <v>348</v>
      </c>
      <c r="O291" s="10">
        <v>958</v>
      </c>
      <c r="P291" s="10">
        <v>22</v>
      </c>
      <c r="Q291" s="10">
        <v>0</v>
      </c>
      <c r="R291" s="10">
        <v>7678</v>
      </c>
      <c r="S291" s="10">
        <v>32</v>
      </c>
      <c r="T291" s="19">
        <v>0</v>
      </c>
      <c r="U291" s="19"/>
      <c r="V291">
        <f t="shared" si="9"/>
        <v>0</v>
      </c>
    </row>
    <row r="292" spans="1:22" x14ac:dyDescent="0.25">
      <c r="A292" t="s">
        <v>83</v>
      </c>
      <c r="B292" t="s">
        <v>347</v>
      </c>
      <c r="C292" s="1"/>
      <c r="D292" s="1"/>
      <c r="E292" s="1"/>
      <c r="F292" s="1"/>
      <c r="G292" s="1"/>
      <c r="H292" s="1"/>
      <c r="I292" s="1"/>
      <c r="J292" s="1"/>
      <c r="K292" s="1"/>
      <c r="M292" s="12">
        <v>110</v>
      </c>
      <c r="N292" s="12" t="s">
        <v>349</v>
      </c>
      <c r="O292" s="12">
        <v>263</v>
      </c>
      <c r="P292" s="12">
        <v>0</v>
      </c>
      <c r="Q292" s="12">
        <v>0</v>
      </c>
      <c r="R292" s="12">
        <v>2902</v>
      </c>
      <c r="S292" s="12">
        <v>0</v>
      </c>
      <c r="T292" s="18">
        <v>0</v>
      </c>
      <c r="U292" s="18"/>
      <c r="V292">
        <f t="shared" si="9"/>
        <v>0</v>
      </c>
    </row>
    <row r="293" spans="1:22" x14ac:dyDescent="0.25">
      <c r="A293" t="s">
        <v>101</v>
      </c>
      <c r="B293" t="s">
        <v>348</v>
      </c>
      <c r="C293" s="1">
        <v>958</v>
      </c>
      <c r="D293" s="1">
        <v>22</v>
      </c>
      <c r="E293" s="1">
        <v>0</v>
      </c>
      <c r="F293" s="1">
        <f>7661+1+9+7</f>
        <v>7678</v>
      </c>
      <c r="G293" s="1">
        <v>10</v>
      </c>
      <c r="H293" s="1">
        <v>0</v>
      </c>
      <c r="I293" s="1">
        <v>0</v>
      </c>
      <c r="J293" s="1">
        <f>SUM(H293,I293)</f>
        <v>0</v>
      </c>
      <c r="K293" s="1"/>
      <c r="M293" s="10">
        <v>111</v>
      </c>
      <c r="N293" s="10" t="s">
        <v>350</v>
      </c>
      <c r="O293" s="10">
        <v>654</v>
      </c>
      <c r="P293" s="10">
        <v>3</v>
      </c>
      <c r="Q293" s="10">
        <v>0</v>
      </c>
      <c r="R293" s="10">
        <v>8467</v>
      </c>
      <c r="S293" s="10">
        <v>19</v>
      </c>
      <c r="T293" s="19">
        <v>0</v>
      </c>
      <c r="U293" s="19"/>
      <c r="V293">
        <f t="shared" si="9"/>
        <v>0</v>
      </c>
    </row>
    <row r="294" spans="1:22" x14ac:dyDescent="0.25">
      <c r="A294" t="s">
        <v>797</v>
      </c>
      <c r="B294" t="s">
        <v>349</v>
      </c>
      <c r="C294" s="1"/>
      <c r="D294" s="1"/>
      <c r="E294" s="1"/>
      <c r="F294" s="1"/>
      <c r="G294" s="1"/>
      <c r="H294" s="1"/>
      <c r="I294" s="1"/>
      <c r="J294" s="1"/>
      <c r="K294" s="1"/>
      <c r="M294" s="12">
        <v>140</v>
      </c>
      <c r="N294" s="12" t="s">
        <v>351</v>
      </c>
      <c r="O294" s="12"/>
      <c r="P294" s="12"/>
      <c r="Q294" s="12"/>
      <c r="R294" s="12"/>
      <c r="S294" s="12"/>
      <c r="T294" s="18"/>
      <c r="U294" s="18"/>
      <c r="V294">
        <f t="shared" si="9"/>
        <v>0</v>
      </c>
    </row>
    <row r="295" spans="1:22" x14ac:dyDescent="0.25">
      <c r="A295" t="s">
        <v>811</v>
      </c>
      <c r="B295" t="s">
        <v>350</v>
      </c>
      <c r="C295" s="1"/>
      <c r="D295" s="1"/>
      <c r="E295" s="1"/>
      <c r="F295" s="1"/>
      <c r="G295" s="1"/>
      <c r="H295" s="1"/>
      <c r="I295" s="1"/>
      <c r="J295" s="1"/>
      <c r="K295" s="1"/>
      <c r="M295" s="10">
        <v>500</v>
      </c>
      <c r="N295" s="10" t="s">
        <v>352</v>
      </c>
      <c r="O295" s="10">
        <v>472</v>
      </c>
      <c r="P295" s="10">
        <v>0</v>
      </c>
      <c r="Q295" s="10">
        <v>0</v>
      </c>
      <c r="R295" s="10">
        <v>1819</v>
      </c>
      <c r="S295" s="10">
        <v>0</v>
      </c>
      <c r="T295" s="19">
        <v>0</v>
      </c>
      <c r="U295" s="19"/>
      <c r="V295">
        <f t="shared" si="9"/>
        <v>0</v>
      </c>
    </row>
    <row r="296" spans="1:22" x14ac:dyDescent="0.25">
      <c r="A296" t="s">
        <v>837</v>
      </c>
      <c r="B296" t="s">
        <v>351</v>
      </c>
      <c r="C296" s="1"/>
      <c r="D296" s="1"/>
      <c r="E296" s="1"/>
      <c r="F296" s="1"/>
      <c r="G296" s="1"/>
      <c r="H296" s="1"/>
      <c r="I296" s="1"/>
      <c r="J296" s="1"/>
      <c r="K296" s="1"/>
      <c r="M296" s="12">
        <v>141</v>
      </c>
      <c r="N296" s="12" t="s">
        <v>353</v>
      </c>
      <c r="O296" s="12">
        <v>6617</v>
      </c>
      <c r="P296" s="12">
        <v>0</v>
      </c>
      <c r="Q296" s="12">
        <v>0</v>
      </c>
      <c r="R296" s="12">
        <v>3419</v>
      </c>
      <c r="S296" s="12">
        <v>1</v>
      </c>
      <c r="T296" s="18">
        <v>0</v>
      </c>
      <c r="U296" s="18"/>
      <c r="V296">
        <f t="shared" si="9"/>
        <v>0</v>
      </c>
    </row>
    <row r="297" spans="1:22" x14ac:dyDescent="0.25">
      <c r="A297" t="s">
        <v>824</v>
      </c>
      <c r="B297" t="s">
        <v>352</v>
      </c>
      <c r="C297" s="1">
        <f>464+8</f>
        <v>472</v>
      </c>
      <c r="D297" s="1">
        <v>0</v>
      </c>
      <c r="E297" s="1">
        <v>0</v>
      </c>
      <c r="F297" s="1">
        <f>1715+67+37</f>
        <v>1819</v>
      </c>
      <c r="G297" s="1">
        <v>0</v>
      </c>
      <c r="H297" s="1">
        <v>0</v>
      </c>
      <c r="I297" s="1">
        <v>0</v>
      </c>
      <c r="J297" s="1">
        <f>SUM(H297,I297)</f>
        <v>0</v>
      </c>
      <c r="K297" s="1"/>
      <c r="M297" s="10">
        <v>146</v>
      </c>
      <c r="N297" s="10" t="s">
        <v>354</v>
      </c>
      <c r="O297" s="10">
        <v>212</v>
      </c>
      <c r="P297" s="10">
        <v>0</v>
      </c>
      <c r="Q297" s="10">
        <v>0</v>
      </c>
      <c r="R297" s="10">
        <v>507</v>
      </c>
      <c r="S297" s="10">
        <v>4</v>
      </c>
      <c r="T297" s="19">
        <v>0</v>
      </c>
      <c r="U297" s="19"/>
      <c r="V297">
        <f t="shared" si="9"/>
        <v>0</v>
      </c>
    </row>
    <row r="298" spans="1:22" x14ac:dyDescent="0.25">
      <c r="A298" t="s">
        <v>829</v>
      </c>
      <c r="B298" t="s">
        <v>353</v>
      </c>
      <c r="C298" s="1"/>
      <c r="D298" s="1"/>
      <c r="E298" s="1"/>
      <c r="F298" s="1"/>
      <c r="G298" s="1"/>
      <c r="H298" s="1"/>
      <c r="I298" s="1"/>
      <c r="J298" s="1"/>
      <c r="K298" s="1"/>
      <c r="M298" s="12">
        <v>145</v>
      </c>
      <c r="N298" s="12" t="s">
        <v>355</v>
      </c>
      <c r="O298" s="12">
        <v>145</v>
      </c>
      <c r="P298" s="12">
        <v>0</v>
      </c>
      <c r="Q298" s="12">
        <v>0</v>
      </c>
      <c r="R298" s="12">
        <v>574</v>
      </c>
      <c r="S298" s="12">
        <v>0</v>
      </c>
      <c r="T298" s="18">
        <v>0</v>
      </c>
      <c r="U298" s="18"/>
      <c r="V298">
        <f t="shared" si="9"/>
        <v>0</v>
      </c>
    </row>
    <row r="299" spans="1:22" x14ac:dyDescent="0.25">
      <c r="A299" t="s">
        <v>832</v>
      </c>
      <c r="B299" t="s">
        <v>354</v>
      </c>
      <c r="C299" s="1"/>
      <c r="D299" s="1"/>
      <c r="E299" s="1"/>
      <c r="F299" s="1"/>
      <c r="G299" s="1"/>
      <c r="H299" s="1"/>
      <c r="I299" s="1"/>
      <c r="J299" s="1"/>
      <c r="K299" s="1"/>
      <c r="M299" s="10">
        <v>138</v>
      </c>
      <c r="N299" s="10" t="s">
        <v>356</v>
      </c>
      <c r="O299" s="10">
        <v>859</v>
      </c>
      <c r="P299" s="10">
        <v>0</v>
      </c>
      <c r="Q299" s="10">
        <v>0</v>
      </c>
      <c r="R299" s="10">
        <v>4929</v>
      </c>
      <c r="S299" s="10">
        <v>8</v>
      </c>
      <c r="T299" s="19">
        <v>0</v>
      </c>
      <c r="U299" s="19"/>
      <c r="V299">
        <f t="shared" si="9"/>
        <v>0</v>
      </c>
    </row>
    <row r="300" spans="1:22" x14ac:dyDescent="0.25">
      <c r="A300" t="s">
        <v>833</v>
      </c>
      <c r="B300" t="s">
        <v>355</v>
      </c>
      <c r="C300" s="1"/>
      <c r="D300" s="1"/>
      <c r="E300" s="1"/>
      <c r="F300" s="1"/>
      <c r="G300" s="1"/>
      <c r="H300" s="1"/>
      <c r="I300" s="1"/>
      <c r="J300" s="1"/>
      <c r="K300" s="1"/>
      <c r="M300" s="12">
        <v>139</v>
      </c>
      <c r="N300" s="12" t="s">
        <v>357</v>
      </c>
      <c r="O300" s="12">
        <v>481</v>
      </c>
      <c r="P300" s="12">
        <v>0</v>
      </c>
      <c r="Q300" s="12">
        <v>0</v>
      </c>
      <c r="R300" s="12">
        <v>3345</v>
      </c>
      <c r="S300" s="12">
        <v>0</v>
      </c>
      <c r="T300" s="18">
        <v>0</v>
      </c>
      <c r="U300" s="18"/>
      <c r="V300">
        <f t="shared" si="9"/>
        <v>0</v>
      </c>
    </row>
    <row r="301" spans="1:22" x14ac:dyDescent="0.25">
      <c r="A301" t="s">
        <v>840</v>
      </c>
      <c r="B301" t="s">
        <v>356</v>
      </c>
      <c r="C301" s="1"/>
      <c r="D301" s="1"/>
      <c r="E301" s="1"/>
      <c r="F301" s="1"/>
      <c r="G301" s="1"/>
      <c r="H301" s="1"/>
      <c r="I301" s="1"/>
      <c r="J301" s="1"/>
      <c r="K301" s="1"/>
      <c r="M301" s="10">
        <v>100</v>
      </c>
      <c r="N301" s="10" t="s">
        <v>358</v>
      </c>
      <c r="O301" s="10"/>
      <c r="P301" s="10"/>
      <c r="Q301" s="10"/>
      <c r="R301" s="10"/>
      <c r="S301" s="10"/>
      <c r="T301" s="19"/>
      <c r="U301" s="19"/>
      <c r="V301">
        <f t="shared" si="9"/>
        <v>0</v>
      </c>
    </row>
    <row r="302" spans="1:22" x14ac:dyDescent="0.25">
      <c r="A302" t="s">
        <v>843</v>
      </c>
      <c r="B302" t="s">
        <v>357</v>
      </c>
      <c r="C302" s="1"/>
      <c r="D302" s="1"/>
      <c r="E302" s="1"/>
      <c r="F302" s="1"/>
      <c r="G302" s="1"/>
      <c r="H302" s="1"/>
      <c r="I302" s="1"/>
      <c r="J302" s="1"/>
      <c r="K302" s="1"/>
      <c r="M302" s="12">
        <v>142</v>
      </c>
      <c r="N302" s="12" t="s">
        <v>359</v>
      </c>
      <c r="O302" s="12">
        <v>1378</v>
      </c>
      <c r="P302" s="12">
        <v>0</v>
      </c>
      <c r="Q302" s="12">
        <v>0</v>
      </c>
      <c r="R302" s="12">
        <v>3637</v>
      </c>
      <c r="S302" s="12">
        <v>0</v>
      </c>
      <c r="T302" s="18">
        <v>0</v>
      </c>
      <c r="U302" s="18"/>
      <c r="V302">
        <f t="shared" si="9"/>
        <v>0</v>
      </c>
    </row>
    <row r="303" spans="1:22" x14ac:dyDescent="0.25">
      <c r="A303" t="s">
        <v>791</v>
      </c>
      <c r="B303" t="s">
        <v>358</v>
      </c>
      <c r="C303" s="1"/>
      <c r="D303" s="1"/>
      <c r="E303" s="1"/>
      <c r="F303" s="1"/>
      <c r="G303" s="1"/>
      <c r="H303" s="1"/>
      <c r="I303" s="1"/>
      <c r="J303" s="1"/>
      <c r="K303" s="1"/>
      <c r="M303" s="10">
        <v>144</v>
      </c>
      <c r="N303" s="10" t="s">
        <v>360</v>
      </c>
      <c r="O303" s="10">
        <v>471</v>
      </c>
      <c r="P303" s="10">
        <v>0</v>
      </c>
      <c r="Q303" s="10">
        <v>0</v>
      </c>
      <c r="R303" s="10">
        <v>3117</v>
      </c>
      <c r="S303" s="10">
        <v>15</v>
      </c>
      <c r="T303" s="19">
        <v>0</v>
      </c>
      <c r="U303" s="19"/>
      <c r="V303">
        <f t="shared" si="9"/>
        <v>0</v>
      </c>
    </row>
    <row r="304" spans="1:22" x14ac:dyDescent="0.25">
      <c r="A304" t="s">
        <v>842</v>
      </c>
      <c r="B304" t="s">
        <v>359</v>
      </c>
      <c r="C304" s="1"/>
      <c r="D304" s="1"/>
      <c r="E304" s="1"/>
      <c r="F304" s="1"/>
      <c r="G304" s="1"/>
      <c r="H304" s="1"/>
      <c r="I304" s="1"/>
      <c r="J304" s="1"/>
      <c r="K304" s="1"/>
      <c r="M304" s="12">
        <v>120</v>
      </c>
      <c r="N304" s="12" t="s">
        <v>361</v>
      </c>
      <c r="O304" s="12">
        <v>5333</v>
      </c>
      <c r="P304" s="12">
        <v>55</v>
      </c>
      <c r="Q304" s="12">
        <v>0</v>
      </c>
      <c r="R304" s="12">
        <v>15316</v>
      </c>
      <c r="S304" s="12">
        <v>227</v>
      </c>
      <c r="T304" s="18">
        <v>0</v>
      </c>
      <c r="U304" s="18"/>
      <c r="V304">
        <f t="shared" si="9"/>
        <v>0</v>
      </c>
    </row>
    <row r="305" spans="1:22" x14ac:dyDescent="0.25">
      <c r="A305" t="s">
        <v>835</v>
      </c>
      <c r="B305" t="s">
        <v>360</v>
      </c>
      <c r="C305" s="1"/>
      <c r="D305" s="1"/>
      <c r="E305" s="1"/>
      <c r="F305" s="1"/>
      <c r="G305" s="1"/>
      <c r="H305" s="1"/>
      <c r="I305" s="1"/>
      <c r="J305" s="1"/>
      <c r="K305" s="1"/>
      <c r="M305" s="10">
        <v>310</v>
      </c>
      <c r="N305" s="10" t="s">
        <v>362</v>
      </c>
      <c r="O305" s="10">
        <v>2901</v>
      </c>
      <c r="P305" s="10">
        <v>0</v>
      </c>
      <c r="Q305" s="10">
        <v>0</v>
      </c>
      <c r="R305" s="10">
        <v>18490</v>
      </c>
      <c r="S305" s="10">
        <v>9</v>
      </c>
      <c r="T305" s="19">
        <v>0</v>
      </c>
      <c r="U305" s="19"/>
      <c r="V305">
        <f t="shared" si="9"/>
        <v>0</v>
      </c>
    </row>
    <row r="306" spans="1:22" x14ac:dyDescent="0.25">
      <c r="A306" t="s">
        <v>826</v>
      </c>
      <c r="B306" t="s">
        <v>361</v>
      </c>
      <c r="C306" s="1"/>
      <c r="D306" s="1"/>
      <c r="E306" s="1"/>
      <c r="F306" s="1"/>
      <c r="G306" s="1"/>
      <c r="H306" s="1"/>
      <c r="I306" s="1"/>
      <c r="J306" s="1"/>
      <c r="K306" s="1"/>
      <c r="M306" s="12">
        <v>114</v>
      </c>
      <c r="N306" s="12" t="s">
        <v>363</v>
      </c>
      <c r="O306" s="12">
        <v>123</v>
      </c>
      <c r="P306" s="12">
        <v>0</v>
      </c>
      <c r="Q306" s="12">
        <v>0</v>
      </c>
      <c r="R306" s="12">
        <v>1658</v>
      </c>
      <c r="S306" s="12">
        <v>2</v>
      </c>
      <c r="T306" s="18">
        <v>0</v>
      </c>
      <c r="U306" s="18"/>
      <c r="V306">
        <f t="shared" si="9"/>
        <v>0</v>
      </c>
    </row>
    <row r="307" spans="1:22" x14ac:dyDescent="0.25">
      <c r="A307" t="s">
        <v>67</v>
      </c>
      <c r="B307" t="s">
        <v>362</v>
      </c>
      <c r="C307" s="1"/>
      <c r="D307" s="1"/>
      <c r="E307" s="1"/>
      <c r="F307" s="1"/>
      <c r="G307" s="1"/>
      <c r="H307" s="1"/>
      <c r="I307" s="1"/>
      <c r="J307" s="1"/>
      <c r="K307" s="1"/>
      <c r="M307" s="10">
        <v>600</v>
      </c>
      <c r="N307" s="10" t="s">
        <v>364</v>
      </c>
      <c r="O307" s="10">
        <v>393</v>
      </c>
      <c r="P307" s="10">
        <v>0</v>
      </c>
      <c r="Q307" s="10">
        <v>0</v>
      </c>
      <c r="R307" s="10">
        <v>2648</v>
      </c>
      <c r="S307" s="10">
        <v>0</v>
      </c>
      <c r="T307" s="19">
        <v>0</v>
      </c>
      <c r="U307" s="19"/>
      <c r="V307">
        <f t="shared" si="9"/>
        <v>0</v>
      </c>
    </row>
    <row r="308" spans="1:22" x14ac:dyDescent="0.25">
      <c r="A308" t="s">
        <v>831</v>
      </c>
      <c r="B308" t="s">
        <v>363</v>
      </c>
      <c r="C308" s="1">
        <v>123</v>
      </c>
      <c r="D308" s="1">
        <v>0</v>
      </c>
      <c r="E308" s="1">
        <v>0</v>
      </c>
      <c r="F308" s="1">
        <f>1608+37+1+5+1+2+4</f>
        <v>1658</v>
      </c>
      <c r="G308" s="1">
        <v>2</v>
      </c>
      <c r="H308" s="1">
        <v>0</v>
      </c>
      <c r="I308" s="1">
        <v>0</v>
      </c>
      <c r="J308" s="1">
        <f>SUM(H308,I308)</f>
        <v>0</v>
      </c>
      <c r="K308" s="1"/>
      <c r="M308" s="12">
        <v>100</v>
      </c>
      <c r="N308" s="12" t="s">
        <v>365</v>
      </c>
      <c r="O308" s="12"/>
      <c r="P308" s="12"/>
      <c r="Q308" s="12"/>
      <c r="R308" s="12"/>
      <c r="S308" s="12"/>
      <c r="T308" s="18"/>
      <c r="U308" s="18"/>
      <c r="V308">
        <f t="shared" si="9"/>
        <v>0</v>
      </c>
    </row>
    <row r="309" spans="1:22" x14ac:dyDescent="0.25">
      <c r="A309" t="s">
        <v>248</v>
      </c>
      <c r="B309" t="s">
        <v>364</v>
      </c>
      <c r="C309" s="1"/>
      <c r="D309" s="1"/>
      <c r="E309" s="1"/>
      <c r="F309" s="1"/>
      <c r="G309" s="1"/>
      <c r="H309" s="1"/>
      <c r="I309" s="1"/>
      <c r="J309" s="1"/>
      <c r="K309" s="1"/>
      <c r="M309" s="10">
        <v>110</v>
      </c>
      <c r="N309" s="10" t="s">
        <v>366</v>
      </c>
      <c r="O309" s="10">
        <v>142</v>
      </c>
      <c r="P309" s="10">
        <v>0</v>
      </c>
      <c r="Q309" s="10">
        <v>0</v>
      </c>
      <c r="R309" s="10">
        <v>754</v>
      </c>
      <c r="S309" s="10">
        <v>38</v>
      </c>
      <c r="T309" s="19">
        <v>0</v>
      </c>
      <c r="U309" s="19"/>
      <c r="V309">
        <f t="shared" si="9"/>
        <v>0</v>
      </c>
    </row>
    <row r="310" spans="1:22" x14ac:dyDescent="0.25">
      <c r="A310" t="s">
        <v>791</v>
      </c>
      <c r="B310" t="s">
        <v>365</v>
      </c>
      <c r="C310" s="1"/>
      <c r="D310" s="1"/>
      <c r="E310" s="1"/>
      <c r="F310" s="1"/>
      <c r="G310" s="1"/>
      <c r="H310" s="1"/>
      <c r="I310" s="1"/>
      <c r="J310" s="1"/>
      <c r="K310" s="1"/>
      <c r="M310" s="12">
        <v>311</v>
      </c>
      <c r="N310" s="12" t="s">
        <v>367</v>
      </c>
      <c r="O310" s="12">
        <v>1929</v>
      </c>
      <c r="P310" s="12">
        <v>19</v>
      </c>
      <c r="Q310" s="12">
        <v>0</v>
      </c>
      <c r="R310" s="12">
        <v>12468</v>
      </c>
      <c r="S310" s="12">
        <v>184</v>
      </c>
      <c r="T310" s="18">
        <v>0</v>
      </c>
      <c r="U310" s="18"/>
      <c r="V310">
        <f t="shared" si="9"/>
        <v>0</v>
      </c>
    </row>
    <row r="311" spans="1:22" x14ac:dyDescent="0.25">
      <c r="A311" t="s">
        <v>797</v>
      </c>
      <c r="B311" t="s">
        <v>366</v>
      </c>
      <c r="C311" s="1"/>
      <c r="D311" s="1"/>
      <c r="E311" s="1"/>
      <c r="F311" s="1"/>
      <c r="G311" s="1"/>
      <c r="H311" s="1"/>
      <c r="I311" s="1"/>
      <c r="J311" s="1"/>
      <c r="K311" s="1"/>
      <c r="M311" s="10">
        <v>118</v>
      </c>
      <c r="N311" s="10" t="s">
        <v>368</v>
      </c>
      <c r="O311" s="10">
        <v>1958</v>
      </c>
      <c r="P311" s="10">
        <v>0</v>
      </c>
      <c r="Q311" s="10">
        <v>0</v>
      </c>
      <c r="R311" s="10">
        <v>6550</v>
      </c>
      <c r="S311" s="10">
        <v>0</v>
      </c>
      <c r="T311" s="19">
        <v>0</v>
      </c>
      <c r="U311" s="19"/>
      <c r="V311">
        <f t="shared" si="9"/>
        <v>0</v>
      </c>
    </row>
    <row r="312" spans="1:22" x14ac:dyDescent="0.25">
      <c r="A312" t="s">
        <v>120</v>
      </c>
      <c r="B312" t="s">
        <v>367</v>
      </c>
      <c r="C312" s="1">
        <f>1927+2</f>
        <v>1929</v>
      </c>
      <c r="D312" s="1">
        <v>19</v>
      </c>
      <c r="E312" s="1">
        <v>0</v>
      </c>
      <c r="F312" s="1">
        <f>12467+1</f>
        <v>12468</v>
      </c>
      <c r="G312" s="1">
        <f>62+111+11</f>
        <v>184</v>
      </c>
      <c r="H312" s="1">
        <v>0</v>
      </c>
      <c r="I312" s="1">
        <v>0</v>
      </c>
      <c r="J312" s="1">
        <f>SUM(H312,I312)</f>
        <v>0</v>
      </c>
      <c r="K312" s="1"/>
      <c r="M312" s="12" t="s">
        <v>808</v>
      </c>
      <c r="N312" s="12" t="s">
        <v>369</v>
      </c>
      <c r="O312" s="12">
        <v>2300</v>
      </c>
      <c r="P312" s="12">
        <v>0</v>
      </c>
      <c r="Q312" s="12">
        <v>0</v>
      </c>
      <c r="R312" s="12">
        <v>14170</v>
      </c>
      <c r="S312" s="12">
        <v>65</v>
      </c>
      <c r="T312" s="18">
        <v>0</v>
      </c>
      <c r="U312" s="18"/>
      <c r="V312">
        <f t="shared" si="9"/>
        <v>0</v>
      </c>
    </row>
    <row r="313" spans="1:22" x14ac:dyDescent="0.25">
      <c r="A313" t="s">
        <v>231</v>
      </c>
      <c r="B313" t="s">
        <v>368</v>
      </c>
      <c r="C313" s="1"/>
      <c r="D313" s="1"/>
      <c r="E313" s="1"/>
      <c r="F313" s="1"/>
      <c r="G313" s="1"/>
      <c r="H313" s="1"/>
      <c r="I313" s="1"/>
      <c r="J313" s="1"/>
      <c r="K313" s="1"/>
      <c r="M313" s="10">
        <v>161</v>
      </c>
      <c r="N313" s="10" t="s">
        <v>370</v>
      </c>
      <c r="O313" s="10">
        <v>577</v>
      </c>
      <c r="P313" s="10">
        <v>47</v>
      </c>
      <c r="Q313" s="10">
        <v>0</v>
      </c>
      <c r="R313" s="10">
        <v>3508</v>
      </c>
      <c r="S313" s="10">
        <v>7</v>
      </c>
      <c r="T313" s="19">
        <v>0</v>
      </c>
      <c r="U313" s="19"/>
      <c r="V313">
        <f t="shared" si="9"/>
        <v>0</v>
      </c>
    </row>
    <row r="314" spans="1:22" x14ac:dyDescent="0.25">
      <c r="A314" t="s">
        <v>809</v>
      </c>
      <c r="B314" t="s">
        <v>369</v>
      </c>
      <c r="C314" s="1">
        <f>2122+4+1+2+171</f>
        <v>2300</v>
      </c>
      <c r="D314" s="1">
        <v>0</v>
      </c>
      <c r="E314" s="1">
        <v>0</v>
      </c>
      <c r="F314" s="1">
        <f>14127+8+2+1+4+2+26</f>
        <v>14170</v>
      </c>
      <c r="G314" s="1">
        <f>53+12</f>
        <v>65</v>
      </c>
      <c r="H314" s="1">
        <v>0</v>
      </c>
      <c r="I314" s="1">
        <v>0</v>
      </c>
      <c r="J314" s="1">
        <f>SUM(H314,I314)</f>
        <v>0</v>
      </c>
      <c r="K314" s="1"/>
      <c r="M314" s="12">
        <v>300</v>
      </c>
      <c r="N314" s="12" t="s">
        <v>371</v>
      </c>
      <c r="O314" s="12">
        <v>885</v>
      </c>
      <c r="P314" s="12">
        <v>2</v>
      </c>
      <c r="Q314" s="12">
        <v>0</v>
      </c>
      <c r="R314" s="12">
        <v>7304</v>
      </c>
      <c r="S314" s="12">
        <v>12</v>
      </c>
      <c r="T314" s="18">
        <v>0</v>
      </c>
      <c r="U314" s="18"/>
      <c r="V314">
        <f t="shared" si="9"/>
        <v>0</v>
      </c>
    </row>
    <row r="315" spans="1:22" x14ac:dyDescent="0.25">
      <c r="A315" t="s">
        <v>848</v>
      </c>
      <c r="B315" t="s">
        <v>370</v>
      </c>
      <c r="C315" s="1"/>
      <c r="D315" s="1"/>
      <c r="E315" s="1"/>
      <c r="F315" s="1"/>
      <c r="G315" s="1"/>
      <c r="H315" s="1"/>
      <c r="I315" s="1"/>
      <c r="J315" s="1"/>
      <c r="K315" s="1"/>
      <c r="M315" s="10">
        <v>110</v>
      </c>
      <c r="N315" s="10" t="s">
        <v>372</v>
      </c>
      <c r="O315" s="10">
        <v>502</v>
      </c>
      <c r="P315" s="10">
        <v>8</v>
      </c>
      <c r="Q315" s="10">
        <v>0</v>
      </c>
      <c r="R315" s="10">
        <v>3946</v>
      </c>
      <c r="S315" s="10">
        <v>138</v>
      </c>
      <c r="T315" s="19">
        <v>0</v>
      </c>
      <c r="U315" s="19"/>
      <c r="V315">
        <f t="shared" si="9"/>
        <v>0</v>
      </c>
    </row>
    <row r="316" spans="1:22" x14ac:dyDescent="0.25">
      <c r="A316" t="s">
        <v>226</v>
      </c>
      <c r="B316" t="s">
        <v>371</v>
      </c>
      <c r="C316" s="1"/>
      <c r="D316" s="1"/>
      <c r="E316" s="1"/>
      <c r="F316" s="1"/>
      <c r="G316" s="1"/>
      <c r="H316" s="1"/>
      <c r="I316" s="1"/>
      <c r="J316" s="1"/>
      <c r="K316" s="1"/>
      <c r="M316" s="12">
        <v>100</v>
      </c>
      <c r="N316" s="12" t="s">
        <v>373</v>
      </c>
      <c r="O316" s="12"/>
      <c r="P316" s="12"/>
      <c r="Q316" s="12"/>
      <c r="R316" s="12"/>
      <c r="S316" s="12"/>
      <c r="T316" s="18"/>
      <c r="U316" s="18"/>
      <c r="V316">
        <f t="shared" si="9"/>
        <v>0</v>
      </c>
    </row>
    <row r="317" spans="1:22" x14ac:dyDescent="0.25">
      <c r="A317" t="s">
        <v>797</v>
      </c>
      <c r="B317" t="s">
        <v>372</v>
      </c>
      <c r="C317" s="1"/>
      <c r="D317" s="1"/>
      <c r="E317" s="1"/>
      <c r="F317" s="1"/>
      <c r="G317" s="1"/>
      <c r="H317" s="1"/>
      <c r="I317" s="1"/>
      <c r="J317" s="1"/>
      <c r="K317" s="1"/>
      <c r="M317" s="10">
        <v>120</v>
      </c>
      <c r="N317" s="10" t="s">
        <v>374</v>
      </c>
      <c r="O317" s="10">
        <v>1291</v>
      </c>
      <c r="P317" s="10">
        <v>8</v>
      </c>
      <c r="Q317" s="10">
        <v>0</v>
      </c>
      <c r="R317" s="10">
        <v>6150</v>
      </c>
      <c r="S317" s="10">
        <v>65</v>
      </c>
      <c r="T317" s="19">
        <v>0</v>
      </c>
      <c r="U317" s="19"/>
      <c r="V317">
        <f t="shared" si="9"/>
        <v>0</v>
      </c>
    </row>
    <row r="318" spans="1:22" x14ac:dyDescent="0.25">
      <c r="A318" t="s">
        <v>791</v>
      </c>
      <c r="B318" t="s">
        <v>373</v>
      </c>
      <c r="C318" s="1"/>
      <c r="D318" s="1"/>
      <c r="E318" s="1"/>
      <c r="F318" s="1"/>
      <c r="G318" s="1"/>
      <c r="H318" s="1"/>
      <c r="I318" s="1"/>
      <c r="J318" s="1"/>
      <c r="K318" s="1"/>
      <c r="M318" s="12">
        <v>313</v>
      </c>
      <c r="N318" s="12" t="s">
        <v>375</v>
      </c>
      <c r="O318" s="12">
        <v>159</v>
      </c>
      <c r="P318" s="12">
        <v>0</v>
      </c>
      <c r="Q318" s="12">
        <v>0</v>
      </c>
      <c r="R318" s="12">
        <v>1869</v>
      </c>
      <c r="S318" s="12">
        <v>53</v>
      </c>
      <c r="T318" s="18">
        <v>0</v>
      </c>
      <c r="U318" s="18"/>
      <c r="V318">
        <f t="shared" si="9"/>
        <v>0</v>
      </c>
    </row>
    <row r="319" spans="1:22" x14ac:dyDescent="0.25">
      <c r="A319" t="s">
        <v>826</v>
      </c>
      <c r="B319" t="s">
        <v>374</v>
      </c>
      <c r="C319" s="1"/>
      <c r="D319" s="1"/>
      <c r="E319" s="1"/>
      <c r="F319" s="1"/>
      <c r="G319" s="1"/>
      <c r="H319" s="1"/>
      <c r="I319" s="1"/>
      <c r="J319" s="1"/>
      <c r="K319" s="1"/>
      <c r="M319" s="10">
        <v>616</v>
      </c>
      <c r="N319" s="10" t="s">
        <v>376</v>
      </c>
      <c r="O319" s="10">
        <v>1053</v>
      </c>
      <c r="P319" s="10">
        <v>0</v>
      </c>
      <c r="Q319" s="10">
        <v>0</v>
      </c>
      <c r="R319" s="10">
        <v>883</v>
      </c>
      <c r="S319" s="10">
        <v>0</v>
      </c>
      <c r="T319" s="19">
        <v>0</v>
      </c>
      <c r="U319" s="19"/>
      <c r="V319">
        <f t="shared" si="9"/>
        <v>0</v>
      </c>
    </row>
    <row r="320" spans="1:22" x14ac:dyDescent="0.25">
      <c r="A320" t="s">
        <v>512</v>
      </c>
      <c r="B320" t="s">
        <v>375</v>
      </c>
      <c r="C320" s="1">
        <v>159</v>
      </c>
      <c r="D320" s="1">
        <v>0</v>
      </c>
      <c r="E320" s="1">
        <v>0</v>
      </c>
      <c r="F320" s="1">
        <f>1868+1</f>
        <v>1869</v>
      </c>
      <c r="G320" s="1">
        <v>53</v>
      </c>
      <c r="H320" s="1">
        <v>0</v>
      </c>
      <c r="I320" s="1">
        <v>0</v>
      </c>
      <c r="J320" s="1">
        <f>SUM(H320,I320)</f>
        <v>0</v>
      </c>
      <c r="K320" s="1"/>
      <c r="M320" s="12">
        <v>700</v>
      </c>
      <c r="N320" s="12" t="s">
        <v>377</v>
      </c>
      <c r="O320" s="12">
        <v>1460</v>
      </c>
      <c r="P320" s="12">
        <v>158</v>
      </c>
      <c r="Q320" s="12">
        <v>0</v>
      </c>
      <c r="R320" s="12">
        <v>7653</v>
      </c>
      <c r="S320" s="12">
        <v>91</v>
      </c>
      <c r="T320" s="18">
        <v>0</v>
      </c>
      <c r="U320" s="18"/>
      <c r="V320">
        <f t="shared" si="9"/>
        <v>0</v>
      </c>
    </row>
    <row r="321" spans="1:22" x14ac:dyDescent="0.25">
      <c r="A321" t="s">
        <v>817</v>
      </c>
      <c r="B321" t="s">
        <v>376</v>
      </c>
      <c r="C321" s="1">
        <v>1053</v>
      </c>
      <c r="D321" s="1">
        <v>0</v>
      </c>
      <c r="E321" s="1">
        <v>0</v>
      </c>
      <c r="F321" s="1">
        <v>878</v>
      </c>
      <c r="G321" s="1">
        <v>5</v>
      </c>
      <c r="H321" s="1">
        <v>0</v>
      </c>
      <c r="I321" s="1">
        <v>0</v>
      </c>
      <c r="J321" s="1">
        <f>SUM(H321,I321)</f>
        <v>0</v>
      </c>
      <c r="K321" s="1"/>
      <c r="M321" s="10">
        <v>116</v>
      </c>
      <c r="N321" s="10" t="s">
        <v>378</v>
      </c>
      <c r="O321" s="10">
        <v>619</v>
      </c>
      <c r="P321" s="10">
        <v>0</v>
      </c>
      <c r="Q321" s="10">
        <v>0</v>
      </c>
      <c r="R321" s="10">
        <v>4006</v>
      </c>
      <c r="S321" s="10">
        <v>5</v>
      </c>
      <c r="T321" s="19">
        <v>0</v>
      </c>
      <c r="U321" s="19"/>
      <c r="V321">
        <f t="shared" si="9"/>
        <v>0</v>
      </c>
    </row>
    <row r="322" spans="1:22" x14ac:dyDescent="0.25">
      <c r="A322" t="s">
        <v>83</v>
      </c>
      <c r="B322" t="s">
        <v>377</v>
      </c>
      <c r="C322" s="1"/>
      <c r="D322" s="1"/>
      <c r="E322" s="1"/>
      <c r="F322" s="1"/>
      <c r="G322" s="1"/>
      <c r="H322" s="1"/>
      <c r="I322" s="1"/>
      <c r="J322" s="1"/>
      <c r="K322" s="1"/>
      <c r="M322" s="12">
        <v>137</v>
      </c>
      <c r="N322" s="12" t="s">
        <v>379</v>
      </c>
      <c r="O322" s="12">
        <v>542</v>
      </c>
      <c r="P322" s="12">
        <v>0</v>
      </c>
      <c r="Q322" s="12">
        <v>0</v>
      </c>
      <c r="R322" s="12">
        <v>903</v>
      </c>
      <c r="S322" s="12">
        <v>0</v>
      </c>
      <c r="T322" s="18">
        <v>0</v>
      </c>
      <c r="U322" s="18"/>
      <c r="V322">
        <f t="shared" si="9"/>
        <v>0</v>
      </c>
    </row>
    <row r="323" spans="1:22" x14ac:dyDescent="0.25">
      <c r="A323" t="s">
        <v>795</v>
      </c>
      <c r="B323" t="s">
        <v>378</v>
      </c>
      <c r="C323" s="1">
        <v>619</v>
      </c>
      <c r="D323" s="1">
        <v>0</v>
      </c>
      <c r="E323" s="1">
        <v>0</v>
      </c>
      <c r="F323" s="1">
        <f>4002+1+1+1+1</f>
        <v>4006</v>
      </c>
      <c r="G323" s="1">
        <f>1+4</f>
        <v>5</v>
      </c>
      <c r="H323" s="1">
        <v>0</v>
      </c>
      <c r="I323" s="1">
        <v>0</v>
      </c>
      <c r="J323" s="1">
        <f>SUM(H323,I323)</f>
        <v>0</v>
      </c>
      <c r="K323" s="1"/>
      <c r="M323" s="10">
        <v>161</v>
      </c>
      <c r="N323" s="10" t="s">
        <v>380</v>
      </c>
      <c r="O323" s="10">
        <v>416</v>
      </c>
      <c r="P323" s="10">
        <v>0</v>
      </c>
      <c r="Q323" s="10">
        <v>0</v>
      </c>
      <c r="R323" s="10">
        <v>3444</v>
      </c>
      <c r="S323" s="10">
        <v>0</v>
      </c>
      <c r="T323" s="19">
        <v>0</v>
      </c>
      <c r="U323" s="19"/>
      <c r="V323">
        <f t="shared" si="9"/>
        <v>0</v>
      </c>
    </row>
    <row r="324" spans="1:22" x14ac:dyDescent="0.25">
      <c r="A324" t="s">
        <v>858</v>
      </c>
      <c r="B324" t="s">
        <v>379</v>
      </c>
      <c r="C324" s="1"/>
      <c r="D324" s="1"/>
      <c r="E324" s="1"/>
      <c r="F324" s="1"/>
      <c r="G324" s="1"/>
      <c r="H324" s="1"/>
      <c r="I324" s="1"/>
      <c r="J324" s="1"/>
      <c r="K324" s="1"/>
      <c r="M324" s="12">
        <v>136</v>
      </c>
      <c r="N324" s="12" t="s">
        <v>381</v>
      </c>
      <c r="O324" s="12">
        <v>994</v>
      </c>
      <c r="P324" s="12">
        <v>0</v>
      </c>
      <c r="Q324" s="12">
        <v>0</v>
      </c>
      <c r="R324" s="12">
        <v>3742</v>
      </c>
      <c r="S324" s="12">
        <v>0</v>
      </c>
      <c r="T324" s="18">
        <v>0</v>
      </c>
      <c r="U324" s="18"/>
      <c r="V324">
        <f t="shared" si="9"/>
        <v>0</v>
      </c>
    </row>
    <row r="325" spans="1:22" x14ac:dyDescent="0.25">
      <c r="A325" t="s">
        <v>848</v>
      </c>
      <c r="B325" t="s">
        <v>380</v>
      </c>
      <c r="C325" s="1"/>
      <c r="D325" s="1"/>
      <c r="E325" s="1"/>
      <c r="F325" s="1"/>
      <c r="G325" s="1"/>
      <c r="H325" s="1"/>
      <c r="I325" s="1"/>
      <c r="J325" s="1"/>
      <c r="K325" s="1"/>
      <c r="M325" s="10">
        <v>127</v>
      </c>
      <c r="N325" s="10" t="s">
        <v>382</v>
      </c>
      <c r="O325" s="10">
        <v>2731</v>
      </c>
      <c r="P325" s="10">
        <v>18</v>
      </c>
      <c r="Q325" s="10">
        <v>0</v>
      </c>
      <c r="R325" s="10">
        <v>3008</v>
      </c>
      <c r="S325" s="10">
        <v>5</v>
      </c>
      <c r="T325" s="19">
        <v>0</v>
      </c>
      <c r="U325" s="19"/>
      <c r="V325">
        <f t="shared" si="9"/>
        <v>0</v>
      </c>
    </row>
    <row r="326" spans="1:22" x14ac:dyDescent="0.25">
      <c r="A326" t="s">
        <v>863</v>
      </c>
      <c r="B326" t="s">
        <v>381</v>
      </c>
      <c r="C326" s="1"/>
      <c r="D326" s="1"/>
      <c r="E326" s="1"/>
      <c r="F326" s="1"/>
      <c r="G326" s="1"/>
      <c r="H326" s="1"/>
      <c r="I326" s="1"/>
      <c r="J326" s="1"/>
      <c r="K326" s="1"/>
      <c r="M326" s="12">
        <v>133</v>
      </c>
      <c r="N326" s="12" t="s">
        <v>383</v>
      </c>
      <c r="O326" s="12">
        <v>2493</v>
      </c>
      <c r="P326" s="12">
        <v>28</v>
      </c>
      <c r="Q326" s="12">
        <v>0</v>
      </c>
      <c r="R326" s="12">
        <v>14253</v>
      </c>
      <c r="S326" s="12">
        <v>153</v>
      </c>
      <c r="T326" s="18">
        <v>0</v>
      </c>
      <c r="U326" s="18"/>
      <c r="V326">
        <f t="shared" si="9"/>
        <v>0</v>
      </c>
    </row>
    <row r="327" spans="1:22" x14ac:dyDescent="0.25">
      <c r="A327" t="s">
        <v>854</v>
      </c>
      <c r="B327" t="s">
        <v>382</v>
      </c>
      <c r="C327" s="1"/>
      <c r="D327" s="1"/>
      <c r="E327" s="1"/>
      <c r="F327" s="1"/>
      <c r="G327" s="1"/>
      <c r="H327" s="1"/>
      <c r="I327" s="1"/>
      <c r="J327" s="1"/>
      <c r="K327" s="1"/>
      <c r="M327" s="10">
        <v>134</v>
      </c>
      <c r="N327" s="10" t="s">
        <v>384</v>
      </c>
      <c r="O327" s="10">
        <v>438</v>
      </c>
      <c r="P327" s="10">
        <v>1</v>
      </c>
      <c r="Q327" s="10">
        <v>0</v>
      </c>
      <c r="R327" s="10">
        <v>68</v>
      </c>
      <c r="S327" s="10">
        <v>0</v>
      </c>
      <c r="T327" s="19">
        <v>0</v>
      </c>
      <c r="U327" s="19"/>
      <c r="V327">
        <f t="shared" si="9"/>
        <v>0</v>
      </c>
    </row>
    <row r="328" spans="1:22" x14ac:dyDescent="0.25">
      <c r="A328" t="s">
        <v>853</v>
      </c>
      <c r="B328" t="s">
        <v>383</v>
      </c>
      <c r="C328" s="1"/>
      <c r="D328" s="1"/>
      <c r="E328" s="1"/>
      <c r="F328" s="1"/>
      <c r="G328" s="1"/>
      <c r="H328" s="1"/>
      <c r="I328" s="1"/>
      <c r="J328" s="1"/>
      <c r="K328" s="1"/>
      <c r="M328" s="12">
        <v>135</v>
      </c>
      <c r="N328" s="12" t="s">
        <v>385</v>
      </c>
      <c r="O328" s="12">
        <v>1864</v>
      </c>
      <c r="P328" s="12">
        <v>0</v>
      </c>
      <c r="Q328" s="12">
        <v>0</v>
      </c>
      <c r="R328" s="12">
        <v>2019</v>
      </c>
      <c r="S328" s="12">
        <v>17</v>
      </c>
      <c r="T328" s="18">
        <v>0</v>
      </c>
      <c r="U328" s="18"/>
      <c r="V328">
        <f t="shared" si="9"/>
        <v>0</v>
      </c>
    </row>
    <row r="329" spans="1:22" x14ac:dyDescent="0.25">
      <c r="A329" t="s">
        <v>851</v>
      </c>
      <c r="B329" t="s">
        <v>384</v>
      </c>
      <c r="C329" s="1"/>
      <c r="D329" s="1"/>
      <c r="E329" s="1"/>
      <c r="F329" s="1"/>
      <c r="G329" s="1"/>
      <c r="H329" s="1"/>
      <c r="I329" s="1"/>
      <c r="J329" s="1"/>
      <c r="K329" s="1"/>
      <c r="M329" s="10">
        <v>131</v>
      </c>
      <c r="N329" s="10" t="s">
        <v>386</v>
      </c>
      <c r="O329" s="10">
        <v>477</v>
      </c>
      <c r="P329" s="10">
        <v>0</v>
      </c>
      <c r="Q329" s="10">
        <v>0</v>
      </c>
      <c r="R329" s="10">
        <v>766</v>
      </c>
      <c r="S329" s="10">
        <v>0</v>
      </c>
      <c r="T329" s="19">
        <v>0</v>
      </c>
      <c r="U329" s="19"/>
      <c r="V329">
        <f t="shared" si="9"/>
        <v>0</v>
      </c>
    </row>
    <row r="330" spans="1:22" x14ac:dyDescent="0.25">
      <c r="A330" t="s">
        <v>856</v>
      </c>
      <c r="B330" t="s">
        <v>385</v>
      </c>
      <c r="C330" s="1"/>
      <c r="D330" s="1"/>
      <c r="E330" s="1"/>
      <c r="F330" s="1"/>
      <c r="G330" s="1"/>
      <c r="H330" s="1"/>
      <c r="I330" s="1"/>
      <c r="J330" s="1"/>
      <c r="K330" s="1"/>
      <c r="M330" s="12">
        <v>132</v>
      </c>
      <c r="N330" s="12" t="s">
        <v>387</v>
      </c>
      <c r="O330" s="12">
        <v>286</v>
      </c>
      <c r="P330" s="12">
        <v>0</v>
      </c>
      <c r="Q330" s="12">
        <v>0</v>
      </c>
      <c r="R330" s="12">
        <v>703</v>
      </c>
      <c r="S330" s="12">
        <v>0</v>
      </c>
      <c r="T330" s="18">
        <v>0</v>
      </c>
      <c r="U330" s="18"/>
      <c r="V330">
        <f t="shared" si="9"/>
        <v>0</v>
      </c>
    </row>
    <row r="331" spans="1:22" x14ac:dyDescent="0.25">
      <c r="A331" t="s">
        <v>847</v>
      </c>
      <c r="B331" t="s">
        <v>386</v>
      </c>
      <c r="C331" s="1"/>
      <c r="D331" s="1"/>
      <c r="E331" s="1"/>
      <c r="F331" s="1"/>
      <c r="G331" s="1"/>
      <c r="H331" s="1"/>
      <c r="I331" s="1"/>
      <c r="J331" s="1"/>
      <c r="K331" s="1"/>
      <c r="M331" t="s">
        <v>794</v>
      </c>
      <c r="N331" t="s">
        <v>388</v>
      </c>
      <c r="O331" s="12"/>
      <c r="P331" s="12"/>
      <c r="Q331" s="12"/>
      <c r="R331" s="12"/>
      <c r="S331" s="12"/>
      <c r="T331" s="18"/>
      <c r="U331" s="18"/>
      <c r="V331">
        <f t="shared" ref="V331:V340" si="10">SUM(T331:U331)</f>
        <v>0</v>
      </c>
    </row>
    <row r="332" spans="1:22" x14ac:dyDescent="0.25">
      <c r="A332" t="s">
        <v>849</v>
      </c>
      <c r="B332" t="s">
        <v>387</v>
      </c>
      <c r="C332" s="1"/>
      <c r="D332" s="1"/>
      <c r="E332" s="1"/>
      <c r="F332" s="1"/>
      <c r="G332" s="1"/>
      <c r="H332" s="1"/>
      <c r="I332" s="1"/>
      <c r="J332" s="1"/>
      <c r="K332" s="1"/>
      <c r="M332" t="s">
        <v>805</v>
      </c>
      <c r="N332" t="s">
        <v>389</v>
      </c>
      <c r="O332" s="12"/>
      <c r="P332" s="12"/>
      <c r="Q332" s="12"/>
      <c r="R332" s="12"/>
      <c r="S332" s="12"/>
      <c r="T332" s="18"/>
      <c r="U332" s="18"/>
      <c r="V332">
        <f t="shared" si="10"/>
        <v>0</v>
      </c>
    </row>
    <row r="333" spans="1:22" x14ac:dyDescent="0.25">
      <c r="A333" s="9" t="s">
        <v>794</v>
      </c>
      <c r="B333" s="10" t="s">
        <v>388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f>SUM(H333,I333)</f>
        <v>0</v>
      </c>
      <c r="K333" s="1"/>
      <c r="M333" s="9" t="s">
        <v>226</v>
      </c>
      <c r="N333" s="10" t="s">
        <v>391</v>
      </c>
      <c r="O333" s="12"/>
      <c r="P333" s="12"/>
      <c r="Q333" s="12"/>
      <c r="R333" s="12"/>
      <c r="S333" s="12"/>
      <c r="T333" s="18"/>
      <c r="U333" s="18"/>
      <c r="V333">
        <f t="shared" si="10"/>
        <v>0</v>
      </c>
    </row>
    <row r="334" spans="1:22" x14ac:dyDescent="0.25">
      <c r="A334" s="9" t="s">
        <v>805</v>
      </c>
      <c r="B334" s="10" t="s">
        <v>389</v>
      </c>
      <c r="C334" s="1"/>
      <c r="D334" s="1"/>
      <c r="E334" s="1"/>
      <c r="F334" s="1"/>
      <c r="G334" s="1"/>
      <c r="H334" s="1"/>
      <c r="I334" s="1"/>
      <c r="J334" s="1"/>
      <c r="K334" s="1"/>
      <c r="M334" s="9" t="s">
        <v>798</v>
      </c>
      <c r="N334" s="10" t="s">
        <v>392</v>
      </c>
      <c r="O334" s="12"/>
      <c r="P334" s="12"/>
      <c r="Q334" s="12"/>
      <c r="R334" s="12"/>
      <c r="S334" s="12"/>
      <c r="T334" s="18"/>
      <c r="U334" s="18"/>
      <c r="V334">
        <f t="shared" si="10"/>
        <v>0</v>
      </c>
    </row>
    <row r="335" spans="1:22" x14ac:dyDescent="0.25">
      <c r="A335" t="s">
        <v>10</v>
      </c>
      <c r="B335" s="1" t="s">
        <v>390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/>
      <c r="K335" s="1"/>
      <c r="M335" t="s">
        <v>69</v>
      </c>
      <c r="N335" t="s">
        <v>395</v>
      </c>
      <c r="O335" s="12"/>
      <c r="P335" s="12"/>
      <c r="Q335" s="12"/>
      <c r="R335" s="12"/>
      <c r="S335" s="12"/>
      <c r="T335" s="18"/>
      <c r="U335" s="18"/>
      <c r="V335">
        <f t="shared" si="10"/>
        <v>0</v>
      </c>
    </row>
    <row r="336" spans="1:22" x14ac:dyDescent="0.25">
      <c r="A336" t="s">
        <v>226</v>
      </c>
      <c r="B336" t="s">
        <v>391</v>
      </c>
      <c r="C336" s="1"/>
      <c r="D336" s="1"/>
      <c r="E336" s="1"/>
      <c r="F336" s="1"/>
      <c r="G336" s="1"/>
      <c r="H336" s="1"/>
      <c r="I336" s="1"/>
      <c r="J336" s="1"/>
      <c r="K336" s="1"/>
      <c r="M336" t="s">
        <v>512</v>
      </c>
      <c r="N336" t="s">
        <v>397</v>
      </c>
      <c r="O336" s="12"/>
      <c r="P336" s="12"/>
      <c r="Q336" s="12"/>
      <c r="R336" s="12"/>
      <c r="S336" s="12"/>
      <c r="T336" s="18"/>
      <c r="U336" s="18"/>
      <c r="V336">
        <f t="shared" si="10"/>
        <v>0</v>
      </c>
    </row>
    <row r="337" spans="1:22" x14ac:dyDescent="0.25">
      <c r="A337" t="s">
        <v>798</v>
      </c>
      <c r="B337" t="s">
        <v>392</v>
      </c>
      <c r="C337" s="1"/>
      <c r="D337" s="1"/>
      <c r="E337" s="1"/>
      <c r="F337" s="1"/>
      <c r="G337" s="1"/>
      <c r="H337" s="1"/>
      <c r="I337" s="1"/>
      <c r="J337" s="1"/>
      <c r="K337" s="1"/>
      <c r="M337" t="s">
        <v>805</v>
      </c>
      <c r="N337" t="s">
        <v>398</v>
      </c>
      <c r="O337" s="12"/>
      <c r="P337" s="12"/>
      <c r="Q337" s="12"/>
      <c r="R337" s="12"/>
      <c r="S337" s="12"/>
      <c r="T337" s="18"/>
      <c r="U337" s="18"/>
      <c r="V337">
        <f t="shared" si="10"/>
        <v>0</v>
      </c>
    </row>
    <row r="338" spans="1:22" x14ac:dyDescent="0.25">
      <c r="A338" t="s">
        <v>10</v>
      </c>
      <c r="B338" s="1" t="s">
        <v>393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/>
      <c r="K338" s="1"/>
      <c r="M338" t="s">
        <v>805</v>
      </c>
      <c r="N338" t="s">
        <v>400</v>
      </c>
      <c r="O338" s="12"/>
      <c r="P338" s="12"/>
      <c r="Q338" s="12"/>
      <c r="R338" s="12"/>
      <c r="S338" s="12"/>
      <c r="T338" s="18"/>
      <c r="U338" s="18"/>
      <c r="V338">
        <f t="shared" si="10"/>
        <v>0</v>
      </c>
    </row>
    <row r="339" spans="1:22" x14ac:dyDescent="0.25">
      <c r="A339" t="s">
        <v>10</v>
      </c>
      <c r="B339" s="1" t="s">
        <v>394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/>
      <c r="K339" s="1"/>
      <c r="M339" t="s">
        <v>805</v>
      </c>
      <c r="N339" t="s">
        <v>402</v>
      </c>
      <c r="O339" s="12"/>
      <c r="P339" s="12"/>
      <c r="Q339" s="12"/>
      <c r="R339" s="12"/>
      <c r="S339" s="12"/>
      <c r="T339" s="18"/>
      <c r="U339" s="18"/>
      <c r="V339">
        <f t="shared" si="10"/>
        <v>0</v>
      </c>
    </row>
    <row r="340" spans="1:22" x14ac:dyDescent="0.25">
      <c r="A340" s="27" t="s">
        <v>10</v>
      </c>
      <c r="B340" s="32" t="s">
        <v>778</v>
      </c>
      <c r="C340" s="1"/>
      <c r="D340" s="1"/>
      <c r="E340" s="1"/>
      <c r="F340" s="1"/>
      <c r="G340" s="1"/>
      <c r="H340" s="1"/>
      <c r="I340" s="1"/>
      <c r="J340" s="1"/>
      <c r="K340" s="1"/>
      <c r="M340" t="s">
        <v>797</v>
      </c>
      <c r="N340" t="s">
        <v>404</v>
      </c>
      <c r="O340" s="12"/>
      <c r="P340" s="12"/>
      <c r="Q340" s="12"/>
      <c r="R340" s="12"/>
      <c r="S340" s="12"/>
      <c r="T340" s="18"/>
      <c r="U340" s="18"/>
      <c r="V340">
        <f t="shared" si="10"/>
        <v>0</v>
      </c>
    </row>
    <row r="341" spans="1:22" x14ac:dyDescent="0.25">
      <c r="A341" t="s">
        <v>69</v>
      </c>
      <c r="B341" s="5" t="s">
        <v>395</v>
      </c>
      <c r="C341" s="6"/>
      <c r="D341" s="6"/>
      <c r="E341" s="6"/>
      <c r="F341" s="6"/>
      <c r="G341" s="6"/>
      <c r="H341" s="6"/>
      <c r="I341" s="6"/>
      <c r="J341" s="6"/>
      <c r="K341" s="6"/>
      <c r="M341" s="10">
        <v>700</v>
      </c>
      <c r="N341" s="10" t="s">
        <v>405</v>
      </c>
      <c r="O341" s="10"/>
      <c r="P341" s="10"/>
      <c r="Q341" s="10"/>
      <c r="R341" s="10"/>
      <c r="S341" s="10"/>
      <c r="T341" s="19"/>
      <c r="U341" s="19"/>
      <c r="V341">
        <f t="shared" ref="V341:V404" si="11">SUM(T341:U341)</f>
        <v>0</v>
      </c>
    </row>
    <row r="342" spans="1:22" x14ac:dyDescent="0.25">
      <c r="A342" t="s">
        <v>796</v>
      </c>
      <c r="B342" s="1" t="s">
        <v>396</v>
      </c>
      <c r="C342" s="1"/>
      <c r="D342" s="1"/>
      <c r="E342" s="1"/>
      <c r="F342" s="1"/>
      <c r="G342" s="1"/>
      <c r="H342" s="1"/>
      <c r="I342" s="1"/>
      <c r="J342" s="1"/>
      <c r="K342" s="1"/>
      <c r="M342" s="12">
        <v>600</v>
      </c>
      <c r="N342" s="12" t="s">
        <v>406</v>
      </c>
      <c r="O342" s="12">
        <v>20194</v>
      </c>
      <c r="P342" s="12">
        <v>451</v>
      </c>
      <c r="Q342" s="12">
        <v>0</v>
      </c>
      <c r="R342" s="12">
        <v>0</v>
      </c>
      <c r="S342" s="12">
        <v>0</v>
      </c>
      <c r="T342" s="18">
        <v>21275</v>
      </c>
      <c r="U342" s="18"/>
      <c r="V342">
        <f t="shared" si="11"/>
        <v>21275</v>
      </c>
    </row>
    <row r="343" spans="1:22" x14ac:dyDescent="0.25">
      <c r="A343" t="s">
        <v>512</v>
      </c>
      <c r="B343" t="s">
        <v>397</v>
      </c>
      <c r="C343" s="1"/>
      <c r="D343" s="1"/>
      <c r="E343" s="1"/>
      <c r="F343" s="1"/>
      <c r="G343" s="1"/>
      <c r="H343" s="1"/>
      <c r="I343" s="1"/>
      <c r="J343" s="1"/>
      <c r="K343" s="1"/>
      <c r="M343" s="10">
        <v>161</v>
      </c>
      <c r="N343" s="10" t="s">
        <v>407</v>
      </c>
      <c r="O343" s="10">
        <v>8928</v>
      </c>
      <c r="P343" s="10">
        <v>62</v>
      </c>
      <c r="Q343" s="10">
        <v>0</v>
      </c>
      <c r="R343" s="10">
        <v>0</v>
      </c>
      <c r="S343" s="10">
        <v>0</v>
      </c>
      <c r="T343" s="19">
        <v>1609</v>
      </c>
      <c r="U343" s="19"/>
      <c r="V343">
        <f t="shared" si="11"/>
        <v>1609</v>
      </c>
    </row>
    <row r="344" spans="1:22" x14ac:dyDescent="0.25">
      <c r="A344" t="s">
        <v>805</v>
      </c>
      <c r="B344" t="s">
        <v>398</v>
      </c>
      <c r="C344" s="1"/>
      <c r="D344" s="1"/>
      <c r="E344" s="1"/>
      <c r="F344" s="1"/>
      <c r="G344" s="1"/>
      <c r="H344" s="1"/>
      <c r="I344" s="1"/>
      <c r="J344" s="1"/>
      <c r="K344" s="1"/>
      <c r="M344" s="12">
        <v>711</v>
      </c>
      <c r="N344" s="12" t="s">
        <v>408</v>
      </c>
      <c r="O344" s="12"/>
      <c r="P344" s="12"/>
      <c r="Q344" s="12"/>
      <c r="R344" s="12"/>
      <c r="S344" s="12"/>
      <c r="T344" s="18"/>
      <c r="U344" s="18"/>
      <c r="V344">
        <f t="shared" si="11"/>
        <v>0</v>
      </c>
    </row>
    <row r="345" spans="1:22" x14ac:dyDescent="0.25">
      <c r="A345" t="s">
        <v>10</v>
      </c>
      <c r="B345" s="1" t="s">
        <v>399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/>
      <c r="K345" s="1"/>
      <c r="M345" s="10">
        <v>111</v>
      </c>
      <c r="N345" s="10" t="s">
        <v>409</v>
      </c>
      <c r="O345" s="10">
        <v>42968</v>
      </c>
      <c r="P345" s="10">
        <v>250</v>
      </c>
      <c r="Q345" s="10">
        <v>0</v>
      </c>
      <c r="R345" s="10">
        <v>0</v>
      </c>
      <c r="S345" s="10">
        <v>0</v>
      </c>
      <c r="T345" s="19">
        <v>17664</v>
      </c>
      <c r="U345" s="19"/>
      <c r="V345">
        <f t="shared" si="11"/>
        <v>17664</v>
      </c>
    </row>
    <row r="346" spans="1:22" x14ac:dyDescent="0.25">
      <c r="A346" t="s">
        <v>805</v>
      </c>
      <c r="B346" t="s">
        <v>400</v>
      </c>
      <c r="C346" s="1"/>
      <c r="D346" s="1"/>
      <c r="E346" s="1"/>
      <c r="F346" s="1"/>
      <c r="G346" s="1"/>
      <c r="H346" s="1"/>
      <c r="I346" s="1"/>
      <c r="J346" s="1"/>
      <c r="K346" s="1"/>
      <c r="M346" s="12">
        <v>700</v>
      </c>
      <c r="N346" s="12" t="s">
        <v>410</v>
      </c>
      <c r="O346" s="12">
        <v>1872</v>
      </c>
      <c r="P346" s="12">
        <v>22</v>
      </c>
      <c r="Q346" s="12">
        <v>0</v>
      </c>
      <c r="R346" s="12">
        <v>0</v>
      </c>
      <c r="S346" s="12">
        <v>0</v>
      </c>
      <c r="T346" s="18">
        <v>6702</v>
      </c>
      <c r="U346" s="18"/>
      <c r="V346">
        <f t="shared" si="11"/>
        <v>6702</v>
      </c>
    </row>
    <row r="347" spans="1:22" x14ac:dyDescent="0.25">
      <c r="A347" t="s">
        <v>10</v>
      </c>
      <c r="B347" s="1" t="s">
        <v>401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/>
      <c r="K347" s="1"/>
      <c r="M347" s="10">
        <v>311</v>
      </c>
      <c r="N347" s="10" t="s">
        <v>411</v>
      </c>
      <c r="O347" s="10">
        <v>33826</v>
      </c>
      <c r="P347" s="10">
        <v>15</v>
      </c>
      <c r="Q347" s="10">
        <v>0</v>
      </c>
      <c r="R347" s="10">
        <v>0</v>
      </c>
      <c r="S347" s="10">
        <v>0</v>
      </c>
      <c r="T347" s="19">
        <v>8408</v>
      </c>
      <c r="U347" s="19"/>
      <c r="V347">
        <f t="shared" si="11"/>
        <v>8408</v>
      </c>
    </row>
    <row r="348" spans="1:22" x14ac:dyDescent="0.25">
      <c r="A348" s="23" t="s">
        <v>805</v>
      </c>
      <c r="B348" s="23" t="s">
        <v>402</v>
      </c>
      <c r="C348" s="1"/>
      <c r="D348" s="1"/>
      <c r="E348" s="1"/>
      <c r="F348" s="1"/>
      <c r="G348" s="1"/>
      <c r="H348" s="1"/>
      <c r="I348" s="1"/>
      <c r="J348" s="1"/>
      <c r="K348" s="1"/>
      <c r="M348" s="12">
        <v>514</v>
      </c>
      <c r="N348" s="12" t="s">
        <v>412</v>
      </c>
      <c r="O348" s="12">
        <v>2963</v>
      </c>
      <c r="P348" s="12">
        <v>16</v>
      </c>
      <c r="Q348" s="12">
        <v>0</v>
      </c>
      <c r="R348" s="12">
        <v>0</v>
      </c>
      <c r="S348" s="12">
        <v>0</v>
      </c>
      <c r="T348" s="18">
        <v>3249</v>
      </c>
      <c r="U348" s="18"/>
      <c r="V348">
        <f t="shared" si="11"/>
        <v>3249</v>
      </c>
    </row>
    <row r="349" spans="1:22" x14ac:dyDescent="0.25">
      <c r="A349" t="s">
        <v>10</v>
      </c>
      <c r="B349" s="1" t="s">
        <v>403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/>
      <c r="K349" s="1"/>
      <c r="M349" s="10">
        <v>311</v>
      </c>
      <c r="N349" s="10" t="s">
        <v>413</v>
      </c>
      <c r="O349" s="10">
        <v>11489</v>
      </c>
      <c r="P349" s="10">
        <v>13</v>
      </c>
      <c r="Q349" s="10">
        <v>0</v>
      </c>
      <c r="R349" s="10">
        <v>0</v>
      </c>
      <c r="S349" s="10">
        <v>0</v>
      </c>
      <c r="T349" s="19">
        <v>1235</v>
      </c>
      <c r="U349" s="19"/>
      <c r="V349">
        <f t="shared" si="11"/>
        <v>1235</v>
      </c>
    </row>
    <row r="350" spans="1:22" x14ac:dyDescent="0.25">
      <c r="A350" t="s">
        <v>797</v>
      </c>
      <c r="B350" t="s">
        <v>404</v>
      </c>
      <c r="C350" s="1"/>
      <c r="D350" s="1"/>
      <c r="E350" s="1"/>
      <c r="F350" s="1"/>
      <c r="G350" s="1"/>
      <c r="H350" s="1"/>
      <c r="I350" s="1"/>
      <c r="J350" s="1"/>
      <c r="K350" s="1"/>
      <c r="M350" s="12" t="s">
        <v>815</v>
      </c>
      <c r="N350" s="12" t="s">
        <v>414</v>
      </c>
      <c r="O350" s="12">
        <v>20708</v>
      </c>
      <c r="P350" s="12">
        <v>96</v>
      </c>
      <c r="Q350" s="12">
        <v>0</v>
      </c>
      <c r="R350" s="12">
        <v>0</v>
      </c>
      <c r="S350" s="12">
        <v>0</v>
      </c>
      <c r="T350" s="18">
        <v>18555</v>
      </c>
      <c r="U350" s="18"/>
      <c r="V350">
        <f t="shared" si="11"/>
        <v>18555</v>
      </c>
    </row>
    <row r="351" spans="1:22" x14ac:dyDescent="0.25">
      <c r="A351" t="s">
        <v>83</v>
      </c>
      <c r="B351" t="s">
        <v>405</v>
      </c>
      <c r="C351" s="1"/>
      <c r="D351" s="1"/>
      <c r="E351" s="1"/>
      <c r="F351" s="1"/>
      <c r="G351" s="1"/>
      <c r="H351" s="1"/>
      <c r="I351" s="1"/>
      <c r="J351" s="1"/>
      <c r="K351" s="1"/>
      <c r="M351" s="10">
        <v>713</v>
      </c>
      <c r="N351" s="10" t="s">
        <v>415</v>
      </c>
      <c r="O351" s="10">
        <v>7881</v>
      </c>
      <c r="P351" s="10">
        <v>141</v>
      </c>
      <c r="Q351" s="10">
        <v>0</v>
      </c>
      <c r="R351" s="10">
        <v>0</v>
      </c>
      <c r="S351" s="10">
        <v>0</v>
      </c>
      <c r="T351" s="19">
        <v>6681</v>
      </c>
      <c r="U351" s="19"/>
      <c r="V351">
        <f t="shared" si="11"/>
        <v>6681</v>
      </c>
    </row>
    <row r="352" spans="1:22" x14ac:dyDescent="0.25">
      <c r="A352" t="s">
        <v>248</v>
      </c>
      <c r="B352" t="s">
        <v>406</v>
      </c>
      <c r="C352" s="1"/>
      <c r="D352" s="1"/>
      <c r="E352" s="1"/>
      <c r="F352" s="1"/>
      <c r="G352" s="1"/>
      <c r="H352" s="1"/>
      <c r="I352" s="1"/>
      <c r="J352" s="1"/>
      <c r="K352" s="1"/>
      <c r="M352" s="12">
        <v>300</v>
      </c>
      <c r="N352" s="12" t="s">
        <v>416</v>
      </c>
      <c r="O352" s="12">
        <v>5024</v>
      </c>
      <c r="P352" s="12">
        <v>1</v>
      </c>
      <c r="Q352" s="12">
        <v>0</v>
      </c>
      <c r="R352" s="12">
        <v>0</v>
      </c>
      <c r="S352" s="12">
        <v>0</v>
      </c>
      <c r="T352" s="18">
        <v>20519</v>
      </c>
      <c r="U352" s="18"/>
      <c r="V352">
        <f t="shared" si="11"/>
        <v>20519</v>
      </c>
    </row>
    <row r="353" spans="1:22" x14ac:dyDescent="0.25">
      <c r="A353" s="27" t="s">
        <v>10</v>
      </c>
      <c r="B353" s="32" t="s">
        <v>779</v>
      </c>
      <c r="C353" s="1"/>
      <c r="D353" s="1"/>
      <c r="E353" s="1"/>
      <c r="F353" s="1"/>
      <c r="G353" s="1"/>
      <c r="H353" s="1"/>
      <c r="I353" s="1"/>
      <c r="J353" s="1"/>
      <c r="K353" s="1"/>
      <c r="M353" s="10" t="s">
        <v>815</v>
      </c>
      <c r="N353" s="10" t="s">
        <v>417</v>
      </c>
      <c r="O353" s="10">
        <v>31509</v>
      </c>
      <c r="P353" s="10">
        <v>331</v>
      </c>
      <c r="Q353" s="10">
        <v>0</v>
      </c>
      <c r="R353" s="10">
        <v>0</v>
      </c>
      <c r="S353" s="10">
        <v>0</v>
      </c>
      <c r="T353" s="19">
        <v>20010</v>
      </c>
      <c r="U353" s="19"/>
      <c r="V353">
        <f t="shared" si="11"/>
        <v>20010</v>
      </c>
    </row>
    <row r="354" spans="1:22" x14ac:dyDescent="0.25">
      <c r="A354" t="s">
        <v>848</v>
      </c>
      <c r="B354" t="s">
        <v>407</v>
      </c>
      <c r="C354" s="1"/>
      <c r="D354" s="1"/>
      <c r="E354" s="1"/>
      <c r="F354" s="1"/>
      <c r="G354" s="1"/>
      <c r="H354" s="1"/>
      <c r="I354" s="1"/>
      <c r="J354" s="1"/>
      <c r="K354" s="1"/>
      <c r="M354" s="12" t="s">
        <v>815</v>
      </c>
      <c r="N354" s="12" t="s">
        <v>418</v>
      </c>
      <c r="O354" s="12">
        <v>18345</v>
      </c>
      <c r="P354" s="12">
        <v>375</v>
      </c>
      <c r="Q354" s="12">
        <v>0</v>
      </c>
      <c r="R354" s="12">
        <v>0</v>
      </c>
      <c r="S354" s="12">
        <v>0</v>
      </c>
      <c r="T354" s="18">
        <v>8720</v>
      </c>
      <c r="U354" s="18"/>
      <c r="V354">
        <f t="shared" si="11"/>
        <v>8720</v>
      </c>
    </row>
    <row r="355" spans="1:22" x14ac:dyDescent="0.25">
      <c r="A355" t="s">
        <v>801</v>
      </c>
      <c r="B355" t="s">
        <v>408</v>
      </c>
      <c r="C355" s="1">
        <f>19273+5+2+2+1+1+1063+20+7210+6+400</f>
        <v>27983</v>
      </c>
      <c r="D355" s="1">
        <f>160+3+1+10+9</f>
        <v>183</v>
      </c>
      <c r="E355" s="1">
        <v>0</v>
      </c>
      <c r="F355" s="1">
        <v>0</v>
      </c>
      <c r="G355" s="1">
        <v>0</v>
      </c>
      <c r="H355" s="1">
        <v>30383</v>
      </c>
      <c r="I355" s="1">
        <v>7458</v>
      </c>
      <c r="J355" s="1">
        <f>SUM(H355,I355)</f>
        <v>37841</v>
      </c>
      <c r="K355" s="1"/>
      <c r="M355" s="10">
        <v>713</v>
      </c>
      <c r="N355" s="10" t="s">
        <v>419</v>
      </c>
      <c r="O355" s="10">
        <v>22858</v>
      </c>
      <c r="P355" s="10">
        <v>674</v>
      </c>
      <c r="Q355" s="10">
        <v>0</v>
      </c>
      <c r="R355" s="10">
        <v>0</v>
      </c>
      <c r="S355" s="10">
        <v>0</v>
      </c>
      <c r="T355" s="19">
        <v>59117</v>
      </c>
      <c r="U355" s="19"/>
      <c r="V355">
        <f t="shared" si="11"/>
        <v>59117</v>
      </c>
    </row>
    <row r="356" spans="1:22" x14ac:dyDescent="0.25">
      <c r="A356" t="s">
        <v>811</v>
      </c>
      <c r="B356" t="s">
        <v>409</v>
      </c>
      <c r="C356" s="1"/>
      <c r="D356" s="1"/>
      <c r="E356" s="1"/>
      <c r="F356" s="1"/>
      <c r="G356" s="1"/>
      <c r="H356" s="1"/>
      <c r="I356" s="1"/>
      <c r="J356" s="1"/>
      <c r="K356" s="1"/>
      <c r="M356" s="12">
        <v>114</v>
      </c>
      <c r="N356" s="12" t="s">
        <v>420</v>
      </c>
      <c r="O356" s="12">
        <v>15056</v>
      </c>
      <c r="P356" s="12">
        <v>36</v>
      </c>
      <c r="Q356" s="12">
        <v>0</v>
      </c>
      <c r="R356" s="12">
        <v>0</v>
      </c>
      <c r="S356" s="12">
        <v>0</v>
      </c>
      <c r="T356" s="18">
        <v>18488</v>
      </c>
      <c r="U356" s="18"/>
      <c r="V356">
        <f t="shared" si="11"/>
        <v>18488</v>
      </c>
    </row>
    <row r="357" spans="1:22" x14ac:dyDescent="0.25">
      <c r="A357" t="s">
        <v>83</v>
      </c>
      <c r="B357" t="s">
        <v>410</v>
      </c>
      <c r="C357" s="1"/>
      <c r="D357" s="1"/>
      <c r="E357" s="1"/>
      <c r="F357" s="1"/>
      <c r="G357" s="1"/>
      <c r="H357" s="1"/>
      <c r="I357" s="1"/>
      <c r="J357" s="1"/>
      <c r="K357" s="1"/>
      <c r="M357" s="10">
        <v>710</v>
      </c>
      <c r="N357" s="10" t="s">
        <v>421</v>
      </c>
      <c r="O357" s="10">
        <v>11824</v>
      </c>
      <c r="P357" s="10">
        <v>144</v>
      </c>
      <c r="Q357" s="10">
        <v>0</v>
      </c>
      <c r="R357" s="10">
        <v>0</v>
      </c>
      <c r="S357" s="10">
        <v>0</v>
      </c>
      <c r="T357" s="19">
        <v>4153</v>
      </c>
      <c r="U357" s="19"/>
      <c r="V357">
        <f t="shared" si="11"/>
        <v>4153</v>
      </c>
    </row>
    <row r="358" spans="1:22" x14ac:dyDescent="0.25">
      <c r="A358" t="s">
        <v>120</v>
      </c>
      <c r="B358" t="s">
        <v>411</v>
      </c>
      <c r="C358" s="1">
        <f>19979+13847</f>
        <v>33826</v>
      </c>
      <c r="D358" s="1">
        <f>3+10+2</f>
        <v>15</v>
      </c>
      <c r="E358" s="1">
        <v>0</v>
      </c>
      <c r="F358" s="1">
        <v>0</v>
      </c>
      <c r="G358" s="1">
        <v>0</v>
      </c>
      <c r="H358" s="1">
        <v>8408</v>
      </c>
      <c r="I358" s="1">
        <v>11127</v>
      </c>
      <c r="J358" s="1">
        <f>SUM(H358,I358)</f>
        <v>19535</v>
      </c>
      <c r="K358" s="1"/>
      <c r="M358" s="12">
        <v>611</v>
      </c>
      <c r="N358" s="12" t="s">
        <v>422</v>
      </c>
      <c r="O358" s="12">
        <v>8338</v>
      </c>
      <c r="P358" s="12">
        <v>250</v>
      </c>
      <c r="Q358" s="12">
        <v>0</v>
      </c>
      <c r="R358" s="12">
        <v>0</v>
      </c>
      <c r="S358" s="12">
        <v>0</v>
      </c>
      <c r="T358" s="18">
        <v>13709</v>
      </c>
      <c r="U358" s="18"/>
      <c r="V358">
        <f t="shared" si="11"/>
        <v>13709</v>
      </c>
    </row>
    <row r="359" spans="1:22" x14ac:dyDescent="0.25">
      <c r="A359" t="s">
        <v>134</v>
      </c>
      <c r="B359" t="s">
        <v>412</v>
      </c>
      <c r="C359" s="1">
        <f>2418+545</f>
        <v>2963</v>
      </c>
      <c r="D359" s="1">
        <f>12+4</f>
        <v>16</v>
      </c>
      <c r="E359" s="1">
        <v>0</v>
      </c>
      <c r="F359" s="1">
        <v>0</v>
      </c>
      <c r="G359" s="1">
        <v>0</v>
      </c>
      <c r="H359" s="1">
        <v>3249</v>
      </c>
      <c r="I359" s="1">
        <v>477</v>
      </c>
      <c r="J359" s="1">
        <f>SUM(H359,I359)</f>
        <v>3726</v>
      </c>
      <c r="K359" s="1"/>
      <c r="M359" s="10">
        <v>611</v>
      </c>
      <c r="N359" s="10" t="s">
        <v>423</v>
      </c>
      <c r="O359" s="10">
        <v>6240</v>
      </c>
      <c r="P359" s="10">
        <v>23</v>
      </c>
      <c r="Q359" s="10">
        <v>0</v>
      </c>
      <c r="R359" s="10">
        <v>0</v>
      </c>
      <c r="S359" s="10">
        <v>0</v>
      </c>
      <c r="T359" s="19">
        <v>3206</v>
      </c>
      <c r="U359" s="19"/>
      <c r="V359">
        <f t="shared" si="11"/>
        <v>3206</v>
      </c>
    </row>
    <row r="360" spans="1:22" x14ac:dyDescent="0.25">
      <c r="A360" t="s">
        <v>120</v>
      </c>
      <c r="B360" t="s">
        <v>413</v>
      </c>
      <c r="C360" s="1">
        <f>8501+2+2986</f>
        <v>11489</v>
      </c>
      <c r="D360" s="1">
        <f>4+5+1+3</f>
        <v>13</v>
      </c>
      <c r="E360" s="1">
        <v>0</v>
      </c>
      <c r="F360" s="1">
        <v>0</v>
      </c>
      <c r="G360" s="1">
        <v>0</v>
      </c>
      <c r="H360" s="1">
        <v>1235</v>
      </c>
      <c r="I360" s="1">
        <v>1865</v>
      </c>
      <c r="J360" s="1">
        <f>SUM(H360,I360)</f>
        <v>3100</v>
      </c>
      <c r="K360" s="1"/>
      <c r="M360" s="12">
        <v>712</v>
      </c>
      <c r="N360" s="12" t="s">
        <v>424</v>
      </c>
      <c r="O360" s="12">
        <v>34533</v>
      </c>
      <c r="P360" s="12">
        <v>41</v>
      </c>
      <c r="Q360" s="12">
        <v>0</v>
      </c>
      <c r="R360" s="12">
        <v>0</v>
      </c>
      <c r="S360" s="12">
        <v>0</v>
      </c>
      <c r="T360" s="18">
        <v>54847</v>
      </c>
      <c r="U360" s="18"/>
      <c r="V360">
        <f t="shared" si="11"/>
        <v>54847</v>
      </c>
    </row>
    <row r="361" spans="1:22" x14ac:dyDescent="0.25">
      <c r="A361" t="s">
        <v>138</v>
      </c>
      <c r="B361" t="s">
        <v>414</v>
      </c>
      <c r="C361" s="1"/>
      <c r="D361" s="1"/>
      <c r="E361" s="1"/>
      <c r="F361" s="1"/>
      <c r="G361" s="1"/>
      <c r="H361" s="1"/>
      <c r="I361" s="1"/>
      <c r="J361" s="1"/>
      <c r="K361" s="1"/>
      <c r="M361" s="10">
        <v>116</v>
      </c>
      <c r="N361" s="10" t="s">
        <v>425</v>
      </c>
      <c r="O361" s="10">
        <v>74097</v>
      </c>
      <c r="P361" s="10">
        <v>37</v>
      </c>
      <c r="Q361" s="10">
        <v>0</v>
      </c>
      <c r="R361" s="10">
        <v>0</v>
      </c>
      <c r="S361" s="10">
        <v>0</v>
      </c>
      <c r="T361" s="19">
        <v>48556</v>
      </c>
      <c r="U361" s="19"/>
      <c r="V361">
        <f t="shared" si="11"/>
        <v>48556</v>
      </c>
    </row>
    <row r="362" spans="1:22" x14ac:dyDescent="0.25">
      <c r="A362" t="s">
        <v>796</v>
      </c>
      <c r="B362" t="s">
        <v>415</v>
      </c>
      <c r="C362" s="1">
        <f>4118+40+3717+6</f>
        <v>7881</v>
      </c>
      <c r="D362" s="1">
        <f>97+43+1</f>
        <v>141</v>
      </c>
      <c r="E362" s="1">
        <v>0</v>
      </c>
      <c r="F362" s="1">
        <v>0</v>
      </c>
      <c r="G362" s="1">
        <v>0</v>
      </c>
      <c r="H362" s="1">
        <v>6681</v>
      </c>
      <c r="I362" s="1">
        <v>2883</v>
      </c>
      <c r="J362" s="1">
        <f>SUM(H362,I362)</f>
        <v>9564</v>
      </c>
      <c r="K362" s="1"/>
      <c r="M362" s="12">
        <v>500</v>
      </c>
      <c r="N362" s="12" t="s">
        <v>426</v>
      </c>
      <c r="O362" s="12">
        <v>17591</v>
      </c>
      <c r="P362" s="12">
        <v>123</v>
      </c>
      <c r="Q362" s="12">
        <v>0</v>
      </c>
      <c r="R362" s="12">
        <v>0</v>
      </c>
      <c r="S362" s="12">
        <v>0</v>
      </c>
      <c r="T362" s="18">
        <v>11647</v>
      </c>
      <c r="U362" s="18"/>
      <c r="V362">
        <f t="shared" si="11"/>
        <v>11647</v>
      </c>
    </row>
    <row r="363" spans="1:22" x14ac:dyDescent="0.25">
      <c r="A363" t="s">
        <v>226</v>
      </c>
      <c r="B363" t="s">
        <v>416</v>
      </c>
      <c r="C363" s="1">
        <f>4056+4+10+2+15+937+1</f>
        <v>5025</v>
      </c>
      <c r="D363" s="1">
        <v>1</v>
      </c>
      <c r="E363" s="1">
        <v>0</v>
      </c>
      <c r="F363" s="1">
        <v>0</v>
      </c>
      <c r="G363" s="1">
        <v>0</v>
      </c>
      <c r="H363" s="1">
        <v>20519</v>
      </c>
      <c r="I363" s="1">
        <v>949</v>
      </c>
      <c r="J363" s="1">
        <f>SUM(H363,I363)</f>
        <v>21468</v>
      </c>
      <c r="K363" s="1"/>
      <c r="M363" s="10">
        <v>610</v>
      </c>
      <c r="N363" s="10" t="s">
        <v>427</v>
      </c>
      <c r="O363" s="10">
        <v>42502</v>
      </c>
      <c r="P363" s="10">
        <v>100</v>
      </c>
      <c r="Q363" s="10">
        <v>0</v>
      </c>
      <c r="R363" s="10">
        <v>0</v>
      </c>
      <c r="S363" s="10">
        <v>0</v>
      </c>
      <c r="T363" s="19">
        <v>46985</v>
      </c>
      <c r="U363" s="19"/>
      <c r="V363">
        <f t="shared" si="11"/>
        <v>46985</v>
      </c>
    </row>
    <row r="364" spans="1:22" x14ac:dyDescent="0.25">
      <c r="A364" t="s">
        <v>138</v>
      </c>
      <c r="B364" t="s">
        <v>417</v>
      </c>
      <c r="C364" s="1"/>
      <c r="D364" s="1"/>
      <c r="E364" s="1"/>
      <c r="F364" s="1"/>
      <c r="G364" s="1"/>
      <c r="H364" s="1"/>
      <c r="I364" s="1"/>
      <c r="J364" s="1"/>
      <c r="K364" s="1"/>
      <c r="M364" s="12">
        <v>300</v>
      </c>
      <c r="N364" s="12" t="s">
        <v>428</v>
      </c>
      <c r="O364" s="12">
        <v>6765</v>
      </c>
      <c r="P364" s="12">
        <v>1</v>
      </c>
      <c r="Q364" s="12">
        <v>0</v>
      </c>
      <c r="R364" s="12">
        <v>0</v>
      </c>
      <c r="S364" s="12">
        <v>0</v>
      </c>
      <c r="T364" s="18">
        <v>7461</v>
      </c>
      <c r="U364" s="18"/>
      <c r="V364">
        <f t="shared" si="11"/>
        <v>7461</v>
      </c>
    </row>
    <row r="365" spans="1:22" x14ac:dyDescent="0.25">
      <c r="A365" t="s">
        <v>138</v>
      </c>
      <c r="B365" t="s">
        <v>418</v>
      </c>
      <c r="C365" s="1"/>
      <c r="D365" s="1"/>
      <c r="E365" s="1"/>
      <c r="F365" s="1"/>
      <c r="G365" s="1"/>
      <c r="H365" s="1"/>
      <c r="I365" s="1"/>
      <c r="J365" s="1"/>
      <c r="K365" s="1"/>
      <c r="M365" s="10">
        <v>100</v>
      </c>
      <c r="N365" s="10" t="s">
        <v>429</v>
      </c>
      <c r="O365" s="10"/>
      <c r="P365" s="10"/>
      <c r="Q365" s="10"/>
      <c r="R365" s="10"/>
      <c r="S365" s="10"/>
      <c r="T365" s="19"/>
      <c r="U365" s="19"/>
      <c r="V365">
        <f t="shared" si="11"/>
        <v>0</v>
      </c>
    </row>
    <row r="366" spans="1:22" x14ac:dyDescent="0.25">
      <c r="A366" t="s">
        <v>796</v>
      </c>
      <c r="B366" t="s">
        <v>419</v>
      </c>
      <c r="C366" s="1">
        <f>16491+8+8+440+4+1+16+5890</f>
        <v>22858</v>
      </c>
      <c r="D366" s="1">
        <f>620+30+9+15</f>
        <v>674</v>
      </c>
      <c r="E366" s="1">
        <v>0</v>
      </c>
      <c r="F366" s="1">
        <v>0</v>
      </c>
      <c r="G366" s="1">
        <v>0</v>
      </c>
      <c r="H366" s="1">
        <v>59117</v>
      </c>
      <c r="I366" s="1">
        <v>5328</v>
      </c>
      <c r="J366" s="1">
        <f t="shared" ref="J366:J374" si="12">SUM(H366,I366)</f>
        <v>64445</v>
      </c>
      <c r="K366" s="1"/>
      <c r="M366" s="12">
        <v>610</v>
      </c>
      <c r="N366" s="12" t="s">
        <v>430</v>
      </c>
      <c r="O366" s="12">
        <v>17584</v>
      </c>
      <c r="P366" s="12">
        <v>0</v>
      </c>
      <c r="Q366" s="12">
        <v>0</v>
      </c>
      <c r="R366" s="12">
        <v>0</v>
      </c>
      <c r="S366" s="12">
        <v>0</v>
      </c>
      <c r="T366" s="18">
        <v>5068</v>
      </c>
      <c r="U366" s="18"/>
      <c r="V366">
        <f t="shared" si="11"/>
        <v>5068</v>
      </c>
    </row>
    <row r="367" spans="1:22" x14ac:dyDescent="0.25">
      <c r="A367" t="s">
        <v>831</v>
      </c>
      <c r="B367" t="s">
        <v>420</v>
      </c>
      <c r="C367" s="1">
        <f>5178+26+12+2+7056+62+1+10+2707+1+1</f>
        <v>15056</v>
      </c>
      <c r="D367" s="1">
        <f>1+19+16</f>
        <v>36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f t="shared" si="12"/>
        <v>0</v>
      </c>
      <c r="K367" s="1" t="s">
        <v>866</v>
      </c>
      <c r="M367" s="10">
        <v>412</v>
      </c>
      <c r="N367" s="10" t="s">
        <v>432</v>
      </c>
      <c r="O367" s="10"/>
      <c r="P367" s="10"/>
      <c r="Q367" s="10"/>
      <c r="R367" s="10"/>
      <c r="S367" s="10"/>
      <c r="T367" s="19"/>
      <c r="U367" s="19"/>
      <c r="V367">
        <f t="shared" si="11"/>
        <v>0</v>
      </c>
    </row>
    <row r="368" spans="1:22" x14ac:dyDescent="0.25">
      <c r="A368" t="s">
        <v>69</v>
      </c>
      <c r="B368" t="s">
        <v>421</v>
      </c>
      <c r="C368" s="1">
        <f>6628+5191+5</f>
        <v>11824</v>
      </c>
      <c r="D368" s="1">
        <f>2+87+42+13</f>
        <v>144</v>
      </c>
      <c r="E368" s="1">
        <v>0</v>
      </c>
      <c r="F368" s="1">
        <v>0</v>
      </c>
      <c r="G368" s="1">
        <v>0</v>
      </c>
      <c r="H368" s="1">
        <v>4153</v>
      </c>
      <c r="I368" s="1">
        <v>3906</v>
      </c>
      <c r="J368" s="1">
        <f t="shared" si="12"/>
        <v>8059</v>
      </c>
      <c r="K368" s="1"/>
      <c r="M368" s="12">
        <v>300</v>
      </c>
      <c r="N368" s="12" t="s">
        <v>433</v>
      </c>
      <c r="O368" s="12">
        <v>20141</v>
      </c>
      <c r="P368" s="12">
        <v>16</v>
      </c>
      <c r="Q368" s="12">
        <v>0</v>
      </c>
      <c r="R368" s="12">
        <v>0</v>
      </c>
      <c r="S368" s="12">
        <v>0</v>
      </c>
      <c r="T368" s="18">
        <v>4059</v>
      </c>
      <c r="U368" s="18"/>
      <c r="V368">
        <f t="shared" si="11"/>
        <v>4059</v>
      </c>
    </row>
    <row r="369" spans="1:22" x14ac:dyDescent="0.25">
      <c r="A369" t="s">
        <v>146</v>
      </c>
      <c r="B369" t="s">
        <v>422</v>
      </c>
      <c r="C369" s="1">
        <f>1812+35+156+6335</f>
        <v>8338</v>
      </c>
      <c r="D369" s="1">
        <f>4+15+231</f>
        <v>250</v>
      </c>
      <c r="E369" s="1">
        <v>0</v>
      </c>
      <c r="F369" s="1">
        <v>0</v>
      </c>
      <c r="G369" s="1">
        <v>0</v>
      </c>
      <c r="H369" s="1">
        <v>13709</v>
      </c>
      <c r="I369" s="1">
        <v>5221</v>
      </c>
      <c r="J369" s="1">
        <f t="shared" si="12"/>
        <v>18930</v>
      </c>
      <c r="K369" s="1"/>
      <c r="M369" s="10">
        <v>211</v>
      </c>
      <c r="N369" s="10" t="s">
        <v>434</v>
      </c>
      <c r="O369" s="10"/>
      <c r="P369" s="10"/>
      <c r="Q369" s="10"/>
      <c r="R369" s="10"/>
      <c r="S369" s="10"/>
      <c r="T369" s="19"/>
      <c r="U369" s="19"/>
      <c r="V369">
        <f t="shared" si="11"/>
        <v>0</v>
      </c>
    </row>
    <row r="370" spans="1:22" x14ac:dyDescent="0.25">
      <c r="A370" t="s">
        <v>146</v>
      </c>
      <c r="B370" t="s">
        <v>423</v>
      </c>
      <c r="C370" s="1">
        <f>2524+2+3714</f>
        <v>6240</v>
      </c>
      <c r="D370" s="1">
        <f>19+4</f>
        <v>23</v>
      </c>
      <c r="E370" s="1">
        <v>0</v>
      </c>
      <c r="F370" s="1">
        <v>0</v>
      </c>
      <c r="G370" s="1">
        <v>0</v>
      </c>
      <c r="H370" s="1">
        <v>3206</v>
      </c>
      <c r="I370" s="1">
        <v>2688</v>
      </c>
      <c r="J370" s="1">
        <f t="shared" si="12"/>
        <v>5894</v>
      </c>
      <c r="K370" s="1"/>
      <c r="M370" s="12" t="s">
        <v>808</v>
      </c>
      <c r="N370" s="12" t="s">
        <v>435</v>
      </c>
      <c r="O370" s="12">
        <v>30985</v>
      </c>
      <c r="P370" s="12">
        <v>99</v>
      </c>
      <c r="Q370" s="12">
        <v>0</v>
      </c>
      <c r="R370" s="12">
        <v>0</v>
      </c>
      <c r="S370" s="12">
        <v>0</v>
      </c>
      <c r="T370" s="18">
        <v>39239</v>
      </c>
      <c r="U370" s="18"/>
      <c r="V370">
        <f t="shared" si="11"/>
        <v>39239</v>
      </c>
    </row>
    <row r="371" spans="1:22" x14ac:dyDescent="0.25">
      <c r="A371" t="s">
        <v>76</v>
      </c>
      <c r="B371" t="s">
        <v>424</v>
      </c>
      <c r="C371" s="1">
        <f>22805+1+1+212+3+11479+27+1+4</f>
        <v>34533</v>
      </c>
      <c r="D371" s="1">
        <f>9+32</f>
        <v>41</v>
      </c>
      <c r="E371" s="1">
        <v>0</v>
      </c>
      <c r="F371" s="1">
        <v>0</v>
      </c>
      <c r="G371" s="1">
        <v>0</v>
      </c>
      <c r="H371" s="1">
        <v>54847</v>
      </c>
      <c r="I371" s="1">
        <v>9220</v>
      </c>
      <c r="J371" s="1">
        <f t="shared" si="12"/>
        <v>64067</v>
      </c>
      <c r="K371" s="1"/>
      <c r="M371" s="10" t="s">
        <v>815</v>
      </c>
      <c r="N371" s="10" t="s">
        <v>436</v>
      </c>
      <c r="O371" s="10">
        <v>36972</v>
      </c>
      <c r="P371" s="10">
        <v>449</v>
      </c>
      <c r="Q371" s="10">
        <v>0</v>
      </c>
      <c r="R371" s="10">
        <v>0</v>
      </c>
      <c r="S371" s="10">
        <v>0</v>
      </c>
      <c r="T371" s="19">
        <v>26998</v>
      </c>
      <c r="U371" s="19"/>
      <c r="V371">
        <f t="shared" si="11"/>
        <v>26998</v>
      </c>
    </row>
    <row r="372" spans="1:22" x14ac:dyDescent="0.25">
      <c r="A372" t="s">
        <v>795</v>
      </c>
      <c r="B372" t="s">
        <v>425</v>
      </c>
      <c r="C372" s="1">
        <f>56136+1+1+3+17584+370+2</f>
        <v>74097</v>
      </c>
      <c r="D372" s="1">
        <f>9+6+15+7</f>
        <v>37</v>
      </c>
      <c r="E372" s="1">
        <v>0</v>
      </c>
      <c r="F372" s="1">
        <v>0</v>
      </c>
      <c r="G372" s="1">
        <v>0</v>
      </c>
      <c r="H372" s="1">
        <v>48556</v>
      </c>
      <c r="I372" s="1">
        <v>17348</v>
      </c>
      <c r="J372" s="1">
        <f t="shared" si="12"/>
        <v>65904</v>
      </c>
      <c r="K372" s="1"/>
      <c r="M372" s="12">
        <v>173</v>
      </c>
      <c r="N372" s="12" t="s">
        <v>437</v>
      </c>
      <c r="O372" s="12">
        <v>16429</v>
      </c>
      <c r="P372" s="12">
        <v>12</v>
      </c>
      <c r="Q372" s="12">
        <v>0</v>
      </c>
      <c r="R372" s="12">
        <v>0</v>
      </c>
      <c r="S372" s="12">
        <v>0</v>
      </c>
      <c r="T372" s="18">
        <v>21682</v>
      </c>
      <c r="U372" s="18"/>
      <c r="V372">
        <f t="shared" si="11"/>
        <v>21682</v>
      </c>
    </row>
    <row r="373" spans="1:22" x14ac:dyDescent="0.25">
      <c r="A373" t="s">
        <v>824</v>
      </c>
      <c r="B373" t="s">
        <v>426</v>
      </c>
      <c r="C373" s="1">
        <f>9716+1+29+4+7841</f>
        <v>17591</v>
      </c>
      <c r="D373" s="1">
        <f>73+30+20</f>
        <v>123</v>
      </c>
      <c r="E373" s="1">
        <v>0</v>
      </c>
      <c r="F373" s="1">
        <v>0</v>
      </c>
      <c r="G373" s="1">
        <v>0</v>
      </c>
      <c r="H373" s="1">
        <v>11647</v>
      </c>
      <c r="I373" s="1">
        <v>7060</v>
      </c>
      <c r="J373" s="1">
        <f t="shared" si="12"/>
        <v>18707</v>
      </c>
      <c r="K373" s="1"/>
      <c r="M373" s="10">
        <v>711</v>
      </c>
      <c r="N373" s="10" t="s">
        <v>438</v>
      </c>
      <c r="O373" s="10"/>
      <c r="P373" s="10"/>
      <c r="Q373" s="10"/>
      <c r="R373" s="10"/>
      <c r="S373" s="10"/>
      <c r="T373" s="19"/>
      <c r="U373" s="19"/>
      <c r="V373">
        <f t="shared" si="11"/>
        <v>0</v>
      </c>
    </row>
    <row r="374" spans="1:22" x14ac:dyDescent="0.25">
      <c r="A374" t="s">
        <v>788</v>
      </c>
      <c r="B374" t="s">
        <v>427</v>
      </c>
      <c r="C374" s="1">
        <f>27040+20+15442</f>
        <v>42502</v>
      </c>
      <c r="D374" s="1">
        <f>39+59+2</f>
        <v>100</v>
      </c>
      <c r="E374" s="1">
        <v>0</v>
      </c>
      <c r="F374" s="1">
        <v>0</v>
      </c>
      <c r="G374" s="1">
        <v>0</v>
      </c>
      <c r="H374" s="1">
        <v>46985</v>
      </c>
      <c r="I374" s="1">
        <v>15249</v>
      </c>
      <c r="J374" s="1">
        <f t="shared" si="12"/>
        <v>62234</v>
      </c>
      <c r="K374" s="1"/>
      <c r="M374" t="s">
        <v>69</v>
      </c>
      <c r="N374" t="s">
        <v>439</v>
      </c>
      <c r="O374" s="12"/>
      <c r="P374" s="12"/>
      <c r="Q374" s="12"/>
      <c r="R374" s="12"/>
      <c r="S374" s="12"/>
      <c r="T374" s="18"/>
      <c r="U374" s="18"/>
      <c r="V374">
        <f t="shared" si="11"/>
        <v>0</v>
      </c>
    </row>
    <row r="375" spans="1:22" x14ac:dyDescent="0.25">
      <c r="A375" t="s">
        <v>226</v>
      </c>
      <c r="B375" t="s">
        <v>428</v>
      </c>
      <c r="C375" s="1"/>
      <c r="D375" s="1"/>
      <c r="E375" s="1"/>
      <c r="F375" s="1"/>
      <c r="G375" s="1"/>
      <c r="H375" s="1"/>
      <c r="I375" s="1"/>
      <c r="J375" s="1"/>
      <c r="K375" s="1"/>
      <c r="M375" s="12">
        <v>700</v>
      </c>
      <c r="N375" s="12" t="s">
        <v>440</v>
      </c>
      <c r="O375" s="12">
        <v>4553</v>
      </c>
      <c r="P375" s="12">
        <v>23</v>
      </c>
      <c r="Q375" s="12">
        <v>0</v>
      </c>
      <c r="R375" s="12">
        <v>0</v>
      </c>
      <c r="S375" s="12">
        <v>0</v>
      </c>
      <c r="T375" s="18">
        <v>9278</v>
      </c>
      <c r="U375" s="18"/>
      <c r="V375">
        <f t="shared" si="11"/>
        <v>9278</v>
      </c>
    </row>
    <row r="376" spans="1:22" x14ac:dyDescent="0.25">
      <c r="A376" t="s">
        <v>791</v>
      </c>
      <c r="B376" t="s">
        <v>429</v>
      </c>
      <c r="C376" s="1"/>
      <c r="D376" s="1"/>
      <c r="E376" s="1"/>
      <c r="F376" s="1"/>
      <c r="G376" s="1"/>
      <c r="H376" s="1"/>
      <c r="I376" s="1"/>
      <c r="J376" s="1"/>
      <c r="K376" s="1"/>
      <c r="M376" s="10" t="s">
        <v>808</v>
      </c>
      <c r="N376" s="10" t="s">
        <v>441</v>
      </c>
      <c r="O376" s="10">
        <v>14647</v>
      </c>
      <c r="P376" s="10">
        <v>155</v>
      </c>
      <c r="Q376" s="10">
        <v>0</v>
      </c>
      <c r="R376" s="10">
        <v>0</v>
      </c>
      <c r="S376" s="10">
        <v>0</v>
      </c>
      <c r="T376" s="19">
        <v>8282</v>
      </c>
      <c r="U376" s="19"/>
      <c r="V376">
        <f t="shared" si="11"/>
        <v>8282</v>
      </c>
    </row>
    <row r="377" spans="1:22" x14ac:dyDescent="0.25">
      <c r="A377" t="s">
        <v>788</v>
      </c>
      <c r="B377" t="s">
        <v>430</v>
      </c>
      <c r="C377" s="1">
        <f>7914+9670</f>
        <v>17584</v>
      </c>
      <c r="D377" s="1">
        <v>0</v>
      </c>
      <c r="E377" s="1">
        <v>0</v>
      </c>
      <c r="F377" s="1">
        <v>0</v>
      </c>
      <c r="G377" s="1">
        <v>0</v>
      </c>
      <c r="H377" s="1">
        <v>5068</v>
      </c>
      <c r="I377" s="1">
        <v>2222</v>
      </c>
      <c r="J377" s="1">
        <f>SUM(H377,I377)</f>
        <v>7290</v>
      </c>
      <c r="K377" s="1"/>
      <c r="M377" s="12" t="s">
        <v>814</v>
      </c>
      <c r="N377" s="12" t="s">
        <v>442</v>
      </c>
      <c r="O377" s="12">
        <v>27414</v>
      </c>
      <c r="P377" s="12">
        <v>78</v>
      </c>
      <c r="Q377" s="12">
        <v>0</v>
      </c>
      <c r="R377" s="12">
        <v>0</v>
      </c>
      <c r="S377" s="12">
        <v>0</v>
      </c>
      <c r="T377" s="18">
        <v>26157</v>
      </c>
      <c r="U377" s="18"/>
      <c r="V377">
        <f t="shared" si="11"/>
        <v>26157</v>
      </c>
    </row>
    <row r="378" spans="1:22" x14ac:dyDescent="0.25">
      <c r="A378" t="s">
        <v>10</v>
      </c>
      <c r="B378" s="1" t="s">
        <v>431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/>
      <c r="K378" s="1"/>
      <c r="M378" s="10">
        <v>713</v>
      </c>
      <c r="N378" s="10" t="s">
        <v>443</v>
      </c>
      <c r="O378" s="10">
        <v>30058</v>
      </c>
      <c r="P378" s="10">
        <v>23</v>
      </c>
      <c r="Q378" s="10">
        <v>0</v>
      </c>
      <c r="R378" s="10">
        <v>0</v>
      </c>
      <c r="S378" s="10">
        <v>0</v>
      </c>
      <c r="T378" s="19">
        <v>37296</v>
      </c>
      <c r="U378" s="19"/>
      <c r="V378">
        <f t="shared" si="11"/>
        <v>37296</v>
      </c>
    </row>
    <row r="379" spans="1:22" x14ac:dyDescent="0.25">
      <c r="A379" t="s">
        <v>69</v>
      </c>
      <c r="B379" s="5" t="s">
        <v>432</v>
      </c>
      <c r="C379" s="6"/>
      <c r="D379" s="6"/>
      <c r="E379" s="6"/>
      <c r="F379" s="6"/>
      <c r="G379" s="6"/>
      <c r="H379" s="6"/>
      <c r="I379" s="6"/>
      <c r="J379" s="6"/>
      <c r="K379" s="6"/>
      <c r="M379" s="12" t="s">
        <v>814</v>
      </c>
      <c r="N379" s="12" t="s">
        <v>444</v>
      </c>
      <c r="O379" s="12">
        <v>44581</v>
      </c>
      <c r="P379" s="12">
        <v>415</v>
      </c>
      <c r="Q379" s="12">
        <v>0</v>
      </c>
      <c r="R379" s="12">
        <v>0</v>
      </c>
      <c r="S379" s="12">
        <v>0</v>
      </c>
      <c r="T379" s="18">
        <v>15468</v>
      </c>
      <c r="U379" s="18"/>
      <c r="V379">
        <f t="shared" si="11"/>
        <v>15468</v>
      </c>
    </row>
    <row r="380" spans="1:22" x14ac:dyDescent="0.25">
      <c r="A380" t="s">
        <v>226</v>
      </c>
      <c r="B380" t="s">
        <v>433</v>
      </c>
      <c r="C380" s="1"/>
      <c r="D380" s="1"/>
      <c r="E380" s="1"/>
      <c r="F380" s="1"/>
      <c r="G380" s="1"/>
      <c r="H380" s="1"/>
      <c r="I380" s="1"/>
      <c r="J380" s="1"/>
      <c r="K380" s="1"/>
      <c r="M380" t="s">
        <v>811</v>
      </c>
      <c r="N380" t="s">
        <v>445</v>
      </c>
      <c r="O380" s="12"/>
      <c r="P380" s="12"/>
      <c r="Q380" s="12"/>
      <c r="R380" s="12"/>
      <c r="S380" s="12"/>
      <c r="T380" s="18"/>
      <c r="U380" s="18"/>
      <c r="V380">
        <f t="shared" si="11"/>
        <v>0</v>
      </c>
    </row>
    <row r="381" spans="1:22" x14ac:dyDescent="0.25">
      <c r="A381" t="s">
        <v>864</v>
      </c>
      <c r="B381" t="s">
        <v>434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f>SUM(H381,I381)</f>
        <v>0</v>
      </c>
      <c r="K381" s="1"/>
      <c r="M381" s="10">
        <v>161</v>
      </c>
      <c r="N381" s="10" t="s">
        <v>446</v>
      </c>
      <c r="O381" s="10">
        <v>10651</v>
      </c>
      <c r="P381" s="10">
        <v>10</v>
      </c>
      <c r="Q381" s="10">
        <v>0</v>
      </c>
      <c r="R381" s="10">
        <v>0</v>
      </c>
      <c r="S381" s="10">
        <v>0</v>
      </c>
      <c r="T381" s="19">
        <v>2683</v>
      </c>
      <c r="U381" s="19"/>
      <c r="V381">
        <f t="shared" si="11"/>
        <v>2683</v>
      </c>
    </row>
    <row r="382" spans="1:22" x14ac:dyDescent="0.25">
      <c r="A382" t="s">
        <v>809</v>
      </c>
      <c r="B382" t="s">
        <v>435</v>
      </c>
      <c r="C382" s="1">
        <f>24592+41+3+4+1+8+6336</f>
        <v>30985</v>
      </c>
      <c r="D382" s="1">
        <f>16+81+2</f>
        <v>99</v>
      </c>
      <c r="E382" s="1">
        <v>0</v>
      </c>
      <c r="F382" s="1">
        <v>0</v>
      </c>
      <c r="G382" s="1">
        <v>0</v>
      </c>
      <c r="H382" s="1">
        <v>39239</v>
      </c>
      <c r="I382" s="1">
        <v>5344</v>
      </c>
      <c r="J382" s="1">
        <f>SUM(H382,I382)</f>
        <v>44583</v>
      </c>
      <c r="K382" s="1"/>
      <c r="M382" t="s">
        <v>134</v>
      </c>
      <c r="N382" t="s">
        <v>447</v>
      </c>
      <c r="O382" s="12"/>
      <c r="P382" s="12"/>
      <c r="Q382" s="12"/>
      <c r="R382" s="12"/>
      <c r="S382" s="12"/>
      <c r="T382" s="18"/>
      <c r="U382" s="18"/>
      <c r="V382">
        <f t="shared" si="11"/>
        <v>0</v>
      </c>
    </row>
    <row r="383" spans="1:22" x14ac:dyDescent="0.25">
      <c r="A383" t="s">
        <v>138</v>
      </c>
      <c r="B383" t="s">
        <v>436</v>
      </c>
      <c r="C383" s="1"/>
      <c r="D383" s="1"/>
      <c r="E383" s="1"/>
      <c r="F383" s="1"/>
      <c r="G383" s="1"/>
      <c r="H383" s="1"/>
      <c r="I383" s="1"/>
      <c r="J383" s="1"/>
      <c r="K383" s="1"/>
      <c r="M383" s="12">
        <v>712</v>
      </c>
      <c r="N383" s="12" t="s">
        <v>448</v>
      </c>
      <c r="O383" s="12">
        <v>70887</v>
      </c>
      <c r="P383" s="12">
        <v>21</v>
      </c>
      <c r="Q383" s="12">
        <v>0</v>
      </c>
      <c r="R383" s="12">
        <v>0</v>
      </c>
      <c r="S383" s="12">
        <v>0</v>
      </c>
      <c r="T383" s="18">
        <v>33759</v>
      </c>
      <c r="U383" s="18"/>
      <c r="V383">
        <f t="shared" si="11"/>
        <v>33759</v>
      </c>
    </row>
    <row r="384" spans="1:22" x14ac:dyDescent="0.25">
      <c r="A384" t="s">
        <v>229</v>
      </c>
      <c r="B384" t="s">
        <v>437</v>
      </c>
      <c r="C384" s="1">
        <f>12431+90+4+12+3892</f>
        <v>16429</v>
      </c>
      <c r="D384" s="1">
        <f>4+6+2</f>
        <v>12</v>
      </c>
      <c r="E384" s="1">
        <v>0</v>
      </c>
      <c r="F384" s="1">
        <v>0</v>
      </c>
      <c r="G384" s="1">
        <v>0</v>
      </c>
      <c r="H384" s="1">
        <v>21682</v>
      </c>
      <c r="I384" s="1">
        <v>3517</v>
      </c>
      <c r="J384" s="1">
        <f>SUM(H384,I384)</f>
        <v>25199</v>
      </c>
      <c r="K384" s="1"/>
      <c r="M384" s="10">
        <v>711</v>
      </c>
      <c r="N384" s="10" t="s">
        <v>449</v>
      </c>
      <c r="O384" s="10"/>
      <c r="P384" s="10"/>
      <c r="Q384" s="10"/>
      <c r="R384" s="10"/>
      <c r="S384" s="10"/>
      <c r="T384" s="19"/>
      <c r="U384" s="19"/>
      <c r="V384">
        <f t="shared" si="11"/>
        <v>0</v>
      </c>
    </row>
    <row r="385" spans="1:22" x14ac:dyDescent="0.25">
      <c r="A385" t="s">
        <v>801</v>
      </c>
      <c r="B385" t="s">
        <v>438</v>
      </c>
      <c r="C385" s="1">
        <f>25905+11+19+12+14026+259+34+35</f>
        <v>40301</v>
      </c>
      <c r="D385" s="1">
        <f>8+1+34+8</f>
        <v>51</v>
      </c>
      <c r="E385" s="1">
        <v>0</v>
      </c>
      <c r="F385" s="1">
        <v>0</v>
      </c>
      <c r="G385" s="1">
        <v>0</v>
      </c>
      <c r="H385" s="1">
        <v>124919</v>
      </c>
      <c r="I385" s="1">
        <v>13554</v>
      </c>
      <c r="J385" s="1">
        <f>SUM(H385,I385)</f>
        <v>138473</v>
      </c>
      <c r="K385" s="1"/>
      <c r="M385" s="12">
        <v>610</v>
      </c>
      <c r="N385" s="12" t="s">
        <v>450</v>
      </c>
      <c r="O385" s="12">
        <v>22209</v>
      </c>
      <c r="P385" s="12">
        <v>235</v>
      </c>
      <c r="Q385" s="12">
        <v>0</v>
      </c>
      <c r="R385" s="12">
        <v>0</v>
      </c>
      <c r="S385" s="12">
        <v>0</v>
      </c>
      <c r="T385" s="18">
        <v>17056</v>
      </c>
      <c r="U385" s="18"/>
      <c r="V385">
        <f t="shared" si="11"/>
        <v>17056</v>
      </c>
    </row>
    <row r="386" spans="1:22" x14ac:dyDescent="0.25">
      <c r="A386" s="27" t="s">
        <v>10</v>
      </c>
      <c r="B386" s="32" t="s">
        <v>780</v>
      </c>
      <c r="C386" s="1"/>
      <c r="D386" s="1"/>
      <c r="E386" s="1"/>
      <c r="F386" s="1"/>
      <c r="G386" s="1"/>
      <c r="H386" s="1"/>
      <c r="I386" s="1"/>
      <c r="J386" s="1"/>
      <c r="K386" s="1"/>
      <c r="M386" s="10">
        <v>116</v>
      </c>
      <c r="N386" s="10" t="s">
        <v>451</v>
      </c>
      <c r="O386" s="10">
        <v>104442</v>
      </c>
      <c r="P386" s="10">
        <v>1384</v>
      </c>
      <c r="Q386" s="10">
        <v>0</v>
      </c>
      <c r="R386" s="10">
        <v>0</v>
      </c>
      <c r="S386" s="10">
        <v>0</v>
      </c>
      <c r="T386" s="19">
        <v>48703</v>
      </c>
      <c r="U386" s="19"/>
      <c r="V386">
        <f t="shared" si="11"/>
        <v>48703</v>
      </c>
    </row>
    <row r="387" spans="1:22" x14ac:dyDescent="0.25">
      <c r="A387" t="s">
        <v>69</v>
      </c>
      <c r="B387" s="5" t="s">
        <v>439</v>
      </c>
      <c r="C387" s="6"/>
      <c r="D387" s="6"/>
      <c r="E387" s="6"/>
      <c r="F387" s="6"/>
      <c r="G387" s="6"/>
      <c r="H387" s="6"/>
      <c r="I387" s="6"/>
      <c r="J387" s="6"/>
      <c r="K387" s="6"/>
      <c r="M387" s="12" t="s">
        <v>825</v>
      </c>
      <c r="N387" s="12" t="s">
        <v>452</v>
      </c>
      <c r="O387" s="12"/>
      <c r="P387" s="12"/>
      <c r="Q387" s="12"/>
      <c r="R387" s="12"/>
      <c r="S387" s="12"/>
      <c r="T387" s="18"/>
      <c r="U387" s="18"/>
      <c r="V387">
        <f t="shared" si="11"/>
        <v>0</v>
      </c>
    </row>
    <row r="388" spans="1:22" x14ac:dyDescent="0.25">
      <c r="A388" t="s">
        <v>83</v>
      </c>
      <c r="B388" t="s">
        <v>440</v>
      </c>
      <c r="C388" s="1"/>
      <c r="D388" s="1"/>
      <c r="E388" s="1"/>
      <c r="F388" s="1"/>
      <c r="G388" s="1"/>
      <c r="H388" s="1"/>
      <c r="I388" s="1"/>
      <c r="J388" s="1"/>
      <c r="K388" s="1"/>
      <c r="M388" s="12">
        <v>511</v>
      </c>
      <c r="N388" s="12" t="s">
        <v>453</v>
      </c>
      <c r="O388" s="12">
        <v>23125</v>
      </c>
      <c r="P388" s="12">
        <v>100</v>
      </c>
      <c r="Q388" s="12">
        <v>0</v>
      </c>
      <c r="R388" s="12">
        <v>0</v>
      </c>
      <c r="S388" s="12">
        <v>0</v>
      </c>
      <c r="T388" s="18">
        <v>14880</v>
      </c>
      <c r="U388" s="18"/>
      <c r="V388">
        <f t="shared" si="11"/>
        <v>14880</v>
      </c>
    </row>
    <row r="389" spans="1:22" x14ac:dyDescent="0.25">
      <c r="A389" t="s">
        <v>809</v>
      </c>
      <c r="B389" t="s">
        <v>441</v>
      </c>
      <c r="C389" s="1">
        <f>12454+4+2189</f>
        <v>14647</v>
      </c>
      <c r="D389" s="1">
        <f>19+13+123</f>
        <v>155</v>
      </c>
      <c r="E389" s="1">
        <v>0</v>
      </c>
      <c r="F389" s="1">
        <v>0</v>
      </c>
      <c r="G389" s="1">
        <v>0</v>
      </c>
      <c r="H389" s="1">
        <v>8282</v>
      </c>
      <c r="I389" s="1">
        <v>1840</v>
      </c>
      <c r="J389" s="1">
        <f>SUM(H389,I389)</f>
        <v>10122</v>
      </c>
      <c r="K389" s="1"/>
      <c r="M389" s="10" t="s">
        <v>820</v>
      </c>
      <c r="N389" s="10" t="s">
        <v>454</v>
      </c>
      <c r="O389" s="10">
        <v>49136</v>
      </c>
      <c r="P389" s="10">
        <v>20</v>
      </c>
      <c r="Q389" s="10">
        <v>0</v>
      </c>
      <c r="R389" s="10">
        <v>0</v>
      </c>
      <c r="S389" s="10">
        <v>0</v>
      </c>
      <c r="T389" s="19">
        <v>62823</v>
      </c>
      <c r="U389" s="19"/>
      <c r="V389">
        <f t="shared" si="11"/>
        <v>62823</v>
      </c>
    </row>
    <row r="390" spans="1:22" x14ac:dyDescent="0.25">
      <c r="A390" t="s">
        <v>794</v>
      </c>
      <c r="B390" t="s">
        <v>442</v>
      </c>
      <c r="C390" s="1">
        <f>17485+334+1+9591+2+1</f>
        <v>27414</v>
      </c>
      <c r="D390" s="1">
        <f>38+39+1</f>
        <v>78</v>
      </c>
      <c r="E390" s="1">
        <v>0</v>
      </c>
      <c r="F390" s="1">
        <v>0</v>
      </c>
      <c r="G390" s="1">
        <v>0</v>
      </c>
      <c r="H390" s="1">
        <v>26157</v>
      </c>
      <c r="I390" s="1">
        <v>8346</v>
      </c>
      <c r="J390" s="1">
        <f>SUM(H390,I390)</f>
        <v>34503</v>
      </c>
      <c r="K390" s="1"/>
      <c r="M390" s="12">
        <v>600</v>
      </c>
      <c r="N390" s="12" t="s">
        <v>455</v>
      </c>
      <c r="O390" s="12">
        <v>8384</v>
      </c>
      <c r="P390" s="12">
        <v>400</v>
      </c>
      <c r="Q390" s="12">
        <v>0</v>
      </c>
      <c r="R390" s="12">
        <v>0</v>
      </c>
      <c r="S390" s="12">
        <v>0</v>
      </c>
      <c r="T390" s="18">
        <v>11733</v>
      </c>
      <c r="U390" s="18"/>
      <c r="V390">
        <f t="shared" si="11"/>
        <v>11733</v>
      </c>
    </row>
    <row r="391" spans="1:22" x14ac:dyDescent="0.25">
      <c r="A391" t="s">
        <v>796</v>
      </c>
      <c r="B391" t="s">
        <v>443</v>
      </c>
      <c r="C391" s="1">
        <f>18697+2+3910+59+7378+12</f>
        <v>30058</v>
      </c>
      <c r="D391" s="1">
        <f>2+2+19</f>
        <v>23</v>
      </c>
      <c r="E391" s="1">
        <v>0</v>
      </c>
      <c r="F391" s="1">
        <v>0</v>
      </c>
      <c r="G391" s="1">
        <v>0</v>
      </c>
      <c r="H391" s="1">
        <v>37296</v>
      </c>
      <c r="I391" s="1">
        <v>6744</v>
      </c>
      <c r="J391" s="1">
        <f>SUM(H391,I391)</f>
        <v>44040</v>
      </c>
      <c r="K391" s="1"/>
      <c r="M391" s="10">
        <v>712</v>
      </c>
      <c r="N391" s="10" t="s">
        <v>456</v>
      </c>
      <c r="O391" s="10">
        <v>55040</v>
      </c>
      <c r="P391" s="10">
        <v>61</v>
      </c>
      <c r="Q391" s="10">
        <v>0</v>
      </c>
      <c r="R391" s="10">
        <v>0</v>
      </c>
      <c r="S391" s="10">
        <v>0</v>
      </c>
      <c r="T391" s="19">
        <v>80120</v>
      </c>
      <c r="U391" s="19"/>
      <c r="V391">
        <f t="shared" si="11"/>
        <v>80120</v>
      </c>
    </row>
    <row r="392" spans="1:22" x14ac:dyDescent="0.25">
      <c r="A392" t="s">
        <v>794</v>
      </c>
      <c r="B392" t="s">
        <v>444</v>
      </c>
      <c r="C392" s="1">
        <f>29908+4+1+2+21+14645</f>
        <v>44581</v>
      </c>
      <c r="D392" s="1">
        <f>52+15+304+44</f>
        <v>415</v>
      </c>
      <c r="E392" s="1">
        <v>0</v>
      </c>
      <c r="F392" s="1">
        <v>0</v>
      </c>
      <c r="G392" s="1">
        <v>0</v>
      </c>
      <c r="H392" s="1">
        <v>15468</v>
      </c>
      <c r="I392" s="1">
        <v>13425</v>
      </c>
      <c r="J392" s="1">
        <f>SUM(H392,I392)</f>
        <v>28893</v>
      </c>
      <c r="K392" s="1"/>
      <c r="M392" s="12">
        <v>712</v>
      </c>
      <c r="N392" s="12" t="s">
        <v>457</v>
      </c>
      <c r="O392" s="12">
        <v>31993</v>
      </c>
      <c r="P392" s="12">
        <v>43</v>
      </c>
      <c r="Q392" s="12">
        <v>0</v>
      </c>
      <c r="R392" s="12">
        <v>0</v>
      </c>
      <c r="S392" s="12">
        <v>0</v>
      </c>
      <c r="T392" s="18">
        <v>19688</v>
      </c>
      <c r="U392" s="18"/>
      <c r="V392">
        <f t="shared" si="11"/>
        <v>19688</v>
      </c>
    </row>
    <row r="393" spans="1:22" x14ac:dyDescent="0.25">
      <c r="A393" t="s">
        <v>811</v>
      </c>
      <c r="B393" t="s">
        <v>445</v>
      </c>
      <c r="C393" s="1"/>
      <c r="D393" s="1"/>
      <c r="E393" s="1"/>
      <c r="F393" s="1"/>
      <c r="G393" s="1"/>
      <c r="H393" s="1"/>
      <c r="I393" s="1"/>
      <c r="J393" s="1"/>
      <c r="K393" s="1"/>
      <c r="M393" s="10">
        <v>611</v>
      </c>
      <c r="N393" s="10" t="s">
        <v>458</v>
      </c>
      <c r="O393" s="10">
        <v>7627</v>
      </c>
      <c r="P393" s="10">
        <v>796</v>
      </c>
      <c r="Q393" s="10">
        <v>0</v>
      </c>
      <c r="R393" s="10">
        <v>0</v>
      </c>
      <c r="S393" s="10">
        <v>0</v>
      </c>
      <c r="T393" s="19">
        <v>24737</v>
      </c>
      <c r="U393" s="19"/>
      <c r="V393">
        <f t="shared" si="11"/>
        <v>24737</v>
      </c>
    </row>
    <row r="394" spans="1:22" x14ac:dyDescent="0.25">
      <c r="A394" t="s">
        <v>848</v>
      </c>
      <c r="B394" t="s">
        <v>446</v>
      </c>
      <c r="C394" s="1"/>
      <c r="D394" s="1"/>
      <c r="E394" s="1"/>
      <c r="F394" s="1"/>
      <c r="G394" s="1"/>
      <c r="H394" s="1"/>
      <c r="I394" s="1"/>
      <c r="J394" s="1"/>
      <c r="K394" s="1"/>
      <c r="M394" s="12">
        <v>700</v>
      </c>
      <c r="N394" s="12" t="s">
        <v>459</v>
      </c>
      <c r="O394" s="12">
        <v>4138</v>
      </c>
      <c r="P394" s="12">
        <v>44</v>
      </c>
      <c r="Q394" s="12">
        <v>0</v>
      </c>
      <c r="R394" s="12">
        <v>0</v>
      </c>
      <c r="S394" s="12">
        <v>0</v>
      </c>
      <c r="T394" s="18">
        <v>4627</v>
      </c>
      <c r="U394" s="18"/>
      <c r="V394">
        <f t="shared" si="11"/>
        <v>4627</v>
      </c>
    </row>
    <row r="395" spans="1:22" x14ac:dyDescent="0.25">
      <c r="A395" t="s">
        <v>134</v>
      </c>
      <c r="B395" t="s">
        <v>447</v>
      </c>
      <c r="C395" s="1"/>
      <c r="D395" s="1"/>
      <c r="E395" s="1"/>
      <c r="F395" s="1"/>
      <c r="G395" s="1"/>
      <c r="H395" s="1"/>
      <c r="I395" s="1"/>
      <c r="J395" s="1"/>
      <c r="K395" s="1"/>
      <c r="M395" s="10">
        <v>600</v>
      </c>
      <c r="N395" s="10" t="s">
        <v>460</v>
      </c>
      <c r="O395" s="10">
        <v>25644</v>
      </c>
      <c r="P395" s="10">
        <v>370</v>
      </c>
      <c r="Q395" s="10">
        <v>0</v>
      </c>
      <c r="R395" s="10">
        <v>0</v>
      </c>
      <c r="S395" s="10">
        <v>0</v>
      </c>
      <c r="T395" s="19">
        <v>106583</v>
      </c>
      <c r="U395" s="19"/>
      <c r="V395">
        <f t="shared" si="11"/>
        <v>106583</v>
      </c>
    </row>
    <row r="396" spans="1:22" x14ac:dyDescent="0.25">
      <c r="A396" t="s">
        <v>76</v>
      </c>
      <c r="B396" t="s">
        <v>448</v>
      </c>
      <c r="C396" s="1">
        <f>63388+23+7476</f>
        <v>70887</v>
      </c>
      <c r="D396" s="1">
        <f>5+16</f>
        <v>21</v>
      </c>
      <c r="E396" s="1">
        <v>0</v>
      </c>
      <c r="F396" s="1">
        <v>0</v>
      </c>
      <c r="G396" s="1">
        <v>0</v>
      </c>
      <c r="H396" s="1">
        <v>33759</v>
      </c>
      <c r="I396" s="1">
        <v>6303</v>
      </c>
      <c r="J396" s="1">
        <f>SUM(H396,I396)</f>
        <v>40062</v>
      </c>
      <c r="K396" s="1"/>
      <c r="M396" s="12">
        <v>600</v>
      </c>
      <c r="N396" s="12" t="s">
        <v>461</v>
      </c>
      <c r="O396" s="12">
        <v>35881</v>
      </c>
      <c r="P396" s="12">
        <v>50</v>
      </c>
      <c r="Q396" s="12">
        <v>0</v>
      </c>
      <c r="R396" s="12">
        <v>0</v>
      </c>
      <c r="S396" s="12">
        <v>0</v>
      </c>
      <c r="T396" s="18">
        <v>34695</v>
      </c>
      <c r="U396" s="18"/>
      <c r="V396">
        <f t="shared" si="11"/>
        <v>34695</v>
      </c>
    </row>
    <row r="397" spans="1:22" x14ac:dyDescent="0.25">
      <c r="A397" t="s">
        <v>801</v>
      </c>
      <c r="B397" t="s">
        <v>449</v>
      </c>
      <c r="C397" s="1">
        <f>26596+1060+1+9+9010+2282+1</f>
        <v>38959</v>
      </c>
      <c r="D397" s="1">
        <f>27+5+52</f>
        <v>84</v>
      </c>
      <c r="E397" s="1">
        <v>0</v>
      </c>
      <c r="F397" s="1">
        <v>0</v>
      </c>
      <c r="G397" s="1">
        <v>0</v>
      </c>
      <c r="H397" s="1">
        <v>40569</v>
      </c>
      <c r="I397" s="1">
        <v>9852</v>
      </c>
      <c r="J397" s="1">
        <f>SUM(H397,I397)</f>
        <v>50421</v>
      </c>
      <c r="K397" s="1"/>
      <c r="M397" s="10">
        <v>300</v>
      </c>
      <c r="N397" s="10" t="s">
        <v>462</v>
      </c>
      <c r="O397" s="10">
        <v>9852</v>
      </c>
      <c r="P397" s="10">
        <v>16</v>
      </c>
      <c r="Q397" s="10">
        <v>0</v>
      </c>
      <c r="R397" s="10">
        <v>0</v>
      </c>
      <c r="S397" s="10">
        <v>0</v>
      </c>
      <c r="T397" s="19">
        <v>529</v>
      </c>
      <c r="U397" s="19"/>
      <c r="V397">
        <f t="shared" si="11"/>
        <v>529</v>
      </c>
    </row>
    <row r="398" spans="1:22" x14ac:dyDescent="0.25">
      <c r="A398" t="s">
        <v>788</v>
      </c>
      <c r="B398" t="s">
        <v>450</v>
      </c>
      <c r="C398" s="1">
        <f>11636+9+4+10560</f>
        <v>22209</v>
      </c>
      <c r="D398" s="1">
        <f>10+81+144</f>
        <v>235</v>
      </c>
      <c r="E398" s="1">
        <v>0</v>
      </c>
      <c r="F398" s="1">
        <v>0</v>
      </c>
      <c r="G398" s="1">
        <v>0</v>
      </c>
      <c r="H398" s="1">
        <v>17056</v>
      </c>
      <c r="I398" s="1">
        <v>4497</v>
      </c>
      <c r="J398" s="1">
        <f>SUM(H398,I398)</f>
        <v>21553</v>
      </c>
      <c r="K398" s="1"/>
      <c r="M398" s="12">
        <v>120</v>
      </c>
      <c r="N398" s="12" t="s">
        <v>463</v>
      </c>
      <c r="O398" s="12">
        <v>9406</v>
      </c>
      <c r="P398" s="12">
        <v>32</v>
      </c>
      <c r="Q398" s="12">
        <v>0</v>
      </c>
      <c r="R398" s="12">
        <v>0</v>
      </c>
      <c r="S398" s="12">
        <v>0</v>
      </c>
      <c r="T398" s="18">
        <v>9798</v>
      </c>
      <c r="U398" s="18"/>
      <c r="V398">
        <f t="shared" si="11"/>
        <v>9798</v>
      </c>
    </row>
    <row r="399" spans="1:22" x14ac:dyDescent="0.25">
      <c r="A399" t="s">
        <v>795</v>
      </c>
      <c r="B399" t="s">
        <v>451</v>
      </c>
      <c r="C399" s="1">
        <f>31549+3+8+72596+177+13</f>
        <v>104346</v>
      </c>
      <c r="D399" s="1">
        <f>217+303+8+363+452+41</f>
        <v>1384</v>
      </c>
      <c r="E399" s="1">
        <v>0</v>
      </c>
      <c r="F399" s="1">
        <v>0</v>
      </c>
      <c r="G399" s="1">
        <v>0</v>
      </c>
      <c r="H399" s="1">
        <v>48703</v>
      </c>
      <c r="I399" s="1">
        <v>36604</v>
      </c>
      <c r="J399" s="1">
        <f>SUM(H399,I399)</f>
        <v>85307</v>
      </c>
      <c r="K399" s="1"/>
      <c r="M399" s="10">
        <v>600</v>
      </c>
      <c r="N399" s="10" t="s">
        <v>464</v>
      </c>
      <c r="O399" s="10">
        <v>12495</v>
      </c>
      <c r="P399" s="10">
        <v>7</v>
      </c>
      <c r="Q399" s="10">
        <v>0</v>
      </c>
      <c r="R399" s="10">
        <v>0</v>
      </c>
      <c r="S399" s="10">
        <v>0</v>
      </c>
      <c r="T399" s="19">
        <v>9150</v>
      </c>
      <c r="U399" s="19"/>
      <c r="V399">
        <f t="shared" si="11"/>
        <v>9150</v>
      </c>
    </row>
    <row r="400" spans="1:22" x14ac:dyDescent="0.25">
      <c r="A400" t="s">
        <v>825</v>
      </c>
      <c r="B400" t="s">
        <v>452</v>
      </c>
      <c r="C400" s="1"/>
      <c r="D400" s="1"/>
      <c r="E400" s="1"/>
      <c r="F400" s="1"/>
      <c r="G400" s="1"/>
      <c r="H400" s="1"/>
      <c r="I400" s="1"/>
      <c r="J400" s="1"/>
      <c r="K400" s="1"/>
      <c r="M400" s="12">
        <v>511</v>
      </c>
      <c r="N400" s="12" t="s">
        <v>465</v>
      </c>
      <c r="O400" s="12">
        <v>14832</v>
      </c>
      <c r="P400" s="12">
        <v>7</v>
      </c>
      <c r="Q400" s="12">
        <v>0</v>
      </c>
      <c r="R400" s="12">
        <v>0</v>
      </c>
      <c r="S400" s="12">
        <v>0</v>
      </c>
      <c r="T400" s="18">
        <v>33004</v>
      </c>
      <c r="U400" s="18"/>
      <c r="V400">
        <f t="shared" si="11"/>
        <v>33004</v>
      </c>
    </row>
    <row r="401" spans="1:22" x14ac:dyDescent="0.25">
      <c r="A401" t="s">
        <v>101</v>
      </c>
      <c r="B401" t="s">
        <v>453</v>
      </c>
      <c r="C401" s="1">
        <f>17716+1+1+14+5392+1</f>
        <v>23125</v>
      </c>
      <c r="D401" s="1">
        <f>23+5+56+16</f>
        <v>100</v>
      </c>
      <c r="E401" s="1">
        <v>0</v>
      </c>
      <c r="F401" s="1">
        <v>0</v>
      </c>
      <c r="G401" s="1">
        <v>0</v>
      </c>
      <c r="H401" s="1">
        <v>14880</v>
      </c>
      <c r="I401" s="1">
        <v>4523</v>
      </c>
      <c r="J401" s="1">
        <f>SUM(H401,I401)</f>
        <v>19403</v>
      </c>
      <c r="K401" s="1"/>
      <c r="M401" s="10">
        <v>210</v>
      </c>
      <c r="N401" s="10" t="s">
        <v>466</v>
      </c>
      <c r="O401" s="10">
        <v>16574</v>
      </c>
      <c r="P401" s="10">
        <v>45</v>
      </c>
      <c r="Q401" s="10">
        <v>0</v>
      </c>
      <c r="R401" s="10">
        <v>0</v>
      </c>
      <c r="S401" s="10">
        <v>0</v>
      </c>
      <c r="T401" s="19">
        <v>4163</v>
      </c>
      <c r="U401" s="19"/>
      <c r="V401">
        <f t="shared" si="11"/>
        <v>4163</v>
      </c>
    </row>
    <row r="402" spans="1:22" x14ac:dyDescent="0.25">
      <c r="A402" t="s">
        <v>265</v>
      </c>
      <c r="B402" t="s">
        <v>454</v>
      </c>
      <c r="C402" s="1">
        <f>41665+2+7096+373</f>
        <v>49136</v>
      </c>
      <c r="D402" s="1">
        <f>18+2</f>
        <v>20</v>
      </c>
      <c r="E402" s="1">
        <v>0</v>
      </c>
      <c r="F402" s="1">
        <v>0</v>
      </c>
      <c r="G402" s="1">
        <v>0</v>
      </c>
      <c r="H402" s="1">
        <v>62823</v>
      </c>
      <c r="I402" s="1">
        <v>5354</v>
      </c>
      <c r="J402" s="1">
        <f>SUM(H402,I402)</f>
        <v>68177</v>
      </c>
      <c r="K402" s="1"/>
      <c r="M402" s="12">
        <v>313</v>
      </c>
      <c r="N402" s="12" t="s">
        <v>467</v>
      </c>
      <c r="O402" s="12">
        <v>14039</v>
      </c>
      <c r="P402" s="12">
        <v>60</v>
      </c>
      <c r="Q402" s="12">
        <v>0</v>
      </c>
      <c r="R402" s="12">
        <v>0</v>
      </c>
      <c r="S402" s="12">
        <v>0</v>
      </c>
      <c r="T402" s="18">
        <v>13999</v>
      </c>
      <c r="U402" s="18"/>
      <c r="V402">
        <f t="shared" si="11"/>
        <v>13999</v>
      </c>
    </row>
    <row r="403" spans="1:22" x14ac:dyDescent="0.25">
      <c r="A403" t="s">
        <v>248</v>
      </c>
      <c r="B403" t="s">
        <v>455</v>
      </c>
      <c r="C403" s="1"/>
      <c r="D403" s="1"/>
      <c r="E403" s="1"/>
      <c r="F403" s="1"/>
      <c r="G403" s="1"/>
      <c r="H403" s="1"/>
      <c r="I403" s="1"/>
      <c r="J403" s="1"/>
      <c r="K403" s="1"/>
      <c r="M403" s="10">
        <v>200</v>
      </c>
      <c r="N403" s="10" t="s">
        <v>468</v>
      </c>
      <c r="O403" s="10">
        <v>9064</v>
      </c>
      <c r="P403" s="10">
        <v>88</v>
      </c>
      <c r="Q403" s="10">
        <v>0</v>
      </c>
      <c r="R403" s="10">
        <v>0</v>
      </c>
      <c r="S403" s="10">
        <v>0</v>
      </c>
      <c r="T403" s="19">
        <v>2914</v>
      </c>
      <c r="U403" s="19"/>
      <c r="V403">
        <f t="shared" si="11"/>
        <v>2914</v>
      </c>
    </row>
    <row r="404" spans="1:22" x14ac:dyDescent="0.25">
      <c r="A404" t="s">
        <v>76</v>
      </c>
      <c r="B404" t="s">
        <v>456</v>
      </c>
      <c r="C404" s="1">
        <f>48318+1109+50+5563</f>
        <v>55040</v>
      </c>
      <c r="D404" s="1">
        <f>32+7+22</f>
        <v>61</v>
      </c>
      <c r="E404" s="1">
        <v>0</v>
      </c>
      <c r="F404" s="1">
        <v>0</v>
      </c>
      <c r="G404" s="1">
        <v>0</v>
      </c>
      <c r="H404" s="1">
        <v>80120</v>
      </c>
      <c r="I404" s="1">
        <v>5000</v>
      </c>
      <c r="J404" s="1">
        <f>SUM(H404,I404)</f>
        <v>85120</v>
      </c>
      <c r="K404" s="1"/>
      <c r="M404" s="12">
        <v>616</v>
      </c>
      <c r="N404" s="12" t="s">
        <v>469</v>
      </c>
      <c r="O404" s="12">
        <v>174809</v>
      </c>
      <c r="P404" s="12">
        <v>209</v>
      </c>
      <c r="Q404" s="12">
        <v>0</v>
      </c>
      <c r="R404" s="12">
        <v>0</v>
      </c>
      <c r="S404" s="12">
        <v>0</v>
      </c>
      <c r="T404" s="18">
        <v>38469</v>
      </c>
      <c r="U404" s="18"/>
      <c r="V404">
        <f t="shared" si="11"/>
        <v>38469</v>
      </c>
    </row>
    <row r="405" spans="1:22" x14ac:dyDescent="0.25">
      <c r="A405" t="s">
        <v>76</v>
      </c>
      <c r="B405" t="s">
        <v>457</v>
      </c>
      <c r="C405" s="1">
        <f>18169+13822+2</f>
        <v>31993</v>
      </c>
      <c r="D405" s="1">
        <f>19+24</f>
        <v>43</v>
      </c>
      <c r="E405" s="1">
        <v>0</v>
      </c>
      <c r="F405" s="1">
        <v>0</v>
      </c>
      <c r="G405" s="1">
        <v>0</v>
      </c>
      <c r="H405" s="1">
        <v>19688</v>
      </c>
      <c r="I405" s="1">
        <v>12057</v>
      </c>
      <c r="J405" s="1">
        <f>SUM(H405,I405)</f>
        <v>31745</v>
      </c>
      <c r="K405" s="1"/>
      <c r="M405" s="10">
        <v>100</v>
      </c>
      <c r="N405" s="10" t="s">
        <v>470</v>
      </c>
      <c r="O405" s="10"/>
      <c r="P405" s="10"/>
      <c r="Q405" s="10"/>
      <c r="R405" s="10"/>
      <c r="S405" s="10"/>
      <c r="T405" s="19"/>
      <c r="U405" s="19"/>
      <c r="V405">
        <f t="shared" ref="V405:V468" si="13">SUM(T405:U405)</f>
        <v>0</v>
      </c>
    </row>
    <row r="406" spans="1:22" x14ac:dyDescent="0.25">
      <c r="A406" t="s">
        <v>146</v>
      </c>
      <c r="B406" t="s">
        <v>458</v>
      </c>
      <c r="C406" s="1">
        <f>3304+539+4+3779+1</f>
        <v>7627</v>
      </c>
      <c r="D406" s="1">
        <f>205+1+334+119+137</f>
        <v>796</v>
      </c>
      <c r="E406" s="1">
        <v>0</v>
      </c>
      <c r="F406" s="1">
        <v>0</v>
      </c>
      <c r="G406" s="1">
        <v>0</v>
      </c>
      <c r="H406" s="1">
        <v>24737</v>
      </c>
      <c r="I406" s="1">
        <v>4026</v>
      </c>
      <c r="J406" s="1">
        <f>SUM(H406,I406)</f>
        <v>28763</v>
      </c>
      <c r="K406" s="1"/>
      <c r="M406" s="12">
        <v>610</v>
      </c>
      <c r="N406" s="12" t="s">
        <v>471</v>
      </c>
      <c r="O406" s="12">
        <v>24647</v>
      </c>
      <c r="P406" s="12">
        <v>64</v>
      </c>
      <c r="Q406" s="12">
        <v>0</v>
      </c>
      <c r="R406" s="12">
        <v>0</v>
      </c>
      <c r="S406" s="12">
        <v>0</v>
      </c>
      <c r="T406" s="18">
        <v>2041</v>
      </c>
      <c r="U406" s="18"/>
      <c r="V406">
        <f t="shared" si="13"/>
        <v>2041</v>
      </c>
    </row>
    <row r="407" spans="1:22" x14ac:dyDescent="0.25">
      <c r="A407" t="s">
        <v>83</v>
      </c>
      <c r="B407" t="s">
        <v>459</v>
      </c>
      <c r="C407" s="1"/>
      <c r="D407" s="1"/>
      <c r="E407" s="1"/>
      <c r="F407" s="1"/>
      <c r="G407" s="1"/>
      <c r="H407" s="1"/>
      <c r="I407" s="1"/>
      <c r="J407" s="1"/>
      <c r="K407" s="1"/>
      <c r="M407" s="10">
        <v>116</v>
      </c>
      <c r="N407" s="10" t="s">
        <v>472</v>
      </c>
      <c r="O407" s="10">
        <v>22510</v>
      </c>
      <c r="P407" s="10">
        <v>686</v>
      </c>
      <c r="Q407" s="10">
        <v>0</v>
      </c>
      <c r="R407" s="10">
        <v>0</v>
      </c>
      <c r="S407" s="10">
        <v>0</v>
      </c>
      <c r="T407" s="19">
        <v>5585</v>
      </c>
      <c r="U407" s="19"/>
      <c r="V407">
        <f t="shared" si="13"/>
        <v>5585</v>
      </c>
    </row>
    <row r="408" spans="1:22" x14ac:dyDescent="0.25">
      <c r="A408" t="s">
        <v>248</v>
      </c>
      <c r="B408" t="s">
        <v>460</v>
      </c>
      <c r="C408" s="1"/>
      <c r="D408" s="1"/>
      <c r="E408" s="1"/>
      <c r="F408" s="1"/>
      <c r="G408" s="1"/>
      <c r="H408" s="1"/>
      <c r="I408" s="1"/>
      <c r="J408" s="1"/>
      <c r="K408" s="1"/>
      <c r="M408" s="12">
        <v>610</v>
      </c>
      <c r="N408" s="12" t="s">
        <v>473</v>
      </c>
      <c r="O408" s="12">
        <v>37051</v>
      </c>
      <c r="P408" s="12">
        <v>815</v>
      </c>
      <c r="Q408" s="12">
        <v>0</v>
      </c>
      <c r="R408" s="12">
        <v>0</v>
      </c>
      <c r="S408" s="12">
        <v>0</v>
      </c>
      <c r="T408" s="18">
        <v>10144</v>
      </c>
      <c r="U408" s="18"/>
      <c r="V408">
        <f t="shared" si="13"/>
        <v>10144</v>
      </c>
    </row>
    <row r="409" spans="1:22" x14ac:dyDescent="0.25">
      <c r="A409" t="s">
        <v>248</v>
      </c>
      <c r="B409" t="s">
        <v>461</v>
      </c>
      <c r="C409" s="1"/>
      <c r="D409" s="1"/>
      <c r="E409" s="1"/>
      <c r="F409" s="1"/>
      <c r="G409" s="1"/>
      <c r="H409" s="1"/>
      <c r="I409" s="1"/>
      <c r="J409" s="1"/>
      <c r="K409" s="1"/>
      <c r="M409" s="10">
        <v>616</v>
      </c>
      <c r="N409" s="10" t="s">
        <v>474</v>
      </c>
      <c r="O409" s="10">
        <v>41335</v>
      </c>
      <c r="P409" s="10">
        <v>241</v>
      </c>
      <c r="Q409" s="10">
        <v>0</v>
      </c>
      <c r="R409" s="10">
        <v>0</v>
      </c>
      <c r="S409" s="10">
        <v>0</v>
      </c>
      <c r="T409" s="19">
        <v>149028</v>
      </c>
      <c r="U409" s="19"/>
      <c r="V409">
        <f t="shared" si="13"/>
        <v>149028</v>
      </c>
    </row>
    <row r="410" spans="1:22" x14ac:dyDescent="0.25">
      <c r="A410" t="s">
        <v>226</v>
      </c>
      <c r="B410" t="s">
        <v>462</v>
      </c>
      <c r="C410" s="1"/>
      <c r="D410" s="1"/>
      <c r="E410" s="1"/>
      <c r="F410" s="1"/>
      <c r="G410" s="1"/>
      <c r="H410" s="1"/>
      <c r="I410" s="1"/>
      <c r="J410" s="1"/>
      <c r="K410" s="1"/>
      <c r="M410" s="12">
        <v>313</v>
      </c>
      <c r="N410" s="12" t="s">
        <v>475</v>
      </c>
      <c r="O410" s="12">
        <v>5425</v>
      </c>
      <c r="P410" s="12">
        <v>27</v>
      </c>
      <c r="Q410" s="12">
        <v>0</v>
      </c>
      <c r="R410" s="12">
        <v>0</v>
      </c>
      <c r="S410" s="12">
        <v>0</v>
      </c>
      <c r="T410" s="18">
        <v>24505</v>
      </c>
      <c r="U410" s="18"/>
      <c r="V410">
        <f t="shared" si="13"/>
        <v>24505</v>
      </c>
    </row>
    <row r="411" spans="1:22" x14ac:dyDescent="0.25">
      <c r="A411" t="s">
        <v>826</v>
      </c>
      <c r="B411" t="s">
        <v>463</v>
      </c>
      <c r="C411" s="1"/>
      <c r="D411" s="1"/>
      <c r="E411" s="1"/>
      <c r="F411" s="1"/>
      <c r="G411" s="1"/>
      <c r="H411" s="1"/>
      <c r="I411" s="1"/>
      <c r="J411" s="1"/>
      <c r="K411" s="1"/>
      <c r="M411" s="10">
        <v>611</v>
      </c>
      <c r="N411" s="10" t="s">
        <v>476</v>
      </c>
      <c r="O411" s="10">
        <v>26172</v>
      </c>
      <c r="P411" s="10">
        <v>47</v>
      </c>
      <c r="Q411" s="10">
        <v>0</v>
      </c>
      <c r="R411" s="10">
        <v>0</v>
      </c>
      <c r="S411" s="10">
        <v>0</v>
      </c>
      <c r="T411" s="19">
        <v>7901</v>
      </c>
      <c r="U411" s="19"/>
      <c r="V411">
        <f t="shared" si="13"/>
        <v>7901</v>
      </c>
    </row>
    <row r="412" spans="1:22" x14ac:dyDescent="0.25">
      <c r="A412" t="s">
        <v>248</v>
      </c>
      <c r="B412" t="s">
        <v>464</v>
      </c>
      <c r="C412" s="1"/>
      <c r="D412" s="1"/>
      <c r="E412" s="1"/>
      <c r="F412" s="1"/>
      <c r="G412" s="1"/>
      <c r="H412" s="1"/>
      <c r="I412" s="1"/>
      <c r="J412" s="1"/>
      <c r="K412" s="1"/>
      <c r="M412" s="12">
        <v>712</v>
      </c>
      <c r="N412" s="12" t="s">
        <v>477</v>
      </c>
      <c r="O412" s="12">
        <v>39428</v>
      </c>
      <c r="P412" s="12">
        <v>133</v>
      </c>
      <c r="Q412" s="12">
        <v>0</v>
      </c>
      <c r="R412" s="12">
        <v>0</v>
      </c>
      <c r="S412" s="12">
        <v>0</v>
      </c>
      <c r="T412" s="18">
        <v>22757</v>
      </c>
      <c r="U412" s="18"/>
      <c r="V412">
        <f t="shared" si="13"/>
        <v>22757</v>
      </c>
    </row>
    <row r="413" spans="1:22" x14ac:dyDescent="0.25">
      <c r="A413" t="s">
        <v>101</v>
      </c>
      <c r="B413" t="s">
        <v>465</v>
      </c>
      <c r="C413" s="1">
        <f>9918+3+2+4907+2</f>
        <v>14832</v>
      </c>
      <c r="D413" s="1">
        <v>7</v>
      </c>
      <c r="E413" s="1">
        <v>0</v>
      </c>
      <c r="F413" s="1">
        <v>0</v>
      </c>
      <c r="G413" s="1">
        <v>0</v>
      </c>
      <c r="H413" s="1">
        <v>33004</v>
      </c>
      <c r="I413" s="1">
        <v>4960</v>
      </c>
      <c r="J413" s="1">
        <f>SUM(H413,I413)</f>
        <v>37964</v>
      </c>
      <c r="K413" s="1"/>
      <c r="M413" s="10">
        <v>712</v>
      </c>
      <c r="N413" s="10" t="s">
        <v>478</v>
      </c>
      <c r="O413" s="10">
        <v>32944</v>
      </c>
      <c r="P413" s="10">
        <v>211</v>
      </c>
      <c r="Q413" s="10">
        <v>0</v>
      </c>
      <c r="R413" s="10">
        <v>0</v>
      </c>
      <c r="S413" s="10">
        <v>0</v>
      </c>
      <c r="T413" s="19">
        <v>17406</v>
      </c>
      <c r="U413" s="19"/>
      <c r="V413">
        <f t="shared" si="13"/>
        <v>17406</v>
      </c>
    </row>
    <row r="414" spans="1:22" x14ac:dyDescent="0.25">
      <c r="A414" t="s">
        <v>865</v>
      </c>
      <c r="B414" t="s">
        <v>466</v>
      </c>
      <c r="C414" s="1">
        <f>13631+11+111+6+18+12+4+54+214+42+2433+38</f>
        <v>16574</v>
      </c>
      <c r="D414" s="1">
        <f>11+34</f>
        <v>45</v>
      </c>
      <c r="E414" s="1">
        <v>0</v>
      </c>
      <c r="F414" s="1">
        <v>0</v>
      </c>
      <c r="G414" s="1">
        <v>0</v>
      </c>
      <c r="H414" s="1">
        <v>4163</v>
      </c>
      <c r="I414" s="1">
        <v>2283</v>
      </c>
      <c r="J414" s="1">
        <f>SUM(H414,I414)</f>
        <v>6446</v>
      </c>
      <c r="K414" s="1"/>
      <c r="M414" s="12">
        <v>113</v>
      </c>
      <c r="N414" s="12" t="s">
        <v>479</v>
      </c>
      <c r="O414" s="12">
        <v>19812</v>
      </c>
      <c r="P414" s="12">
        <v>0</v>
      </c>
      <c r="Q414" s="12">
        <v>0</v>
      </c>
      <c r="R414" s="12">
        <v>0</v>
      </c>
      <c r="S414" s="12">
        <v>0</v>
      </c>
      <c r="T414" s="18">
        <v>1098</v>
      </c>
      <c r="U414" s="18"/>
      <c r="V414">
        <f t="shared" si="13"/>
        <v>1098</v>
      </c>
    </row>
    <row r="415" spans="1:22" x14ac:dyDescent="0.25">
      <c r="A415" s="9" t="s">
        <v>512</v>
      </c>
      <c r="B415" s="10" t="s">
        <v>467</v>
      </c>
      <c r="C415" s="1">
        <f>8566+16+2+3+5452</f>
        <v>14039</v>
      </c>
      <c r="D415" s="1">
        <f>8+19+33</f>
        <v>60</v>
      </c>
      <c r="E415" s="1">
        <v>0</v>
      </c>
      <c r="F415" s="1">
        <v>0</v>
      </c>
      <c r="G415" s="1">
        <v>0</v>
      </c>
      <c r="H415" s="1">
        <v>13999</v>
      </c>
      <c r="I415" s="1">
        <v>4049</v>
      </c>
      <c r="J415" s="1">
        <f>SUM(H415,I415)</f>
        <v>18048</v>
      </c>
      <c r="K415" s="1"/>
      <c r="M415" s="10">
        <v>700</v>
      </c>
      <c r="N415" s="10" t="s">
        <v>480</v>
      </c>
      <c r="O415" s="10">
        <v>20539</v>
      </c>
      <c r="P415" s="10">
        <v>0</v>
      </c>
      <c r="Q415" s="10">
        <v>0</v>
      </c>
      <c r="R415" s="10">
        <v>0</v>
      </c>
      <c r="S415" s="10">
        <v>0</v>
      </c>
      <c r="T415" s="19">
        <v>9004</v>
      </c>
      <c r="U415" s="19"/>
      <c r="V415">
        <f t="shared" si="13"/>
        <v>9004</v>
      </c>
    </row>
    <row r="416" spans="1:22" x14ac:dyDescent="0.25">
      <c r="A416" s="27" t="s">
        <v>10</v>
      </c>
      <c r="B416" s="32" t="s">
        <v>781</v>
      </c>
      <c r="C416" s="1"/>
      <c r="D416" s="1"/>
      <c r="E416" s="1"/>
      <c r="F416" s="1"/>
      <c r="G416" s="1"/>
      <c r="H416" s="1"/>
      <c r="I416" s="1"/>
      <c r="J416" s="1"/>
      <c r="K416" s="1"/>
      <c r="M416" s="12">
        <v>313</v>
      </c>
      <c r="N416" s="12" t="s">
        <v>481</v>
      </c>
      <c r="O416" s="12">
        <v>14270</v>
      </c>
      <c r="P416" s="12">
        <v>73</v>
      </c>
      <c r="Q416" s="12">
        <v>0</v>
      </c>
      <c r="R416" s="12">
        <v>0</v>
      </c>
      <c r="S416" s="12">
        <v>0</v>
      </c>
      <c r="T416" s="18">
        <v>1767</v>
      </c>
      <c r="U416" s="18"/>
      <c r="V416">
        <f t="shared" si="13"/>
        <v>1767</v>
      </c>
    </row>
    <row r="417" spans="1:22" x14ac:dyDescent="0.25">
      <c r="A417" t="s">
        <v>806</v>
      </c>
      <c r="B417" t="s">
        <v>468</v>
      </c>
      <c r="C417" s="1">
        <f>4322+2+38+1+10+4672+17+1+1</f>
        <v>9064</v>
      </c>
      <c r="D417" s="1">
        <f>17+23+3+45</f>
        <v>88</v>
      </c>
      <c r="E417" s="1">
        <v>0</v>
      </c>
      <c r="F417" s="1">
        <v>0</v>
      </c>
      <c r="G417" s="1">
        <v>0</v>
      </c>
      <c r="H417" s="1">
        <v>2914</v>
      </c>
      <c r="I417" s="1">
        <v>4437</v>
      </c>
      <c r="J417" s="1">
        <f>SUM(H417,I417)</f>
        <v>7351</v>
      </c>
      <c r="K417" s="1"/>
      <c r="M417" s="10">
        <v>500</v>
      </c>
      <c r="N417" s="10" t="s">
        <v>482</v>
      </c>
      <c r="O417" s="10">
        <v>2783</v>
      </c>
      <c r="P417" s="10">
        <v>368</v>
      </c>
      <c r="Q417" s="10">
        <v>0</v>
      </c>
      <c r="R417" s="10">
        <v>0</v>
      </c>
      <c r="S417" s="10">
        <v>0</v>
      </c>
      <c r="T417" s="19">
        <v>1464</v>
      </c>
      <c r="U417" s="19"/>
      <c r="V417">
        <f t="shared" si="13"/>
        <v>1464</v>
      </c>
    </row>
    <row r="418" spans="1:22" x14ac:dyDescent="0.25">
      <c r="A418" t="s">
        <v>817</v>
      </c>
      <c r="B418" t="s">
        <v>469</v>
      </c>
      <c r="C418" s="1">
        <f>172977+2+1830</f>
        <v>174809</v>
      </c>
      <c r="D418" s="1">
        <f>95+98+1+15</f>
        <v>209</v>
      </c>
      <c r="E418" s="1">
        <v>0</v>
      </c>
      <c r="F418" s="1">
        <v>0</v>
      </c>
      <c r="G418" s="1">
        <v>0</v>
      </c>
      <c r="H418" s="1">
        <v>38469</v>
      </c>
      <c r="I418" s="1">
        <v>1438</v>
      </c>
      <c r="J418" s="1">
        <f>SUM(H418,I418)</f>
        <v>39907</v>
      </c>
      <c r="K418" s="1"/>
      <c r="M418" s="12">
        <v>312</v>
      </c>
      <c r="N418" s="12" t="s">
        <v>483</v>
      </c>
      <c r="O418" s="12">
        <v>25729</v>
      </c>
      <c r="P418" s="12">
        <v>74</v>
      </c>
      <c r="Q418" s="12">
        <v>0</v>
      </c>
      <c r="R418" s="12">
        <v>0</v>
      </c>
      <c r="S418" s="12">
        <v>0</v>
      </c>
      <c r="T418" s="18">
        <v>68973</v>
      </c>
      <c r="U418" s="18"/>
      <c r="V418">
        <f t="shared" si="13"/>
        <v>68973</v>
      </c>
    </row>
    <row r="419" spans="1:22" x14ac:dyDescent="0.25">
      <c r="A419" t="s">
        <v>791</v>
      </c>
      <c r="B419" t="s">
        <v>470</v>
      </c>
      <c r="C419" s="1"/>
      <c r="D419" s="1"/>
      <c r="E419" s="1"/>
      <c r="F419" s="1"/>
      <c r="G419" s="1"/>
      <c r="H419" s="1"/>
      <c r="I419" s="1"/>
      <c r="J419" s="1"/>
      <c r="K419" s="1"/>
      <c r="M419" s="10">
        <v>711</v>
      </c>
      <c r="N419" s="10" t="s">
        <v>484</v>
      </c>
      <c r="O419" s="10"/>
      <c r="P419" s="10"/>
      <c r="Q419" s="10"/>
      <c r="R419" s="10"/>
      <c r="S419" s="10"/>
      <c r="T419" s="19"/>
      <c r="U419" s="19"/>
      <c r="V419">
        <f t="shared" si="13"/>
        <v>0</v>
      </c>
    </row>
    <row r="420" spans="1:22" x14ac:dyDescent="0.25">
      <c r="A420" t="s">
        <v>788</v>
      </c>
      <c r="B420" t="s">
        <v>471</v>
      </c>
      <c r="C420" s="1">
        <f>20087+25+4535</f>
        <v>24647</v>
      </c>
      <c r="D420" s="1">
        <f>36+18+10</f>
        <v>64</v>
      </c>
      <c r="E420" s="1">
        <v>0</v>
      </c>
      <c r="F420" s="1">
        <v>0</v>
      </c>
      <c r="G420" s="1">
        <v>0</v>
      </c>
      <c r="H420" s="1">
        <v>2041</v>
      </c>
      <c r="I420" s="1">
        <v>1397</v>
      </c>
      <c r="J420" s="1">
        <f t="shared" ref="J420:J428" si="14">SUM(H420,I420)</f>
        <v>3438</v>
      </c>
      <c r="K420" s="1"/>
      <c r="M420" s="12">
        <v>715</v>
      </c>
      <c r="N420" s="12" t="s">
        <v>485</v>
      </c>
      <c r="O420" s="12">
        <v>14467</v>
      </c>
      <c r="P420" s="12">
        <v>1</v>
      </c>
      <c r="Q420" s="12">
        <v>0</v>
      </c>
      <c r="R420" s="12">
        <v>0</v>
      </c>
      <c r="S420" s="12">
        <v>0</v>
      </c>
      <c r="T420" s="18">
        <v>8925</v>
      </c>
      <c r="U420" s="18"/>
      <c r="V420">
        <f t="shared" si="13"/>
        <v>8925</v>
      </c>
    </row>
    <row r="421" spans="1:22" x14ac:dyDescent="0.25">
      <c r="A421" s="9" t="s">
        <v>795</v>
      </c>
      <c r="B421" s="10" t="s">
        <v>472</v>
      </c>
      <c r="C421" s="1">
        <f>13570+1+147+8530+262</f>
        <v>22510</v>
      </c>
      <c r="D421" s="1">
        <f>438+121+127</f>
        <v>686</v>
      </c>
      <c r="E421" s="1">
        <v>0</v>
      </c>
      <c r="F421" s="1">
        <v>0</v>
      </c>
      <c r="G421" s="1">
        <v>0</v>
      </c>
      <c r="H421" s="1">
        <v>5585</v>
      </c>
      <c r="I421" s="1">
        <v>4983</v>
      </c>
      <c r="J421" s="1">
        <f t="shared" si="14"/>
        <v>10568</v>
      </c>
      <c r="K421" s="1"/>
      <c r="M421" s="10">
        <v>110</v>
      </c>
      <c r="N421" s="10" t="s">
        <v>486</v>
      </c>
      <c r="O421" s="10">
        <v>31607</v>
      </c>
      <c r="P421" s="10">
        <v>42</v>
      </c>
      <c r="Q421" s="10">
        <v>0</v>
      </c>
      <c r="R421" s="10">
        <v>0</v>
      </c>
      <c r="S421" s="10">
        <v>0</v>
      </c>
      <c r="T421" s="19">
        <v>5381</v>
      </c>
      <c r="U421" s="19"/>
      <c r="V421">
        <f t="shared" si="13"/>
        <v>5381</v>
      </c>
    </row>
    <row r="422" spans="1:22" x14ac:dyDescent="0.25">
      <c r="A422" t="s">
        <v>788</v>
      </c>
      <c r="B422" t="s">
        <v>473</v>
      </c>
      <c r="C422" s="1">
        <f>24251+9+3+1+2+12785</f>
        <v>37051</v>
      </c>
      <c r="D422" s="1">
        <f>209+39+564+1+2</f>
        <v>815</v>
      </c>
      <c r="E422" s="1">
        <v>0</v>
      </c>
      <c r="F422" s="1">
        <v>0</v>
      </c>
      <c r="G422" s="1">
        <v>0</v>
      </c>
      <c r="H422" s="1">
        <v>10144</v>
      </c>
      <c r="I422" s="1">
        <v>12183</v>
      </c>
      <c r="J422" s="1">
        <f t="shared" si="14"/>
        <v>22327</v>
      </c>
      <c r="K422" s="1"/>
      <c r="M422" s="12">
        <v>171</v>
      </c>
      <c r="N422" s="12" t="s">
        <v>487</v>
      </c>
      <c r="O422" s="12">
        <v>15026</v>
      </c>
      <c r="P422" s="12">
        <v>19</v>
      </c>
      <c r="Q422" s="12">
        <v>0</v>
      </c>
      <c r="R422" s="12">
        <v>0</v>
      </c>
      <c r="S422" s="12">
        <v>0</v>
      </c>
      <c r="T422" s="18">
        <v>7832</v>
      </c>
      <c r="U422" s="18"/>
      <c r="V422">
        <f t="shared" si="13"/>
        <v>7832</v>
      </c>
    </row>
    <row r="423" spans="1:22" x14ac:dyDescent="0.25">
      <c r="A423" t="s">
        <v>817</v>
      </c>
      <c r="B423" t="s">
        <v>474</v>
      </c>
      <c r="C423" s="1">
        <f>11038+2+2+30293</f>
        <v>41335</v>
      </c>
      <c r="D423" s="1">
        <f>103+1+136+1</f>
        <v>241</v>
      </c>
      <c r="E423" s="1">
        <v>0</v>
      </c>
      <c r="F423" s="1">
        <v>0</v>
      </c>
      <c r="G423" s="1">
        <v>0</v>
      </c>
      <c r="H423" s="1">
        <v>149028</v>
      </c>
      <c r="I423" s="1">
        <v>22366</v>
      </c>
      <c r="J423" s="1">
        <f t="shared" si="14"/>
        <v>171394</v>
      </c>
      <c r="K423" s="1"/>
      <c r="M423" s="10">
        <v>300</v>
      </c>
      <c r="N423" s="10" t="s">
        <v>488</v>
      </c>
      <c r="O423" s="10">
        <v>28114</v>
      </c>
      <c r="P423" s="10">
        <v>60</v>
      </c>
      <c r="Q423" s="10">
        <v>0</v>
      </c>
      <c r="R423" s="10">
        <v>0</v>
      </c>
      <c r="S423" s="10">
        <v>0</v>
      </c>
      <c r="T423" s="19">
        <v>10980</v>
      </c>
      <c r="U423" s="19"/>
      <c r="V423">
        <f t="shared" si="13"/>
        <v>10980</v>
      </c>
    </row>
    <row r="424" spans="1:22" x14ac:dyDescent="0.25">
      <c r="A424" t="s">
        <v>512</v>
      </c>
      <c r="B424" t="s">
        <v>475</v>
      </c>
      <c r="C424" s="1">
        <f>4168+59+1+2+1195</f>
        <v>5425</v>
      </c>
      <c r="D424" s="1">
        <f>6+8+13</f>
        <v>27</v>
      </c>
      <c r="E424" s="1">
        <v>0</v>
      </c>
      <c r="F424" s="1">
        <v>0</v>
      </c>
      <c r="G424" s="1">
        <v>0</v>
      </c>
      <c r="H424" s="1">
        <v>24505</v>
      </c>
      <c r="I424" s="1">
        <v>1099</v>
      </c>
      <c r="J424" s="1">
        <f t="shared" si="14"/>
        <v>25604</v>
      </c>
      <c r="K424" s="1"/>
      <c r="M424" s="12" t="s">
        <v>820</v>
      </c>
      <c r="N424" s="12" t="s">
        <v>489</v>
      </c>
      <c r="O424" s="12">
        <v>15866</v>
      </c>
      <c r="P424" s="12">
        <v>19</v>
      </c>
      <c r="Q424" s="12">
        <v>0</v>
      </c>
      <c r="R424" s="12">
        <v>0</v>
      </c>
      <c r="S424" s="12">
        <v>0</v>
      </c>
      <c r="T424" s="18">
        <v>13383</v>
      </c>
      <c r="U424" s="18"/>
      <c r="V424">
        <f t="shared" si="13"/>
        <v>13383</v>
      </c>
    </row>
    <row r="425" spans="1:22" x14ac:dyDescent="0.25">
      <c r="A425" t="s">
        <v>146</v>
      </c>
      <c r="B425" t="s">
        <v>476</v>
      </c>
      <c r="C425" s="1">
        <f>20154+4+6+70+1+2+1+3+5928+1+1+1</f>
        <v>26172</v>
      </c>
      <c r="D425" s="1">
        <f>15+32</f>
        <v>47</v>
      </c>
      <c r="E425" s="1">
        <v>0</v>
      </c>
      <c r="F425" s="1">
        <v>0</v>
      </c>
      <c r="G425" s="1">
        <v>0</v>
      </c>
      <c r="H425" s="1">
        <v>7901</v>
      </c>
      <c r="I425" s="1">
        <v>5914</v>
      </c>
      <c r="J425" s="1">
        <f t="shared" si="14"/>
        <v>13815</v>
      </c>
      <c r="K425" s="1"/>
      <c r="M425" s="10">
        <v>711</v>
      </c>
      <c r="N425" s="10" t="s">
        <v>491</v>
      </c>
      <c r="O425" s="10"/>
      <c r="P425" s="10"/>
      <c r="Q425" s="10"/>
      <c r="R425" s="10"/>
      <c r="S425" s="10"/>
      <c r="T425" s="19"/>
      <c r="U425" s="19"/>
      <c r="V425">
        <f t="shared" si="13"/>
        <v>0</v>
      </c>
    </row>
    <row r="426" spans="1:22" x14ac:dyDescent="0.25">
      <c r="A426" t="s">
        <v>76</v>
      </c>
      <c r="B426" t="s">
        <v>477</v>
      </c>
      <c r="C426" s="1">
        <f>22227+53+17072+76</f>
        <v>39428</v>
      </c>
      <c r="D426" s="1">
        <f>77+40+16</f>
        <v>133</v>
      </c>
      <c r="E426" s="1">
        <v>0</v>
      </c>
      <c r="F426" s="1">
        <v>0</v>
      </c>
      <c r="G426" s="1">
        <v>0</v>
      </c>
      <c r="H426" s="1">
        <v>22757</v>
      </c>
      <c r="I426" s="1">
        <v>12857</v>
      </c>
      <c r="J426" s="1">
        <f t="shared" si="14"/>
        <v>35614</v>
      </c>
      <c r="K426" s="1"/>
      <c r="M426" s="12">
        <v>715</v>
      </c>
      <c r="N426" s="12" t="s">
        <v>492</v>
      </c>
      <c r="O426" s="12">
        <v>8721</v>
      </c>
      <c r="P426" s="12">
        <v>8</v>
      </c>
      <c r="Q426" s="12">
        <v>0</v>
      </c>
      <c r="R426" s="12">
        <v>0</v>
      </c>
      <c r="S426" s="12">
        <v>0</v>
      </c>
      <c r="T426" s="18">
        <v>11074</v>
      </c>
      <c r="U426" s="18"/>
      <c r="V426">
        <f t="shared" si="13"/>
        <v>11074</v>
      </c>
    </row>
    <row r="427" spans="1:22" x14ac:dyDescent="0.25">
      <c r="A427" t="s">
        <v>76</v>
      </c>
      <c r="B427" t="s">
        <v>478</v>
      </c>
      <c r="C427" s="1">
        <f>22101+174+3+10254+412</f>
        <v>32944</v>
      </c>
      <c r="D427" s="1">
        <f>205+6</f>
        <v>211</v>
      </c>
      <c r="E427" s="1">
        <v>0</v>
      </c>
      <c r="F427" s="1">
        <v>0</v>
      </c>
      <c r="G427" s="1">
        <v>0</v>
      </c>
      <c r="H427" s="1">
        <v>17406</v>
      </c>
      <c r="I427" s="1">
        <v>9140</v>
      </c>
      <c r="J427" s="1">
        <f t="shared" si="14"/>
        <v>26546</v>
      </c>
      <c r="K427" s="1"/>
      <c r="M427" s="10">
        <v>100</v>
      </c>
      <c r="N427" s="10" t="s">
        <v>493</v>
      </c>
      <c r="O427" s="10"/>
      <c r="P427" s="10"/>
      <c r="Q427" s="10"/>
      <c r="R427" s="10"/>
      <c r="S427" s="10"/>
      <c r="T427" s="19"/>
      <c r="U427" s="19"/>
      <c r="V427">
        <f t="shared" si="13"/>
        <v>0</v>
      </c>
    </row>
    <row r="428" spans="1:22" x14ac:dyDescent="0.25">
      <c r="A428" t="s">
        <v>823</v>
      </c>
      <c r="B428" t="s">
        <v>479</v>
      </c>
      <c r="C428" s="1">
        <f>18029+394+1389</f>
        <v>19812</v>
      </c>
      <c r="D428" s="1">
        <v>0</v>
      </c>
      <c r="E428" s="1">
        <v>0</v>
      </c>
      <c r="F428" s="1">
        <v>0</v>
      </c>
      <c r="G428" s="1">
        <v>0</v>
      </c>
      <c r="H428" s="1">
        <v>1098</v>
      </c>
      <c r="I428" s="1">
        <v>987</v>
      </c>
      <c r="J428" s="1">
        <f t="shared" si="14"/>
        <v>2085</v>
      </c>
      <c r="K428" s="1"/>
      <c r="M428" s="12" t="s">
        <v>815</v>
      </c>
      <c r="N428" s="12" t="s">
        <v>494</v>
      </c>
      <c r="O428" s="12">
        <v>9017</v>
      </c>
      <c r="P428" s="12">
        <v>6</v>
      </c>
      <c r="Q428" s="12">
        <v>0</v>
      </c>
      <c r="R428" s="12">
        <v>0</v>
      </c>
      <c r="S428" s="12">
        <v>0</v>
      </c>
      <c r="T428" s="18">
        <v>18611</v>
      </c>
      <c r="U428" s="18"/>
      <c r="V428">
        <f t="shared" si="13"/>
        <v>18611</v>
      </c>
    </row>
    <row r="429" spans="1:22" x14ac:dyDescent="0.25">
      <c r="A429" t="s">
        <v>83</v>
      </c>
      <c r="B429" t="s">
        <v>480</v>
      </c>
      <c r="C429" s="1"/>
      <c r="D429" s="1"/>
      <c r="E429" s="1"/>
      <c r="F429" s="1"/>
      <c r="G429" s="1"/>
      <c r="H429" s="1"/>
      <c r="I429" s="1"/>
      <c r="J429" s="1"/>
      <c r="K429" s="1"/>
      <c r="M429" s="10">
        <v>613</v>
      </c>
      <c r="N429" s="10" t="s">
        <v>496</v>
      </c>
      <c r="O429" s="10">
        <v>98209</v>
      </c>
      <c r="P429" s="10">
        <v>237</v>
      </c>
      <c r="Q429" s="10">
        <v>0</v>
      </c>
      <c r="R429" s="10">
        <v>0</v>
      </c>
      <c r="S429" s="10">
        <v>0</v>
      </c>
      <c r="T429" s="19">
        <v>20856</v>
      </c>
      <c r="U429" s="19"/>
      <c r="V429">
        <f t="shared" si="13"/>
        <v>20856</v>
      </c>
    </row>
    <row r="430" spans="1:22" x14ac:dyDescent="0.25">
      <c r="A430" t="s">
        <v>512</v>
      </c>
      <c r="B430" t="s">
        <v>481</v>
      </c>
      <c r="C430" s="1">
        <f>12090+1+7+21+2151</f>
        <v>14270</v>
      </c>
      <c r="D430" s="1">
        <f>2+63+8</f>
        <v>73</v>
      </c>
      <c r="E430" s="1">
        <v>0</v>
      </c>
      <c r="F430" s="1">
        <v>0</v>
      </c>
      <c r="G430" s="1">
        <v>0</v>
      </c>
      <c r="H430" s="1">
        <v>1767</v>
      </c>
      <c r="I430" s="1">
        <v>1719</v>
      </c>
      <c r="J430" s="1">
        <f>SUM(H430,I430)</f>
        <v>3486</v>
      </c>
      <c r="K430" s="1"/>
      <c r="M430" s="12">
        <v>100</v>
      </c>
      <c r="N430" s="12" t="s">
        <v>497</v>
      </c>
      <c r="O430" s="12"/>
      <c r="P430" s="12"/>
      <c r="Q430" s="12"/>
      <c r="R430" s="12"/>
      <c r="S430" s="12"/>
      <c r="T430" s="18"/>
      <c r="U430" s="18"/>
      <c r="V430">
        <f t="shared" si="13"/>
        <v>0</v>
      </c>
    </row>
    <row r="431" spans="1:22" x14ac:dyDescent="0.25">
      <c r="A431" t="s">
        <v>824</v>
      </c>
      <c r="B431" t="s">
        <v>482</v>
      </c>
      <c r="C431" s="1">
        <f>2126+657</f>
        <v>2783</v>
      </c>
      <c r="D431" s="1">
        <f>325+43</f>
        <v>368</v>
      </c>
      <c r="E431" s="1">
        <v>0</v>
      </c>
      <c r="F431" s="1">
        <v>0</v>
      </c>
      <c r="G431" s="1">
        <v>0</v>
      </c>
      <c r="H431" s="1">
        <v>1464</v>
      </c>
      <c r="I431" s="1">
        <v>416</v>
      </c>
      <c r="J431" s="1">
        <f>SUM(H431,I431)</f>
        <v>1880</v>
      </c>
      <c r="K431" s="1"/>
      <c r="M431" s="10">
        <v>712</v>
      </c>
      <c r="N431" s="10" t="s">
        <v>501</v>
      </c>
      <c r="O431" s="10">
        <v>4780</v>
      </c>
      <c r="P431" s="10">
        <v>0</v>
      </c>
      <c r="Q431" s="10">
        <v>0</v>
      </c>
      <c r="R431" s="10">
        <v>0</v>
      </c>
      <c r="S431" s="10">
        <v>0</v>
      </c>
      <c r="T431" s="19">
        <v>0</v>
      </c>
      <c r="U431" s="19"/>
      <c r="V431">
        <f t="shared" si="13"/>
        <v>0</v>
      </c>
    </row>
    <row r="432" spans="1:22" x14ac:dyDescent="0.25">
      <c r="A432" t="s">
        <v>72</v>
      </c>
      <c r="B432" t="s">
        <v>483</v>
      </c>
      <c r="C432" s="1">
        <f>22635+5+3088+1</f>
        <v>25729</v>
      </c>
      <c r="D432" s="1">
        <f>3+8+5+58</f>
        <v>74</v>
      </c>
      <c r="E432" s="1">
        <v>0</v>
      </c>
      <c r="F432" s="1">
        <v>0</v>
      </c>
      <c r="G432" s="1">
        <v>0</v>
      </c>
      <c r="H432" s="1">
        <v>68973</v>
      </c>
      <c r="I432" s="1">
        <v>2895</v>
      </c>
      <c r="J432" s="1">
        <f>SUM(H432,I432)</f>
        <v>71868</v>
      </c>
      <c r="K432" s="1"/>
      <c r="M432" s="12">
        <v>616</v>
      </c>
      <c r="N432" s="12" t="s">
        <v>502</v>
      </c>
      <c r="O432" s="12">
        <v>233</v>
      </c>
      <c r="P432" s="12">
        <v>0</v>
      </c>
      <c r="Q432" s="12">
        <v>0</v>
      </c>
      <c r="R432" s="12">
        <v>0</v>
      </c>
      <c r="S432" s="12">
        <v>0</v>
      </c>
      <c r="T432" s="18">
        <v>0</v>
      </c>
      <c r="U432" s="18"/>
      <c r="V432">
        <f t="shared" si="13"/>
        <v>0</v>
      </c>
    </row>
    <row r="433" spans="1:22" x14ac:dyDescent="0.25">
      <c r="A433" t="s">
        <v>801</v>
      </c>
      <c r="B433" t="s">
        <v>484</v>
      </c>
      <c r="C433" s="1">
        <f>13871+45+7+6+11919+572+4</f>
        <v>26424</v>
      </c>
      <c r="D433" s="1">
        <v>13</v>
      </c>
      <c r="E433" s="1">
        <v>0</v>
      </c>
      <c r="F433" s="1">
        <v>0</v>
      </c>
      <c r="G433" s="1">
        <v>0</v>
      </c>
      <c r="H433" s="1">
        <v>57221</v>
      </c>
      <c r="I433" s="1">
        <v>11312</v>
      </c>
      <c r="J433" s="1">
        <f>SUM(H433,I433)</f>
        <v>68533</v>
      </c>
      <c r="K433" s="1"/>
      <c r="M433" s="10">
        <v>114</v>
      </c>
      <c r="N433" s="10" t="s">
        <v>503</v>
      </c>
      <c r="O433" s="10">
        <v>927</v>
      </c>
      <c r="P433" s="10">
        <v>0</v>
      </c>
      <c r="Q433" s="10">
        <v>0</v>
      </c>
      <c r="R433" s="10">
        <v>0</v>
      </c>
      <c r="S433" s="10">
        <v>0</v>
      </c>
      <c r="T433" s="19">
        <v>0</v>
      </c>
      <c r="U433" s="19"/>
      <c r="V433">
        <f t="shared" si="13"/>
        <v>0</v>
      </c>
    </row>
    <row r="434" spans="1:22" x14ac:dyDescent="0.25">
      <c r="A434" t="s">
        <v>818</v>
      </c>
      <c r="B434" t="s">
        <v>485</v>
      </c>
      <c r="C434" s="1"/>
      <c r="D434" s="1"/>
      <c r="E434" s="1"/>
      <c r="F434" s="1"/>
      <c r="G434" s="1"/>
      <c r="H434" s="1"/>
      <c r="I434" s="1"/>
      <c r="J434" s="1"/>
      <c r="K434" s="1"/>
      <c r="M434" s="12">
        <v>712</v>
      </c>
      <c r="N434" s="12" t="s">
        <v>504</v>
      </c>
      <c r="O434" s="12">
        <v>5168</v>
      </c>
      <c r="P434" s="12">
        <v>0</v>
      </c>
      <c r="Q434" s="12">
        <v>0</v>
      </c>
      <c r="R434" s="12">
        <v>0</v>
      </c>
      <c r="S434" s="12">
        <v>0</v>
      </c>
      <c r="T434" s="18">
        <v>0</v>
      </c>
      <c r="U434" s="18"/>
      <c r="V434">
        <f t="shared" si="13"/>
        <v>0</v>
      </c>
    </row>
    <row r="435" spans="1:22" x14ac:dyDescent="0.25">
      <c r="A435" t="s">
        <v>797</v>
      </c>
      <c r="B435" t="s">
        <v>486</v>
      </c>
      <c r="C435" s="1"/>
      <c r="D435" s="1"/>
      <c r="E435" s="1"/>
      <c r="F435" s="1"/>
      <c r="G435" s="1"/>
      <c r="H435" s="1"/>
      <c r="I435" s="1"/>
      <c r="J435" s="1"/>
      <c r="K435" s="1"/>
      <c r="M435" s="10">
        <v>616</v>
      </c>
      <c r="N435" s="10" t="s">
        <v>505</v>
      </c>
      <c r="O435" s="10"/>
      <c r="P435" s="10"/>
      <c r="Q435" s="10"/>
      <c r="R435" s="10"/>
      <c r="S435" s="10"/>
      <c r="T435" s="19"/>
      <c r="U435" s="19"/>
      <c r="V435">
        <f t="shared" si="13"/>
        <v>0</v>
      </c>
    </row>
    <row r="436" spans="1:22" x14ac:dyDescent="0.25">
      <c r="A436" t="s">
        <v>804</v>
      </c>
      <c r="B436" t="s">
        <v>487</v>
      </c>
      <c r="C436" s="1">
        <f>9578+4750+698</f>
        <v>15026</v>
      </c>
      <c r="D436" s="1">
        <f>5+14</f>
        <v>19</v>
      </c>
      <c r="E436" s="1">
        <v>0</v>
      </c>
      <c r="F436" s="1">
        <v>0</v>
      </c>
      <c r="G436" s="1">
        <v>0</v>
      </c>
      <c r="H436" s="1">
        <v>7832</v>
      </c>
      <c r="I436" s="1">
        <v>4987</v>
      </c>
      <c r="J436" s="1">
        <f>SUM(H436,I436)</f>
        <v>12819</v>
      </c>
      <c r="K436" s="1"/>
      <c r="M436" s="12">
        <v>500</v>
      </c>
      <c r="N436" s="12" t="s">
        <v>506</v>
      </c>
      <c r="O436" s="12">
        <v>1652</v>
      </c>
      <c r="P436" s="12">
        <v>0</v>
      </c>
      <c r="Q436" s="12">
        <v>0</v>
      </c>
      <c r="R436" s="12">
        <v>0</v>
      </c>
      <c r="S436" s="12">
        <v>0</v>
      </c>
      <c r="T436" s="18">
        <v>0</v>
      </c>
      <c r="U436" s="18"/>
      <c r="V436">
        <f t="shared" si="13"/>
        <v>0</v>
      </c>
    </row>
    <row r="437" spans="1:22" x14ac:dyDescent="0.25">
      <c r="A437" t="s">
        <v>226</v>
      </c>
      <c r="B437" t="s">
        <v>488</v>
      </c>
      <c r="C437" s="1"/>
      <c r="D437" s="1"/>
      <c r="E437" s="1"/>
      <c r="F437" s="1"/>
      <c r="G437" s="1"/>
      <c r="H437" s="1"/>
      <c r="I437" s="1"/>
      <c r="J437" s="1"/>
      <c r="K437" s="1"/>
      <c r="M437" s="10">
        <v>616</v>
      </c>
      <c r="N437" s="10" t="s">
        <v>507</v>
      </c>
      <c r="O437" s="10">
        <v>2462</v>
      </c>
      <c r="P437" s="10">
        <v>0</v>
      </c>
      <c r="Q437" s="10">
        <v>0</v>
      </c>
      <c r="R437" s="10">
        <v>0</v>
      </c>
      <c r="S437" s="10">
        <v>0</v>
      </c>
      <c r="T437" s="19">
        <v>0</v>
      </c>
      <c r="U437" s="19"/>
      <c r="V437">
        <f t="shared" si="13"/>
        <v>0</v>
      </c>
    </row>
    <row r="438" spans="1:22" x14ac:dyDescent="0.25">
      <c r="A438" t="s">
        <v>265</v>
      </c>
      <c r="B438" t="s">
        <v>489</v>
      </c>
      <c r="C438" s="1">
        <f>13139+7+35+24+2661</f>
        <v>15866</v>
      </c>
      <c r="D438" s="1">
        <f>9+1+1+8</f>
        <v>19</v>
      </c>
      <c r="E438" s="1">
        <v>0</v>
      </c>
      <c r="F438" s="1">
        <v>0</v>
      </c>
      <c r="G438" s="1">
        <v>0</v>
      </c>
      <c r="H438" s="1">
        <v>13383</v>
      </c>
      <c r="I438" s="1">
        <v>2317</v>
      </c>
      <c r="J438" s="1">
        <f>SUM(H438,I438)</f>
        <v>15700</v>
      </c>
      <c r="K438" s="1"/>
      <c r="M438" s="12">
        <v>616</v>
      </c>
      <c r="N438" s="12" t="s">
        <v>508</v>
      </c>
      <c r="O438" s="12">
        <v>1163</v>
      </c>
      <c r="P438" s="12">
        <v>0</v>
      </c>
      <c r="Q438" s="12">
        <v>0</v>
      </c>
      <c r="R438" s="12">
        <v>0</v>
      </c>
      <c r="S438" s="12">
        <v>0</v>
      </c>
      <c r="T438" s="18">
        <v>0</v>
      </c>
      <c r="U438" s="18"/>
      <c r="V438">
        <f t="shared" si="13"/>
        <v>0</v>
      </c>
    </row>
    <row r="439" spans="1:22" x14ac:dyDescent="0.25">
      <c r="A439" t="s">
        <v>10</v>
      </c>
      <c r="B439" s="1" t="s">
        <v>490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/>
      <c r="K439" s="1"/>
      <c r="M439" s="10">
        <v>711</v>
      </c>
      <c r="N439" s="10" t="s">
        <v>509</v>
      </c>
      <c r="O439" s="10"/>
      <c r="P439" s="10"/>
      <c r="Q439" s="10"/>
      <c r="R439" s="10"/>
      <c r="S439" s="10"/>
      <c r="T439" s="19"/>
      <c r="U439" s="19"/>
      <c r="V439">
        <f t="shared" si="13"/>
        <v>0</v>
      </c>
    </row>
    <row r="440" spans="1:22" x14ac:dyDescent="0.25">
      <c r="A440" t="s">
        <v>801</v>
      </c>
      <c r="B440" t="s">
        <v>491</v>
      </c>
      <c r="C440" s="1">
        <f>7109+33+2+8899+1+10+1</f>
        <v>16055</v>
      </c>
      <c r="D440" s="1">
        <f>34+353+163</f>
        <v>550</v>
      </c>
      <c r="E440" s="1">
        <v>0</v>
      </c>
      <c r="F440" s="1">
        <v>0</v>
      </c>
      <c r="G440" s="1">
        <v>0</v>
      </c>
      <c r="H440" s="1">
        <v>21011</v>
      </c>
      <c r="I440" s="1">
        <v>7733</v>
      </c>
      <c r="J440" s="1">
        <f>SUM(H440,I440)</f>
        <v>28744</v>
      </c>
      <c r="K440" s="1"/>
      <c r="M440" s="12">
        <v>711</v>
      </c>
      <c r="N440" s="12" t="s">
        <v>510</v>
      </c>
      <c r="O440" s="12"/>
      <c r="P440" s="12"/>
      <c r="Q440" s="12"/>
      <c r="R440" s="12"/>
      <c r="S440" s="12"/>
      <c r="T440" s="18"/>
      <c r="U440" s="18"/>
      <c r="V440">
        <f t="shared" si="13"/>
        <v>0</v>
      </c>
    </row>
    <row r="441" spans="1:22" x14ac:dyDescent="0.25">
      <c r="A441" t="s">
        <v>818</v>
      </c>
      <c r="B441" t="s">
        <v>492</v>
      </c>
      <c r="C441" s="1"/>
      <c r="D441" s="1"/>
      <c r="E441" s="1"/>
      <c r="F441" s="1"/>
      <c r="G441" s="1"/>
      <c r="H441" s="1"/>
      <c r="I441" s="1"/>
      <c r="J441" s="1"/>
      <c r="K441" s="1"/>
      <c r="M441" s="10">
        <v>114</v>
      </c>
      <c r="N441" s="10" t="s">
        <v>511</v>
      </c>
      <c r="O441" s="10">
        <v>583</v>
      </c>
      <c r="P441" s="10">
        <v>0</v>
      </c>
      <c r="Q441" s="10">
        <v>0</v>
      </c>
      <c r="R441" s="10">
        <v>0</v>
      </c>
      <c r="S441" s="10">
        <v>0</v>
      </c>
      <c r="T441" s="19">
        <v>0</v>
      </c>
      <c r="U441" s="19"/>
      <c r="V441">
        <f t="shared" si="13"/>
        <v>0</v>
      </c>
    </row>
    <row r="442" spans="1:22" x14ac:dyDescent="0.25">
      <c r="A442" t="s">
        <v>791</v>
      </c>
      <c r="B442" t="s">
        <v>493</v>
      </c>
      <c r="C442" s="1"/>
      <c r="D442" s="1"/>
      <c r="E442" s="1"/>
      <c r="F442" s="1"/>
      <c r="G442" s="1"/>
      <c r="H442" s="1"/>
      <c r="I442" s="1"/>
      <c r="J442" s="1"/>
      <c r="K442" s="1"/>
      <c r="M442" s="12">
        <v>313</v>
      </c>
      <c r="N442" s="12" t="s">
        <v>513</v>
      </c>
      <c r="O442" s="12"/>
      <c r="P442" s="12"/>
      <c r="Q442" s="12"/>
      <c r="R442" s="12"/>
      <c r="S442" s="12"/>
      <c r="T442" s="18"/>
      <c r="U442" s="18"/>
      <c r="V442">
        <f t="shared" si="13"/>
        <v>0</v>
      </c>
    </row>
    <row r="443" spans="1:22" x14ac:dyDescent="0.25">
      <c r="A443" t="s">
        <v>138</v>
      </c>
      <c r="B443" t="s">
        <v>494</v>
      </c>
      <c r="C443" s="1"/>
      <c r="D443" s="1"/>
      <c r="E443" s="1"/>
      <c r="F443" s="1"/>
      <c r="G443" s="1"/>
      <c r="H443" s="1"/>
      <c r="I443" s="1"/>
      <c r="J443" s="1"/>
      <c r="K443" s="1"/>
      <c r="M443" s="10">
        <v>616</v>
      </c>
      <c r="N443" s="10" t="s">
        <v>514</v>
      </c>
      <c r="O443" s="10">
        <v>2687</v>
      </c>
      <c r="P443" s="10">
        <v>0</v>
      </c>
      <c r="Q443" s="10">
        <v>0</v>
      </c>
      <c r="R443" s="10">
        <v>0</v>
      </c>
      <c r="S443" s="10">
        <v>0</v>
      </c>
      <c r="T443" s="19">
        <v>0</v>
      </c>
      <c r="U443" s="19"/>
      <c r="V443">
        <f t="shared" si="13"/>
        <v>0</v>
      </c>
    </row>
    <row r="444" spans="1:22" x14ac:dyDescent="0.25">
      <c r="A444" t="s">
        <v>495</v>
      </c>
      <c r="B444" t="s">
        <v>496</v>
      </c>
      <c r="C444" s="1">
        <f>69568+1+702+1+197+27739+1</f>
        <v>98209</v>
      </c>
      <c r="D444" s="1">
        <f>103+118+15+1</f>
        <v>237</v>
      </c>
      <c r="E444" s="1">
        <v>0</v>
      </c>
      <c r="F444" s="1">
        <v>0</v>
      </c>
      <c r="G444" s="1">
        <v>0</v>
      </c>
      <c r="H444" s="1">
        <v>20856</v>
      </c>
      <c r="I444" s="1">
        <v>21870</v>
      </c>
      <c r="J444" s="1">
        <f>SUM(H444,I444)</f>
        <v>42726</v>
      </c>
      <c r="K444" s="1"/>
      <c r="M444" s="12">
        <v>711</v>
      </c>
      <c r="N444" s="12" t="s">
        <v>515</v>
      </c>
      <c r="O444" s="12"/>
      <c r="P444" s="12"/>
      <c r="Q444" s="12"/>
      <c r="R444" s="12"/>
      <c r="S444" s="12"/>
      <c r="T444" s="18"/>
      <c r="U444" s="18"/>
      <c r="V444">
        <f t="shared" si="13"/>
        <v>0</v>
      </c>
    </row>
    <row r="445" spans="1:22" x14ac:dyDescent="0.25">
      <c r="A445" t="s">
        <v>791</v>
      </c>
      <c r="B445" t="s">
        <v>497</v>
      </c>
      <c r="C445" s="1"/>
      <c r="D445" s="1"/>
      <c r="E445" s="1"/>
      <c r="F445" s="1"/>
      <c r="G445" s="1"/>
      <c r="H445" s="1"/>
      <c r="I445" s="1"/>
      <c r="J445" s="1"/>
      <c r="K445" s="1"/>
      <c r="M445" s="10">
        <v>161</v>
      </c>
      <c r="N445" s="10" t="s">
        <v>516</v>
      </c>
      <c r="O445" s="10">
        <v>1303</v>
      </c>
      <c r="P445" s="10">
        <v>0</v>
      </c>
      <c r="Q445" s="10">
        <v>0</v>
      </c>
      <c r="R445" s="10">
        <v>0</v>
      </c>
      <c r="S445" s="10">
        <v>0</v>
      </c>
      <c r="T445" s="19">
        <v>0</v>
      </c>
      <c r="U445" s="19"/>
      <c r="V445">
        <f t="shared" si="13"/>
        <v>0</v>
      </c>
    </row>
    <row r="446" spans="1:22" x14ac:dyDescent="0.25">
      <c r="A446" s="27" t="s">
        <v>10</v>
      </c>
      <c r="B446" s="32" t="s">
        <v>782</v>
      </c>
      <c r="C446" s="1"/>
      <c r="D446" s="1"/>
      <c r="E446" s="1"/>
      <c r="F446" s="1"/>
      <c r="G446" s="1"/>
      <c r="H446" s="1"/>
      <c r="I446" s="1"/>
      <c r="J446" s="1"/>
      <c r="K446" s="1"/>
      <c r="M446" s="12">
        <v>110</v>
      </c>
      <c r="N446" s="12" t="s">
        <v>517</v>
      </c>
      <c r="O446" s="12">
        <v>962</v>
      </c>
      <c r="P446" s="12">
        <v>0</v>
      </c>
      <c r="Q446" s="12">
        <v>0</v>
      </c>
      <c r="R446" s="12">
        <v>0</v>
      </c>
      <c r="S446" s="12">
        <v>0</v>
      </c>
      <c r="T446" s="18">
        <v>0</v>
      </c>
      <c r="U446" s="18"/>
      <c r="V446">
        <f t="shared" si="13"/>
        <v>0</v>
      </c>
    </row>
    <row r="447" spans="1:22" x14ac:dyDescent="0.25">
      <c r="A447" s="27" t="s">
        <v>10</v>
      </c>
      <c r="B447" s="32" t="s">
        <v>783</v>
      </c>
      <c r="C447" s="1"/>
      <c r="D447" s="1"/>
      <c r="E447" s="1"/>
      <c r="F447" s="1"/>
      <c r="G447" s="1"/>
      <c r="H447" s="1"/>
      <c r="I447" s="1"/>
      <c r="J447" s="1"/>
      <c r="K447" s="1"/>
      <c r="M447" s="10">
        <v>111</v>
      </c>
      <c r="N447" s="10" t="s">
        <v>518</v>
      </c>
      <c r="O447" s="10">
        <v>9082</v>
      </c>
      <c r="P447" s="10">
        <v>0</v>
      </c>
      <c r="Q447" s="10">
        <v>0</v>
      </c>
      <c r="R447" s="10">
        <v>0</v>
      </c>
      <c r="S447" s="10">
        <v>0</v>
      </c>
      <c r="T447" s="19">
        <v>0</v>
      </c>
      <c r="U447" s="19"/>
      <c r="V447">
        <f t="shared" si="13"/>
        <v>0</v>
      </c>
    </row>
    <row r="448" spans="1:22" x14ac:dyDescent="0.25">
      <c r="A448" s="27" t="s">
        <v>10</v>
      </c>
      <c r="B448" s="32" t="s">
        <v>784</v>
      </c>
      <c r="C448" s="1"/>
      <c r="D448" s="1"/>
      <c r="E448" s="1"/>
      <c r="F448" s="1"/>
      <c r="G448" s="1"/>
      <c r="H448" s="1"/>
      <c r="I448" s="1"/>
      <c r="J448" s="1"/>
      <c r="K448" s="1"/>
      <c r="M448" s="12">
        <v>300</v>
      </c>
      <c r="N448" s="12" t="s">
        <v>519</v>
      </c>
      <c r="O448" s="12">
        <v>357</v>
      </c>
      <c r="P448" s="12">
        <v>0</v>
      </c>
      <c r="Q448" s="12">
        <v>0</v>
      </c>
      <c r="R448" s="12">
        <v>0</v>
      </c>
      <c r="S448" s="12">
        <v>0</v>
      </c>
      <c r="T448" s="18">
        <v>0</v>
      </c>
      <c r="U448" s="18"/>
      <c r="V448">
        <f t="shared" si="13"/>
        <v>0</v>
      </c>
    </row>
    <row r="449" spans="1:22" x14ac:dyDescent="0.25">
      <c r="A449" s="27" t="s">
        <v>10</v>
      </c>
      <c r="B449" s="32" t="s">
        <v>785</v>
      </c>
      <c r="C449" s="1"/>
      <c r="D449" s="1"/>
      <c r="E449" s="1"/>
      <c r="F449" s="1"/>
      <c r="G449" s="1"/>
      <c r="H449" s="1"/>
      <c r="I449" s="1"/>
      <c r="J449" s="1"/>
      <c r="K449" s="1"/>
      <c r="M449" s="10">
        <v>712</v>
      </c>
      <c r="N449" s="10" t="s">
        <v>520</v>
      </c>
      <c r="O449" s="10">
        <v>2488</v>
      </c>
      <c r="P449" s="10">
        <v>0</v>
      </c>
      <c r="Q449" s="10">
        <v>0</v>
      </c>
      <c r="R449" s="10">
        <v>0</v>
      </c>
      <c r="S449" s="10">
        <v>0</v>
      </c>
      <c r="T449" s="19">
        <v>0</v>
      </c>
      <c r="U449" s="19"/>
      <c r="V449">
        <f t="shared" si="13"/>
        <v>0</v>
      </c>
    </row>
    <row r="450" spans="1:22" x14ac:dyDescent="0.25">
      <c r="A450" t="s">
        <v>10</v>
      </c>
      <c r="B450" s="1" t="s">
        <v>498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/>
      <c r="K450" s="1"/>
      <c r="M450" s="12">
        <v>114</v>
      </c>
      <c r="N450" s="12" t="s">
        <v>521</v>
      </c>
      <c r="O450" s="12">
        <v>13026</v>
      </c>
      <c r="P450" s="12">
        <v>0</v>
      </c>
      <c r="Q450" s="12">
        <v>0</v>
      </c>
      <c r="R450" s="12">
        <v>0</v>
      </c>
      <c r="S450" s="12">
        <v>0</v>
      </c>
      <c r="T450" s="18">
        <v>0</v>
      </c>
      <c r="U450" s="18"/>
      <c r="V450">
        <f t="shared" si="13"/>
        <v>0</v>
      </c>
    </row>
    <row r="451" spans="1:22" x14ac:dyDescent="0.25">
      <c r="A451" s="27" t="s">
        <v>10</v>
      </c>
      <c r="B451" s="32" t="s">
        <v>786</v>
      </c>
      <c r="C451" s="1"/>
      <c r="D451" s="1"/>
      <c r="E451" s="1"/>
      <c r="F451" s="1"/>
      <c r="G451" s="1"/>
      <c r="H451" s="1"/>
      <c r="I451" s="1"/>
      <c r="J451" s="1"/>
      <c r="K451" s="1"/>
      <c r="M451" s="10">
        <v>312</v>
      </c>
      <c r="N451" s="10" t="s">
        <v>522</v>
      </c>
      <c r="O451" s="10">
        <v>593</v>
      </c>
      <c r="P451" s="10">
        <v>0</v>
      </c>
      <c r="Q451" s="10">
        <v>0</v>
      </c>
      <c r="R451" s="10">
        <v>0</v>
      </c>
      <c r="S451" s="10">
        <v>0</v>
      </c>
      <c r="T451" s="19">
        <v>0</v>
      </c>
      <c r="U451" s="19"/>
      <c r="V451">
        <f t="shared" si="13"/>
        <v>0</v>
      </c>
    </row>
    <row r="452" spans="1:22" x14ac:dyDescent="0.25">
      <c r="A452" t="s">
        <v>10</v>
      </c>
      <c r="B452" s="1" t="s">
        <v>499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/>
      <c r="K452" s="1"/>
      <c r="M452" s="12">
        <v>616</v>
      </c>
      <c r="N452" s="12" t="s">
        <v>523</v>
      </c>
      <c r="O452" s="12">
        <v>5</v>
      </c>
      <c r="P452" s="12">
        <v>0</v>
      </c>
      <c r="Q452" s="12">
        <v>0</v>
      </c>
      <c r="R452" s="12">
        <v>0</v>
      </c>
      <c r="S452" s="12">
        <v>0</v>
      </c>
      <c r="T452" s="18">
        <v>0</v>
      </c>
      <c r="U452" s="18"/>
      <c r="V452">
        <f t="shared" si="13"/>
        <v>0</v>
      </c>
    </row>
    <row r="453" spans="1:22" x14ac:dyDescent="0.25">
      <c r="A453" t="s">
        <v>10</v>
      </c>
      <c r="B453" s="1" t="s">
        <v>500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/>
      <c r="K453" s="1"/>
      <c r="M453" s="10">
        <v>600</v>
      </c>
      <c r="N453" s="10" t="s">
        <v>524</v>
      </c>
      <c r="O453" s="10">
        <v>918</v>
      </c>
      <c r="P453" s="10">
        <v>0</v>
      </c>
      <c r="Q453" s="10">
        <v>0</v>
      </c>
      <c r="R453" s="10">
        <v>0</v>
      </c>
      <c r="S453" s="10">
        <v>0</v>
      </c>
      <c r="T453" s="19">
        <v>0</v>
      </c>
      <c r="U453" s="19"/>
      <c r="V453">
        <f t="shared" si="13"/>
        <v>0</v>
      </c>
    </row>
    <row r="454" spans="1:22" x14ac:dyDescent="0.25">
      <c r="A454" t="s">
        <v>76</v>
      </c>
      <c r="B454" t="s">
        <v>501</v>
      </c>
      <c r="C454" s="1">
        <v>4780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f>SUM(H454,I454)</f>
        <v>0</v>
      </c>
      <c r="K454" s="1"/>
      <c r="M454" s="12">
        <v>118</v>
      </c>
      <c r="N454" s="12" t="s">
        <v>525</v>
      </c>
      <c r="O454" s="12">
        <v>1117</v>
      </c>
      <c r="P454" s="12">
        <v>0</v>
      </c>
      <c r="Q454" s="12">
        <v>0</v>
      </c>
      <c r="R454" s="12">
        <v>0</v>
      </c>
      <c r="S454" s="12">
        <v>0</v>
      </c>
      <c r="T454" s="18">
        <v>0</v>
      </c>
      <c r="U454" s="18"/>
      <c r="V454">
        <f t="shared" si="13"/>
        <v>0</v>
      </c>
    </row>
    <row r="455" spans="1:22" x14ac:dyDescent="0.25">
      <c r="A455" t="s">
        <v>817</v>
      </c>
      <c r="B455" t="s">
        <v>502</v>
      </c>
      <c r="C455" s="1">
        <v>233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f>SUM(H455,I455)</f>
        <v>0</v>
      </c>
      <c r="K455" s="1"/>
      <c r="M455" s="10">
        <v>712</v>
      </c>
      <c r="N455" s="10" t="s">
        <v>526</v>
      </c>
      <c r="O455" s="10"/>
      <c r="P455" s="10"/>
      <c r="Q455" s="10"/>
      <c r="R455" s="10"/>
      <c r="S455" s="10"/>
      <c r="T455" s="19"/>
      <c r="U455" s="19"/>
      <c r="V455">
        <f t="shared" si="13"/>
        <v>0</v>
      </c>
    </row>
    <row r="456" spans="1:22" x14ac:dyDescent="0.25">
      <c r="A456" t="s">
        <v>831</v>
      </c>
      <c r="B456" t="s">
        <v>503</v>
      </c>
      <c r="C456" s="1">
        <v>927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f>SUM(H456,I456)</f>
        <v>0</v>
      </c>
      <c r="K456" s="1"/>
      <c r="M456" s="12">
        <v>171</v>
      </c>
      <c r="N456" s="12" t="s">
        <v>527</v>
      </c>
      <c r="O456" s="12">
        <v>1324</v>
      </c>
      <c r="P456" s="12">
        <v>0</v>
      </c>
      <c r="Q456" s="12">
        <v>0</v>
      </c>
      <c r="R456" s="12">
        <v>0</v>
      </c>
      <c r="S456" s="12">
        <v>0</v>
      </c>
      <c r="T456" s="18">
        <v>0</v>
      </c>
      <c r="U456" s="18"/>
      <c r="V456">
        <f t="shared" si="13"/>
        <v>0</v>
      </c>
    </row>
    <row r="457" spans="1:22" x14ac:dyDescent="0.25">
      <c r="A457" t="s">
        <v>76</v>
      </c>
      <c r="B457" t="s">
        <v>504</v>
      </c>
      <c r="C457" s="1">
        <v>5168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f>SUM(H457,I457)</f>
        <v>0</v>
      </c>
      <c r="K457" s="1"/>
      <c r="M457" s="10">
        <v>712</v>
      </c>
      <c r="N457" s="10" t="s">
        <v>528</v>
      </c>
      <c r="O457" s="10">
        <v>411</v>
      </c>
      <c r="P457" s="10">
        <v>0</v>
      </c>
      <c r="Q457" s="10">
        <v>0</v>
      </c>
      <c r="R457" s="10">
        <v>0</v>
      </c>
      <c r="S457" s="10">
        <v>0</v>
      </c>
      <c r="T457" s="19">
        <v>0</v>
      </c>
      <c r="U457" s="19"/>
      <c r="V457">
        <f t="shared" si="13"/>
        <v>0</v>
      </c>
    </row>
    <row r="458" spans="1:22" x14ac:dyDescent="0.25">
      <c r="A458" t="s">
        <v>817</v>
      </c>
      <c r="B458" t="s">
        <v>505</v>
      </c>
      <c r="C458" s="1"/>
      <c r="D458" s="1"/>
      <c r="E458" s="1"/>
      <c r="F458" s="1"/>
      <c r="G458" s="1"/>
      <c r="H458" s="1"/>
      <c r="I458" s="1"/>
      <c r="J458" s="1"/>
      <c r="K458" s="1"/>
      <c r="M458" s="12">
        <v>711</v>
      </c>
      <c r="N458" s="12" t="s">
        <v>529</v>
      </c>
      <c r="O458" s="12"/>
      <c r="P458" s="12"/>
      <c r="Q458" s="12"/>
      <c r="R458" s="12"/>
      <c r="S458" s="12"/>
      <c r="T458" s="18"/>
      <c r="U458" s="18"/>
      <c r="V458">
        <f t="shared" si="13"/>
        <v>0</v>
      </c>
    </row>
    <row r="459" spans="1:22" x14ac:dyDescent="0.25">
      <c r="A459" s="9" t="s">
        <v>824</v>
      </c>
      <c r="B459" s="10" t="s">
        <v>506</v>
      </c>
      <c r="C459" s="1">
        <v>1652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f t="shared" ref="J459:J466" si="15">SUM(H459,I459)</f>
        <v>0</v>
      </c>
      <c r="K459" s="1"/>
      <c r="M459" s="10">
        <v>116</v>
      </c>
      <c r="N459" s="10" t="s">
        <v>530</v>
      </c>
      <c r="O459" s="10">
        <v>41267</v>
      </c>
      <c r="P459" s="10">
        <v>0</v>
      </c>
      <c r="Q459" s="10">
        <v>0</v>
      </c>
      <c r="R459" s="10">
        <v>0</v>
      </c>
      <c r="S459" s="10">
        <v>0</v>
      </c>
      <c r="T459" s="19">
        <v>0</v>
      </c>
      <c r="U459" s="19"/>
      <c r="V459">
        <f t="shared" si="13"/>
        <v>0</v>
      </c>
    </row>
    <row r="460" spans="1:22" x14ac:dyDescent="0.25">
      <c r="A460" t="s">
        <v>817</v>
      </c>
      <c r="B460" t="s">
        <v>507</v>
      </c>
      <c r="C460" s="1">
        <v>2462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f t="shared" si="15"/>
        <v>0</v>
      </c>
      <c r="K460" s="1"/>
      <c r="M460" s="12">
        <v>161</v>
      </c>
      <c r="N460" s="12" t="s">
        <v>531</v>
      </c>
      <c r="O460" s="12">
        <v>667</v>
      </c>
      <c r="P460" s="12">
        <v>0</v>
      </c>
      <c r="Q460" s="12">
        <v>0</v>
      </c>
      <c r="R460" s="12">
        <v>0</v>
      </c>
      <c r="S460" s="12">
        <v>0</v>
      </c>
      <c r="T460" s="18">
        <v>0</v>
      </c>
      <c r="U460" s="18"/>
      <c r="V460">
        <f t="shared" si="13"/>
        <v>0</v>
      </c>
    </row>
    <row r="461" spans="1:22" x14ac:dyDescent="0.25">
      <c r="A461" t="s">
        <v>817</v>
      </c>
      <c r="B461" t="s">
        <v>508</v>
      </c>
      <c r="C461" s="1">
        <v>1163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f t="shared" si="15"/>
        <v>0</v>
      </c>
      <c r="K461" s="1"/>
      <c r="M461" s="10">
        <v>500</v>
      </c>
      <c r="N461" s="10" t="s">
        <v>532</v>
      </c>
      <c r="O461" s="10">
        <v>4002</v>
      </c>
      <c r="P461" s="10">
        <v>0</v>
      </c>
      <c r="Q461" s="10">
        <v>0</v>
      </c>
      <c r="R461" s="10">
        <v>0</v>
      </c>
      <c r="S461" s="10">
        <v>0</v>
      </c>
      <c r="T461" s="19">
        <v>0</v>
      </c>
      <c r="U461" s="19"/>
      <c r="V461">
        <f t="shared" si="13"/>
        <v>0</v>
      </c>
    </row>
    <row r="462" spans="1:22" x14ac:dyDescent="0.25">
      <c r="A462" t="s">
        <v>801</v>
      </c>
      <c r="B462" t="s">
        <v>509</v>
      </c>
      <c r="C462" s="1">
        <v>393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f t="shared" si="15"/>
        <v>0</v>
      </c>
      <c r="K462" s="1"/>
      <c r="M462" s="12">
        <v>712</v>
      </c>
      <c r="N462" s="12" t="s">
        <v>533</v>
      </c>
      <c r="O462" s="12">
        <v>489</v>
      </c>
      <c r="P462" s="12">
        <v>0</v>
      </c>
      <c r="Q462" s="12">
        <v>0</v>
      </c>
      <c r="R462" s="12">
        <v>0</v>
      </c>
      <c r="S462" s="12">
        <v>0</v>
      </c>
      <c r="T462" s="18">
        <v>0</v>
      </c>
      <c r="U462" s="18"/>
      <c r="V462">
        <f t="shared" si="13"/>
        <v>0</v>
      </c>
    </row>
    <row r="463" spans="1:22" x14ac:dyDescent="0.25">
      <c r="A463" t="s">
        <v>801</v>
      </c>
      <c r="B463" t="s">
        <v>510</v>
      </c>
      <c r="C463" s="1">
        <v>8621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f t="shared" si="15"/>
        <v>0</v>
      </c>
      <c r="K463" s="1"/>
      <c r="M463" s="10">
        <v>511</v>
      </c>
      <c r="N463" s="10" t="s">
        <v>534</v>
      </c>
      <c r="O463" s="10">
        <v>3076</v>
      </c>
      <c r="P463" s="10">
        <v>0</v>
      </c>
      <c r="Q463" s="10">
        <v>0</v>
      </c>
      <c r="R463" s="10">
        <v>0</v>
      </c>
      <c r="S463" s="10">
        <v>0</v>
      </c>
      <c r="T463" s="19">
        <v>0</v>
      </c>
      <c r="U463" s="19"/>
      <c r="V463">
        <f t="shared" si="13"/>
        <v>0</v>
      </c>
    </row>
    <row r="464" spans="1:22" x14ac:dyDescent="0.25">
      <c r="A464" t="s">
        <v>831</v>
      </c>
      <c r="B464" t="s">
        <v>511</v>
      </c>
      <c r="C464" s="1">
        <v>583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f t="shared" si="15"/>
        <v>0</v>
      </c>
      <c r="K464" s="1"/>
      <c r="M464" s="12">
        <v>110</v>
      </c>
      <c r="N464" s="12" t="s">
        <v>535</v>
      </c>
      <c r="O464" s="12"/>
      <c r="P464" s="12"/>
      <c r="Q464" s="12"/>
      <c r="R464" s="12"/>
      <c r="S464" s="12"/>
      <c r="T464" s="18"/>
      <c r="U464" s="18"/>
      <c r="V464">
        <f t="shared" si="13"/>
        <v>0</v>
      </c>
    </row>
    <row r="465" spans="1:22" x14ac:dyDescent="0.25">
      <c r="A465" t="s">
        <v>512</v>
      </c>
      <c r="B465" t="s">
        <v>513</v>
      </c>
      <c r="C465" s="1">
        <v>2271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f t="shared" si="15"/>
        <v>0</v>
      </c>
      <c r="K465" s="1"/>
      <c r="M465" s="10">
        <v>311</v>
      </c>
      <c r="N465" s="10" t="s">
        <v>536</v>
      </c>
      <c r="O465" s="10">
        <v>1837</v>
      </c>
      <c r="P465" s="10">
        <v>0</v>
      </c>
      <c r="Q465" s="10">
        <v>0</v>
      </c>
      <c r="R465" s="10">
        <v>0</v>
      </c>
      <c r="S465" s="10">
        <v>0</v>
      </c>
      <c r="T465" s="19">
        <v>0</v>
      </c>
      <c r="U465" s="19"/>
      <c r="V465">
        <f t="shared" si="13"/>
        <v>0</v>
      </c>
    </row>
    <row r="466" spans="1:22" x14ac:dyDescent="0.25">
      <c r="A466" t="s">
        <v>817</v>
      </c>
      <c r="B466" t="s">
        <v>514</v>
      </c>
      <c r="C466" s="1">
        <v>2687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f t="shared" si="15"/>
        <v>0</v>
      </c>
      <c r="K466" s="1"/>
      <c r="M466" s="12">
        <v>616</v>
      </c>
      <c r="N466" s="12" t="s">
        <v>537</v>
      </c>
      <c r="O466" s="12">
        <v>16452</v>
      </c>
      <c r="P466" s="12">
        <v>0</v>
      </c>
      <c r="Q466" s="12">
        <v>0</v>
      </c>
      <c r="R466" s="12">
        <v>0</v>
      </c>
      <c r="S466" s="12">
        <v>0</v>
      </c>
      <c r="T466" s="18">
        <v>0</v>
      </c>
      <c r="U466" s="18"/>
      <c r="V466">
        <f t="shared" si="13"/>
        <v>0</v>
      </c>
    </row>
    <row r="467" spans="1:22" x14ac:dyDescent="0.25">
      <c r="A467" t="s">
        <v>801</v>
      </c>
      <c r="B467" t="s">
        <v>515</v>
      </c>
      <c r="C467" s="1"/>
      <c r="D467" s="1"/>
      <c r="E467" s="1"/>
      <c r="F467" s="1"/>
      <c r="G467" s="1"/>
      <c r="H467" s="1"/>
      <c r="I467" s="1"/>
      <c r="J467" s="1"/>
      <c r="K467" s="1"/>
      <c r="M467" s="10">
        <v>111</v>
      </c>
      <c r="N467" s="10" t="s">
        <v>538</v>
      </c>
      <c r="O467" s="10">
        <v>37723</v>
      </c>
      <c r="P467" s="10">
        <v>0</v>
      </c>
      <c r="Q467" s="10">
        <v>0</v>
      </c>
      <c r="R467" s="10">
        <v>0</v>
      </c>
      <c r="S467" s="10">
        <v>0</v>
      </c>
      <c r="T467" s="19">
        <v>0</v>
      </c>
      <c r="U467" s="19"/>
      <c r="V467">
        <f t="shared" si="13"/>
        <v>0</v>
      </c>
    </row>
    <row r="468" spans="1:22" x14ac:dyDescent="0.25">
      <c r="A468" t="s">
        <v>848</v>
      </c>
      <c r="B468" t="s">
        <v>516</v>
      </c>
      <c r="C468" s="1"/>
      <c r="D468" s="1"/>
      <c r="E468" s="1"/>
      <c r="F468" s="1"/>
      <c r="G468" s="1"/>
      <c r="H468" s="1"/>
      <c r="I468" s="1"/>
      <c r="J468" s="1"/>
      <c r="K468" s="1"/>
      <c r="M468" s="12">
        <v>616</v>
      </c>
      <c r="N468" s="12" t="s">
        <v>539</v>
      </c>
      <c r="O468" s="12">
        <v>2510</v>
      </c>
      <c r="P468" s="12">
        <v>0</v>
      </c>
      <c r="Q468" s="12">
        <v>0</v>
      </c>
      <c r="R468" s="12">
        <v>0</v>
      </c>
      <c r="S468" s="12">
        <v>0</v>
      </c>
      <c r="T468" s="18">
        <v>0</v>
      </c>
      <c r="U468" s="18"/>
      <c r="V468">
        <f t="shared" si="13"/>
        <v>0</v>
      </c>
    </row>
    <row r="469" spans="1:22" x14ac:dyDescent="0.25">
      <c r="A469" t="s">
        <v>797</v>
      </c>
      <c r="B469" t="s">
        <v>517</v>
      </c>
      <c r="C469" s="1"/>
      <c r="D469" s="1"/>
      <c r="E469" s="1"/>
      <c r="F469" s="1"/>
      <c r="G469" s="1"/>
      <c r="H469" s="1"/>
      <c r="I469" s="1"/>
      <c r="J469" s="1"/>
      <c r="K469" s="1"/>
      <c r="M469" s="10">
        <v>611</v>
      </c>
      <c r="N469" s="10" t="s">
        <v>540</v>
      </c>
      <c r="O469" s="10">
        <v>1155</v>
      </c>
      <c r="P469" s="10">
        <v>0</v>
      </c>
      <c r="Q469" s="10">
        <v>0</v>
      </c>
      <c r="R469" s="10">
        <v>0</v>
      </c>
      <c r="S469" s="10">
        <v>0</v>
      </c>
      <c r="T469" s="19">
        <v>0</v>
      </c>
      <c r="U469" s="19"/>
      <c r="V469">
        <f t="shared" ref="V469:V532" si="16">SUM(T469:U469)</f>
        <v>0</v>
      </c>
    </row>
    <row r="470" spans="1:22" x14ac:dyDescent="0.25">
      <c r="A470" t="s">
        <v>811</v>
      </c>
      <c r="B470" t="s">
        <v>518</v>
      </c>
      <c r="C470" s="1"/>
      <c r="D470" s="1"/>
      <c r="E470" s="1"/>
      <c r="F470" s="1"/>
      <c r="G470" s="1"/>
      <c r="H470" s="1"/>
      <c r="I470" s="1"/>
      <c r="J470" s="1"/>
      <c r="K470" s="1"/>
      <c r="M470" s="12">
        <v>616</v>
      </c>
      <c r="N470" s="12" t="s">
        <v>541</v>
      </c>
      <c r="O470" s="12"/>
      <c r="P470" s="12"/>
      <c r="Q470" s="12"/>
      <c r="R470" s="12"/>
      <c r="S470" s="12"/>
      <c r="T470" s="18"/>
      <c r="U470" s="18"/>
      <c r="V470">
        <f t="shared" si="16"/>
        <v>0</v>
      </c>
    </row>
    <row r="471" spans="1:22" x14ac:dyDescent="0.25">
      <c r="A471" t="s">
        <v>226</v>
      </c>
      <c r="B471" t="s">
        <v>519</v>
      </c>
      <c r="C471" s="1"/>
      <c r="D471" s="1"/>
      <c r="E471" s="1"/>
      <c r="F471" s="1"/>
      <c r="G471" s="1"/>
      <c r="H471" s="1"/>
      <c r="I471" s="1"/>
      <c r="J471" s="1"/>
      <c r="K471" s="1"/>
      <c r="M471" s="10">
        <v>312</v>
      </c>
      <c r="N471" s="10" t="s">
        <v>542</v>
      </c>
      <c r="O471" s="10">
        <v>9191</v>
      </c>
      <c r="P471" s="10">
        <v>0</v>
      </c>
      <c r="Q471" s="10">
        <v>0</v>
      </c>
      <c r="R471" s="10">
        <v>0</v>
      </c>
      <c r="S471" s="10">
        <v>0</v>
      </c>
      <c r="T471" s="19">
        <v>0</v>
      </c>
      <c r="U471" s="19"/>
      <c r="V471">
        <f t="shared" si="16"/>
        <v>0</v>
      </c>
    </row>
    <row r="472" spans="1:22" x14ac:dyDescent="0.25">
      <c r="A472" t="s">
        <v>76</v>
      </c>
      <c r="B472" t="s">
        <v>520</v>
      </c>
      <c r="C472" s="1">
        <v>2488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f>SUM(H472,I472)</f>
        <v>0</v>
      </c>
      <c r="K472" s="1"/>
      <c r="M472" s="12">
        <v>116</v>
      </c>
      <c r="N472" s="12" t="s">
        <v>543</v>
      </c>
      <c r="O472" s="12">
        <v>8164</v>
      </c>
      <c r="P472" s="12">
        <v>0</v>
      </c>
      <c r="Q472" s="12">
        <v>0</v>
      </c>
      <c r="R472" s="12">
        <v>0</v>
      </c>
      <c r="S472" s="12">
        <v>0</v>
      </c>
      <c r="T472" s="18">
        <v>0</v>
      </c>
      <c r="U472" s="18"/>
      <c r="V472">
        <f t="shared" si="16"/>
        <v>0</v>
      </c>
    </row>
    <row r="473" spans="1:22" x14ac:dyDescent="0.25">
      <c r="A473" t="s">
        <v>831</v>
      </c>
      <c r="B473" t="s">
        <v>521</v>
      </c>
      <c r="C473" s="1">
        <v>13026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f>SUM(H473,I473)</f>
        <v>0</v>
      </c>
      <c r="K473" s="1"/>
      <c r="M473" s="10">
        <v>700</v>
      </c>
      <c r="N473" s="10" t="s">
        <v>544</v>
      </c>
      <c r="O473" s="10">
        <v>347</v>
      </c>
      <c r="P473" s="10">
        <v>0</v>
      </c>
      <c r="Q473" s="10">
        <v>0</v>
      </c>
      <c r="R473" s="10">
        <v>0</v>
      </c>
      <c r="S473" s="10">
        <v>0</v>
      </c>
      <c r="T473" s="19">
        <v>0</v>
      </c>
      <c r="U473" s="19"/>
      <c r="V473">
        <f t="shared" si="16"/>
        <v>0</v>
      </c>
    </row>
    <row r="474" spans="1:22" x14ac:dyDescent="0.25">
      <c r="A474" t="s">
        <v>72</v>
      </c>
      <c r="B474" t="s">
        <v>522</v>
      </c>
      <c r="C474" s="1">
        <v>593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f>SUM(H474,I474)</f>
        <v>0</v>
      </c>
      <c r="K474" s="1"/>
      <c r="M474" s="12">
        <v>514</v>
      </c>
      <c r="N474" s="12" t="s">
        <v>545</v>
      </c>
      <c r="O474" s="12">
        <v>2179</v>
      </c>
      <c r="P474" s="12">
        <v>0</v>
      </c>
      <c r="Q474" s="12">
        <v>0</v>
      </c>
      <c r="R474" s="12">
        <v>0</v>
      </c>
      <c r="S474" s="12">
        <v>0</v>
      </c>
      <c r="T474" s="18">
        <v>0</v>
      </c>
      <c r="U474" s="18"/>
      <c r="V474">
        <f t="shared" si="16"/>
        <v>0</v>
      </c>
    </row>
    <row r="475" spans="1:22" x14ac:dyDescent="0.25">
      <c r="A475" t="s">
        <v>823</v>
      </c>
      <c r="B475" t="s">
        <v>523</v>
      </c>
      <c r="C475" s="1"/>
      <c r="D475" s="1"/>
      <c r="E475" s="1"/>
      <c r="F475" s="1"/>
      <c r="G475" s="1"/>
      <c r="H475" s="1"/>
      <c r="I475" s="1"/>
      <c r="J475" s="1"/>
      <c r="K475" s="1"/>
      <c r="M475" s="10">
        <v>712</v>
      </c>
      <c r="N475" s="10" t="s">
        <v>546</v>
      </c>
      <c r="O475" s="10">
        <v>400</v>
      </c>
      <c r="P475" s="10">
        <v>0</v>
      </c>
      <c r="Q475" s="10">
        <v>0</v>
      </c>
      <c r="R475" s="10">
        <v>0</v>
      </c>
      <c r="S475" s="10">
        <v>0</v>
      </c>
      <c r="T475" s="19">
        <v>0</v>
      </c>
      <c r="U475" s="19"/>
      <c r="V475">
        <f t="shared" si="16"/>
        <v>0</v>
      </c>
    </row>
    <row r="476" spans="1:22" x14ac:dyDescent="0.25">
      <c r="A476" t="s">
        <v>248</v>
      </c>
      <c r="B476" t="s">
        <v>524</v>
      </c>
      <c r="C476" s="1"/>
      <c r="D476" s="1"/>
      <c r="E476" s="1"/>
      <c r="F476" s="1"/>
      <c r="G476" s="1"/>
      <c r="H476" s="1"/>
      <c r="I476" s="1"/>
      <c r="J476" s="1"/>
      <c r="K476" s="1"/>
      <c r="M476" s="12">
        <v>613</v>
      </c>
      <c r="N476" s="12" t="s">
        <v>547</v>
      </c>
      <c r="O476" s="12"/>
      <c r="P476" s="12"/>
      <c r="Q476" s="12"/>
      <c r="R476" s="12"/>
      <c r="S476" s="12"/>
      <c r="T476" s="18"/>
      <c r="U476" s="18"/>
      <c r="V476">
        <f t="shared" si="16"/>
        <v>0</v>
      </c>
    </row>
    <row r="477" spans="1:22" x14ac:dyDescent="0.25">
      <c r="A477" t="s">
        <v>231</v>
      </c>
      <c r="B477" t="s">
        <v>525</v>
      </c>
      <c r="C477" s="1"/>
      <c r="D477" s="1"/>
      <c r="E477" s="1"/>
      <c r="F477" s="1"/>
      <c r="G477" s="1"/>
      <c r="H477" s="1"/>
      <c r="I477" s="1"/>
      <c r="J477" s="1"/>
      <c r="K477" s="1"/>
      <c r="M477" s="10">
        <v>412</v>
      </c>
      <c r="N477" s="10" t="s">
        <v>548</v>
      </c>
      <c r="O477" s="10"/>
      <c r="P477" s="10"/>
      <c r="Q477" s="10"/>
      <c r="R477" s="10"/>
      <c r="S477" s="10"/>
      <c r="T477" s="19"/>
      <c r="U477" s="19"/>
      <c r="V477">
        <f t="shared" si="16"/>
        <v>0</v>
      </c>
    </row>
    <row r="478" spans="1:22" x14ac:dyDescent="0.25">
      <c r="A478" t="s">
        <v>76</v>
      </c>
      <c r="B478" s="5" t="s">
        <v>526</v>
      </c>
      <c r="C478" s="6"/>
      <c r="D478" s="6"/>
      <c r="E478" s="6"/>
      <c r="F478" s="6"/>
      <c r="G478" s="6"/>
      <c r="H478" s="6"/>
      <c r="I478" s="6"/>
      <c r="J478" s="6"/>
      <c r="K478" s="6"/>
      <c r="M478" s="12">
        <v>312</v>
      </c>
      <c r="N478" s="12" t="s">
        <v>549</v>
      </c>
      <c r="O478" s="12">
        <v>13136</v>
      </c>
      <c r="P478" s="12">
        <v>0</v>
      </c>
      <c r="Q478" s="12">
        <v>0</v>
      </c>
      <c r="R478" s="12">
        <v>0</v>
      </c>
      <c r="S478" s="12">
        <v>0</v>
      </c>
      <c r="T478" s="18">
        <v>0</v>
      </c>
      <c r="U478" s="18"/>
      <c r="V478">
        <f t="shared" si="16"/>
        <v>0</v>
      </c>
    </row>
    <row r="479" spans="1:22" x14ac:dyDescent="0.25">
      <c r="A479" t="s">
        <v>804</v>
      </c>
      <c r="B479" t="s">
        <v>527</v>
      </c>
      <c r="C479" s="1">
        <v>1324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f>SUM(H479,I479)</f>
        <v>0</v>
      </c>
      <c r="K479" s="1"/>
      <c r="M479" s="10">
        <v>514</v>
      </c>
      <c r="N479" s="10" t="s">
        <v>550</v>
      </c>
      <c r="O479" s="10">
        <v>5957</v>
      </c>
      <c r="P479" s="10">
        <v>0</v>
      </c>
      <c r="Q479" s="10">
        <v>0</v>
      </c>
      <c r="R479" s="10">
        <v>0</v>
      </c>
      <c r="S479" s="10">
        <v>0</v>
      </c>
      <c r="T479" s="19">
        <v>0</v>
      </c>
      <c r="U479" s="19"/>
      <c r="V479">
        <f t="shared" si="16"/>
        <v>0</v>
      </c>
    </row>
    <row r="480" spans="1:22" x14ac:dyDescent="0.25">
      <c r="A480" t="s">
        <v>76</v>
      </c>
      <c r="B480" t="s">
        <v>528</v>
      </c>
      <c r="C480" s="1">
        <v>411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f>SUM(H480,I480)</f>
        <v>0</v>
      </c>
      <c r="K480" s="1"/>
      <c r="M480" s="12">
        <v>116</v>
      </c>
      <c r="N480" s="12" t="s">
        <v>551</v>
      </c>
      <c r="O480" s="12">
        <v>1708</v>
      </c>
      <c r="P480" s="12">
        <v>0</v>
      </c>
      <c r="Q480" s="12">
        <v>0</v>
      </c>
      <c r="R480" s="12">
        <v>0</v>
      </c>
      <c r="S480" s="12">
        <v>0</v>
      </c>
      <c r="T480" s="18">
        <v>0</v>
      </c>
      <c r="U480" s="18"/>
      <c r="V480">
        <f t="shared" si="16"/>
        <v>0</v>
      </c>
    </row>
    <row r="481" spans="1:22" x14ac:dyDescent="0.25">
      <c r="A481" t="s">
        <v>801</v>
      </c>
      <c r="B481" t="s">
        <v>529</v>
      </c>
      <c r="C481" s="1"/>
      <c r="D481" s="1"/>
      <c r="E481" s="1"/>
      <c r="F481" s="1"/>
      <c r="G481" s="1"/>
      <c r="H481" s="1"/>
      <c r="I481" s="1"/>
      <c r="J481" s="1"/>
      <c r="K481" s="1"/>
      <c r="M481" s="10">
        <v>712</v>
      </c>
      <c r="N481" s="10" t="s">
        <v>552</v>
      </c>
      <c r="O481" s="10">
        <v>908</v>
      </c>
      <c r="P481" s="10">
        <v>0</v>
      </c>
      <c r="Q481" s="10">
        <v>0</v>
      </c>
      <c r="R481" s="10">
        <v>0</v>
      </c>
      <c r="S481" s="10">
        <v>0</v>
      </c>
      <c r="T481" s="19">
        <v>0</v>
      </c>
      <c r="U481" s="19"/>
      <c r="V481">
        <f t="shared" si="16"/>
        <v>0</v>
      </c>
    </row>
    <row r="482" spans="1:22" x14ac:dyDescent="0.25">
      <c r="A482" t="s">
        <v>795</v>
      </c>
      <c r="B482" t="s">
        <v>530</v>
      </c>
      <c r="C482" s="1">
        <v>41267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f>SUM(H482,I482)</f>
        <v>0</v>
      </c>
      <c r="K482" s="1"/>
      <c r="M482" s="12">
        <v>500</v>
      </c>
      <c r="N482" s="12" t="s">
        <v>553</v>
      </c>
      <c r="O482" s="12">
        <v>381</v>
      </c>
      <c r="P482" s="12">
        <v>0</v>
      </c>
      <c r="Q482" s="12">
        <v>0</v>
      </c>
      <c r="R482" s="12">
        <v>0</v>
      </c>
      <c r="S482" s="12">
        <v>0</v>
      </c>
      <c r="T482" s="18">
        <v>0</v>
      </c>
      <c r="U482" s="18"/>
      <c r="V482">
        <f t="shared" si="16"/>
        <v>0</v>
      </c>
    </row>
    <row r="483" spans="1:22" x14ac:dyDescent="0.25">
      <c r="A483" t="s">
        <v>848</v>
      </c>
      <c r="B483" t="s">
        <v>531</v>
      </c>
      <c r="C483" s="1"/>
      <c r="D483" s="1"/>
      <c r="E483" s="1"/>
      <c r="F483" s="1"/>
      <c r="G483" s="1"/>
      <c r="H483" s="1"/>
      <c r="I483" s="1"/>
      <c r="J483" s="1"/>
      <c r="K483" s="1"/>
      <c r="M483" s="10">
        <v>313</v>
      </c>
      <c r="N483" s="10" t="s">
        <v>554</v>
      </c>
      <c r="O483" s="10">
        <v>5387</v>
      </c>
      <c r="P483" s="10">
        <v>0</v>
      </c>
      <c r="Q483" s="10">
        <v>0</v>
      </c>
      <c r="R483" s="10">
        <v>0</v>
      </c>
      <c r="S483" s="10">
        <v>0</v>
      </c>
      <c r="T483" s="19">
        <v>0</v>
      </c>
      <c r="U483" s="19"/>
      <c r="V483">
        <f t="shared" si="16"/>
        <v>0</v>
      </c>
    </row>
    <row r="484" spans="1:22" x14ac:dyDescent="0.25">
      <c r="A484" t="s">
        <v>824</v>
      </c>
      <c r="B484" t="s">
        <v>532</v>
      </c>
      <c r="C484" s="1">
        <v>4002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f>SUM(H484,I484)</f>
        <v>0</v>
      </c>
      <c r="K484" s="1"/>
      <c r="M484" s="12">
        <v>610</v>
      </c>
      <c r="N484" s="12" t="s">
        <v>555</v>
      </c>
      <c r="O484" s="12">
        <v>43886</v>
      </c>
      <c r="P484" s="12">
        <v>0</v>
      </c>
      <c r="Q484" s="12">
        <v>0</v>
      </c>
      <c r="R484" s="12">
        <v>0</v>
      </c>
      <c r="S484" s="12">
        <v>0</v>
      </c>
      <c r="T484" s="18">
        <v>0</v>
      </c>
      <c r="U484" s="18"/>
      <c r="V484">
        <f t="shared" si="16"/>
        <v>0</v>
      </c>
    </row>
    <row r="485" spans="1:22" x14ac:dyDescent="0.25">
      <c r="A485" t="s">
        <v>76</v>
      </c>
      <c r="B485" t="s">
        <v>533</v>
      </c>
      <c r="C485" s="1">
        <v>489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f>SUM(H485,I485)</f>
        <v>0</v>
      </c>
      <c r="K485" s="1"/>
      <c r="M485" s="10">
        <v>511</v>
      </c>
      <c r="N485" s="10" t="s">
        <v>556</v>
      </c>
      <c r="O485" s="10">
        <v>10205</v>
      </c>
      <c r="P485" s="10">
        <v>0</v>
      </c>
      <c r="Q485" s="10">
        <v>0</v>
      </c>
      <c r="R485" s="10">
        <v>0</v>
      </c>
      <c r="S485" s="10">
        <v>0</v>
      </c>
      <c r="T485" s="19">
        <v>0</v>
      </c>
      <c r="U485" s="19"/>
      <c r="V485">
        <f t="shared" si="16"/>
        <v>0</v>
      </c>
    </row>
    <row r="486" spans="1:22" x14ac:dyDescent="0.25">
      <c r="A486" t="s">
        <v>101</v>
      </c>
      <c r="B486" t="s">
        <v>534</v>
      </c>
      <c r="C486" s="1">
        <v>3076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f>SUM(H486,I486)</f>
        <v>0</v>
      </c>
      <c r="K486" s="1"/>
      <c r="M486" s="12">
        <v>713</v>
      </c>
      <c r="N486" s="12" t="s">
        <v>557</v>
      </c>
      <c r="O486" s="12">
        <v>441</v>
      </c>
      <c r="P486" s="12">
        <v>0</v>
      </c>
      <c r="Q486" s="12">
        <v>0</v>
      </c>
      <c r="R486" s="12">
        <v>0</v>
      </c>
      <c r="S486" s="12">
        <v>0</v>
      </c>
      <c r="T486" s="18">
        <v>0</v>
      </c>
      <c r="U486" s="18"/>
      <c r="V486">
        <f t="shared" si="16"/>
        <v>0</v>
      </c>
    </row>
    <row r="487" spans="1:22" x14ac:dyDescent="0.25">
      <c r="A487" t="s">
        <v>797</v>
      </c>
      <c r="B487" t="s">
        <v>535</v>
      </c>
      <c r="C487" s="1"/>
      <c r="D487" s="1"/>
      <c r="E487" s="1"/>
      <c r="F487" s="1"/>
      <c r="G487" s="1"/>
      <c r="H487" s="1"/>
      <c r="I487" s="1"/>
      <c r="J487" s="1"/>
      <c r="K487" s="1"/>
      <c r="M487" s="10">
        <v>616</v>
      </c>
      <c r="N487" s="10" t="s">
        <v>558</v>
      </c>
      <c r="O487" s="10">
        <v>1777</v>
      </c>
      <c r="P487" s="10">
        <v>0</v>
      </c>
      <c r="Q487" s="10">
        <v>0</v>
      </c>
      <c r="R487" s="10">
        <v>0</v>
      </c>
      <c r="S487" s="10">
        <v>0</v>
      </c>
      <c r="T487" s="19">
        <v>0</v>
      </c>
      <c r="U487" s="19"/>
      <c r="V487">
        <f t="shared" si="16"/>
        <v>0</v>
      </c>
    </row>
    <row r="488" spans="1:22" x14ac:dyDescent="0.25">
      <c r="A488" t="s">
        <v>120</v>
      </c>
      <c r="B488" t="s">
        <v>536</v>
      </c>
      <c r="C488" s="1">
        <v>1837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f>SUM(H488,I488)</f>
        <v>0</v>
      </c>
      <c r="K488" s="1"/>
      <c r="M488" s="12">
        <v>712</v>
      </c>
      <c r="N488" s="12" t="s">
        <v>559</v>
      </c>
      <c r="O488" s="12">
        <v>1144</v>
      </c>
      <c r="P488" s="12">
        <v>0</v>
      </c>
      <c r="Q488" s="12">
        <v>0</v>
      </c>
      <c r="R488" s="12">
        <v>0</v>
      </c>
      <c r="S488" s="12">
        <v>0</v>
      </c>
      <c r="T488" s="18">
        <v>0</v>
      </c>
      <c r="U488" s="18"/>
      <c r="V488">
        <f t="shared" si="16"/>
        <v>0</v>
      </c>
    </row>
    <row r="489" spans="1:22" x14ac:dyDescent="0.25">
      <c r="A489" t="s">
        <v>817</v>
      </c>
      <c r="B489" t="s">
        <v>537</v>
      </c>
      <c r="C489" s="1">
        <v>16452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f>SUM(H489,I489)</f>
        <v>0</v>
      </c>
      <c r="K489" s="1"/>
      <c r="M489" s="10">
        <v>711</v>
      </c>
      <c r="N489" s="10" t="s">
        <v>560</v>
      </c>
      <c r="O489" s="10"/>
      <c r="P489" s="10"/>
      <c r="Q489" s="10"/>
      <c r="R489" s="10"/>
      <c r="S489" s="10"/>
      <c r="T489" s="19"/>
      <c r="U489" s="19"/>
      <c r="V489">
        <f t="shared" si="16"/>
        <v>0</v>
      </c>
    </row>
    <row r="490" spans="1:22" x14ac:dyDescent="0.25">
      <c r="A490" t="s">
        <v>811</v>
      </c>
      <c r="B490" t="s">
        <v>538</v>
      </c>
      <c r="C490" s="1"/>
      <c r="D490" s="1"/>
      <c r="E490" s="1"/>
      <c r="F490" s="1"/>
      <c r="G490" s="1"/>
      <c r="H490" s="1"/>
      <c r="I490" s="1"/>
      <c r="J490" s="1"/>
      <c r="K490" s="1"/>
      <c r="M490" s="12">
        <v>713</v>
      </c>
      <c r="N490" s="12" t="s">
        <v>561</v>
      </c>
      <c r="O490" s="12">
        <v>1635</v>
      </c>
      <c r="P490" s="12">
        <v>0</v>
      </c>
      <c r="Q490" s="12">
        <v>0</v>
      </c>
      <c r="R490" s="12">
        <v>0</v>
      </c>
      <c r="S490" s="12">
        <v>0</v>
      </c>
      <c r="T490" s="18">
        <v>0</v>
      </c>
      <c r="U490" s="18"/>
      <c r="V490">
        <f t="shared" si="16"/>
        <v>0</v>
      </c>
    </row>
    <row r="491" spans="1:22" x14ac:dyDescent="0.25">
      <c r="A491" t="s">
        <v>817</v>
      </c>
      <c r="B491" t="s">
        <v>539</v>
      </c>
      <c r="C491" s="1">
        <v>2510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f>SUM(H491,I491)</f>
        <v>0</v>
      </c>
      <c r="K491" s="1"/>
      <c r="M491" s="10">
        <v>616</v>
      </c>
      <c r="N491" s="10" t="s">
        <v>562</v>
      </c>
      <c r="O491" s="10">
        <v>2556</v>
      </c>
      <c r="P491" s="10">
        <v>0</v>
      </c>
      <c r="Q491" s="10">
        <v>0</v>
      </c>
      <c r="R491" s="10">
        <v>0</v>
      </c>
      <c r="S491" s="10">
        <v>0</v>
      </c>
      <c r="T491" s="19">
        <v>0</v>
      </c>
      <c r="U491" s="19"/>
      <c r="V491">
        <f t="shared" si="16"/>
        <v>0</v>
      </c>
    </row>
    <row r="492" spans="1:22" x14ac:dyDescent="0.25">
      <c r="A492" t="s">
        <v>146</v>
      </c>
      <c r="B492" t="s">
        <v>540</v>
      </c>
      <c r="C492" s="1">
        <v>1155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f>SUM(H492,I492)</f>
        <v>0</v>
      </c>
      <c r="K492" s="1"/>
      <c r="M492" s="12">
        <v>600</v>
      </c>
      <c r="N492" s="12" t="s">
        <v>563</v>
      </c>
      <c r="O492" s="12">
        <v>5709</v>
      </c>
      <c r="P492" s="12">
        <v>0</v>
      </c>
      <c r="Q492" s="12">
        <v>0</v>
      </c>
      <c r="R492" s="12">
        <v>0</v>
      </c>
      <c r="S492" s="12">
        <v>0</v>
      </c>
      <c r="T492" s="18">
        <v>0</v>
      </c>
      <c r="U492" s="18"/>
      <c r="V492">
        <f t="shared" si="16"/>
        <v>0</v>
      </c>
    </row>
    <row r="493" spans="1:22" x14ac:dyDescent="0.25">
      <c r="A493" t="s">
        <v>817</v>
      </c>
      <c r="B493" t="s">
        <v>541</v>
      </c>
      <c r="C493" s="1"/>
      <c r="D493" s="1"/>
      <c r="E493" s="1"/>
      <c r="F493" s="1"/>
      <c r="G493" s="1"/>
      <c r="H493" s="1"/>
      <c r="I493" s="1"/>
      <c r="J493" s="1"/>
      <c r="K493" s="1"/>
      <c r="M493" s="10">
        <v>100</v>
      </c>
      <c r="N493" s="10" t="s">
        <v>564</v>
      </c>
      <c r="O493" s="10">
        <v>2709</v>
      </c>
      <c r="P493" s="10">
        <v>0</v>
      </c>
      <c r="Q493" s="10">
        <v>0</v>
      </c>
      <c r="R493" s="10">
        <v>0</v>
      </c>
      <c r="S493" s="10">
        <v>0</v>
      </c>
      <c r="T493" s="19">
        <v>0</v>
      </c>
      <c r="U493" s="19"/>
      <c r="V493">
        <f t="shared" si="16"/>
        <v>0</v>
      </c>
    </row>
    <row r="494" spans="1:22" x14ac:dyDescent="0.25">
      <c r="A494" t="s">
        <v>72</v>
      </c>
      <c r="B494" t="s">
        <v>542</v>
      </c>
      <c r="C494" s="1">
        <v>9191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f>SUM(H494,I494)</f>
        <v>0</v>
      </c>
      <c r="K494" s="1"/>
      <c r="M494" s="10">
        <v>710</v>
      </c>
      <c r="N494" s="10" t="s">
        <v>565</v>
      </c>
      <c r="O494" s="10">
        <v>1482</v>
      </c>
      <c r="P494" s="10">
        <v>0</v>
      </c>
      <c r="Q494" s="10">
        <v>0</v>
      </c>
      <c r="R494" s="10">
        <v>0</v>
      </c>
      <c r="S494" s="10">
        <v>0</v>
      </c>
      <c r="T494" s="19">
        <v>0</v>
      </c>
      <c r="U494" s="19"/>
      <c r="V494">
        <f t="shared" si="16"/>
        <v>0</v>
      </c>
    </row>
    <row r="495" spans="1:22" x14ac:dyDescent="0.25">
      <c r="A495" t="s">
        <v>795</v>
      </c>
      <c r="B495" t="s">
        <v>543</v>
      </c>
      <c r="C495" s="1">
        <v>8164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f>SUM(H495,I495)</f>
        <v>0</v>
      </c>
      <c r="K495" s="1"/>
      <c r="M495" s="12" t="s">
        <v>814</v>
      </c>
      <c r="N495" s="12" t="s">
        <v>566</v>
      </c>
      <c r="O495" s="12"/>
      <c r="P495" s="12"/>
      <c r="Q495" s="12"/>
      <c r="R495" s="12"/>
      <c r="S495" s="12"/>
      <c r="T495" s="18"/>
      <c r="U495" s="18"/>
      <c r="V495">
        <f t="shared" si="16"/>
        <v>0</v>
      </c>
    </row>
    <row r="496" spans="1:22" x14ac:dyDescent="0.25">
      <c r="A496" t="s">
        <v>83</v>
      </c>
      <c r="B496" t="s">
        <v>544</v>
      </c>
      <c r="C496" s="1"/>
      <c r="D496" s="1"/>
      <c r="E496" s="1"/>
      <c r="F496" s="1"/>
      <c r="G496" s="1"/>
      <c r="H496" s="1"/>
      <c r="I496" s="1"/>
      <c r="J496" s="1"/>
      <c r="K496" s="1"/>
      <c r="M496" s="10">
        <v>110</v>
      </c>
      <c r="N496" s="10" t="s">
        <v>567</v>
      </c>
      <c r="O496" s="10">
        <v>46</v>
      </c>
      <c r="P496" s="10">
        <v>0</v>
      </c>
      <c r="Q496" s="10">
        <v>0</v>
      </c>
      <c r="R496" s="10">
        <v>0</v>
      </c>
      <c r="S496" s="10">
        <v>0</v>
      </c>
      <c r="T496" s="19">
        <v>0</v>
      </c>
      <c r="U496" s="19"/>
      <c r="V496">
        <f t="shared" si="16"/>
        <v>0</v>
      </c>
    </row>
    <row r="497" spans="1:22" x14ac:dyDescent="0.25">
      <c r="A497" t="s">
        <v>134</v>
      </c>
      <c r="B497" t="s">
        <v>545</v>
      </c>
      <c r="C497" s="1">
        <v>2179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f t="shared" ref="J497:J514" si="17">SUM(H497,I497)</f>
        <v>0</v>
      </c>
      <c r="K497" s="1"/>
      <c r="M497" s="12">
        <v>120</v>
      </c>
      <c r="N497" s="12" t="s">
        <v>568</v>
      </c>
      <c r="O497" s="12"/>
      <c r="P497" s="12"/>
      <c r="Q497" s="12"/>
      <c r="R497" s="12"/>
      <c r="S497" s="12"/>
      <c r="T497" s="18"/>
      <c r="U497" s="18"/>
      <c r="V497">
        <f t="shared" si="16"/>
        <v>0</v>
      </c>
    </row>
    <row r="498" spans="1:22" x14ac:dyDescent="0.25">
      <c r="A498" t="s">
        <v>76</v>
      </c>
      <c r="B498" t="s">
        <v>546</v>
      </c>
      <c r="C498" s="1">
        <v>400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f t="shared" si="17"/>
        <v>0</v>
      </c>
      <c r="K498" s="1"/>
      <c r="M498" s="10">
        <v>211</v>
      </c>
      <c r="N498" s="10" t="s">
        <v>569</v>
      </c>
      <c r="O498" s="10"/>
      <c r="P498" s="10"/>
      <c r="Q498" s="10"/>
      <c r="R498" s="10"/>
      <c r="S498" s="10"/>
      <c r="T498" s="19"/>
      <c r="U498" s="19"/>
      <c r="V498">
        <f t="shared" si="16"/>
        <v>0</v>
      </c>
    </row>
    <row r="499" spans="1:22" x14ac:dyDescent="0.25">
      <c r="A499" t="s">
        <v>495</v>
      </c>
      <c r="B499" t="s">
        <v>547</v>
      </c>
      <c r="C499" s="1">
        <v>525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f t="shared" si="17"/>
        <v>0</v>
      </c>
      <c r="K499" s="1"/>
      <c r="M499" s="12">
        <v>120</v>
      </c>
      <c r="N499" s="12" t="s">
        <v>570</v>
      </c>
      <c r="O499" s="12"/>
      <c r="P499" s="12"/>
      <c r="Q499" s="12"/>
      <c r="R499" s="12"/>
      <c r="S499" s="12"/>
      <c r="T499" s="18"/>
      <c r="U499" s="18"/>
      <c r="V499">
        <f t="shared" si="16"/>
        <v>0</v>
      </c>
    </row>
    <row r="500" spans="1:22" x14ac:dyDescent="0.25">
      <c r="A500" t="s">
        <v>825</v>
      </c>
      <c r="B500" t="s">
        <v>548</v>
      </c>
      <c r="C500" s="1">
        <v>3434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f t="shared" si="17"/>
        <v>0</v>
      </c>
      <c r="K500" s="1"/>
      <c r="M500" s="10">
        <v>312</v>
      </c>
      <c r="N500" s="10" t="s">
        <v>571</v>
      </c>
      <c r="O500" s="10">
        <v>9913</v>
      </c>
      <c r="P500" s="10">
        <v>0</v>
      </c>
      <c r="Q500" s="10">
        <v>0</v>
      </c>
      <c r="R500" s="10">
        <v>0</v>
      </c>
      <c r="S500" s="10">
        <v>0</v>
      </c>
      <c r="T500" s="19">
        <v>0</v>
      </c>
      <c r="U500" s="19"/>
      <c r="V500">
        <f t="shared" si="16"/>
        <v>0</v>
      </c>
    </row>
    <row r="501" spans="1:22" x14ac:dyDescent="0.25">
      <c r="A501" t="s">
        <v>72</v>
      </c>
      <c r="B501" t="s">
        <v>549</v>
      </c>
      <c r="C501" s="1">
        <v>13136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f t="shared" si="17"/>
        <v>0</v>
      </c>
      <c r="K501" s="1"/>
      <c r="M501" s="12">
        <v>711</v>
      </c>
      <c r="N501" s="12" t="s">
        <v>572</v>
      </c>
      <c r="O501" s="12"/>
      <c r="P501" s="12"/>
      <c r="Q501" s="12"/>
      <c r="R501" s="12"/>
      <c r="S501" s="12"/>
      <c r="T501" s="18"/>
      <c r="U501" s="18"/>
      <c r="V501">
        <f t="shared" si="16"/>
        <v>0</v>
      </c>
    </row>
    <row r="502" spans="1:22" x14ac:dyDescent="0.25">
      <c r="A502" t="s">
        <v>134</v>
      </c>
      <c r="B502" t="s">
        <v>550</v>
      </c>
      <c r="C502" s="1">
        <v>5957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f t="shared" si="17"/>
        <v>0</v>
      </c>
      <c r="K502" s="1"/>
      <c r="M502" s="10" t="s">
        <v>828</v>
      </c>
      <c r="N502" s="10" t="s">
        <v>573</v>
      </c>
      <c r="O502" s="10"/>
      <c r="P502" s="10"/>
      <c r="Q502" s="10"/>
      <c r="R502" s="10"/>
      <c r="S502" s="10"/>
      <c r="T502" s="19"/>
      <c r="U502" s="19"/>
      <c r="V502">
        <f t="shared" si="16"/>
        <v>0</v>
      </c>
    </row>
    <row r="503" spans="1:22" x14ac:dyDescent="0.25">
      <c r="A503" t="s">
        <v>795</v>
      </c>
      <c r="B503" t="s">
        <v>551</v>
      </c>
      <c r="C503" s="1">
        <v>1708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f t="shared" si="17"/>
        <v>0</v>
      </c>
      <c r="K503" s="1"/>
      <c r="M503" s="12">
        <v>515</v>
      </c>
      <c r="N503" s="12" t="s">
        <v>574</v>
      </c>
      <c r="O503" s="12">
        <v>5858</v>
      </c>
      <c r="P503" s="12">
        <v>0</v>
      </c>
      <c r="Q503" s="12">
        <v>0</v>
      </c>
      <c r="R503" s="12">
        <v>0</v>
      </c>
      <c r="S503" s="12">
        <v>0</v>
      </c>
      <c r="T503" s="18">
        <v>0</v>
      </c>
      <c r="U503" s="18"/>
      <c r="V503">
        <f t="shared" si="16"/>
        <v>0</v>
      </c>
    </row>
    <row r="504" spans="1:22" x14ac:dyDescent="0.25">
      <c r="A504" t="s">
        <v>76</v>
      </c>
      <c r="B504" t="s">
        <v>552</v>
      </c>
      <c r="C504" s="1">
        <v>908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f t="shared" si="17"/>
        <v>0</v>
      </c>
      <c r="K504" s="1"/>
      <c r="M504" s="10">
        <v>211</v>
      </c>
      <c r="N504" s="10" t="s">
        <v>575</v>
      </c>
      <c r="O504" s="10"/>
      <c r="P504" s="10"/>
      <c r="Q504" s="10"/>
      <c r="R504" s="10"/>
      <c r="S504" s="10"/>
      <c r="T504" s="19"/>
      <c r="U504" s="19"/>
      <c r="V504">
        <f t="shared" si="16"/>
        <v>0</v>
      </c>
    </row>
    <row r="505" spans="1:22" x14ac:dyDescent="0.25">
      <c r="A505" t="s">
        <v>824</v>
      </c>
      <c r="B505" t="s">
        <v>553</v>
      </c>
      <c r="C505" s="1">
        <v>381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f t="shared" si="17"/>
        <v>0</v>
      </c>
      <c r="K505" s="1"/>
      <c r="M505" s="12">
        <v>611</v>
      </c>
      <c r="N505" s="12" t="s">
        <v>576</v>
      </c>
      <c r="O505" s="12">
        <v>668</v>
      </c>
      <c r="P505" s="12">
        <v>0</v>
      </c>
      <c r="Q505" s="12">
        <v>0</v>
      </c>
      <c r="R505" s="12">
        <v>0</v>
      </c>
      <c r="S505" s="12">
        <v>0</v>
      </c>
      <c r="T505" s="18">
        <v>0</v>
      </c>
      <c r="U505" s="18"/>
      <c r="V505">
        <f t="shared" si="16"/>
        <v>0</v>
      </c>
    </row>
    <row r="506" spans="1:22" x14ac:dyDescent="0.25">
      <c r="A506" t="s">
        <v>512</v>
      </c>
      <c r="B506" t="s">
        <v>554</v>
      </c>
      <c r="C506" s="1">
        <v>5387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f t="shared" si="17"/>
        <v>0</v>
      </c>
      <c r="K506" s="1"/>
      <c r="M506" s="10" t="s">
        <v>814</v>
      </c>
      <c r="N506" s="10" t="s">
        <v>577</v>
      </c>
      <c r="O506" s="10">
        <v>97</v>
      </c>
      <c r="P506" s="10">
        <v>0</v>
      </c>
      <c r="Q506" s="10">
        <v>0</v>
      </c>
      <c r="R506" s="10">
        <v>0</v>
      </c>
      <c r="S506" s="10">
        <v>0</v>
      </c>
      <c r="T506" s="19">
        <v>0</v>
      </c>
      <c r="U506" s="19"/>
      <c r="V506">
        <f t="shared" si="16"/>
        <v>0</v>
      </c>
    </row>
    <row r="507" spans="1:22" x14ac:dyDescent="0.25">
      <c r="A507" t="s">
        <v>788</v>
      </c>
      <c r="B507" t="s">
        <v>555</v>
      </c>
      <c r="C507" s="1">
        <v>43886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f t="shared" si="17"/>
        <v>0</v>
      </c>
      <c r="K507" s="1"/>
      <c r="M507" s="12">
        <v>611</v>
      </c>
      <c r="N507" s="12" t="s">
        <v>578</v>
      </c>
      <c r="O507" s="12">
        <v>6840</v>
      </c>
      <c r="P507" s="12">
        <v>0</v>
      </c>
      <c r="Q507" s="12">
        <v>0</v>
      </c>
      <c r="R507" s="12">
        <v>0</v>
      </c>
      <c r="S507" s="12">
        <v>0</v>
      </c>
      <c r="T507" s="18">
        <v>0</v>
      </c>
      <c r="U507" s="18"/>
      <c r="V507">
        <f t="shared" si="16"/>
        <v>0</v>
      </c>
    </row>
    <row r="508" spans="1:22" x14ac:dyDescent="0.25">
      <c r="A508" t="s">
        <v>101</v>
      </c>
      <c r="B508" t="s">
        <v>556</v>
      </c>
      <c r="C508" s="1">
        <v>10205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f t="shared" si="17"/>
        <v>0</v>
      </c>
      <c r="K508" s="1"/>
      <c r="M508" s="10">
        <v>146</v>
      </c>
      <c r="N508" s="10" t="s">
        <v>579</v>
      </c>
      <c r="O508" s="10">
        <v>2862</v>
      </c>
      <c r="P508" s="10">
        <v>0</v>
      </c>
      <c r="Q508" s="10">
        <v>0</v>
      </c>
      <c r="R508" s="10">
        <v>0</v>
      </c>
      <c r="S508" s="10">
        <v>0</v>
      </c>
      <c r="T508" s="19">
        <v>0</v>
      </c>
      <c r="U508" s="19"/>
      <c r="V508">
        <f t="shared" si="16"/>
        <v>0</v>
      </c>
    </row>
    <row r="509" spans="1:22" x14ac:dyDescent="0.25">
      <c r="A509" t="s">
        <v>796</v>
      </c>
      <c r="B509" t="s">
        <v>557</v>
      </c>
      <c r="C509" s="1">
        <v>441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f t="shared" si="17"/>
        <v>0</v>
      </c>
      <c r="K509" s="1"/>
      <c r="M509" s="12">
        <v>100</v>
      </c>
      <c r="N509" s="12" t="s">
        <v>580</v>
      </c>
      <c r="O509" s="12">
        <v>5220</v>
      </c>
      <c r="P509" s="12">
        <v>0</v>
      </c>
      <c r="Q509" s="12">
        <v>0</v>
      </c>
      <c r="R509" s="12">
        <v>0</v>
      </c>
      <c r="S509" s="12">
        <v>0</v>
      </c>
      <c r="T509" s="18">
        <v>0</v>
      </c>
      <c r="U509" s="18"/>
      <c r="V509">
        <f t="shared" si="16"/>
        <v>0</v>
      </c>
    </row>
    <row r="510" spans="1:22" x14ac:dyDescent="0.25">
      <c r="A510" t="s">
        <v>817</v>
      </c>
      <c r="B510" t="s">
        <v>558</v>
      </c>
      <c r="C510" s="1">
        <v>1777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f t="shared" si="17"/>
        <v>0</v>
      </c>
      <c r="K510" s="1"/>
      <c r="M510" s="10" t="s">
        <v>814</v>
      </c>
      <c r="N510" s="10" t="s">
        <v>581</v>
      </c>
      <c r="O510" s="10">
        <v>7822</v>
      </c>
      <c r="P510" s="10">
        <v>0</v>
      </c>
      <c r="Q510" s="10">
        <v>0</v>
      </c>
      <c r="R510" s="10">
        <v>0</v>
      </c>
      <c r="S510" s="10">
        <v>0</v>
      </c>
      <c r="T510" s="19">
        <v>0</v>
      </c>
      <c r="U510" s="19"/>
      <c r="V510">
        <f t="shared" si="16"/>
        <v>0</v>
      </c>
    </row>
    <row r="511" spans="1:22" x14ac:dyDescent="0.25">
      <c r="A511" t="s">
        <v>76</v>
      </c>
      <c r="B511" t="s">
        <v>559</v>
      </c>
      <c r="C511" s="1">
        <v>1144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f t="shared" si="17"/>
        <v>0</v>
      </c>
      <c r="K511" s="1"/>
      <c r="M511" s="12" t="s">
        <v>814</v>
      </c>
      <c r="N511" s="12" t="s">
        <v>582</v>
      </c>
      <c r="O511" s="12">
        <v>5522</v>
      </c>
      <c r="P511" s="12">
        <v>0</v>
      </c>
      <c r="Q511" s="12">
        <v>0</v>
      </c>
      <c r="R511" s="12">
        <v>0</v>
      </c>
      <c r="S511" s="12">
        <v>0</v>
      </c>
      <c r="T511" s="18">
        <v>0</v>
      </c>
      <c r="U511" s="18"/>
      <c r="V511">
        <f t="shared" si="16"/>
        <v>0</v>
      </c>
    </row>
    <row r="512" spans="1:22" x14ac:dyDescent="0.25">
      <c r="A512" t="s">
        <v>801</v>
      </c>
      <c r="B512" t="s">
        <v>560</v>
      </c>
      <c r="C512" s="1">
        <v>9866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f t="shared" si="17"/>
        <v>0</v>
      </c>
      <c r="K512" s="1"/>
      <c r="M512" s="10" t="s">
        <v>814</v>
      </c>
      <c r="N512" s="10" t="s">
        <v>583</v>
      </c>
      <c r="O512" s="10">
        <v>610</v>
      </c>
      <c r="P512" s="10">
        <v>0</v>
      </c>
      <c r="Q512" s="10">
        <v>0</v>
      </c>
      <c r="R512" s="10">
        <v>0</v>
      </c>
      <c r="S512" s="10">
        <v>0</v>
      </c>
      <c r="T512" s="19">
        <v>0</v>
      </c>
      <c r="U512" s="19"/>
      <c r="V512">
        <f t="shared" si="16"/>
        <v>0</v>
      </c>
    </row>
    <row r="513" spans="1:22" x14ac:dyDescent="0.25">
      <c r="A513" t="s">
        <v>796</v>
      </c>
      <c r="B513" t="s">
        <v>561</v>
      </c>
      <c r="C513" s="1">
        <v>1635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f t="shared" si="17"/>
        <v>0</v>
      </c>
      <c r="K513" s="1"/>
      <c r="M513" s="12">
        <v>311</v>
      </c>
      <c r="N513" s="12" t="s">
        <v>584</v>
      </c>
      <c r="O513" s="12"/>
      <c r="P513" s="12"/>
      <c r="Q513" s="12"/>
      <c r="R513" s="12"/>
      <c r="S513" s="12"/>
      <c r="T513" s="18"/>
      <c r="U513" s="18"/>
      <c r="V513">
        <f t="shared" si="16"/>
        <v>0</v>
      </c>
    </row>
    <row r="514" spans="1:22" x14ac:dyDescent="0.25">
      <c r="A514" t="s">
        <v>817</v>
      </c>
      <c r="B514" t="s">
        <v>562</v>
      </c>
      <c r="C514" s="1">
        <v>2556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f t="shared" si="17"/>
        <v>0</v>
      </c>
      <c r="K514" s="1"/>
      <c r="M514" s="10">
        <v>140</v>
      </c>
      <c r="N514" s="10" t="s">
        <v>585</v>
      </c>
      <c r="O514" s="10"/>
      <c r="P514" s="10"/>
      <c r="Q514" s="10"/>
      <c r="R514" s="10"/>
      <c r="S514" s="10"/>
      <c r="T514" s="19"/>
      <c r="U514" s="19"/>
      <c r="V514">
        <f t="shared" si="16"/>
        <v>0</v>
      </c>
    </row>
    <row r="515" spans="1:22" x14ac:dyDescent="0.25">
      <c r="A515" t="s">
        <v>248</v>
      </c>
      <c r="B515" t="s">
        <v>563</v>
      </c>
      <c r="C515" s="1"/>
      <c r="D515" s="1"/>
      <c r="E515" s="1"/>
      <c r="F515" s="1"/>
      <c r="G515" s="1"/>
      <c r="H515" s="1"/>
      <c r="I515" s="1"/>
      <c r="J515" s="1"/>
      <c r="K515" s="1"/>
      <c r="M515" s="12" t="s">
        <v>814</v>
      </c>
      <c r="N515" s="12" t="s">
        <v>586</v>
      </c>
      <c r="O515" s="12">
        <v>4584</v>
      </c>
      <c r="P515" s="12">
        <v>0</v>
      </c>
      <c r="Q515" s="12">
        <v>0</v>
      </c>
      <c r="R515" s="12">
        <v>0</v>
      </c>
      <c r="S515" s="12">
        <v>0</v>
      </c>
      <c r="T515" s="18">
        <v>0</v>
      </c>
      <c r="U515" s="18"/>
      <c r="V515">
        <f t="shared" si="16"/>
        <v>0</v>
      </c>
    </row>
    <row r="516" spans="1:22" x14ac:dyDescent="0.25">
      <c r="A516" t="s">
        <v>791</v>
      </c>
      <c r="B516" t="s">
        <v>564</v>
      </c>
      <c r="C516" s="1"/>
      <c r="D516" s="1"/>
      <c r="E516" s="1"/>
      <c r="F516" s="1"/>
      <c r="G516" s="1"/>
      <c r="H516" s="1"/>
      <c r="I516" s="1"/>
      <c r="J516" s="1"/>
      <c r="K516" s="1"/>
      <c r="M516" s="10">
        <v>150</v>
      </c>
      <c r="N516" s="10" t="s">
        <v>587</v>
      </c>
      <c r="O516" s="10">
        <v>5625</v>
      </c>
      <c r="P516" s="10">
        <v>0</v>
      </c>
      <c r="Q516" s="10">
        <v>0</v>
      </c>
      <c r="R516" s="10">
        <v>0</v>
      </c>
      <c r="S516" s="10">
        <v>0</v>
      </c>
      <c r="T516" s="19">
        <v>0</v>
      </c>
      <c r="U516" s="19"/>
      <c r="V516">
        <f t="shared" si="16"/>
        <v>0</v>
      </c>
    </row>
    <row r="517" spans="1:22" x14ac:dyDescent="0.25">
      <c r="A517" t="s">
        <v>69</v>
      </c>
      <c r="B517" t="s">
        <v>565</v>
      </c>
      <c r="C517" s="1">
        <v>1482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f>SUM(H517,I517)</f>
        <v>0</v>
      </c>
      <c r="K517" s="1"/>
      <c r="M517" s="12">
        <v>143</v>
      </c>
      <c r="N517" s="12" t="s">
        <v>588</v>
      </c>
      <c r="O517" s="12">
        <v>4747</v>
      </c>
      <c r="P517" s="12">
        <v>0</v>
      </c>
      <c r="Q517" s="12">
        <v>0</v>
      </c>
      <c r="R517" s="12">
        <v>0</v>
      </c>
      <c r="S517" s="12">
        <v>0</v>
      </c>
      <c r="T517" s="18">
        <v>0</v>
      </c>
      <c r="U517" s="18"/>
      <c r="V517">
        <f t="shared" si="16"/>
        <v>0</v>
      </c>
    </row>
    <row r="518" spans="1:22" x14ac:dyDescent="0.25">
      <c r="A518" t="s">
        <v>794</v>
      </c>
      <c r="B518" s="5" t="s">
        <v>566</v>
      </c>
      <c r="C518" s="6"/>
      <c r="D518" s="6"/>
      <c r="E518" s="6"/>
      <c r="F518" s="6"/>
      <c r="G518" s="6"/>
      <c r="H518" s="6"/>
      <c r="I518" s="6"/>
      <c r="J518" s="6"/>
      <c r="K518" s="6"/>
      <c r="M518" s="10">
        <v>151</v>
      </c>
      <c r="N518" s="10" t="s">
        <v>589</v>
      </c>
      <c r="O518" s="10">
        <v>1626</v>
      </c>
      <c r="P518" s="10">
        <v>0</v>
      </c>
      <c r="Q518" s="10">
        <v>0</v>
      </c>
      <c r="R518" s="10">
        <v>0</v>
      </c>
      <c r="S518" s="10">
        <v>0</v>
      </c>
      <c r="T518" s="19">
        <v>0</v>
      </c>
      <c r="U518" s="19"/>
      <c r="V518">
        <f t="shared" si="16"/>
        <v>0</v>
      </c>
    </row>
    <row r="519" spans="1:22" x14ac:dyDescent="0.25">
      <c r="A519" t="s">
        <v>797</v>
      </c>
      <c r="B519" t="s">
        <v>567</v>
      </c>
      <c r="C519" s="1"/>
      <c r="D519" s="1"/>
      <c r="E519" s="1"/>
      <c r="F519" s="1"/>
      <c r="G519" s="1"/>
      <c r="H519" s="1"/>
      <c r="I519" s="1"/>
      <c r="J519" s="1"/>
      <c r="K519" s="1"/>
      <c r="M519" s="12">
        <v>145</v>
      </c>
      <c r="N519" s="12" t="s">
        <v>590</v>
      </c>
      <c r="O519" s="12">
        <v>6086</v>
      </c>
      <c r="P519" s="12">
        <v>0</v>
      </c>
      <c r="Q519" s="12">
        <v>0</v>
      </c>
      <c r="R519" s="12">
        <v>0</v>
      </c>
      <c r="S519" s="12">
        <v>0</v>
      </c>
      <c r="T519" s="18">
        <v>0</v>
      </c>
      <c r="U519" s="18"/>
      <c r="V519">
        <f t="shared" si="16"/>
        <v>0</v>
      </c>
    </row>
    <row r="520" spans="1:22" x14ac:dyDescent="0.25">
      <c r="A520" t="s">
        <v>826</v>
      </c>
      <c r="B520" t="s">
        <v>568</v>
      </c>
      <c r="C520" s="1"/>
      <c r="D520" s="1"/>
      <c r="E520" s="1"/>
      <c r="F520" s="1"/>
      <c r="G520" s="1"/>
      <c r="H520" s="1"/>
      <c r="I520" s="1"/>
      <c r="J520" s="1"/>
      <c r="K520" s="1"/>
      <c r="M520" s="10">
        <v>147</v>
      </c>
      <c r="N520" s="10" t="s">
        <v>591</v>
      </c>
      <c r="O520" s="10">
        <v>424</v>
      </c>
      <c r="P520" s="10">
        <v>0</v>
      </c>
      <c r="Q520" s="10">
        <v>0</v>
      </c>
      <c r="R520" s="10">
        <v>0</v>
      </c>
      <c r="S520" s="10">
        <v>0</v>
      </c>
      <c r="T520" s="19">
        <v>0</v>
      </c>
      <c r="U520" s="19"/>
      <c r="V520">
        <f t="shared" si="16"/>
        <v>0</v>
      </c>
    </row>
    <row r="521" spans="1:22" x14ac:dyDescent="0.25">
      <c r="A521" t="s">
        <v>864</v>
      </c>
      <c r="B521" t="s">
        <v>569</v>
      </c>
      <c r="C521" s="1">
        <v>4982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f>SUM(H521,I521)</f>
        <v>0</v>
      </c>
      <c r="K521" s="1"/>
      <c r="M521" s="12" t="s">
        <v>814</v>
      </c>
      <c r="N521" s="12" t="s">
        <v>592</v>
      </c>
      <c r="O521" s="12">
        <v>27</v>
      </c>
      <c r="P521" s="12">
        <v>0</v>
      </c>
      <c r="Q521" s="12">
        <v>0</v>
      </c>
      <c r="R521" s="12">
        <v>0</v>
      </c>
      <c r="S521" s="12">
        <v>0</v>
      </c>
      <c r="T521" s="18">
        <v>0</v>
      </c>
      <c r="U521" s="18"/>
      <c r="V521">
        <f t="shared" si="16"/>
        <v>0</v>
      </c>
    </row>
    <row r="522" spans="1:22" x14ac:dyDescent="0.25">
      <c r="A522" t="s">
        <v>826</v>
      </c>
      <c r="B522" t="s">
        <v>570</v>
      </c>
      <c r="C522" s="1"/>
      <c r="D522" s="1"/>
      <c r="E522" s="1"/>
      <c r="F522" s="1"/>
      <c r="G522" s="1"/>
      <c r="H522" s="1"/>
      <c r="I522" s="1"/>
      <c r="J522" s="1"/>
      <c r="K522" s="1"/>
      <c r="M522" s="10">
        <v>139</v>
      </c>
      <c r="N522" s="10" t="s">
        <v>593</v>
      </c>
      <c r="O522" s="10">
        <v>1018</v>
      </c>
      <c r="P522" s="10">
        <v>0</v>
      </c>
      <c r="Q522" s="10">
        <v>0</v>
      </c>
      <c r="R522" s="10">
        <v>0</v>
      </c>
      <c r="S522" s="10">
        <v>0</v>
      </c>
      <c r="T522" s="19">
        <v>0</v>
      </c>
      <c r="U522" s="19"/>
      <c r="V522">
        <f t="shared" si="16"/>
        <v>0</v>
      </c>
    </row>
    <row r="523" spans="1:22" x14ac:dyDescent="0.25">
      <c r="A523" t="s">
        <v>72</v>
      </c>
      <c r="B523" t="s">
        <v>571</v>
      </c>
      <c r="C523" s="1">
        <v>9913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f>SUM(H523,I523)</f>
        <v>0</v>
      </c>
      <c r="K523" s="1"/>
      <c r="M523" s="12">
        <v>136</v>
      </c>
      <c r="N523" s="12" t="s">
        <v>594</v>
      </c>
      <c r="O523" s="12">
        <v>1137</v>
      </c>
      <c r="P523" s="12">
        <v>0</v>
      </c>
      <c r="Q523" s="12">
        <v>0</v>
      </c>
      <c r="R523" s="12">
        <v>0</v>
      </c>
      <c r="S523" s="12">
        <v>0</v>
      </c>
      <c r="T523" s="18">
        <v>0</v>
      </c>
      <c r="U523" s="18"/>
      <c r="V523">
        <f t="shared" si="16"/>
        <v>0</v>
      </c>
    </row>
    <row r="524" spans="1:22" x14ac:dyDescent="0.25">
      <c r="A524" t="s">
        <v>801</v>
      </c>
      <c r="B524" t="s">
        <v>572</v>
      </c>
      <c r="C524" s="1">
        <v>9050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f>SUM(H524,I524)</f>
        <v>0</v>
      </c>
      <c r="K524" s="1"/>
      <c r="M524" s="10">
        <v>171</v>
      </c>
      <c r="N524" s="10" t="s">
        <v>595</v>
      </c>
      <c r="O524" s="10">
        <v>1387</v>
      </c>
      <c r="P524" s="10">
        <v>0</v>
      </c>
      <c r="Q524" s="10">
        <v>0</v>
      </c>
      <c r="R524" s="10">
        <v>0</v>
      </c>
      <c r="S524" s="10">
        <v>0</v>
      </c>
      <c r="T524" s="19">
        <v>0</v>
      </c>
      <c r="U524" s="19"/>
      <c r="V524">
        <f t="shared" si="16"/>
        <v>0</v>
      </c>
    </row>
    <row r="525" spans="1:22" x14ac:dyDescent="0.25">
      <c r="A525" t="s">
        <v>859</v>
      </c>
      <c r="B525" t="s">
        <v>573</v>
      </c>
      <c r="C525" s="1"/>
      <c r="D525" s="1"/>
      <c r="E525" s="1"/>
      <c r="F525" s="1"/>
      <c r="G525" s="1"/>
      <c r="H525" s="1"/>
      <c r="I525" s="1"/>
      <c r="J525" s="1"/>
      <c r="K525" s="1"/>
      <c r="M525" s="12">
        <v>116</v>
      </c>
      <c r="N525" s="12" t="s">
        <v>596</v>
      </c>
      <c r="O525" s="12">
        <v>3599</v>
      </c>
      <c r="P525" s="12">
        <v>0</v>
      </c>
      <c r="Q525" s="12">
        <v>0</v>
      </c>
      <c r="R525" s="12">
        <v>0</v>
      </c>
      <c r="S525" s="12">
        <v>0</v>
      </c>
      <c r="T525" s="18">
        <v>0</v>
      </c>
      <c r="U525" s="18"/>
      <c r="V525">
        <f t="shared" si="16"/>
        <v>0</v>
      </c>
    </row>
    <row r="526" spans="1:22" x14ac:dyDescent="0.25">
      <c r="A526" t="s">
        <v>816</v>
      </c>
      <c r="B526" t="s">
        <v>574</v>
      </c>
      <c r="C526" s="1">
        <v>5858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f>SUM(H526,I526)</f>
        <v>0</v>
      </c>
      <c r="K526" s="1"/>
      <c r="M526" s="10">
        <v>511</v>
      </c>
      <c r="N526" s="10" t="s">
        <v>597</v>
      </c>
      <c r="O526" s="10">
        <v>5494</v>
      </c>
      <c r="P526" s="10">
        <v>0</v>
      </c>
      <c r="Q526" s="10">
        <v>0</v>
      </c>
      <c r="R526" s="10">
        <v>0</v>
      </c>
      <c r="S526" s="10">
        <v>0</v>
      </c>
      <c r="T526" s="19">
        <v>0</v>
      </c>
      <c r="U526" s="19"/>
      <c r="V526">
        <f t="shared" si="16"/>
        <v>0</v>
      </c>
    </row>
    <row r="527" spans="1:22" x14ac:dyDescent="0.25">
      <c r="A527" t="s">
        <v>864</v>
      </c>
      <c r="B527" t="s">
        <v>575</v>
      </c>
      <c r="C527" s="1">
        <v>11285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f>SUM(H527,I527)</f>
        <v>0</v>
      </c>
      <c r="K527" s="1"/>
      <c r="M527" s="12">
        <v>144</v>
      </c>
      <c r="N527" s="12" t="s">
        <v>598</v>
      </c>
      <c r="O527" s="12">
        <v>2359</v>
      </c>
      <c r="P527" s="12">
        <v>0</v>
      </c>
      <c r="Q527" s="12">
        <v>0</v>
      </c>
      <c r="R527" s="12">
        <v>0</v>
      </c>
      <c r="S527" s="12">
        <v>0</v>
      </c>
      <c r="T527" s="18">
        <v>0</v>
      </c>
      <c r="U527" s="18"/>
      <c r="V527">
        <f t="shared" si="16"/>
        <v>0</v>
      </c>
    </row>
    <row r="528" spans="1:22" x14ac:dyDescent="0.25">
      <c r="A528" t="s">
        <v>146</v>
      </c>
      <c r="B528" t="s">
        <v>576</v>
      </c>
      <c r="C528" s="1">
        <v>668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f>SUM(H528,I528)</f>
        <v>0</v>
      </c>
      <c r="K528" s="1"/>
      <c r="M528" s="10">
        <v>142</v>
      </c>
      <c r="N528" s="10" t="s">
        <v>599</v>
      </c>
      <c r="O528" s="10">
        <v>1878</v>
      </c>
      <c r="P528" s="10">
        <v>0</v>
      </c>
      <c r="Q528" s="10">
        <v>0</v>
      </c>
      <c r="R528" s="10">
        <v>0</v>
      </c>
      <c r="S528" s="10">
        <v>0</v>
      </c>
      <c r="T528" s="19">
        <v>0</v>
      </c>
      <c r="U528" s="19"/>
      <c r="V528">
        <f t="shared" si="16"/>
        <v>0</v>
      </c>
    </row>
    <row r="529" spans="1:22" x14ac:dyDescent="0.25">
      <c r="A529" t="s">
        <v>794</v>
      </c>
      <c r="B529" t="s">
        <v>577</v>
      </c>
      <c r="C529" s="1">
        <v>97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f>SUM(H529,I529)</f>
        <v>0</v>
      </c>
      <c r="K529" s="1"/>
      <c r="M529" s="12">
        <v>300</v>
      </c>
      <c r="N529" s="12" t="s">
        <v>600</v>
      </c>
      <c r="O529" s="12">
        <v>1265</v>
      </c>
      <c r="P529" s="12">
        <v>0</v>
      </c>
      <c r="Q529" s="12">
        <v>0</v>
      </c>
      <c r="R529" s="12">
        <v>0</v>
      </c>
      <c r="S529" s="12">
        <v>0</v>
      </c>
      <c r="T529" s="18">
        <v>0</v>
      </c>
      <c r="U529" s="18"/>
      <c r="V529">
        <f t="shared" si="16"/>
        <v>0</v>
      </c>
    </row>
    <row r="530" spans="1:22" x14ac:dyDescent="0.25">
      <c r="A530" t="s">
        <v>146</v>
      </c>
      <c r="B530" t="s">
        <v>578</v>
      </c>
      <c r="C530" s="1">
        <v>6840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f>SUM(H530,I530)</f>
        <v>0</v>
      </c>
      <c r="K530" s="1"/>
      <c r="M530" s="10">
        <v>616</v>
      </c>
      <c r="N530" s="10" t="s">
        <v>601</v>
      </c>
      <c r="O530" s="10">
        <v>6520</v>
      </c>
      <c r="P530" s="10">
        <v>0</v>
      </c>
      <c r="Q530" s="10">
        <v>0</v>
      </c>
      <c r="R530" s="10">
        <v>0</v>
      </c>
      <c r="S530" s="10">
        <v>0</v>
      </c>
      <c r="T530" s="19">
        <v>0</v>
      </c>
      <c r="U530" s="19"/>
      <c r="V530">
        <f t="shared" si="16"/>
        <v>0</v>
      </c>
    </row>
    <row r="531" spans="1:22" x14ac:dyDescent="0.25">
      <c r="A531" t="s">
        <v>832</v>
      </c>
      <c r="B531" t="s">
        <v>579</v>
      </c>
      <c r="C531" s="1"/>
      <c r="D531" s="1"/>
      <c r="E531" s="1"/>
      <c r="F531" s="1"/>
      <c r="G531" s="1"/>
      <c r="H531" s="1"/>
      <c r="I531" s="1"/>
      <c r="J531" s="1"/>
      <c r="K531" s="1"/>
      <c r="M531" s="12">
        <v>610</v>
      </c>
      <c r="N531" s="12" t="s">
        <v>602</v>
      </c>
      <c r="O531" s="12">
        <v>6958</v>
      </c>
      <c r="P531" s="12">
        <v>0</v>
      </c>
      <c r="Q531" s="12">
        <v>0</v>
      </c>
      <c r="R531" s="12">
        <v>0</v>
      </c>
      <c r="S531" s="12">
        <v>0</v>
      </c>
      <c r="T531" s="18">
        <v>0</v>
      </c>
      <c r="U531" s="18"/>
      <c r="V531">
        <f t="shared" si="16"/>
        <v>0</v>
      </c>
    </row>
    <row r="532" spans="1:22" x14ac:dyDescent="0.25">
      <c r="A532" t="s">
        <v>839</v>
      </c>
      <c r="B532" t="s">
        <v>580</v>
      </c>
      <c r="C532" s="1"/>
      <c r="D532" s="1"/>
      <c r="E532" s="1"/>
      <c r="F532" s="1"/>
      <c r="G532" s="1"/>
      <c r="H532" s="1"/>
      <c r="I532" s="1"/>
      <c r="J532" s="1"/>
      <c r="K532" s="1"/>
      <c r="M532" s="10">
        <v>617</v>
      </c>
      <c r="N532" s="10" t="s">
        <v>603</v>
      </c>
      <c r="O532" s="10"/>
      <c r="P532" s="10"/>
      <c r="Q532" s="10"/>
      <c r="R532" s="10"/>
      <c r="S532" s="10"/>
      <c r="T532" s="19"/>
      <c r="U532" s="19"/>
      <c r="V532">
        <f t="shared" si="16"/>
        <v>0</v>
      </c>
    </row>
    <row r="533" spans="1:22" x14ac:dyDescent="0.25">
      <c r="A533" t="s">
        <v>794</v>
      </c>
      <c r="B533" t="s">
        <v>581</v>
      </c>
      <c r="C533" s="1">
        <v>7822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f>SUM(H533,I533)</f>
        <v>0</v>
      </c>
      <c r="K533" s="1"/>
      <c r="M533" s="12">
        <v>114</v>
      </c>
      <c r="N533" s="12" t="s">
        <v>604</v>
      </c>
      <c r="O533" s="12">
        <v>6081</v>
      </c>
      <c r="P533" s="12">
        <v>0</v>
      </c>
      <c r="Q533" s="12">
        <v>0</v>
      </c>
      <c r="R533" s="12">
        <v>0</v>
      </c>
      <c r="S533" s="12">
        <v>0</v>
      </c>
      <c r="T533" s="18">
        <v>0</v>
      </c>
      <c r="U533" s="18"/>
      <c r="V533">
        <f t="shared" ref="V533:V596" si="18">SUM(T533:U533)</f>
        <v>0</v>
      </c>
    </row>
    <row r="534" spans="1:22" x14ac:dyDescent="0.25">
      <c r="A534" t="s">
        <v>794</v>
      </c>
      <c r="B534" t="s">
        <v>582</v>
      </c>
      <c r="C534" s="1">
        <v>5522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f>SUM(H534,I534)</f>
        <v>0</v>
      </c>
      <c r="K534" s="1"/>
      <c r="M534" s="10" t="s">
        <v>808</v>
      </c>
      <c r="N534" s="10" t="s">
        <v>605</v>
      </c>
      <c r="O534" s="10">
        <v>886</v>
      </c>
      <c r="P534" s="10">
        <v>0</v>
      </c>
      <c r="Q534" s="10">
        <v>0</v>
      </c>
      <c r="R534" s="10">
        <v>0</v>
      </c>
      <c r="S534" s="10">
        <v>0</v>
      </c>
      <c r="T534" s="19">
        <v>0</v>
      </c>
      <c r="U534" s="19"/>
      <c r="V534">
        <f t="shared" si="18"/>
        <v>0</v>
      </c>
    </row>
    <row r="535" spans="1:22" x14ac:dyDescent="0.25">
      <c r="A535" t="s">
        <v>794</v>
      </c>
      <c r="B535" t="s">
        <v>583</v>
      </c>
      <c r="C535" s="1">
        <v>610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f>SUM(H535,I535)</f>
        <v>0</v>
      </c>
      <c r="K535" s="1"/>
      <c r="M535" s="12">
        <v>616</v>
      </c>
      <c r="N535" s="12" t="s">
        <v>606</v>
      </c>
      <c r="O535" s="12">
        <v>24407</v>
      </c>
      <c r="P535" s="12">
        <v>0</v>
      </c>
      <c r="Q535" s="12">
        <v>0</v>
      </c>
      <c r="R535" s="12">
        <v>0</v>
      </c>
      <c r="S535" s="12">
        <v>0</v>
      </c>
      <c r="T535" s="18">
        <v>0</v>
      </c>
      <c r="U535" s="18"/>
      <c r="V535">
        <f t="shared" si="18"/>
        <v>0</v>
      </c>
    </row>
    <row r="536" spans="1:22" x14ac:dyDescent="0.25">
      <c r="A536" t="s">
        <v>120</v>
      </c>
      <c r="B536" t="s">
        <v>584</v>
      </c>
      <c r="C536" s="1">
        <v>187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f>SUM(H536,I536)</f>
        <v>0</v>
      </c>
      <c r="K536" s="1"/>
      <c r="M536" s="10">
        <v>500</v>
      </c>
      <c r="N536" s="10" t="s">
        <v>607</v>
      </c>
      <c r="O536" s="10">
        <v>623</v>
      </c>
      <c r="P536" s="10">
        <v>0</v>
      </c>
      <c r="Q536" s="10">
        <v>0</v>
      </c>
      <c r="R536" s="10">
        <v>0</v>
      </c>
      <c r="S536" s="10">
        <v>0</v>
      </c>
      <c r="T536" s="19">
        <v>0</v>
      </c>
      <c r="U536" s="19"/>
      <c r="V536">
        <f t="shared" si="18"/>
        <v>0</v>
      </c>
    </row>
    <row r="537" spans="1:22" x14ac:dyDescent="0.25">
      <c r="A537" t="s">
        <v>837</v>
      </c>
      <c r="B537" t="s">
        <v>585</v>
      </c>
      <c r="C537" s="1"/>
      <c r="D537" s="1"/>
      <c r="E537" s="1"/>
      <c r="F537" s="1"/>
      <c r="G537" s="1"/>
      <c r="H537" s="1"/>
      <c r="I537" s="1"/>
      <c r="J537" s="1"/>
      <c r="K537" s="1"/>
      <c r="M537" s="12" t="s">
        <v>815</v>
      </c>
      <c r="N537" s="12" t="s">
        <v>608</v>
      </c>
      <c r="O537" s="12">
        <v>6488</v>
      </c>
      <c r="P537" s="12">
        <v>0</v>
      </c>
      <c r="Q537" s="12">
        <v>0</v>
      </c>
      <c r="R537" s="12">
        <v>0</v>
      </c>
      <c r="S537" s="12">
        <v>0</v>
      </c>
      <c r="T537" s="18">
        <v>0</v>
      </c>
      <c r="U537" s="18"/>
      <c r="V537">
        <f t="shared" si="18"/>
        <v>0</v>
      </c>
    </row>
    <row r="538" spans="1:22" x14ac:dyDescent="0.25">
      <c r="A538" t="s">
        <v>794</v>
      </c>
      <c r="B538" t="s">
        <v>586</v>
      </c>
      <c r="C538" s="1">
        <v>4584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f>SUM(H538,I538)</f>
        <v>0</v>
      </c>
      <c r="K538" s="1"/>
      <c r="M538" s="10" t="s">
        <v>828</v>
      </c>
      <c r="N538" s="10" t="s">
        <v>609</v>
      </c>
      <c r="O538" s="10"/>
      <c r="P538" s="10"/>
      <c r="Q538" s="10"/>
      <c r="R538" s="10"/>
      <c r="S538" s="10"/>
      <c r="T538" s="19"/>
      <c r="U538" s="19"/>
      <c r="V538">
        <f t="shared" si="18"/>
        <v>0</v>
      </c>
    </row>
    <row r="539" spans="1:22" x14ac:dyDescent="0.25">
      <c r="A539" t="s">
        <v>836</v>
      </c>
      <c r="B539" t="s">
        <v>587</v>
      </c>
      <c r="C539" s="1"/>
      <c r="D539" s="1"/>
      <c r="E539" s="1"/>
      <c r="F539" s="1"/>
      <c r="G539" s="1"/>
      <c r="H539" s="1"/>
      <c r="I539" s="1"/>
      <c r="J539" s="1"/>
      <c r="K539" s="1"/>
      <c r="M539" s="12">
        <v>616.20000000000005</v>
      </c>
      <c r="N539" s="12" t="s">
        <v>610</v>
      </c>
      <c r="O539" s="12">
        <v>8542</v>
      </c>
      <c r="P539" s="12">
        <v>0</v>
      </c>
      <c r="Q539" s="12">
        <v>0</v>
      </c>
      <c r="R539" s="12">
        <v>0</v>
      </c>
      <c r="S539" s="12">
        <v>0</v>
      </c>
      <c r="T539" s="18">
        <v>0</v>
      </c>
      <c r="U539" s="18"/>
      <c r="V539">
        <f t="shared" si="18"/>
        <v>0</v>
      </c>
    </row>
    <row r="540" spans="1:22" x14ac:dyDescent="0.25">
      <c r="A540" t="s">
        <v>844</v>
      </c>
      <c r="B540" t="s">
        <v>588</v>
      </c>
      <c r="C540" s="1"/>
      <c r="D540" s="1"/>
      <c r="E540" s="1"/>
      <c r="F540" s="1"/>
      <c r="G540" s="1"/>
      <c r="H540" s="1"/>
      <c r="I540" s="1"/>
      <c r="J540" s="1"/>
      <c r="K540" s="1"/>
      <c r="M540" s="10">
        <v>616</v>
      </c>
      <c r="N540" s="10" t="s">
        <v>611</v>
      </c>
      <c r="O540" s="10">
        <v>6523</v>
      </c>
      <c r="P540" s="10">
        <v>0</v>
      </c>
      <c r="Q540" s="10">
        <v>0</v>
      </c>
      <c r="R540" s="10">
        <v>0</v>
      </c>
      <c r="S540" s="10">
        <v>0</v>
      </c>
      <c r="T540" s="19">
        <v>0</v>
      </c>
      <c r="U540" s="19"/>
      <c r="V540">
        <f t="shared" si="18"/>
        <v>0</v>
      </c>
    </row>
    <row r="541" spans="1:22" x14ac:dyDescent="0.25">
      <c r="A541" t="s">
        <v>838</v>
      </c>
      <c r="B541" t="s">
        <v>589</v>
      </c>
      <c r="C541" s="1"/>
      <c r="D541" s="1"/>
      <c r="E541" s="1"/>
      <c r="F541" s="1"/>
      <c r="G541" s="1"/>
      <c r="H541" s="1"/>
      <c r="I541" s="1"/>
      <c r="J541" s="1"/>
      <c r="K541" s="1"/>
      <c r="M541" s="12">
        <v>514</v>
      </c>
      <c r="N541" s="12" t="s">
        <v>612</v>
      </c>
      <c r="O541" s="12">
        <v>13864</v>
      </c>
      <c r="P541" s="12">
        <v>0</v>
      </c>
      <c r="Q541" s="12">
        <v>0</v>
      </c>
      <c r="R541" s="12">
        <v>0</v>
      </c>
      <c r="S541" s="12">
        <v>0</v>
      </c>
      <c r="T541" s="18">
        <v>0</v>
      </c>
      <c r="U541" s="18"/>
      <c r="V541">
        <f t="shared" si="18"/>
        <v>0</v>
      </c>
    </row>
    <row r="542" spans="1:22" x14ac:dyDescent="0.25">
      <c r="A542" t="s">
        <v>833</v>
      </c>
      <c r="B542" t="s">
        <v>590</v>
      </c>
      <c r="C542" s="1"/>
      <c r="D542" s="1"/>
      <c r="E542" s="1"/>
      <c r="F542" s="1"/>
      <c r="G542" s="1"/>
      <c r="H542" s="1"/>
      <c r="I542" s="1"/>
      <c r="J542" s="1"/>
      <c r="K542" s="1"/>
      <c r="M542" s="10">
        <v>616.20000000000005</v>
      </c>
      <c r="N542" s="10" t="s">
        <v>613</v>
      </c>
      <c r="O542" s="10">
        <v>14515</v>
      </c>
      <c r="P542" s="10">
        <v>0</v>
      </c>
      <c r="Q542" s="10">
        <v>0</v>
      </c>
      <c r="R542" s="10">
        <v>0</v>
      </c>
      <c r="S542" s="10">
        <v>0</v>
      </c>
      <c r="T542" s="19">
        <v>0</v>
      </c>
      <c r="U542" s="19"/>
      <c r="V542">
        <f t="shared" si="18"/>
        <v>0</v>
      </c>
    </row>
    <row r="543" spans="1:22" x14ac:dyDescent="0.25">
      <c r="A543" t="s">
        <v>845</v>
      </c>
      <c r="B543" t="s">
        <v>591</v>
      </c>
      <c r="C543" s="1"/>
      <c r="D543" s="1"/>
      <c r="E543" s="1"/>
      <c r="F543" s="1"/>
      <c r="G543" s="1"/>
      <c r="H543" s="1"/>
      <c r="I543" s="1"/>
      <c r="J543" s="1"/>
      <c r="K543" s="1"/>
      <c r="M543" s="12">
        <v>616</v>
      </c>
      <c r="N543" s="12" t="s">
        <v>614</v>
      </c>
      <c r="O543" s="12">
        <v>1267</v>
      </c>
      <c r="P543" s="12">
        <v>0</v>
      </c>
      <c r="Q543" s="12">
        <v>0</v>
      </c>
      <c r="R543" s="12">
        <v>0</v>
      </c>
      <c r="S543" s="12">
        <v>0</v>
      </c>
      <c r="T543" s="18">
        <v>0</v>
      </c>
      <c r="U543" s="18"/>
      <c r="V543">
        <f t="shared" si="18"/>
        <v>0</v>
      </c>
    </row>
    <row r="544" spans="1:22" x14ac:dyDescent="0.25">
      <c r="A544" t="s">
        <v>794</v>
      </c>
      <c r="B544" t="s">
        <v>592</v>
      </c>
      <c r="C544" s="1">
        <v>27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f>SUM(H544,I544)</f>
        <v>0</v>
      </c>
      <c r="K544" s="1"/>
      <c r="M544" s="10">
        <v>120</v>
      </c>
      <c r="N544" s="10" t="s">
        <v>615</v>
      </c>
      <c r="O544" s="10">
        <v>2963</v>
      </c>
      <c r="P544" s="10">
        <v>0</v>
      </c>
      <c r="Q544" s="10">
        <v>0</v>
      </c>
      <c r="R544" s="10">
        <v>0</v>
      </c>
      <c r="S544" s="10">
        <v>0</v>
      </c>
      <c r="T544" s="19">
        <v>0</v>
      </c>
      <c r="U544" s="19"/>
      <c r="V544">
        <f t="shared" si="18"/>
        <v>0</v>
      </c>
    </row>
    <row r="545" spans="1:22" x14ac:dyDescent="0.25">
      <c r="A545" t="s">
        <v>843</v>
      </c>
      <c r="B545" t="s">
        <v>593</v>
      </c>
      <c r="C545" s="1"/>
      <c r="D545" s="1"/>
      <c r="E545" s="1"/>
      <c r="F545" s="1"/>
      <c r="G545" s="1"/>
      <c r="H545" s="1"/>
      <c r="I545" s="1"/>
      <c r="J545" s="1"/>
      <c r="K545" s="1"/>
      <c r="M545" s="12">
        <v>511</v>
      </c>
      <c r="N545" s="12" t="s">
        <v>616</v>
      </c>
      <c r="O545" s="12">
        <v>3484</v>
      </c>
      <c r="P545" s="12">
        <v>0</v>
      </c>
      <c r="Q545" s="12">
        <v>0</v>
      </c>
      <c r="R545" s="12">
        <v>0</v>
      </c>
      <c r="S545" s="12">
        <v>0</v>
      </c>
      <c r="T545" s="18">
        <v>0</v>
      </c>
      <c r="U545" s="18"/>
      <c r="V545">
        <f t="shared" si="18"/>
        <v>0</v>
      </c>
    </row>
    <row r="546" spans="1:22" x14ac:dyDescent="0.25">
      <c r="A546" t="s">
        <v>863</v>
      </c>
      <c r="B546" t="s">
        <v>594</v>
      </c>
      <c r="C546" s="1"/>
      <c r="D546" s="1"/>
      <c r="E546" s="1"/>
      <c r="F546" s="1"/>
      <c r="G546" s="1"/>
      <c r="H546" s="1"/>
      <c r="I546" s="1"/>
      <c r="J546" s="1"/>
      <c r="K546" s="1"/>
      <c r="M546" s="10">
        <v>111</v>
      </c>
      <c r="N546" s="10" t="s">
        <v>617</v>
      </c>
      <c r="O546" s="10">
        <v>1559</v>
      </c>
      <c r="P546" s="10">
        <v>0</v>
      </c>
      <c r="Q546" s="10">
        <v>0</v>
      </c>
      <c r="R546" s="10">
        <v>0</v>
      </c>
      <c r="S546" s="10">
        <v>0</v>
      </c>
      <c r="T546" s="19">
        <v>0</v>
      </c>
      <c r="U546" s="19"/>
      <c r="V546">
        <f t="shared" si="18"/>
        <v>0</v>
      </c>
    </row>
    <row r="547" spans="1:22" x14ac:dyDescent="0.25">
      <c r="A547" t="s">
        <v>804</v>
      </c>
      <c r="B547" t="s">
        <v>595</v>
      </c>
      <c r="C547" s="1">
        <v>1387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f>SUM(H547,I547)</f>
        <v>0</v>
      </c>
      <c r="K547" s="1"/>
      <c r="M547" s="12">
        <v>511</v>
      </c>
      <c r="N547" s="12" t="s">
        <v>618</v>
      </c>
      <c r="O547" s="12">
        <v>1596</v>
      </c>
      <c r="P547" s="12">
        <v>0</v>
      </c>
      <c r="Q547" s="12">
        <v>0</v>
      </c>
      <c r="R547" s="12">
        <v>0</v>
      </c>
      <c r="S547" s="12">
        <v>0</v>
      </c>
      <c r="T547" s="18">
        <v>0</v>
      </c>
      <c r="U547" s="18"/>
      <c r="V547">
        <f t="shared" si="18"/>
        <v>0</v>
      </c>
    </row>
    <row r="548" spans="1:22" x14ac:dyDescent="0.25">
      <c r="A548" t="s">
        <v>795</v>
      </c>
      <c r="B548" t="s">
        <v>596</v>
      </c>
      <c r="C548" s="1">
        <v>3599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f>SUM(H548,I548)</f>
        <v>0</v>
      </c>
      <c r="K548" s="1"/>
      <c r="M548" s="10">
        <v>610</v>
      </c>
      <c r="N548" s="10" t="s">
        <v>619</v>
      </c>
      <c r="O548" s="10">
        <v>4423</v>
      </c>
      <c r="P548" s="10">
        <v>0</v>
      </c>
      <c r="Q548" s="10">
        <v>0</v>
      </c>
      <c r="R548" s="10">
        <v>0</v>
      </c>
      <c r="S548" s="10">
        <v>0</v>
      </c>
      <c r="T548" s="19">
        <v>0</v>
      </c>
      <c r="U548" s="19"/>
      <c r="V548">
        <f t="shared" si="18"/>
        <v>0</v>
      </c>
    </row>
    <row r="549" spans="1:22" x14ac:dyDescent="0.25">
      <c r="A549" t="s">
        <v>101</v>
      </c>
      <c r="B549" t="s">
        <v>597</v>
      </c>
      <c r="C549" s="1">
        <v>5494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f>SUM(H549,I549)</f>
        <v>0</v>
      </c>
      <c r="K549" s="1"/>
      <c r="M549" s="12">
        <v>616</v>
      </c>
      <c r="N549" s="12" t="s">
        <v>620</v>
      </c>
      <c r="O549" s="12">
        <v>7732</v>
      </c>
      <c r="P549" s="12">
        <v>0</v>
      </c>
      <c r="Q549" s="12">
        <v>0</v>
      </c>
      <c r="R549" s="12">
        <v>0</v>
      </c>
      <c r="S549" s="12">
        <v>0</v>
      </c>
      <c r="T549" s="18">
        <v>0</v>
      </c>
      <c r="U549" s="18"/>
      <c r="V549">
        <f t="shared" si="18"/>
        <v>0</v>
      </c>
    </row>
    <row r="550" spans="1:22" x14ac:dyDescent="0.25">
      <c r="A550" t="s">
        <v>835</v>
      </c>
      <c r="B550" t="s">
        <v>598</v>
      </c>
      <c r="C550" s="1"/>
      <c r="D550" s="1"/>
      <c r="E550" s="1"/>
      <c r="F550" s="1"/>
      <c r="G550" s="1"/>
      <c r="H550" s="1"/>
      <c r="I550" s="1"/>
      <c r="J550" s="1"/>
      <c r="K550" s="1"/>
      <c r="M550" s="10">
        <v>600</v>
      </c>
      <c r="N550" s="10" t="s">
        <v>621</v>
      </c>
      <c r="O550" s="10">
        <v>1564</v>
      </c>
      <c r="P550" s="10">
        <v>0</v>
      </c>
      <c r="Q550" s="10">
        <v>0</v>
      </c>
      <c r="R550" s="10">
        <v>0</v>
      </c>
      <c r="S550" s="10">
        <v>0</v>
      </c>
      <c r="T550" s="19">
        <v>0</v>
      </c>
      <c r="U550" s="19"/>
      <c r="V550">
        <f t="shared" si="18"/>
        <v>0</v>
      </c>
    </row>
    <row r="551" spans="1:22" x14ac:dyDescent="0.25">
      <c r="A551" t="s">
        <v>842</v>
      </c>
      <c r="B551" t="s">
        <v>599</v>
      </c>
      <c r="C551" s="1"/>
      <c r="D551" s="1"/>
      <c r="E551" s="1"/>
      <c r="F551" s="1"/>
      <c r="G551" s="1"/>
      <c r="H551" s="1"/>
      <c r="I551" s="1"/>
      <c r="J551" s="1"/>
      <c r="K551" s="1"/>
      <c r="M551" s="12">
        <v>114</v>
      </c>
      <c r="N551" s="12" t="s">
        <v>622</v>
      </c>
      <c r="O551" s="12">
        <v>12528</v>
      </c>
      <c r="P551" s="12">
        <v>0</v>
      </c>
      <c r="Q551" s="12">
        <v>0</v>
      </c>
      <c r="R551" s="12">
        <v>0</v>
      </c>
      <c r="S551" s="12">
        <v>0</v>
      </c>
      <c r="T551" s="18">
        <v>0</v>
      </c>
      <c r="U551" s="18"/>
      <c r="V551">
        <f t="shared" si="18"/>
        <v>0</v>
      </c>
    </row>
    <row r="552" spans="1:22" x14ac:dyDescent="0.25">
      <c r="A552" t="s">
        <v>226</v>
      </c>
      <c r="B552" t="s">
        <v>600</v>
      </c>
      <c r="C552" s="1"/>
      <c r="D552" s="1"/>
      <c r="E552" s="1"/>
      <c r="F552" s="1"/>
      <c r="G552" s="1"/>
      <c r="H552" s="1"/>
      <c r="I552" s="1"/>
      <c r="J552" s="1"/>
      <c r="K552" s="1"/>
      <c r="M552" s="10">
        <v>113</v>
      </c>
      <c r="N552" s="10" t="s">
        <v>623</v>
      </c>
      <c r="O552" s="10">
        <v>773</v>
      </c>
      <c r="P552" s="10">
        <v>0</v>
      </c>
      <c r="Q552" s="10">
        <v>0</v>
      </c>
      <c r="R552" s="10">
        <v>0</v>
      </c>
      <c r="S552" s="10">
        <v>0</v>
      </c>
      <c r="T552" s="19">
        <v>0</v>
      </c>
      <c r="U552" s="19"/>
      <c r="V552">
        <f t="shared" si="18"/>
        <v>0</v>
      </c>
    </row>
    <row r="553" spans="1:22" x14ac:dyDescent="0.25">
      <c r="A553" t="s">
        <v>817</v>
      </c>
      <c r="B553" t="s">
        <v>601</v>
      </c>
      <c r="C553" s="1">
        <v>6520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f>SUM(H553,I553)</f>
        <v>0</v>
      </c>
      <c r="K553" s="1"/>
      <c r="M553" s="12">
        <v>616.1</v>
      </c>
      <c r="N553" s="12" t="s">
        <v>624</v>
      </c>
      <c r="O553" s="12">
        <v>3548</v>
      </c>
      <c r="P553" s="12">
        <v>0</v>
      </c>
      <c r="Q553" s="12">
        <v>0</v>
      </c>
      <c r="R553" s="12">
        <v>0</v>
      </c>
      <c r="S553" s="12">
        <v>0</v>
      </c>
      <c r="T553" s="18">
        <v>0</v>
      </c>
      <c r="U553" s="18"/>
      <c r="V553">
        <f t="shared" si="18"/>
        <v>0</v>
      </c>
    </row>
    <row r="554" spans="1:22" x14ac:dyDescent="0.25">
      <c r="A554" t="s">
        <v>788</v>
      </c>
      <c r="B554" t="s">
        <v>602</v>
      </c>
      <c r="C554" s="1">
        <v>6958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f>SUM(H554,I554)</f>
        <v>0</v>
      </c>
      <c r="K554" s="1"/>
      <c r="M554" s="10">
        <v>712</v>
      </c>
      <c r="N554" s="10" t="s">
        <v>625</v>
      </c>
      <c r="O554" s="10">
        <v>9391</v>
      </c>
      <c r="P554" s="10">
        <v>0</v>
      </c>
      <c r="Q554" s="10">
        <v>0</v>
      </c>
      <c r="R554" s="10">
        <v>0</v>
      </c>
      <c r="S554" s="10">
        <v>0</v>
      </c>
      <c r="T554" s="19">
        <v>0</v>
      </c>
      <c r="U554" s="19"/>
      <c r="V554">
        <f t="shared" si="18"/>
        <v>0</v>
      </c>
    </row>
    <row r="555" spans="1:22" x14ac:dyDescent="0.25">
      <c r="A555" t="s">
        <v>859</v>
      </c>
      <c r="B555" t="s">
        <v>603</v>
      </c>
      <c r="C555" s="1"/>
      <c r="D555" s="1"/>
      <c r="E555" s="1"/>
      <c r="F555" s="1"/>
      <c r="G555" s="1"/>
      <c r="H555" s="1"/>
      <c r="I555" s="1"/>
      <c r="J555" s="1"/>
      <c r="K555" s="1"/>
      <c r="M555" s="12">
        <v>710</v>
      </c>
      <c r="N555" s="12" t="s">
        <v>626</v>
      </c>
      <c r="O555" s="12">
        <v>18186</v>
      </c>
      <c r="P555" s="12">
        <v>0</v>
      </c>
      <c r="Q555" s="12">
        <v>0</v>
      </c>
      <c r="R555" s="12">
        <v>0</v>
      </c>
      <c r="S555" s="12">
        <v>0</v>
      </c>
      <c r="T555" s="18">
        <v>0</v>
      </c>
      <c r="U555" s="18"/>
      <c r="V555">
        <f t="shared" si="18"/>
        <v>0</v>
      </c>
    </row>
    <row r="556" spans="1:22" x14ac:dyDescent="0.25">
      <c r="A556" t="s">
        <v>831</v>
      </c>
      <c r="B556" t="s">
        <v>604</v>
      </c>
      <c r="C556" s="1">
        <v>6081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f>SUM(H556,I556)</f>
        <v>0</v>
      </c>
      <c r="K556" s="1"/>
      <c r="M556" s="10">
        <v>700</v>
      </c>
      <c r="N556" s="10" t="s">
        <v>627</v>
      </c>
      <c r="O556" s="10">
        <v>4355</v>
      </c>
      <c r="P556" s="10">
        <v>0</v>
      </c>
      <c r="Q556" s="10">
        <v>0</v>
      </c>
      <c r="R556" s="10">
        <v>0</v>
      </c>
      <c r="S556" s="10">
        <v>0</v>
      </c>
      <c r="T556" s="19">
        <v>0</v>
      </c>
      <c r="U556" s="19"/>
      <c r="V556">
        <f t="shared" si="18"/>
        <v>0</v>
      </c>
    </row>
    <row r="557" spans="1:22" x14ac:dyDescent="0.25">
      <c r="A557" t="s">
        <v>809</v>
      </c>
      <c r="B557" t="s">
        <v>605</v>
      </c>
      <c r="C557" s="1">
        <v>886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f>SUM(H557,I557)</f>
        <v>0</v>
      </c>
      <c r="K557" s="1"/>
      <c r="M557" s="12" t="s">
        <v>828</v>
      </c>
      <c r="N557" s="12" t="s">
        <v>628</v>
      </c>
      <c r="O557" s="12"/>
      <c r="P557" s="12"/>
      <c r="Q557" s="12"/>
      <c r="R557" s="12"/>
      <c r="S557" s="12"/>
      <c r="T557" s="18"/>
      <c r="U557" s="18"/>
      <c r="V557">
        <f t="shared" si="18"/>
        <v>0</v>
      </c>
    </row>
    <row r="558" spans="1:22" x14ac:dyDescent="0.25">
      <c r="A558" t="s">
        <v>817</v>
      </c>
      <c r="B558" t="s">
        <v>606</v>
      </c>
      <c r="C558" s="1">
        <v>24407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f>SUM(H558,I558)</f>
        <v>0</v>
      </c>
      <c r="K558" s="1"/>
      <c r="M558" s="10">
        <v>110</v>
      </c>
      <c r="N558" s="10" t="s">
        <v>629</v>
      </c>
      <c r="O558" s="10">
        <v>199</v>
      </c>
      <c r="P558" s="10">
        <v>0</v>
      </c>
      <c r="Q558" s="10">
        <v>0</v>
      </c>
      <c r="R558" s="10">
        <v>0</v>
      </c>
      <c r="S558" s="10">
        <v>0</v>
      </c>
      <c r="T558" s="19">
        <v>0</v>
      </c>
      <c r="U558" s="19"/>
      <c r="V558">
        <f t="shared" si="18"/>
        <v>0</v>
      </c>
    </row>
    <row r="559" spans="1:22" x14ac:dyDescent="0.25">
      <c r="A559" t="s">
        <v>824</v>
      </c>
      <c r="B559" t="s">
        <v>607</v>
      </c>
      <c r="C559" s="1">
        <v>623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f>SUM(H559,I559)</f>
        <v>0</v>
      </c>
      <c r="K559" s="1"/>
      <c r="M559" s="12">
        <v>710</v>
      </c>
      <c r="N559" s="12" t="s">
        <v>630</v>
      </c>
      <c r="O559" s="12">
        <v>2390</v>
      </c>
      <c r="P559" s="12">
        <v>0</v>
      </c>
      <c r="Q559" s="12">
        <v>0</v>
      </c>
      <c r="R559" s="12">
        <v>0</v>
      </c>
      <c r="S559" s="12">
        <v>0</v>
      </c>
      <c r="T559" s="18">
        <v>0</v>
      </c>
      <c r="U559" s="18"/>
      <c r="V559">
        <f t="shared" si="18"/>
        <v>0</v>
      </c>
    </row>
    <row r="560" spans="1:22" x14ac:dyDescent="0.25">
      <c r="A560" t="s">
        <v>138</v>
      </c>
      <c r="B560" t="s">
        <v>608</v>
      </c>
      <c r="C560" s="1"/>
      <c r="D560" s="1"/>
      <c r="E560" s="1"/>
      <c r="F560" s="1"/>
      <c r="G560" s="1"/>
      <c r="H560" s="1"/>
      <c r="I560" s="1"/>
      <c r="J560" s="1"/>
      <c r="K560" s="1"/>
      <c r="M560" s="10">
        <v>710</v>
      </c>
      <c r="N560" s="10" t="s">
        <v>631</v>
      </c>
      <c r="O560" s="10">
        <v>10425</v>
      </c>
      <c r="P560" s="10">
        <v>0</v>
      </c>
      <c r="Q560" s="10">
        <v>0</v>
      </c>
      <c r="R560" s="10">
        <v>0</v>
      </c>
      <c r="S560" s="10">
        <v>0</v>
      </c>
      <c r="T560" s="19">
        <v>0</v>
      </c>
      <c r="U560" s="19"/>
      <c r="V560">
        <f t="shared" si="18"/>
        <v>0</v>
      </c>
    </row>
    <row r="561" spans="1:22" x14ac:dyDescent="0.25">
      <c r="A561" t="s">
        <v>859</v>
      </c>
      <c r="B561" t="s">
        <v>609</v>
      </c>
      <c r="C561" s="1"/>
      <c r="D561" s="1"/>
      <c r="E561" s="1"/>
      <c r="F561" s="1"/>
      <c r="G561" s="1"/>
      <c r="H561" s="1"/>
      <c r="I561" s="1"/>
      <c r="J561" s="1"/>
      <c r="K561" s="1"/>
      <c r="M561" s="12">
        <v>616</v>
      </c>
      <c r="N561" s="12" t="s">
        <v>632</v>
      </c>
      <c r="O561" s="12">
        <v>789</v>
      </c>
      <c r="P561" s="12">
        <v>0</v>
      </c>
      <c r="Q561" s="12">
        <v>0</v>
      </c>
      <c r="R561" s="12">
        <v>0</v>
      </c>
      <c r="S561" s="12">
        <v>0</v>
      </c>
      <c r="T561" s="18">
        <v>0</v>
      </c>
      <c r="U561" s="18"/>
      <c r="V561">
        <f t="shared" si="18"/>
        <v>0</v>
      </c>
    </row>
    <row r="562" spans="1:22" x14ac:dyDescent="0.25">
      <c r="A562" t="s">
        <v>817</v>
      </c>
      <c r="B562" t="s">
        <v>610</v>
      </c>
      <c r="C562" s="1">
        <v>8542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f>SUM(H562,I562)</f>
        <v>0</v>
      </c>
      <c r="K562" s="1"/>
      <c r="M562" s="10">
        <v>712</v>
      </c>
      <c r="N562" s="10" t="s">
        <v>633</v>
      </c>
      <c r="O562" s="10">
        <v>2841</v>
      </c>
      <c r="P562" s="10">
        <v>0</v>
      </c>
      <c r="Q562" s="10">
        <v>0</v>
      </c>
      <c r="R562" s="10">
        <v>0</v>
      </c>
      <c r="S562" s="10">
        <v>0</v>
      </c>
      <c r="T562" s="19">
        <v>0</v>
      </c>
      <c r="U562" s="19"/>
      <c r="V562">
        <f t="shared" si="18"/>
        <v>0</v>
      </c>
    </row>
    <row r="563" spans="1:22" x14ac:dyDescent="0.25">
      <c r="A563" t="s">
        <v>817</v>
      </c>
      <c r="B563" t="s">
        <v>611</v>
      </c>
      <c r="C563" s="1">
        <v>6523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f>SUM(H563,I563)</f>
        <v>0</v>
      </c>
      <c r="K563" s="1"/>
      <c r="M563" s="12">
        <v>616</v>
      </c>
      <c r="N563" s="12" t="s">
        <v>634</v>
      </c>
      <c r="O563" s="12">
        <v>3252</v>
      </c>
      <c r="P563" s="12">
        <v>0</v>
      </c>
      <c r="Q563" s="12">
        <v>0</v>
      </c>
      <c r="R563" s="12">
        <v>0</v>
      </c>
      <c r="S563" s="12">
        <v>0</v>
      </c>
      <c r="T563" s="18">
        <v>0</v>
      </c>
      <c r="U563" s="18"/>
      <c r="V563">
        <f t="shared" si="18"/>
        <v>0</v>
      </c>
    </row>
    <row r="564" spans="1:22" x14ac:dyDescent="0.25">
      <c r="A564" t="s">
        <v>134</v>
      </c>
      <c r="B564" t="s">
        <v>612</v>
      </c>
      <c r="C564" s="1">
        <v>13864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f>SUM(H564,I564)</f>
        <v>0</v>
      </c>
      <c r="K564" s="1"/>
      <c r="M564" s="10">
        <v>711</v>
      </c>
      <c r="N564" s="10" t="s">
        <v>635</v>
      </c>
      <c r="O564" s="10"/>
      <c r="P564" s="10"/>
      <c r="Q564" s="10"/>
      <c r="R564" s="10"/>
      <c r="S564" s="10"/>
      <c r="T564" s="19"/>
      <c r="U564" s="19"/>
      <c r="V564">
        <f t="shared" si="18"/>
        <v>0</v>
      </c>
    </row>
    <row r="565" spans="1:22" x14ac:dyDescent="0.25">
      <c r="A565" t="s">
        <v>817</v>
      </c>
      <c r="B565" t="s">
        <v>613</v>
      </c>
      <c r="C565" s="1">
        <v>14515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f>SUM(H565,I565)</f>
        <v>0</v>
      </c>
      <c r="K565" s="1"/>
      <c r="M565" s="12">
        <v>616</v>
      </c>
      <c r="N565" s="12" t="s">
        <v>636</v>
      </c>
      <c r="O565" s="12">
        <v>4780</v>
      </c>
      <c r="P565" s="12">
        <v>0</v>
      </c>
      <c r="Q565" s="12">
        <v>0</v>
      </c>
      <c r="R565" s="12">
        <v>0</v>
      </c>
      <c r="S565" s="12">
        <v>0</v>
      </c>
      <c r="T565" s="18">
        <v>0</v>
      </c>
      <c r="U565" s="18"/>
      <c r="V565">
        <f t="shared" si="18"/>
        <v>0</v>
      </c>
    </row>
    <row r="566" spans="1:22" x14ac:dyDescent="0.25">
      <c r="A566" t="s">
        <v>817</v>
      </c>
      <c r="B566" t="s">
        <v>614</v>
      </c>
      <c r="C566" s="1">
        <v>1267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f>SUM(H566,I566)</f>
        <v>0</v>
      </c>
      <c r="K566" s="1"/>
      <c r="M566" s="10">
        <v>500</v>
      </c>
      <c r="N566" s="10" t="s">
        <v>637</v>
      </c>
      <c r="O566" s="10">
        <v>2265</v>
      </c>
      <c r="P566" s="10">
        <v>0</v>
      </c>
      <c r="Q566" s="10">
        <v>0</v>
      </c>
      <c r="R566" s="10">
        <v>0</v>
      </c>
      <c r="S566" s="10">
        <v>0</v>
      </c>
      <c r="T566" s="19">
        <v>0</v>
      </c>
      <c r="U566" s="19"/>
      <c r="V566">
        <f t="shared" si="18"/>
        <v>0</v>
      </c>
    </row>
    <row r="567" spans="1:22" x14ac:dyDescent="0.25">
      <c r="A567" t="s">
        <v>826</v>
      </c>
      <c r="B567" t="s">
        <v>615</v>
      </c>
      <c r="C567" s="1"/>
      <c r="D567" s="1"/>
      <c r="E567" s="1"/>
      <c r="F567" s="1"/>
      <c r="G567" s="1"/>
      <c r="H567" s="1"/>
      <c r="I567" s="1"/>
      <c r="J567" s="1"/>
      <c r="K567" s="1"/>
      <c r="M567" s="12">
        <v>715</v>
      </c>
      <c r="N567" s="12" t="s">
        <v>638</v>
      </c>
      <c r="O567" s="12">
        <v>6277</v>
      </c>
      <c r="P567" s="12">
        <v>0</v>
      </c>
      <c r="Q567" s="12">
        <v>0</v>
      </c>
      <c r="R567" s="12">
        <v>0</v>
      </c>
      <c r="S567" s="12">
        <v>0</v>
      </c>
      <c r="T567" s="18">
        <v>0</v>
      </c>
      <c r="U567" s="18"/>
      <c r="V567">
        <f t="shared" si="18"/>
        <v>0</v>
      </c>
    </row>
    <row r="568" spans="1:22" x14ac:dyDescent="0.25">
      <c r="A568" t="s">
        <v>101</v>
      </c>
      <c r="B568" t="s">
        <v>616</v>
      </c>
      <c r="C568" s="1">
        <v>3484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f>SUM(H568,I568)</f>
        <v>0</v>
      </c>
      <c r="K568" s="1"/>
      <c r="M568" s="10">
        <v>616</v>
      </c>
      <c r="N568" s="10" t="s">
        <v>639</v>
      </c>
      <c r="O568" s="10">
        <v>8159</v>
      </c>
      <c r="P568" s="10">
        <v>0</v>
      </c>
      <c r="Q568" s="10">
        <v>0</v>
      </c>
      <c r="R568" s="10">
        <v>0</v>
      </c>
      <c r="S568" s="10">
        <v>0</v>
      </c>
      <c r="T568" s="19">
        <v>0</v>
      </c>
      <c r="U568" s="19"/>
      <c r="V568">
        <f t="shared" si="18"/>
        <v>0</v>
      </c>
    </row>
    <row r="569" spans="1:22" x14ac:dyDescent="0.25">
      <c r="A569" t="s">
        <v>811</v>
      </c>
      <c r="B569" t="s">
        <v>617</v>
      </c>
      <c r="C569" s="1"/>
      <c r="D569" s="1"/>
      <c r="E569" s="1"/>
      <c r="F569" s="1"/>
      <c r="G569" s="1"/>
      <c r="H569" s="1"/>
      <c r="I569" s="1"/>
      <c r="J569" s="1"/>
      <c r="K569" s="1"/>
      <c r="M569" s="12">
        <v>111</v>
      </c>
      <c r="N569" s="12" t="s">
        <v>640</v>
      </c>
      <c r="O569" s="12">
        <v>36656</v>
      </c>
      <c r="P569" s="12">
        <v>0</v>
      </c>
      <c r="Q569" s="12">
        <v>0</v>
      </c>
      <c r="R569" s="12">
        <v>0</v>
      </c>
      <c r="S569" s="12">
        <v>0</v>
      </c>
      <c r="T569" s="18">
        <v>0</v>
      </c>
      <c r="U569" s="18"/>
      <c r="V569">
        <f t="shared" si="18"/>
        <v>0</v>
      </c>
    </row>
    <row r="570" spans="1:22" x14ac:dyDescent="0.25">
      <c r="A570" t="s">
        <v>101</v>
      </c>
      <c r="B570" t="s">
        <v>618</v>
      </c>
      <c r="C570" s="1">
        <v>1596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f>SUM(H570,I570)</f>
        <v>0</v>
      </c>
      <c r="K570" s="1"/>
      <c r="M570" s="10" t="s">
        <v>828</v>
      </c>
      <c r="N570" s="10" t="s">
        <v>641</v>
      </c>
      <c r="O570" s="10">
        <v>7219</v>
      </c>
      <c r="P570" s="10">
        <v>0</v>
      </c>
      <c r="Q570" s="10">
        <v>0</v>
      </c>
      <c r="R570" s="10">
        <v>0</v>
      </c>
      <c r="S570" s="10">
        <v>0</v>
      </c>
      <c r="T570" s="19">
        <v>0</v>
      </c>
      <c r="U570" s="19"/>
      <c r="V570">
        <f t="shared" si="18"/>
        <v>0</v>
      </c>
    </row>
    <row r="571" spans="1:22" x14ac:dyDescent="0.25">
      <c r="A571" t="s">
        <v>788</v>
      </c>
      <c r="B571" t="s">
        <v>619</v>
      </c>
      <c r="C571" s="1">
        <v>4423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f>SUM(H571,I571)</f>
        <v>0</v>
      </c>
      <c r="K571" s="1"/>
      <c r="M571" s="12">
        <v>712</v>
      </c>
      <c r="N571" s="12" t="s">
        <v>642</v>
      </c>
      <c r="O571" s="12">
        <v>846</v>
      </c>
      <c r="P571" s="12">
        <v>0</v>
      </c>
      <c r="Q571" s="12">
        <v>0</v>
      </c>
      <c r="R571" s="12">
        <v>0</v>
      </c>
      <c r="S571" s="12">
        <v>0</v>
      </c>
      <c r="T571" s="18">
        <v>0</v>
      </c>
      <c r="U571" s="18"/>
      <c r="V571">
        <f t="shared" si="18"/>
        <v>0</v>
      </c>
    </row>
    <row r="572" spans="1:22" x14ac:dyDescent="0.25">
      <c r="A572" t="s">
        <v>817</v>
      </c>
      <c r="B572" t="s">
        <v>620</v>
      </c>
      <c r="C572" s="1">
        <v>7732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f>SUM(H572,I572)</f>
        <v>0</v>
      </c>
      <c r="K572" s="1"/>
      <c r="M572" s="10">
        <v>616</v>
      </c>
      <c r="N572" s="10" t="s">
        <v>643</v>
      </c>
      <c r="O572" s="10">
        <v>496</v>
      </c>
      <c r="P572" s="10">
        <v>0</v>
      </c>
      <c r="Q572" s="10">
        <v>0</v>
      </c>
      <c r="R572" s="10">
        <v>0</v>
      </c>
      <c r="S572" s="10">
        <v>0</v>
      </c>
      <c r="T572" s="19">
        <v>0</v>
      </c>
      <c r="U572" s="19"/>
      <c r="V572">
        <f t="shared" si="18"/>
        <v>0</v>
      </c>
    </row>
    <row r="573" spans="1:22" x14ac:dyDescent="0.25">
      <c r="A573" t="s">
        <v>248</v>
      </c>
      <c r="B573" t="s">
        <v>621</v>
      </c>
      <c r="C573" s="1"/>
      <c r="D573" s="1"/>
      <c r="E573" s="1"/>
      <c r="F573" s="1"/>
      <c r="G573" s="1"/>
      <c r="H573" s="1"/>
      <c r="I573" s="1"/>
      <c r="J573" s="1"/>
      <c r="K573" s="1"/>
      <c r="M573" s="12">
        <v>712</v>
      </c>
      <c r="N573" s="12" t="s">
        <v>644</v>
      </c>
      <c r="O573" s="12">
        <v>2368</v>
      </c>
      <c r="P573" s="12">
        <v>0</v>
      </c>
      <c r="Q573" s="12">
        <v>0</v>
      </c>
      <c r="R573" s="12">
        <v>0</v>
      </c>
      <c r="S573" s="12">
        <v>0</v>
      </c>
      <c r="T573" s="18">
        <v>0</v>
      </c>
      <c r="U573" s="18"/>
      <c r="V573">
        <f t="shared" si="18"/>
        <v>0</v>
      </c>
    </row>
    <row r="574" spans="1:22" x14ac:dyDescent="0.25">
      <c r="A574" t="s">
        <v>831</v>
      </c>
      <c r="B574" t="s">
        <v>622</v>
      </c>
      <c r="C574" s="1">
        <v>12528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f>SUM(H574,I574)</f>
        <v>0</v>
      </c>
      <c r="K574" s="1"/>
      <c r="M574" s="10">
        <v>616</v>
      </c>
      <c r="N574" s="10" t="s">
        <v>645</v>
      </c>
      <c r="O574" s="10">
        <v>16141</v>
      </c>
      <c r="P574" s="10">
        <v>0</v>
      </c>
      <c r="Q574" s="10">
        <v>0</v>
      </c>
      <c r="R574" s="10">
        <v>0</v>
      </c>
      <c r="S574" s="10">
        <v>0</v>
      </c>
      <c r="T574" s="19">
        <v>0</v>
      </c>
      <c r="U574" s="19"/>
      <c r="V574">
        <f t="shared" si="18"/>
        <v>0</v>
      </c>
    </row>
    <row r="575" spans="1:22" x14ac:dyDescent="0.25">
      <c r="A575" t="s">
        <v>823</v>
      </c>
      <c r="B575" t="s">
        <v>623</v>
      </c>
      <c r="C575" s="1">
        <v>773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f>SUM(H575,I575)</f>
        <v>0</v>
      </c>
      <c r="K575" s="1"/>
      <c r="M575" s="12">
        <v>616</v>
      </c>
      <c r="N575" s="12" t="s">
        <v>646</v>
      </c>
      <c r="O575" s="12"/>
      <c r="P575" s="12"/>
      <c r="Q575" s="12"/>
      <c r="R575" s="12"/>
      <c r="S575" s="12"/>
      <c r="T575" s="18"/>
      <c r="U575" s="18"/>
      <c r="V575">
        <f t="shared" si="18"/>
        <v>0</v>
      </c>
    </row>
    <row r="576" spans="1:22" x14ac:dyDescent="0.25">
      <c r="A576" t="s">
        <v>817</v>
      </c>
      <c r="B576" t="s">
        <v>624</v>
      </c>
      <c r="C576" s="1">
        <v>3548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f>SUM(H576,I576)</f>
        <v>0</v>
      </c>
      <c r="K576" s="1"/>
      <c r="M576" s="10">
        <v>300</v>
      </c>
      <c r="N576" s="10" t="s">
        <v>647</v>
      </c>
      <c r="O576" s="10">
        <v>547</v>
      </c>
      <c r="P576" s="10">
        <v>0</v>
      </c>
      <c r="Q576" s="10">
        <v>0</v>
      </c>
      <c r="R576" s="10">
        <v>0</v>
      </c>
      <c r="S576" s="10">
        <v>0</v>
      </c>
      <c r="T576" s="19">
        <v>0</v>
      </c>
      <c r="U576" s="19"/>
      <c r="V576">
        <f t="shared" si="18"/>
        <v>0</v>
      </c>
    </row>
    <row r="577" spans="1:22" x14ac:dyDescent="0.25">
      <c r="A577" t="s">
        <v>76</v>
      </c>
      <c r="B577" t="s">
        <v>625</v>
      </c>
      <c r="C577" s="1">
        <v>9391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f>SUM(H577,I577)</f>
        <v>0</v>
      </c>
      <c r="K577" s="1"/>
      <c r="M577" s="12">
        <v>114</v>
      </c>
      <c r="N577" s="12" t="s">
        <v>648</v>
      </c>
      <c r="O577" s="12">
        <v>9067</v>
      </c>
      <c r="P577" s="12">
        <v>0</v>
      </c>
      <c r="Q577" s="12">
        <v>0</v>
      </c>
      <c r="R577" s="12">
        <v>0</v>
      </c>
      <c r="S577" s="12">
        <v>0</v>
      </c>
      <c r="T577" s="18">
        <v>0</v>
      </c>
      <c r="U577" s="18"/>
      <c r="V577">
        <f t="shared" si="18"/>
        <v>0</v>
      </c>
    </row>
    <row r="578" spans="1:22" x14ac:dyDescent="0.25">
      <c r="A578" t="s">
        <v>69</v>
      </c>
      <c r="B578" t="s">
        <v>626</v>
      </c>
      <c r="C578" s="1">
        <v>18186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f>SUM(H578,I578)</f>
        <v>0</v>
      </c>
      <c r="K578" s="1"/>
      <c r="M578" s="10">
        <v>715</v>
      </c>
      <c r="N578" s="10" t="s">
        <v>649</v>
      </c>
      <c r="O578" s="10">
        <v>3256</v>
      </c>
      <c r="P578" s="10">
        <v>0</v>
      </c>
      <c r="Q578" s="10">
        <v>0</v>
      </c>
      <c r="R578" s="10">
        <v>0</v>
      </c>
      <c r="S578" s="10">
        <v>0</v>
      </c>
      <c r="T578" s="19">
        <v>0</v>
      </c>
      <c r="U578" s="19"/>
      <c r="V578">
        <f t="shared" si="18"/>
        <v>0</v>
      </c>
    </row>
    <row r="579" spans="1:22" x14ac:dyDescent="0.25">
      <c r="A579" t="s">
        <v>83</v>
      </c>
      <c r="B579" t="s">
        <v>627</v>
      </c>
      <c r="C579" s="1"/>
      <c r="D579" s="1"/>
      <c r="E579" s="1"/>
      <c r="F579" s="1"/>
      <c r="G579" s="1"/>
      <c r="H579" s="1"/>
      <c r="I579" s="1"/>
      <c r="J579" s="1"/>
      <c r="K579" s="1"/>
      <c r="M579" s="12">
        <v>616</v>
      </c>
      <c r="N579" s="12" t="s">
        <v>650</v>
      </c>
      <c r="O579" s="12">
        <v>4832</v>
      </c>
      <c r="P579" s="12">
        <v>0</v>
      </c>
      <c r="Q579" s="12">
        <v>0</v>
      </c>
      <c r="R579" s="12">
        <v>0</v>
      </c>
      <c r="S579" s="12">
        <v>0</v>
      </c>
      <c r="T579" s="18">
        <v>0</v>
      </c>
      <c r="U579" s="18"/>
      <c r="V579">
        <f t="shared" si="18"/>
        <v>0</v>
      </c>
    </row>
    <row r="580" spans="1:22" x14ac:dyDescent="0.25">
      <c r="A580" t="s">
        <v>791</v>
      </c>
      <c r="B580" t="s">
        <v>628</v>
      </c>
      <c r="C580" s="1"/>
      <c r="D580" s="1"/>
      <c r="E580" s="1"/>
      <c r="F580" s="1"/>
      <c r="G580" s="1"/>
      <c r="H580" s="1"/>
      <c r="I580" s="1"/>
      <c r="J580" s="1"/>
      <c r="K580" s="1"/>
      <c r="M580" s="10">
        <v>616</v>
      </c>
      <c r="N580" s="10" t="s">
        <v>651</v>
      </c>
      <c r="O580" s="10">
        <v>4670</v>
      </c>
      <c r="P580" s="10">
        <v>0</v>
      </c>
      <c r="Q580" s="10">
        <v>0</v>
      </c>
      <c r="R580" s="10">
        <v>0</v>
      </c>
      <c r="S580" s="10">
        <v>0</v>
      </c>
      <c r="T580" s="19">
        <v>0</v>
      </c>
      <c r="U580" s="19"/>
      <c r="V580">
        <f t="shared" si="18"/>
        <v>0</v>
      </c>
    </row>
    <row r="581" spans="1:22" x14ac:dyDescent="0.25">
      <c r="A581" t="s">
        <v>797</v>
      </c>
      <c r="B581" t="s">
        <v>629</v>
      </c>
      <c r="C581" s="1"/>
      <c r="D581" s="1"/>
      <c r="E581" s="1"/>
      <c r="F581" s="1"/>
      <c r="G581" s="1"/>
      <c r="H581" s="1"/>
      <c r="I581" s="1"/>
      <c r="J581" s="1"/>
      <c r="K581" s="1"/>
      <c r="M581" s="12">
        <v>616</v>
      </c>
      <c r="N581" s="12" t="s">
        <v>652</v>
      </c>
      <c r="O581" s="12">
        <v>1039</v>
      </c>
      <c r="P581" s="12">
        <v>0</v>
      </c>
      <c r="Q581" s="12">
        <v>0</v>
      </c>
      <c r="R581" s="12">
        <v>0</v>
      </c>
      <c r="S581" s="12">
        <v>0</v>
      </c>
      <c r="T581" s="18">
        <v>0</v>
      </c>
      <c r="U581" s="18"/>
      <c r="V581">
        <f t="shared" si="18"/>
        <v>0</v>
      </c>
    </row>
    <row r="582" spans="1:22" x14ac:dyDescent="0.25">
      <c r="A582" t="s">
        <v>69</v>
      </c>
      <c r="B582" t="s">
        <v>630</v>
      </c>
      <c r="C582" s="1">
        <v>2390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f>SUM(H582,I582)</f>
        <v>0</v>
      </c>
      <c r="K582" s="1"/>
      <c r="M582" s="10">
        <v>616</v>
      </c>
      <c r="N582" s="10" t="s">
        <v>653</v>
      </c>
      <c r="O582" s="10">
        <v>18309</v>
      </c>
      <c r="P582" s="10">
        <v>0</v>
      </c>
      <c r="Q582" s="10">
        <v>0</v>
      </c>
      <c r="R582" s="10">
        <v>0</v>
      </c>
      <c r="S582" s="10">
        <v>0</v>
      </c>
      <c r="T582" s="19">
        <v>0</v>
      </c>
      <c r="U582" s="19"/>
      <c r="V582">
        <f t="shared" si="18"/>
        <v>0</v>
      </c>
    </row>
    <row r="583" spans="1:22" x14ac:dyDescent="0.25">
      <c r="A583" t="s">
        <v>69</v>
      </c>
      <c r="B583" t="s">
        <v>631</v>
      </c>
      <c r="C583" s="1">
        <v>10425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f>SUM(H583,I583)</f>
        <v>0</v>
      </c>
      <c r="K583" s="1"/>
      <c r="M583" s="12">
        <v>616</v>
      </c>
      <c r="N583" s="12" t="s">
        <v>654</v>
      </c>
      <c r="O583" s="12">
        <v>11797</v>
      </c>
      <c r="P583" s="12">
        <v>0</v>
      </c>
      <c r="Q583" s="12">
        <v>0</v>
      </c>
      <c r="R583" s="12">
        <v>0</v>
      </c>
      <c r="S583" s="12">
        <v>0</v>
      </c>
      <c r="T583" s="18">
        <v>0</v>
      </c>
      <c r="U583" s="18"/>
      <c r="V583">
        <f t="shared" si="18"/>
        <v>0</v>
      </c>
    </row>
    <row r="584" spans="1:22" x14ac:dyDescent="0.25">
      <c r="A584" t="s">
        <v>823</v>
      </c>
      <c r="B584" t="s">
        <v>632</v>
      </c>
      <c r="C584" s="1"/>
      <c r="D584" s="1"/>
      <c r="E584" s="1"/>
      <c r="F584" s="1"/>
      <c r="G584" s="1"/>
      <c r="H584" s="1"/>
      <c r="I584" s="1"/>
      <c r="J584" s="1"/>
      <c r="K584" s="1"/>
      <c r="M584" s="10">
        <v>120</v>
      </c>
      <c r="N584" s="10" t="s">
        <v>655</v>
      </c>
      <c r="O584" s="10">
        <v>2894</v>
      </c>
      <c r="P584" s="10">
        <v>0</v>
      </c>
      <c r="Q584" s="10">
        <v>0</v>
      </c>
      <c r="R584" s="10">
        <v>0</v>
      </c>
      <c r="S584" s="10">
        <v>0</v>
      </c>
      <c r="T584" s="19">
        <v>0</v>
      </c>
      <c r="U584" s="19"/>
      <c r="V584">
        <f t="shared" si="18"/>
        <v>0</v>
      </c>
    </row>
    <row r="585" spans="1:22" x14ac:dyDescent="0.25">
      <c r="A585" t="s">
        <v>76</v>
      </c>
      <c r="B585" t="s">
        <v>633</v>
      </c>
      <c r="C585" s="1">
        <v>2841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f t="shared" ref="J585:J591" si="19">SUM(H585,I585)</f>
        <v>0</v>
      </c>
      <c r="K585" s="1"/>
      <c r="M585" s="12">
        <v>616</v>
      </c>
      <c r="N585" s="12" t="s">
        <v>656</v>
      </c>
      <c r="O585" s="12">
        <v>2653</v>
      </c>
      <c r="P585" s="12">
        <v>0</v>
      </c>
      <c r="Q585" s="12">
        <v>0</v>
      </c>
      <c r="R585" s="12">
        <v>0</v>
      </c>
      <c r="S585" s="12">
        <v>0</v>
      </c>
      <c r="T585" s="18">
        <v>0</v>
      </c>
      <c r="U585" s="18"/>
      <c r="V585">
        <f t="shared" si="18"/>
        <v>0</v>
      </c>
    </row>
    <row r="586" spans="1:22" x14ac:dyDescent="0.25">
      <c r="A586" t="s">
        <v>817</v>
      </c>
      <c r="B586" t="s">
        <v>634</v>
      </c>
      <c r="C586" s="1">
        <v>3252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f t="shared" si="19"/>
        <v>0</v>
      </c>
      <c r="K586" s="1"/>
      <c r="M586" s="10">
        <v>111</v>
      </c>
      <c r="N586" s="10" t="s">
        <v>657</v>
      </c>
      <c r="O586" s="10">
        <v>19190</v>
      </c>
      <c r="P586" s="10">
        <v>0</v>
      </c>
      <c r="Q586" s="10">
        <v>0</v>
      </c>
      <c r="R586" s="10">
        <v>0</v>
      </c>
      <c r="S586" s="10">
        <v>0</v>
      </c>
      <c r="T586" s="19">
        <v>0</v>
      </c>
      <c r="U586" s="19"/>
      <c r="V586">
        <f t="shared" si="18"/>
        <v>0</v>
      </c>
    </row>
    <row r="587" spans="1:22" x14ac:dyDescent="0.25">
      <c r="A587" t="s">
        <v>801</v>
      </c>
      <c r="B587" t="s">
        <v>635</v>
      </c>
      <c r="C587" s="1">
        <v>19599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f t="shared" si="19"/>
        <v>0</v>
      </c>
      <c r="K587" s="1"/>
      <c r="M587" s="12">
        <v>616</v>
      </c>
      <c r="N587" s="12" t="s">
        <v>658</v>
      </c>
      <c r="O587" s="12">
        <v>17771</v>
      </c>
      <c r="P587" s="12">
        <v>0</v>
      </c>
      <c r="Q587" s="12">
        <v>0</v>
      </c>
      <c r="R587" s="12">
        <v>0</v>
      </c>
      <c r="S587" s="12">
        <v>0</v>
      </c>
      <c r="T587" s="18">
        <v>0</v>
      </c>
      <c r="U587" s="18"/>
      <c r="V587">
        <f t="shared" si="18"/>
        <v>0</v>
      </c>
    </row>
    <row r="588" spans="1:22" x14ac:dyDescent="0.25">
      <c r="A588" t="s">
        <v>817</v>
      </c>
      <c r="B588" t="s">
        <v>636</v>
      </c>
      <c r="C588" s="1">
        <v>4780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f t="shared" si="19"/>
        <v>0</v>
      </c>
      <c r="K588" s="1"/>
      <c r="M588" s="10">
        <v>130</v>
      </c>
      <c r="N588" s="10" t="s">
        <v>659</v>
      </c>
      <c r="O588" s="10"/>
      <c r="P588" s="10"/>
      <c r="Q588" s="10"/>
      <c r="R588" s="10"/>
      <c r="S588" s="10"/>
      <c r="T588" s="19"/>
      <c r="U588" s="19"/>
      <c r="V588">
        <f t="shared" si="18"/>
        <v>0</v>
      </c>
    </row>
    <row r="589" spans="1:22" x14ac:dyDescent="0.25">
      <c r="A589" t="s">
        <v>824</v>
      </c>
      <c r="B589" t="s">
        <v>637</v>
      </c>
      <c r="C589" s="1">
        <v>2265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f t="shared" si="19"/>
        <v>0</v>
      </c>
      <c r="K589" s="1"/>
      <c r="M589" s="12">
        <v>600</v>
      </c>
      <c r="N589" s="12" t="s">
        <v>660</v>
      </c>
      <c r="O589" s="12">
        <v>3483</v>
      </c>
      <c r="P589" s="12">
        <v>0</v>
      </c>
      <c r="Q589" s="12">
        <v>0</v>
      </c>
      <c r="R589" s="12">
        <v>0</v>
      </c>
      <c r="S589" s="12">
        <v>0</v>
      </c>
      <c r="T589" s="18">
        <v>0</v>
      </c>
      <c r="U589" s="18"/>
      <c r="V589">
        <f t="shared" si="18"/>
        <v>0</v>
      </c>
    </row>
    <row r="590" spans="1:22" x14ac:dyDescent="0.25">
      <c r="A590" t="s">
        <v>818</v>
      </c>
      <c r="B590" t="s">
        <v>638</v>
      </c>
      <c r="C590" s="1">
        <v>6277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f t="shared" si="19"/>
        <v>0</v>
      </c>
      <c r="K590" s="1"/>
      <c r="M590" s="10">
        <v>124</v>
      </c>
      <c r="N590" s="10" t="s">
        <v>661</v>
      </c>
      <c r="O590" s="10">
        <v>2757</v>
      </c>
      <c r="P590" s="10">
        <v>0</v>
      </c>
      <c r="Q590" s="10">
        <v>0</v>
      </c>
      <c r="R590" s="10">
        <v>0</v>
      </c>
      <c r="S590" s="10">
        <v>0</v>
      </c>
      <c r="T590" s="19">
        <v>0</v>
      </c>
      <c r="U590" s="19"/>
      <c r="V590">
        <f t="shared" si="18"/>
        <v>0</v>
      </c>
    </row>
    <row r="591" spans="1:22" x14ac:dyDescent="0.25">
      <c r="A591" t="s">
        <v>817</v>
      </c>
      <c r="B591" t="s">
        <v>639</v>
      </c>
      <c r="C591" s="1">
        <v>8159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f t="shared" si="19"/>
        <v>0</v>
      </c>
      <c r="K591" s="1"/>
      <c r="M591" s="12">
        <v>173</v>
      </c>
      <c r="N591" s="12" t="s">
        <v>662</v>
      </c>
      <c r="O591" s="12">
        <v>2579</v>
      </c>
      <c r="P591" s="12">
        <v>0</v>
      </c>
      <c r="Q591" s="12">
        <v>0</v>
      </c>
      <c r="R591" s="12">
        <v>0</v>
      </c>
      <c r="S591" s="12">
        <v>0</v>
      </c>
      <c r="T591" s="18">
        <v>0</v>
      </c>
      <c r="U591" s="18"/>
      <c r="V591">
        <f t="shared" si="18"/>
        <v>0</v>
      </c>
    </row>
    <row r="592" spans="1:22" x14ac:dyDescent="0.25">
      <c r="A592" t="s">
        <v>811</v>
      </c>
      <c r="B592" t="s">
        <v>640</v>
      </c>
      <c r="C592" s="1"/>
      <c r="D592" s="1"/>
      <c r="E592" s="1"/>
      <c r="F592" s="1"/>
      <c r="G592" s="1"/>
      <c r="H592" s="1"/>
      <c r="I592" s="1"/>
      <c r="J592" s="1"/>
      <c r="K592" s="1"/>
      <c r="M592" s="10">
        <v>511</v>
      </c>
      <c r="N592" s="10" t="s">
        <v>663</v>
      </c>
      <c r="O592" s="10">
        <v>1615</v>
      </c>
      <c r="P592" s="10">
        <v>0</v>
      </c>
      <c r="Q592" s="10">
        <v>0</v>
      </c>
      <c r="R592" s="10">
        <v>0</v>
      </c>
      <c r="S592" s="10">
        <v>0</v>
      </c>
      <c r="T592" s="19">
        <v>0</v>
      </c>
      <c r="U592" s="19"/>
      <c r="V592">
        <f t="shared" si="18"/>
        <v>0</v>
      </c>
    </row>
    <row r="593" spans="1:22" x14ac:dyDescent="0.25">
      <c r="A593" t="s">
        <v>811</v>
      </c>
      <c r="B593" t="s">
        <v>641</v>
      </c>
      <c r="C593" s="1"/>
      <c r="D593" s="1"/>
      <c r="E593" s="1"/>
      <c r="F593" s="1"/>
      <c r="G593" s="1"/>
      <c r="H593" s="1"/>
      <c r="I593" s="1"/>
      <c r="J593" s="1"/>
      <c r="K593" s="1"/>
      <c r="M593" s="12">
        <v>710</v>
      </c>
      <c r="N593" s="12" t="s">
        <v>664</v>
      </c>
      <c r="O593" s="12">
        <v>3524</v>
      </c>
      <c r="P593" s="12">
        <v>0</v>
      </c>
      <c r="Q593" s="12">
        <v>0</v>
      </c>
      <c r="R593" s="12">
        <v>0</v>
      </c>
      <c r="S593" s="12">
        <v>0</v>
      </c>
      <c r="T593" s="18">
        <v>0</v>
      </c>
      <c r="U593" s="18"/>
      <c r="V593">
        <f t="shared" si="18"/>
        <v>0</v>
      </c>
    </row>
    <row r="594" spans="1:22" x14ac:dyDescent="0.25">
      <c r="A594" t="s">
        <v>76</v>
      </c>
      <c r="B594" t="s">
        <v>642</v>
      </c>
      <c r="C594" s="1">
        <v>846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f>SUM(H594,I594)</f>
        <v>0</v>
      </c>
      <c r="K594" s="1"/>
      <c r="M594" t="s">
        <v>859</v>
      </c>
      <c r="N594" t="s">
        <v>665</v>
      </c>
      <c r="O594" s="12"/>
      <c r="P594" s="12"/>
      <c r="Q594" s="12"/>
      <c r="R594" s="12"/>
      <c r="S594" s="12"/>
      <c r="T594" s="18"/>
      <c r="U594" s="18"/>
      <c r="V594">
        <f t="shared" si="18"/>
        <v>0</v>
      </c>
    </row>
    <row r="595" spans="1:22" x14ac:dyDescent="0.25">
      <c r="A595" t="s">
        <v>817</v>
      </c>
      <c r="B595" t="s">
        <v>643</v>
      </c>
      <c r="C595" s="1">
        <v>496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f>SUM(H595,I595)</f>
        <v>0</v>
      </c>
      <c r="K595" s="1"/>
      <c r="M595" s="10">
        <v>171</v>
      </c>
      <c r="N595" s="10" t="s">
        <v>666</v>
      </c>
      <c r="O595" s="10">
        <v>4369</v>
      </c>
      <c r="P595" s="10">
        <v>0</v>
      </c>
      <c r="Q595" s="10">
        <v>0</v>
      </c>
      <c r="R595" s="10">
        <v>0</v>
      </c>
      <c r="S595" s="10">
        <v>0</v>
      </c>
      <c r="T595" s="19">
        <v>0</v>
      </c>
      <c r="U595" s="19"/>
      <c r="V595">
        <f t="shared" si="18"/>
        <v>0</v>
      </c>
    </row>
    <row r="596" spans="1:22" x14ac:dyDescent="0.25">
      <c r="A596" t="s">
        <v>76</v>
      </c>
      <c r="B596" t="s">
        <v>644</v>
      </c>
      <c r="C596" s="1">
        <v>2368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f>SUM(H596,I596)</f>
        <v>0</v>
      </c>
      <c r="K596" s="1"/>
      <c r="M596" s="12">
        <v>133</v>
      </c>
      <c r="N596" s="12" t="s">
        <v>667</v>
      </c>
      <c r="O596" s="12">
        <v>1283</v>
      </c>
      <c r="P596" s="12">
        <v>0</v>
      </c>
      <c r="Q596" s="12">
        <v>0</v>
      </c>
      <c r="R596" s="12">
        <v>0</v>
      </c>
      <c r="S596" s="12">
        <v>0</v>
      </c>
      <c r="T596" s="18">
        <v>0</v>
      </c>
      <c r="U596" s="18"/>
      <c r="V596">
        <f t="shared" si="18"/>
        <v>0</v>
      </c>
    </row>
    <row r="597" spans="1:22" x14ac:dyDescent="0.25">
      <c r="A597" t="s">
        <v>817</v>
      </c>
      <c r="B597" t="s">
        <v>645</v>
      </c>
      <c r="C597" s="1">
        <v>16141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f>SUM(H597,I597)</f>
        <v>0</v>
      </c>
      <c r="K597" s="1"/>
      <c r="M597" s="10">
        <v>128</v>
      </c>
      <c r="N597" s="10" t="s">
        <v>668</v>
      </c>
      <c r="O597" s="10">
        <v>2821</v>
      </c>
      <c r="P597" s="10">
        <v>0</v>
      </c>
      <c r="Q597" s="10">
        <v>0</v>
      </c>
      <c r="R597" s="10">
        <v>0</v>
      </c>
      <c r="S597" s="10">
        <v>0</v>
      </c>
      <c r="T597" s="19">
        <v>0</v>
      </c>
      <c r="U597" s="19"/>
      <c r="V597">
        <f t="shared" ref="V597:V660" si="20">SUM(T597:U597)</f>
        <v>0</v>
      </c>
    </row>
    <row r="598" spans="1:22" x14ac:dyDescent="0.25">
      <c r="A598" t="s">
        <v>817</v>
      </c>
      <c r="B598" t="s">
        <v>646</v>
      </c>
      <c r="C598" s="1"/>
      <c r="D598" s="1"/>
      <c r="E598" s="1"/>
      <c r="F598" s="1"/>
      <c r="G598" s="1"/>
      <c r="H598" s="1"/>
      <c r="I598" s="1"/>
      <c r="J598" s="1"/>
      <c r="K598" s="1"/>
      <c r="M598" s="12">
        <v>131</v>
      </c>
      <c r="N598" s="12" t="s">
        <v>669</v>
      </c>
      <c r="O598" s="12">
        <v>5</v>
      </c>
      <c r="P598" s="12">
        <v>0</v>
      </c>
      <c r="Q598" s="12">
        <v>0</v>
      </c>
      <c r="R598" s="12">
        <v>0</v>
      </c>
      <c r="S598" s="12">
        <v>0</v>
      </c>
      <c r="T598" s="18">
        <v>0</v>
      </c>
      <c r="U598" s="18"/>
      <c r="V598">
        <f t="shared" si="20"/>
        <v>0</v>
      </c>
    </row>
    <row r="599" spans="1:22" x14ac:dyDescent="0.25">
      <c r="A599" t="s">
        <v>226</v>
      </c>
      <c r="B599" t="s">
        <v>647</v>
      </c>
      <c r="C599" s="1"/>
      <c r="D599" s="1"/>
      <c r="E599" s="1"/>
      <c r="F599" s="1"/>
      <c r="G599" s="1"/>
      <c r="H599" s="1"/>
      <c r="I599" s="1"/>
      <c r="J599" s="1"/>
      <c r="K599" s="1"/>
      <c r="M599" s="10">
        <v>132</v>
      </c>
      <c r="N599" s="10" t="s">
        <v>670</v>
      </c>
      <c r="O599" s="10">
        <v>6</v>
      </c>
      <c r="P599" s="10">
        <v>0</v>
      </c>
      <c r="Q599" s="10">
        <v>0</v>
      </c>
      <c r="R599" s="10">
        <v>0</v>
      </c>
      <c r="S599" s="10">
        <v>0</v>
      </c>
      <c r="T599" s="19">
        <v>0</v>
      </c>
      <c r="U599" s="19"/>
      <c r="V599">
        <f t="shared" si="20"/>
        <v>0</v>
      </c>
    </row>
    <row r="600" spans="1:22" x14ac:dyDescent="0.25">
      <c r="A600" t="s">
        <v>831</v>
      </c>
      <c r="B600" t="s">
        <v>648</v>
      </c>
      <c r="C600" s="1">
        <v>9067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f t="shared" ref="J600:J606" si="21">SUM(H600,I600)</f>
        <v>0</v>
      </c>
      <c r="K600" s="1"/>
      <c r="M600" s="12">
        <v>300</v>
      </c>
      <c r="N600" s="12" t="s">
        <v>671</v>
      </c>
      <c r="O600" s="12">
        <v>22</v>
      </c>
      <c r="P600" s="12">
        <v>0</v>
      </c>
      <c r="Q600" s="12">
        <v>0</v>
      </c>
      <c r="R600" s="12">
        <v>0</v>
      </c>
      <c r="S600" s="12">
        <v>0</v>
      </c>
      <c r="T600" s="18">
        <v>0</v>
      </c>
      <c r="U600" s="18"/>
      <c r="V600">
        <f t="shared" si="20"/>
        <v>0</v>
      </c>
    </row>
    <row r="601" spans="1:22" x14ac:dyDescent="0.25">
      <c r="A601" t="s">
        <v>818</v>
      </c>
      <c r="B601" t="s">
        <v>649</v>
      </c>
      <c r="C601" s="1">
        <v>3256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f t="shared" si="21"/>
        <v>0</v>
      </c>
      <c r="K601" s="1"/>
      <c r="M601" s="10">
        <v>116</v>
      </c>
      <c r="N601" s="10" t="s">
        <v>672</v>
      </c>
      <c r="O601" s="10">
        <v>16111</v>
      </c>
      <c r="P601" s="10">
        <v>0</v>
      </c>
      <c r="Q601" s="10">
        <v>0</v>
      </c>
      <c r="R601" s="10">
        <v>0</v>
      </c>
      <c r="S601" s="10">
        <v>0</v>
      </c>
      <c r="T601" s="19">
        <v>0</v>
      </c>
      <c r="U601" s="19"/>
      <c r="V601">
        <f t="shared" si="20"/>
        <v>0</v>
      </c>
    </row>
    <row r="602" spans="1:22" x14ac:dyDescent="0.25">
      <c r="A602" t="s">
        <v>817</v>
      </c>
      <c r="B602" t="s">
        <v>650</v>
      </c>
      <c r="C602" s="1">
        <v>4832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f t="shared" si="21"/>
        <v>0</v>
      </c>
      <c r="K602" s="1"/>
      <c r="M602" s="12">
        <v>148</v>
      </c>
      <c r="N602" s="12" t="s">
        <v>673</v>
      </c>
      <c r="O602" s="12"/>
      <c r="P602" s="12"/>
      <c r="Q602" s="12"/>
      <c r="R602" s="12"/>
      <c r="S602" s="12"/>
      <c r="T602" s="18"/>
      <c r="U602" s="18"/>
      <c r="V602">
        <f t="shared" si="20"/>
        <v>0</v>
      </c>
    </row>
    <row r="603" spans="1:22" x14ac:dyDescent="0.25">
      <c r="A603" t="s">
        <v>817</v>
      </c>
      <c r="B603" t="s">
        <v>651</v>
      </c>
      <c r="C603" s="1">
        <v>4670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f t="shared" si="21"/>
        <v>0</v>
      </c>
      <c r="K603" s="1"/>
      <c r="M603" s="10">
        <v>116</v>
      </c>
      <c r="N603" s="10" t="s">
        <v>674</v>
      </c>
      <c r="O603" s="10">
        <v>15555</v>
      </c>
      <c r="P603" s="10">
        <v>0</v>
      </c>
      <c r="Q603" s="10">
        <v>0</v>
      </c>
      <c r="R603" s="10">
        <v>0</v>
      </c>
      <c r="S603" s="10">
        <v>0</v>
      </c>
      <c r="T603" s="19">
        <v>0</v>
      </c>
      <c r="U603" s="19"/>
      <c r="V603">
        <f t="shared" si="20"/>
        <v>0</v>
      </c>
    </row>
    <row r="604" spans="1:22" x14ac:dyDescent="0.25">
      <c r="A604" t="s">
        <v>817</v>
      </c>
      <c r="B604" t="s">
        <v>652</v>
      </c>
      <c r="C604" s="1">
        <v>1039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f t="shared" si="21"/>
        <v>0</v>
      </c>
      <c r="K604" s="1"/>
      <c r="M604" t="s">
        <v>854</v>
      </c>
      <c r="N604" t="s">
        <v>675</v>
      </c>
      <c r="O604" s="12"/>
      <c r="P604" s="12"/>
      <c r="Q604" s="12"/>
      <c r="R604" s="12"/>
      <c r="S604" s="12"/>
      <c r="T604" s="18"/>
      <c r="U604" s="18"/>
      <c r="V604">
        <f t="shared" si="20"/>
        <v>0</v>
      </c>
    </row>
    <row r="605" spans="1:22" x14ac:dyDescent="0.25">
      <c r="A605" t="s">
        <v>817</v>
      </c>
      <c r="B605" t="s">
        <v>653</v>
      </c>
      <c r="C605" s="1">
        <v>18309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f t="shared" si="21"/>
        <v>0</v>
      </c>
      <c r="K605" s="1"/>
      <c r="M605" s="12">
        <v>511</v>
      </c>
      <c r="N605" s="12" t="s">
        <v>676</v>
      </c>
      <c r="O605" s="12">
        <v>6074</v>
      </c>
      <c r="P605" s="12">
        <v>0</v>
      </c>
      <c r="Q605" s="12">
        <v>0</v>
      </c>
      <c r="R605" s="12">
        <v>0</v>
      </c>
      <c r="S605" s="12">
        <v>0</v>
      </c>
      <c r="T605" s="18">
        <v>0</v>
      </c>
      <c r="U605" s="18"/>
      <c r="V605">
        <f t="shared" si="20"/>
        <v>0</v>
      </c>
    </row>
    <row r="606" spans="1:22" x14ac:dyDescent="0.25">
      <c r="A606" t="s">
        <v>817</v>
      </c>
      <c r="B606" t="s">
        <v>654</v>
      </c>
      <c r="C606" s="1">
        <v>11797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f t="shared" si="21"/>
        <v>0</v>
      </c>
      <c r="K606" s="1"/>
      <c r="M606" s="10">
        <v>300</v>
      </c>
      <c r="N606" s="10" t="s">
        <v>677</v>
      </c>
      <c r="O606" s="10">
        <v>1512</v>
      </c>
      <c r="P606" s="10">
        <v>0</v>
      </c>
      <c r="Q606" s="10">
        <v>0</v>
      </c>
      <c r="R606" s="10">
        <v>0</v>
      </c>
      <c r="S606" s="10">
        <v>0</v>
      </c>
      <c r="T606" s="19">
        <v>0</v>
      </c>
      <c r="U606" s="19"/>
      <c r="V606">
        <f t="shared" si="20"/>
        <v>0</v>
      </c>
    </row>
    <row r="607" spans="1:22" x14ac:dyDescent="0.25">
      <c r="A607" t="s">
        <v>826</v>
      </c>
      <c r="B607" t="s">
        <v>655</v>
      </c>
      <c r="C607" s="1"/>
      <c r="D607" s="1"/>
      <c r="E607" s="1"/>
      <c r="F607" s="1"/>
      <c r="G607" s="1"/>
      <c r="H607" s="1"/>
      <c r="I607" s="1"/>
      <c r="J607" s="1"/>
      <c r="K607" s="1"/>
      <c r="M607" s="12" t="s">
        <v>815</v>
      </c>
      <c r="N607" s="12" t="s">
        <v>678</v>
      </c>
      <c r="O607" s="12">
        <v>6479</v>
      </c>
      <c r="P607" s="12">
        <v>0</v>
      </c>
      <c r="Q607" s="12">
        <v>0</v>
      </c>
      <c r="R607" s="12">
        <v>0</v>
      </c>
      <c r="S607" s="12">
        <v>0</v>
      </c>
      <c r="T607" s="18">
        <v>0</v>
      </c>
      <c r="U607" s="18"/>
      <c r="V607">
        <f t="shared" si="20"/>
        <v>0</v>
      </c>
    </row>
    <row r="608" spans="1:22" x14ac:dyDescent="0.25">
      <c r="A608" t="s">
        <v>817</v>
      </c>
      <c r="B608" t="s">
        <v>656</v>
      </c>
      <c r="C608" s="1">
        <v>2653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f>SUM(H608,I608)</f>
        <v>0</v>
      </c>
      <c r="K608" s="1"/>
      <c r="M608" s="10">
        <v>171</v>
      </c>
      <c r="N608" s="10" t="s">
        <v>679</v>
      </c>
      <c r="O608" s="10">
        <v>800</v>
      </c>
      <c r="P608" s="10">
        <v>0</v>
      </c>
      <c r="Q608" s="10">
        <v>0</v>
      </c>
      <c r="R608" s="10">
        <v>0</v>
      </c>
      <c r="S608" s="10">
        <v>0</v>
      </c>
      <c r="T608" s="19">
        <v>0</v>
      </c>
      <c r="U608" s="19"/>
      <c r="V608">
        <f t="shared" si="20"/>
        <v>0</v>
      </c>
    </row>
    <row r="609" spans="1:22" x14ac:dyDescent="0.25">
      <c r="A609" t="s">
        <v>811</v>
      </c>
      <c r="B609" t="s">
        <v>657</v>
      </c>
      <c r="C609" s="1"/>
      <c r="D609" s="1"/>
      <c r="E609" s="1"/>
      <c r="F609" s="1"/>
      <c r="G609" s="1"/>
      <c r="H609" s="1"/>
      <c r="I609" s="1"/>
      <c r="J609" s="1"/>
      <c r="K609" s="1"/>
      <c r="M609" s="12">
        <v>113</v>
      </c>
      <c r="N609" s="12" t="s">
        <v>680</v>
      </c>
      <c r="O609" s="12">
        <v>2886</v>
      </c>
      <c r="P609" s="12">
        <v>0</v>
      </c>
      <c r="Q609" s="12">
        <v>0</v>
      </c>
      <c r="R609" s="12">
        <v>0</v>
      </c>
      <c r="S609" s="12">
        <v>0</v>
      </c>
      <c r="T609" s="18">
        <v>0</v>
      </c>
      <c r="U609" s="18"/>
      <c r="V609">
        <f t="shared" si="20"/>
        <v>0</v>
      </c>
    </row>
    <row r="610" spans="1:22" x14ac:dyDescent="0.25">
      <c r="A610" t="s">
        <v>817</v>
      </c>
      <c r="B610" t="s">
        <v>658</v>
      </c>
      <c r="C610" s="1">
        <v>17771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f>SUM(H610,I610)</f>
        <v>0</v>
      </c>
      <c r="K610" s="1"/>
      <c r="M610" s="10" t="s">
        <v>808</v>
      </c>
      <c r="N610" s="10" t="s">
        <v>681</v>
      </c>
      <c r="O610" s="10">
        <v>6458</v>
      </c>
      <c r="P610" s="10">
        <v>0</v>
      </c>
      <c r="Q610" s="10">
        <v>0</v>
      </c>
      <c r="R610" s="10">
        <v>0</v>
      </c>
      <c r="S610" s="10">
        <v>0</v>
      </c>
      <c r="T610" s="19">
        <v>0</v>
      </c>
      <c r="U610" s="19"/>
      <c r="V610">
        <f t="shared" si="20"/>
        <v>0</v>
      </c>
    </row>
    <row r="611" spans="1:22" x14ac:dyDescent="0.25">
      <c r="A611" t="s">
        <v>860</v>
      </c>
      <c r="B611" t="s">
        <v>659</v>
      </c>
      <c r="C611" s="1"/>
      <c r="D611" s="1"/>
      <c r="E611" s="1"/>
      <c r="F611" s="1"/>
      <c r="G611" s="1"/>
      <c r="H611" s="1"/>
      <c r="I611" s="1"/>
      <c r="J611" s="1"/>
      <c r="K611" s="1"/>
      <c r="M611" s="12">
        <v>600</v>
      </c>
      <c r="N611" s="12" t="s">
        <v>682</v>
      </c>
      <c r="O611" s="12">
        <v>6898</v>
      </c>
      <c r="P611" s="12">
        <v>0</v>
      </c>
      <c r="Q611" s="12">
        <v>0</v>
      </c>
      <c r="R611" s="12">
        <v>0</v>
      </c>
      <c r="S611" s="12">
        <v>0</v>
      </c>
      <c r="T611" s="18">
        <v>0</v>
      </c>
      <c r="U611" s="18"/>
      <c r="V611">
        <f t="shared" si="20"/>
        <v>0</v>
      </c>
    </row>
    <row r="612" spans="1:22" x14ac:dyDescent="0.25">
      <c r="A612" t="s">
        <v>248</v>
      </c>
      <c r="B612" t="s">
        <v>660</v>
      </c>
      <c r="C612" s="1"/>
      <c r="D612" s="1"/>
      <c r="E612" s="1"/>
      <c r="F612" s="1"/>
      <c r="G612" s="1"/>
      <c r="H612" s="1"/>
      <c r="I612" s="1"/>
      <c r="J612" s="1"/>
      <c r="K612" s="1"/>
      <c r="M612" s="10">
        <v>116</v>
      </c>
      <c r="N612" s="10" t="s">
        <v>683</v>
      </c>
      <c r="O612" s="10">
        <v>9210</v>
      </c>
      <c r="P612" s="10">
        <v>0</v>
      </c>
      <c r="Q612" s="10">
        <v>0</v>
      </c>
      <c r="R612" s="10">
        <v>0</v>
      </c>
      <c r="S612" s="10">
        <v>0</v>
      </c>
      <c r="T612" s="19">
        <v>0</v>
      </c>
      <c r="U612" s="19"/>
      <c r="V612">
        <f t="shared" si="20"/>
        <v>0</v>
      </c>
    </row>
    <row r="613" spans="1:22" x14ac:dyDescent="0.25">
      <c r="A613" t="s">
        <v>861</v>
      </c>
      <c r="B613" t="s">
        <v>661</v>
      </c>
      <c r="C613" s="1"/>
      <c r="D613" s="1"/>
      <c r="E613" s="1"/>
      <c r="F613" s="1"/>
      <c r="G613" s="1"/>
      <c r="H613" s="1"/>
      <c r="I613" s="1"/>
      <c r="J613" s="1"/>
      <c r="K613" s="1"/>
      <c r="M613" s="12">
        <v>116</v>
      </c>
      <c r="N613" s="12" t="s">
        <v>684</v>
      </c>
      <c r="O613" s="12">
        <v>29182</v>
      </c>
      <c r="P613" s="12">
        <v>0</v>
      </c>
      <c r="Q613" s="12">
        <v>0</v>
      </c>
      <c r="R613" s="12">
        <v>0</v>
      </c>
      <c r="S613" s="12">
        <v>0</v>
      </c>
      <c r="T613" s="18">
        <v>0</v>
      </c>
      <c r="U613" s="18"/>
      <c r="V613">
        <f t="shared" si="20"/>
        <v>0</v>
      </c>
    </row>
    <row r="614" spans="1:22" x14ac:dyDescent="0.25">
      <c r="A614" t="s">
        <v>229</v>
      </c>
      <c r="B614" t="s">
        <v>662</v>
      </c>
      <c r="C614" s="1">
        <v>2579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f>SUM(H614,I614)</f>
        <v>0</v>
      </c>
      <c r="K614" s="1"/>
      <c r="M614" s="10">
        <v>116</v>
      </c>
      <c r="N614" s="10" t="s">
        <v>685</v>
      </c>
      <c r="O614" s="10">
        <v>2413</v>
      </c>
      <c r="P614" s="10">
        <v>0</v>
      </c>
      <c r="Q614" s="10">
        <v>0</v>
      </c>
      <c r="R614" s="10">
        <v>0</v>
      </c>
      <c r="S614" s="10">
        <v>0</v>
      </c>
      <c r="T614" s="19">
        <v>0</v>
      </c>
      <c r="U614" s="19"/>
      <c r="V614">
        <f t="shared" si="20"/>
        <v>0</v>
      </c>
    </row>
    <row r="615" spans="1:22" x14ac:dyDescent="0.25">
      <c r="A615" t="s">
        <v>101</v>
      </c>
      <c r="B615" t="s">
        <v>663</v>
      </c>
      <c r="C615" s="1">
        <v>1615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f>SUM(H615,I615)</f>
        <v>0</v>
      </c>
      <c r="K615" s="1"/>
      <c r="M615" s="12">
        <v>134</v>
      </c>
      <c r="N615" s="12" t="s">
        <v>686</v>
      </c>
      <c r="O615" s="12">
        <v>845</v>
      </c>
      <c r="P615" s="12">
        <v>0</v>
      </c>
      <c r="Q615" s="12">
        <v>0</v>
      </c>
      <c r="R615" s="12">
        <v>0</v>
      </c>
      <c r="S615" s="12">
        <v>0</v>
      </c>
      <c r="T615" s="18">
        <v>0</v>
      </c>
      <c r="U615" s="18"/>
      <c r="V615">
        <f t="shared" si="20"/>
        <v>0</v>
      </c>
    </row>
    <row r="616" spans="1:22" x14ac:dyDescent="0.25">
      <c r="A616" t="s">
        <v>69</v>
      </c>
      <c r="B616" t="s">
        <v>664</v>
      </c>
      <c r="C616" s="1">
        <v>3524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f>SUM(H616,I616)</f>
        <v>0</v>
      </c>
      <c r="K616" s="1"/>
      <c r="M616" s="10">
        <v>149</v>
      </c>
      <c r="N616" s="10" t="s">
        <v>687</v>
      </c>
      <c r="O616" s="10">
        <v>3993</v>
      </c>
      <c r="P616" s="10">
        <v>0</v>
      </c>
      <c r="Q616" s="10">
        <v>0</v>
      </c>
      <c r="R616" s="10">
        <v>0</v>
      </c>
      <c r="S616" s="10">
        <v>0</v>
      </c>
      <c r="T616" s="19">
        <v>0</v>
      </c>
      <c r="U616" s="19"/>
      <c r="V616">
        <f t="shared" si="20"/>
        <v>0</v>
      </c>
    </row>
    <row r="617" spans="1:22" x14ac:dyDescent="0.25">
      <c r="A617" t="s">
        <v>859</v>
      </c>
      <c r="B617" t="s">
        <v>665</v>
      </c>
      <c r="C617" s="1"/>
      <c r="D617" s="1"/>
      <c r="E617" s="1"/>
      <c r="F617" s="1"/>
      <c r="G617" s="1"/>
      <c r="H617" s="1"/>
      <c r="I617" s="1"/>
      <c r="J617" s="1"/>
      <c r="K617" s="1"/>
      <c r="M617" s="12" t="s">
        <v>828</v>
      </c>
      <c r="N617" s="12" t="s">
        <v>688</v>
      </c>
      <c r="O617" s="12"/>
      <c r="P617" s="12"/>
      <c r="Q617" s="12"/>
      <c r="R617" s="12"/>
      <c r="S617" s="12"/>
      <c r="T617" s="18"/>
      <c r="U617" s="18"/>
      <c r="V617">
        <f t="shared" si="20"/>
        <v>0</v>
      </c>
    </row>
    <row r="618" spans="1:22" x14ac:dyDescent="0.25">
      <c r="A618" t="s">
        <v>804</v>
      </c>
      <c r="B618" t="s">
        <v>666</v>
      </c>
      <c r="C618" s="1">
        <v>4369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f>SUM(H618,I618)</f>
        <v>0</v>
      </c>
      <c r="K618" s="1"/>
      <c r="M618" s="10">
        <v>600</v>
      </c>
      <c r="N618" s="10" t="s">
        <v>689</v>
      </c>
      <c r="O618" s="10">
        <v>10150</v>
      </c>
      <c r="P618" s="10">
        <v>0</v>
      </c>
      <c r="Q618" s="10">
        <v>0</v>
      </c>
      <c r="R618" s="10">
        <v>0</v>
      </c>
      <c r="S618" s="10">
        <v>0</v>
      </c>
      <c r="T618" s="19">
        <v>0</v>
      </c>
      <c r="U618" s="19"/>
      <c r="V618">
        <f t="shared" si="20"/>
        <v>0</v>
      </c>
    </row>
    <row r="619" spans="1:22" x14ac:dyDescent="0.25">
      <c r="A619" t="s">
        <v>853</v>
      </c>
      <c r="B619" t="s">
        <v>667</v>
      </c>
      <c r="C619" s="1"/>
      <c r="D619" s="1"/>
      <c r="E619" s="1"/>
      <c r="F619" s="1"/>
      <c r="G619" s="1"/>
      <c r="H619" s="1"/>
      <c r="I619" s="1"/>
      <c r="J619" s="1"/>
      <c r="K619" s="1"/>
      <c r="M619" s="12">
        <v>114</v>
      </c>
      <c r="N619" s="12" t="s">
        <v>690</v>
      </c>
      <c r="O619" s="12">
        <v>5118</v>
      </c>
      <c r="P619" s="12">
        <v>0</v>
      </c>
      <c r="Q619" s="12">
        <v>0</v>
      </c>
      <c r="R619" s="12">
        <v>0</v>
      </c>
      <c r="S619" s="12">
        <v>0</v>
      </c>
      <c r="T619" s="18">
        <v>0</v>
      </c>
      <c r="U619" s="18"/>
      <c r="V619">
        <f t="shared" si="20"/>
        <v>0</v>
      </c>
    </row>
    <row r="620" spans="1:22" x14ac:dyDescent="0.25">
      <c r="A620" t="s">
        <v>862</v>
      </c>
      <c r="B620" t="s">
        <v>668</v>
      </c>
      <c r="C620" s="1"/>
      <c r="D620" s="1"/>
      <c r="E620" s="1"/>
      <c r="F620" s="1"/>
      <c r="G620" s="1"/>
      <c r="H620" s="1"/>
      <c r="I620" s="1"/>
      <c r="J620" s="1"/>
      <c r="K620" s="1"/>
      <c r="M620" s="10">
        <v>138</v>
      </c>
      <c r="N620" s="10" t="s">
        <v>691</v>
      </c>
      <c r="O620" s="10">
        <v>707</v>
      </c>
      <c r="P620" s="10">
        <v>0</v>
      </c>
      <c r="Q620" s="10">
        <v>0</v>
      </c>
      <c r="R620" s="10">
        <v>0</v>
      </c>
      <c r="S620" s="10">
        <v>0</v>
      </c>
      <c r="T620" s="19">
        <v>0</v>
      </c>
      <c r="U620" s="19"/>
      <c r="V620">
        <f t="shared" si="20"/>
        <v>0</v>
      </c>
    </row>
    <row r="621" spans="1:22" x14ac:dyDescent="0.25">
      <c r="A621" t="s">
        <v>847</v>
      </c>
      <c r="B621" t="s">
        <v>669</v>
      </c>
      <c r="C621" s="1"/>
      <c r="D621" s="1"/>
      <c r="E621" s="1"/>
      <c r="F621" s="1"/>
      <c r="G621" s="1"/>
      <c r="H621" s="1"/>
      <c r="I621" s="1"/>
      <c r="J621" s="1"/>
      <c r="K621" s="1"/>
      <c r="M621" s="12">
        <v>613</v>
      </c>
      <c r="N621" s="12" t="s">
        <v>692</v>
      </c>
      <c r="O621" s="12">
        <v>4509</v>
      </c>
      <c r="P621" s="12">
        <v>0</v>
      </c>
      <c r="Q621" s="12">
        <v>0</v>
      </c>
      <c r="R621" s="12">
        <v>0</v>
      </c>
      <c r="S621" s="12">
        <v>0</v>
      </c>
      <c r="T621" s="18">
        <v>0</v>
      </c>
      <c r="U621" s="18"/>
      <c r="V621">
        <f t="shared" si="20"/>
        <v>0</v>
      </c>
    </row>
    <row r="622" spans="1:22" x14ac:dyDescent="0.25">
      <c r="A622" t="s">
        <v>849</v>
      </c>
      <c r="B622" t="s">
        <v>670</v>
      </c>
      <c r="C622" s="1"/>
      <c r="D622" s="1"/>
      <c r="E622" s="1"/>
      <c r="F622" s="1"/>
      <c r="G622" s="1"/>
      <c r="H622" s="1"/>
      <c r="I622" s="1"/>
      <c r="J622" s="1"/>
      <c r="K622" s="1"/>
      <c r="M622" s="10">
        <v>500</v>
      </c>
      <c r="N622" s="10" t="s">
        <v>693</v>
      </c>
      <c r="O622" s="10">
        <v>2933</v>
      </c>
      <c r="P622" s="10">
        <v>0</v>
      </c>
      <c r="Q622" s="10">
        <v>0</v>
      </c>
      <c r="R622" s="10">
        <v>0</v>
      </c>
      <c r="S622" s="10">
        <v>0</v>
      </c>
      <c r="T622" s="19">
        <v>0</v>
      </c>
      <c r="U622" s="19"/>
      <c r="V622">
        <f t="shared" si="20"/>
        <v>0</v>
      </c>
    </row>
    <row r="623" spans="1:22" x14ac:dyDescent="0.25">
      <c r="A623" t="s">
        <v>226</v>
      </c>
      <c r="B623" t="s">
        <v>671</v>
      </c>
      <c r="C623" s="1">
        <v>22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f>SUM(H623,I623)</f>
        <v>0</v>
      </c>
      <c r="K623" s="1"/>
      <c r="M623" s="12">
        <v>116</v>
      </c>
      <c r="N623" s="12" t="s">
        <v>694</v>
      </c>
      <c r="O623" s="12">
        <v>2066</v>
      </c>
      <c r="P623" s="12">
        <v>0</v>
      </c>
      <c r="Q623" s="12">
        <v>0</v>
      </c>
      <c r="R623" s="12">
        <v>0</v>
      </c>
      <c r="S623" s="12">
        <v>0</v>
      </c>
      <c r="T623" s="18">
        <v>0</v>
      </c>
      <c r="U623" s="18"/>
      <c r="V623">
        <f t="shared" si="20"/>
        <v>0</v>
      </c>
    </row>
    <row r="624" spans="1:22" x14ac:dyDescent="0.25">
      <c r="A624" t="s">
        <v>795</v>
      </c>
      <c r="B624" t="s">
        <v>672</v>
      </c>
      <c r="C624" s="1">
        <v>16111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f>SUM(H624,I624)</f>
        <v>0</v>
      </c>
      <c r="K624" s="1"/>
      <c r="M624" s="10">
        <v>312</v>
      </c>
      <c r="N624" s="10" t="s">
        <v>695</v>
      </c>
      <c r="O624" s="10"/>
      <c r="P624" s="10"/>
      <c r="Q624" s="10"/>
      <c r="R624" s="10"/>
      <c r="S624" s="10"/>
      <c r="T624" s="19"/>
      <c r="U624" s="19"/>
      <c r="V624">
        <f t="shared" si="20"/>
        <v>0</v>
      </c>
    </row>
    <row r="625" spans="1:22" x14ac:dyDescent="0.25">
      <c r="A625" t="s">
        <v>830</v>
      </c>
      <c r="B625" t="s">
        <v>673</v>
      </c>
      <c r="C625" s="1"/>
      <c r="D625" s="1"/>
      <c r="E625" s="1"/>
      <c r="F625" s="1"/>
      <c r="G625" s="1"/>
      <c r="H625" s="1"/>
      <c r="I625" s="1"/>
      <c r="J625" s="1"/>
      <c r="K625" s="1"/>
      <c r="M625" s="12">
        <v>116</v>
      </c>
      <c r="N625" s="12" t="s">
        <v>696</v>
      </c>
      <c r="O625" s="12">
        <v>6611</v>
      </c>
      <c r="P625" s="12">
        <v>0</v>
      </c>
      <c r="Q625" s="12">
        <v>0</v>
      </c>
      <c r="R625" s="12">
        <v>0</v>
      </c>
      <c r="S625" s="12">
        <v>0</v>
      </c>
      <c r="T625" s="18">
        <v>0</v>
      </c>
      <c r="U625" s="18"/>
      <c r="V625">
        <f t="shared" si="20"/>
        <v>0</v>
      </c>
    </row>
    <row r="626" spans="1:22" x14ac:dyDescent="0.25">
      <c r="A626" t="s">
        <v>795</v>
      </c>
      <c r="B626" t="s">
        <v>674</v>
      </c>
      <c r="C626" s="1">
        <v>15555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f>SUM(H626,I626)</f>
        <v>0</v>
      </c>
      <c r="K626" s="1"/>
      <c r="M626" s="10">
        <v>114</v>
      </c>
      <c r="N626" s="10" t="s">
        <v>697</v>
      </c>
      <c r="O626" s="10">
        <v>4137</v>
      </c>
      <c r="P626" s="10">
        <v>0</v>
      </c>
      <c r="Q626" s="10">
        <v>0</v>
      </c>
      <c r="R626" s="10">
        <v>0</v>
      </c>
      <c r="S626" s="10">
        <v>0</v>
      </c>
      <c r="T626" s="19">
        <v>0</v>
      </c>
      <c r="U626" s="19"/>
      <c r="V626">
        <f t="shared" si="20"/>
        <v>0</v>
      </c>
    </row>
    <row r="627" spans="1:22" x14ac:dyDescent="0.25">
      <c r="A627" t="s">
        <v>854</v>
      </c>
      <c r="B627" t="s">
        <v>675</v>
      </c>
      <c r="C627" s="1"/>
      <c r="D627" s="1"/>
      <c r="E627" s="1"/>
      <c r="F627" s="1"/>
      <c r="G627" s="1"/>
      <c r="H627" s="1"/>
      <c r="I627" s="1"/>
      <c r="J627" s="1"/>
      <c r="K627" s="1"/>
      <c r="M627" s="12">
        <v>141</v>
      </c>
      <c r="N627" s="12" t="s">
        <v>698</v>
      </c>
      <c r="O627" s="12">
        <v>6961</v>
      </c>
      <c r="P627" s="12">
        <v>0</v>
      </c>
      <c r="Q627" s="12">
        <v>0</v>
      </c>
      <c r="R627" s="12">
        <v>0</v>
      </c>
      <c r="S627" s="12">
        <v>0</v>
      </c>
      <c r="T627" s="18">
        <v>0</v>
      </c>
      <c r="U627" s="18"/>
      <c r="V627">
        <f t="shared" si="20"/>
        <v>0</v>
      </c>
    </row>
    <row r="628" spans="1:22" x14ac:dyDescent="0.25">
      <c r="A628" t="s">
        <v>101</v>
      </c>
      <c r="B628" t="s">
        <v>676</v>
      </c>
      <c r="C628" s="1">
        <v>6074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f>SUM(H628,I628)</f>
        <v>0</v>
      </c>
      <c r="K628" s="1"/>
      <c r="M628" s="10">
        <v>111</v>
      </c>
      <c r="N628" s="10" t="s">
        <v>699</v>
      </c>
      <c r="O628" s="10">
        <v>8408</v>
      </c>
      <c r="P628" s="10">
        <v>0</v>
      </c>
      <c r="Q628" s="10">
        <v>0</v>
      </c>
      <c r="R628" s="10">
        <v>0</v>
      </c>
      <c r="S628" s="10">
        <v>0</v>
      </c>
      <c r="T628" s="19">
        <v>0</v>
      </c>
      <c r="U628" s="19"/>
      <c r="V628">
        <f t="shared" si="20"/>
        <v>0</v>
      </c>
    </row>
    <row r="629" spans="1:22" x14ac:dyDescent="0.25">
      <c r="A629" t="s">
        <v>226</v>
      </c>
      <c r="B629" t="s">
        <v>677</v>
      </c>
      <c r="C629" s="1">
        <v>1512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f>SUM(H629,I629)</f>
        <v>0</v>
      </c>
      <c r="K629" s="1"/>
      <c r="M629" s="12">
        <v>135</v>
      </c>
      <c r="N629" s="12" t="s">
        <v>700</v>
      </c>
      <c r="O629" s="12">
        <v>8328</v>
      </c>
      <c r="P629" s="12">
        <v>0</v>
      </c>
      <c r="Q629" s="12">
        <v>0</v>
      </c>
      <c r="R629" s="12">
        <v>0</v>
      </c>
      <c r="S629" s="12">
        <v>0</v>
      </c>
      <c r="T629" s="18">
        <v>0</v>
      </c>
      <c r="U629" s="18"/>
      <c r="V629">
        <f t="shared" si="20"/>
        <v>0</v>
      </c>
    </row>
    <row r="630" spans="1:22" x14ac:dyDescent="0.25">
      <c r="A630" t="s">
        <v>138</v>
      </c>
      <c r="B630" t="s">
        <v>678</v>
      </c>
      <c r="C630" s="1"/>
      <c r="D630" s="1"/>
      <c r="E630" s="1"/>
      <c r="F630" s="1"/>
      <c r="G630" s="1"/>
      <c r="H630" s="1"/>
      <c r="I630" s="1"/>
      <c r="J630" s="1"/>
      <c r="K630" s="1"/>
      <c r="M630" s="10">
        <v>713</v>
      </c>
      <c r="N630" s="10" t="s">
        <v>701</v>
      </c>
      <c r="O630" s="10">
        <v>1849</v>
      </c>
      <c r="P630" s="10">
        <v>0</v>
      </c>
      <c r="Q630" s="10">
        <v>0</v>
      </c>
      <c r="R630" s="10">
        <v>0</v>
      </c>
      <c r="S630" s="10">
        <v>0</v>
      </c>
      <c r="T630" s="19">
        <v>0</v>
      </c>
      <c r="U630" s="19"/>
      <c r="V630">
        <f t="shared" si="20"/>
        <v>0</v>
      </c>
    </row>
    <row r="631" spans="1:22" x14ac:dyDescent="0.25">
      <c r="A631" t="s">
        <v>804</v>
      </c>
      <c r="B631" t="s">
        <v>679</v>
      </c>
      <c r="C631" s="1">
        <v>800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f>SUM(H631,I631)</f>
        <v>0</v>
      </c>
      <c r="K631" s="1"/>
      <c r="M631" s="12">
        <v>313</v>
      </c>
      <c r="N631" s="12" t="s">
        <v>702</v>
      </c>
      <c r="O631" s="12">
        <v>1182</v>
      </c>
      <c r="P631" s="12">
        <v>0</v>
      </c>
      <c r="Q631" s="12">
        <v>0</v>
      </c>
      <c r="R631" s="12">
        <v>0</v>
      </c>
      <c r="S631" s="12">
        <v>0</v>
      </c>
      <c r="T631" s="18">
        <v>0</v>
      </c>
      <c r="U631" s="18"/>
      <c r="V631">
        <f t="shared" si="20"/>
        <v>0</v>
      </c>
    </row>
    <row r="632" spans="1:22" x14ac:dyDescent="0.25">
      <c r="A632" t="s">
        <v>823</v>
      </c>
      <c r="B632" t="s">
        <v>680</v>
      </c>
      <c r="C632" s="1">
        <v>2886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f>SUM(H632,I632)</f>
        <v>0</v>
      </c>
      <c r="K632" s="1"/>
      <c r="M632" s="10">
        <v>126</v>
      </c>
      <c r="N632" s="10" t="s">
        <v>703</v>
      </c>
      <c r="O632" s="10">
        <v>1290</v>
      </c>
      <c r="P632" s="10">
        <v>0</v>
      </c>
      <c r="Q632" s="10">
        <v>0</v>
      </c>
      <c r="R632" s="10">
        <v>0</v>
      </c>
      <c r="S632" s="10">
        <v>0</v>
      </c>
      <c r="T632" s="19">
        <v>0</v>
      </c>
      <c r="U632" s="19"/>
      <c r="V632">
        <f t="shared" si="20"/>
        <v>0</v>
      </c>
    </row>
    <row r="633" spans="1:22" x14ac:dyDescent="0.25">
      <c r="A633" t="s">
        <v>809</v>
      </c>
      <c r="B633" t="s">
        <v>681</v>
      </c>
      <c r="C633" s="1">
        <v>6457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f>SUM(H633,I633)</f>
        <v>0</v>
      </c>
      <c r="K633" s="1"/>
      <c r="M633" s="12">
        <v>611</v>
      </c>
      <c r="N633" s="12" t="s">
        <v>704</v>
      </c>
      <c r="O633" s="12">
        <v>4397</v>
      </c>
      <c r="P633" s="12">
        <v>0</v>
      </c>
      <c r="Q633" s="12">
        <v>0</v>
      </c>
      <c r="R633" s="12">
        <v>0</v>
      </c>
      <c r="S633" s="12">
        <v>0</v>
      </c>
      <c r="T633" s="18">
        <v>0</v>
      </c>
      <c r="U633" s="18"/>
      <c r="V633">
        <f t="shared" si="20"/>
        <v>0</v>
      </c>
    </row>
    <row r="634" spans="1:22" x14ac:dyDescent="0.25">
      <c r="A634" t="s">
        <v>248</v>
      </c>
      <c r="B634" t="s">
        <v>682</v>
      </c>
      <c r="C634" s="1"/>
      <c r="D634" s="1"/>
      <c r="E634" s="1"/>
      <c r="F634" s="1"/>
      <c r="G634" s="1"/>
      <c r="H634" s="1"/>
      <c r="I634" s="1"/>
      <c r="J634" s="1"/>
      <c r="K634" s="1"/>
      <c r="M634" s="10">
        <v>152</v>
      </c>
      <c r="N634" s="10" t="s">
        <v>705</v>
      </c>
      <c r="O634" s="10"/>
      <c r="P634" s="10"/>
      <c r="Q634" s="10"/>
      <c r="R634" s="10"/>
      <c r="S634" s="10"/>
      <c r="T634" s="19"/>
      <c r="U634" s="19"/>
      <c r="V634">
        <f t="shared" si="20"/>
        <v>0</v>
      </c>
    </row>
    <row r="635" spans="1:22" x14ac:dyDescent="0.25">
      <c r="A635" t="s">
        <v>795</v>
      </c>
      <c r="B635" t="s">
        <v>683</v>
      </c>
      <c r="C635" s="1">
        <v>9210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f>SUM(H635,I635)</f>
        <v>0</v>
      </c>
      <c r="K635" s="1"/>
      <c r="M635" s="12">
        <v>123</v>
      </c>
      <c r="N635" s="12" t="s">
        <v>706</v>
      </c>
      <c r="O635" s="12">
        <v>1668</v>
      </c>
      <c r="P635" s="12">
        <v>0</v>
      </c>
      <c r="Q635" s="12">
        <v>0</v>
      </c>
      <c r="R635" s="12">
        <v>0</v>
      </c>
      <c r="S635" s="12">
        <v>0</v>
      </c>
      <c r="T635" s="18">
        <v>0</v>
      </c>
      <c r="U635" s="18"/>
      <c r="V635">
        <f t="shared" si="20"/>
        <v>0</v>
      </c>
    </row>
    <row r="636" spans="1:22" x14ac:dyDescent="0.25">
      <c r="A636" t="s">
        <v>795</v>
      </c>
      <c r="B636" t="s">
        <v>684</v>
      </c>
      <c r="C636" s="1">
        <v>29182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f>SUM(H636,I636)</f>
        <v>0</v>
      </c>
      <c r="K636" s="1"/>
      <c r="M636" s="10" t="s">
        <v>814</v>
      </c>
      <c r="N636" s="10" t="s">
        <v>707</v>
      </c>
      <c r="O636" s="10">
        <v>2120</v>
      </c>
      <c r="P636" s="10">
        <v>0</v>
      </c>
      <c r="Q636" s="10">
        <v>0</v>
      </c>
      <c r="R636" s="10">
        <v>0</v>
      </c>
      <c r="S636" s="10">
        <v>0</v>
      </c>
      <c r="T636" s="19">
        <v>0</v>
      </c>
      <c r="U636" s="19"/>
      <c r="V636">
        <f t="shared" si="20"/>
        <v>0</v>
      </c>
    </row>
    <row r="637" spans="1:22" x14ac:dyDescent="0.25">
      <c r="A637" t="s">
        <v>795</v>
      </c>
      <c r="B637" t="s">
        <v>685</v>
      </c>
      <c r="C637" s="1">
        <v>2413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f>SUM(H637,I637)</f>
        <v>0</v>
      </c>
      <c r="K637" s="1"/>
      <c r="M637" s="12">
        <v>127</v>
      </c>
      <c r="N637" s="12" t="s">
        <v>708</v>
      </c>
      <c r="O637" s="12">
        <v>7530</v>
      </c>
      <c r="P637" s="12">
        <v>0</v>
      </c>
      <c r="Q637" s="12">
        <v>0</v>
      </c>
      <c r="R637" s="12">
        <v>0</v>
      </c>
      <c r="S637" s="12">
        <v>0</v>
      </c>
      <c r="T637" s="18">
        <v>0</v>
      </c>
      <c r="U637" s="18"/>
      <c r="V637">
        <f t="shared" si="20"/>
        <v>0</v>
      </c>
    </row>
    <row r="638" spans="1:22" x14ac:dyDescent="0.25">
      <c r="A638" t="s">
        <v>851</v>
      </c>
      <c r="B638" t="s">
        <v>686</v>
      </c>
      <c r="C638" s="1"/>
      <c r="D638" s="1"/>
      <c r="E638" s="1"/>
      <c r="F638" s="1"/>
      <c r="G638" s="1"/>
      <c r="H638" s="1"/>
      <c r="I638" s="1"/>
      <c r="J638" s="1"/>
      <c r="K638" s="1"/>
      <c r="M638" s="10">
        <v>125</v>
      </c>
      <c r="N638" s="10" t="s">
        <v>709</v>
      </c>
      <c r="O638" s="10">
        <v>2248</v>
      </c>
      <c r="P638" s="10">
        <v>0</v>
      </c>
      <c r="Q638" s="10">
        <v>0</v>
      </c>
      <c r="R638" s="10">
        <v>0</v>
      </c>
      <c r="S638" s="10">
        <v>0</v>
      </c>
      <c r="T638" s="19">
        <v>0</v>
      </c>
      <c r="U638" s="19"/>
      <c r="V638">
        <f t="shared" si="20"/>
        <v>0</v>
      </c>
    </row>
    <row r="639" spans="1:22" x14ac:dyDescent="0.25">
      <c r="A639" t="s">
        <v>841</v>
      </c>
      <c r="B639" t="s">
        <v>687</v>
      </c>
      <c r="C639" s="1"/>
      <c r="D639" s="1"/>
      <c r="E639" s="1"/>
      <c r="F639" s="1"/>
      <c r="G639" s="1"/>
      <c r="H639" s="1"/>
      <c r="I639" s="1"/>
      <c r="J639" s="1"/>
      <c r="K639" s="1"/>
      <c r="M639" s="12">
        <v>121</v>
      </c>
      <c r="N639" s="12" t="s">
        <v>710</v>
      </c>
      <c r="O639" s="12">
        <v>2055</v>
      </c>
      <c r="P639" s="12">
        <v>0</v>
      </c>
      <c r="Q639" s="12">
        <v>0</v>
      </c>
      <c r="R639" s="12">
        <v>0</v>
      </c>
      <c r="S639" s="12">
        <v>0</v>
      </c>
      <c r="T639" s="18">
        <v>0</v>
      </c>
      <c r="U639" s="18"/>
      <c r="V639">
        <f t="shared" si="20"/>
        <v>0</v>
      </c>
    </row>
    <row r="640" spans="1:22" x14ac:dyDescent="0.25">
      <c r="A640" t="s">
        <v>859</v>
      </c>
      <c r="B640" t="s">
        <v>688</v>
      </c>
      <c r="C640" s="1"/>
      <c r="D640" s="1"/>
      <c r="E640" s="1"/>
      <c r="F640" s="1"/>
      <c r="G640" s="1"/>
      <c r="H640" s="1"/>
      <c r="I640" s="1"/>
      <c r="J640" s="1"/>
      <c r="K640" s="1"/>
      <c r="M640" s="10">
        <v>500</v>
      </c>
      <c r="N640" s="10" t="s">
        <v>711</v>
      </c>
      <c r="O640" s="10">
        <v>2347</v>
      </c>
      <c r="P640" s="10">
        <v>0</v>
      </c>
      <c r="Q640" s="10">
        <v>0</v>
      </c>
      <c r="R640" s="10">
        <v>0</v>
      </c>
      <c r="S640" s="10">
        <v>0</v>
      </c>
      <c r="T640" s="19">
        <v>0</v>
      </c>
      <c r="U640" s="19"/>
      <c r="V640">
        <f t="shared" si="20"/>
        <v>0</v>
      </c>
    </row>
    <row r="641" spans="1:22" x14ac:dyDescent="0.25">
      <c r="A641" t="s">
        <v>248</v>
      </c>
      <c r="B641" t="s">
        <v>689</v>
      </c>
      <c r="C641" s="1"/>
      <c r="D641" s="1"/>
      <c r="E641" s="1"/>
      <c r="F641" s="1"/>
      <c r="G641" s="1"/>
      <c r="H641" s="1"/>
      <c r="I641" s="1"/>
      <c r="J641" s="1"/>
      <c r="K641" s="1"/>
      <c r="M641" s="12">
        <v>616.1</v>
      </c>
      <c r="N641" s="12" t="s">
        <v>712</v>
      </c>
      <c r="O641" s="12">
        <v>2194</v>
      </c>
      <c r="P641" s="12">
        <v>0</v>
      </c>
      <c r="Q641" s="12">
        <v>0</v>
      </c>
      <c r="R641" s="12">
        <v>0</v>
      </c>
      <c r="S641" s="12">
        <v>0</v>
      </c>
      <c r="T641" s="18">
        <v>0</v>
      </c>
      <c r="U641" s="18"/>
      <c r="V641">
        <f t="shared" si="20"/>
        <v>0</v>
      </c>
    </row>
    <row r="642" spans="1:22" x14ac:dyDescent="0.25">
      <c r="A642" t="s">
        <v>831</v>
      </c>
      <c r="B642" t="s">
        <v>690</v>
      </c>
      <c r="C642" s="1">
        <v>5118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f>SUM(H642,I642)</f>
        <v>0</v>
      </c>
      <c r="K642" s="1"/>
      <c r="M642" s="10">
        <v>122</v>
      </c>
      <c r="N642" s="10" t="s">
        <v>713</v>
      </c>
      <c r="O642" s="10">
        <v>2072</v>
      </c>
      <c r="P642" s="10">
        <v>0</v>
      </c>
      <c r="Q642" s="10">
        <v>0</v>
      </c>
      <c r="R642" s="10">
        <v>0</v>
      </c>
      <c r="S642" s="10">
        <v>0</v>
      </c>
      <c r="T642" s="19">
        <v>0</v>
      </c>
      <c r="U642" s="19"/>
      <c r="V642">
        <f t="shared" si="20"/>
        <v>0</v>
      </c>
    </row>
    <row r="643" spans="1:22" x14ac:dyDescent="0.25">
      <c r="A643" t="s">
        <v>840</v>
      </c>
      <c r="B643" t="s">
        <v>691</v>
      </c>
      <c r="C643" s="1"/>
      <c r="D643" s="1"/>
      <c r="E643" s="1"/>
      <c r="F643" s="1"/>
      <c r="G643" s="1"/>
      <c r="H643" s="1"/>
      <c r="I643" s="1"/>
      <c r="J643" s="1"/>
      <c r="K643" s="1"/>
      <c r="M643" s="12">
        <v>611</v>
      </c>
      <c r="N643" s="12" t="s">
        <v>714</v>
      </c>
      <c r="O643" s="12">
        <v>6110</v>
      </c>
      <c r="P643" s="12">
        <v>0</v>
      </c>
      <c r="Q643" s="12">
        <v>0</v>
      </c>
      <c r="R643" s="12">
        <v>0</v>
      </c>
      <c r="S643" s="12">
        <v>0</v>
      </c>
      <c r="T643" s="18">
        <v>0</v>
      </c>
      <c r="U643" s="18"/>
      <c r="V643">
        <f t="shared" si="20"/>
        <v>0</v>
      </c>
    </row>
    <row r="644" spans="1:22" x14ac:dyDescent="0.25">
      <c r="A644" t="s">
        <v>495</v>
      </c>
      <c r="B644" t="s">
        <v>692</v>
      </c>
      <c r="C644" s="1">
        <v>4509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f t="shared" ref="J644:J649" si="22">SUM(H644,I644)</f>
        <v>0</v>
      </c>
      <c r="K644" s="1"/>
      <c r="M644" s="10">
        <v>311</v>
      </c>
      <c r="N644" s="10" t="s">
        <v>715</v>
      </c>
      <c r="O644" s="10">
        <v>3694</v>
      </c>
      <c r="P644" s="10">
        <v>0</v>
      </c>
      <c r="Q644" s="10">
        <v>0</v>
      </c>
      <c r="R644" s="10">
        <v>0</v>
      </c>
      <c r="S644" s="10">
        <v>0</v>
      </c>
      <c r="T644" s="19">
        <v>0</v>
      </c>
      <c r="U644" s="19"/>
      <c r="V644">
        <f t="shared" si="20"/>
        <v>0</v>
      </c>
    </row>
    <row r="645" spans="1:22" x14ac:dyDescent="0.25">
      <c r="A645" t="s">
        <v>824</v>
      </c>
      <c r="B645" t="s">
        <v>693</v>
      </c>
      <c r="C645" s="1">
        <v>2933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f t="shared" si="22"/>
        <v>0</v>
      </c>
      <c r="K645" s="1"/>
      <c r="M645" s="12">
        <v>611</v>
      </c>
      <c r="N645" s="12" t="s">
        <v>716</v>
      </c>
      <c r="O645" s="12">
        <v>2307</v>
      </c>
      <c r="P645" s="12">
        <v>0</v>
      </c>
      <c r="Q645" s="12">
        <v>0</v>
      </c>
      <c r="R645" s="12">
        <v>0</v>
      </c>
      <c r="S645" s="12">
        <v>0</v>
      </c>
      <c r="T645" s="18">
        <v>0</v>
      </c>
      <c r="U645" s="18"/>
      <c r="V645">
        <f t="shared" si="20"/>
        <v>0</v>
      </c>
    </row>
    <row r="646" spans="1:22" x14ac:dyDescent="0.25">
      <c r="A646" t="s">
        <v>795</v>
      </c>
      <c r="B646" t="s">
        <v>694</v>
      </c>
      <c r="C646" s="1">
        <v>2066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f t="shared" si="22"/>
        <v>0</v>
      </c>
      <c r="K646" s="1"/>
      <c r="M646" s="10">
        <v>116</v>
      </c>
      <c r="N646" s="10" t="s">
        <v>717</v>
      </c>
      <c r="O646" s="10">
        <v>3375</v>
      </c>
      <c r="P646" s="10">
        <v>0</v>
      </c>
      <c r="Q646" s="10">
        <v>0</v>
      </c>
      <c r="R646" s="10">
        <v>0</v>
      </c>
      <c r="S646" s="10">
        <v>0</v>
      </c>
      <c r="T646" s="19">
        <v>0</v>
      </c>
      <c r="U646" s="19"/>
      <c r="V646">
        <f t="shared" si="20"/>
        <v>0</v>
      </c>
    </row>
    <row r="647" spans="1:22" x14ac:dyDescent="0.25">
      <c r="A647" t="s">
        <v>72</v>
      </c>
      <c r="B647" t="s">
        <v>695</v>
      </c>
      <c r="C647" s="1">
        <v>1680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f t="shared" si="22"/>
        <v>0</v>
      </c>
      <c r="K647" s="1"/>
      <c r="M647" s="12">
        <v>611</v>
      </c>
      <c r="N647" s="12" t="s">
        <v>718</v>
      </c>
      <c r="O647" s="12">
        <v>3592</v>
      </c>
      <c r="P647" s="12">
        <v>0</v>
      </c>
      <c r="Q647" s="12">
        <v>0</v>
      </c>
      <c r="R647" s="12">
        <v>0</v>
      </c>
      <c r="S647" s="12">
        <v>0</v>
      </c>
      <c r="T647" s="18">
        <v>0</v>
      </c>
      <c r="U647" s="18"/>
      <c r="V647">
        <f t="shared" si="20"/>
        <v>0</v>
      </c>
    </row>
    <row r="648" spans="1:22" x14ac:dyDescent="0.25">
      <c r="A648" t="s">
        <v>795</v>
      </c>
      <c r="B648" t="s">
        <v>696</v>
      </c>
      <c r="C648" s="1">
        <v>6611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f t="shared" si="22"/>
        <v>0</v>
      </c>
      <c r="K648" s="1"/>
      <c r="M648" s="10">
        <v>515</v>
      </c>
      <c r="N648" s="10" t="s">
        <v>719</v>
      </c>
      <c r="O648" s="10">
        <v>184</v>
      </c>
      <c r="P648" s="10">
        <v>0</v>
      </c>
      <c r="Q648" s="10">
        <v>0</v>
      </c>
      <c r="R648" s="10">
        <v>0</v>
      </c>
      <c r="S648" s="10">
        <v>0</v>
      </c>
      <c r="T648" s="19">
        <v>0</v>
      </c>
      <c r="U648" s="19"/>
      <c r="V648">
        <f t="shared" si="20"/>
        <v>0</v>
      </c>
    </row>
    <row r="649" spans="1:22" x14ac:dyDescent="0.25">
      <c r="A649" t="s">
        <v>831</v>
      </c>
      <c r="B649" t="s">
        <v>697</v>
      </c>
      <c r="C649" s="1">
        <v>4137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f t="shared" si="22"/>
        <v>0</v>
      </c>
      <c r="K649" s="1"/>
      <c r="M649" s="12">
        <v>616</v>
      </c>
      <c r="N649" s="12" t="s">
        <v>720</v>
      </c>
      <c r="O649" s="12">
        <v>12754</v>
      </c>
      <c r="P649" s="12">
        <v>0</v>
      </c>
      <c r="Q649" s="12">
        <v>0</v>
      </c>
      <c r="R649" s="12">
        <v>0</v>
      </c>
      <c r="S649" s="12">
        <v>0</v>
      </c>
      <c r="T649" s="18">
        <v>0</v>
      </c>
      <c r="U649" s="18"/>
      <c r="V649">
        <f t="shared" si="20"/>
        <v>0</v>
      </c>
    </row>
    <row r="650" spans="1:22" x14ac:dyDescent="0.25">
      <c r="A650" t="s">
        <v>829</v>
      </c>
      <c r="B650" t="s">
        <v>698</v>
      </c>
      <c r="C650" s="1"/>
      <c r="D650" s="1"/>
      <c r="E650" s="1"/>
      <c r="F650" s="1"/>
      <c r="G650" s="1"/>
      <c r="H650" s="1"/>
      <c r="I650" s="1"/>
      <c r="J650" s="1"/>
      <c r="K650" s="1"/>
      <c r="M650" s="10">
        <v>211</v>
      </c>
      <c r="N650" s="10" t="s">
        <v>721</v>
      </c>
      <c r="O650" s="10"/>
      <c r="P650" s="10"/>
      <c r="Q650" s="10"/>
      <c r="R650" s="10"/>
      <c r="S650" s="10"/>
      <c r="T650" s="19"/>
      <c r="U650" s="19"/>
      <c r="V650">
        <f t="shared" si="20"/>
        <v>0</v>
      </c>
    </row>
    <row r="651" spans="1:22" x14ac:dyDescent="0.25">
      <c r="A651" t="s">
        <v>811</v>
      </c>
      <c r="B651" t="s">
        <v>699</v>
      </c>
      <c r="C651" s="1"/>
      <c r="D651" s="1"/>
      <c r="E651" s="1"/>
      <c r="F651" s="1"/>
      <c r="G651" s="1"/>
      <c r="H651" s="1"/>
      <c r="I651" s="1"/>
      <c r="J651" s="1"/>
      <c r="K651" s="1"/>
      <c r="M651" s="12">
        <v>611</v>
      </c>
      <c r="N651" s="12" t="s">
        <v>722</v>
      </c>
      <c r="O651" s="12">
        <v>1993</v>
      </c>
      <c r="P651" s="12">
        <v>0</v>
      </c>
      <c r="Q651" s="12">
        <v>0</v>
      </c>
      <c r="R651" s="12">
        <v>0</v>
      </c>
      <c r="S651" s="12">
        <v>0</v>
      </c>
      <c r="T651" s="18">
        <v>0</v>
      </c>
      <c r="U651" s="18"/>
      <c r="V651">
        <f t="shared" si="20"/>
        <v>0</v>
      </c>
    </row>
    <row r="652" spans="1:22" x14ac:dyDescent="0.25">
      <c r="A652" t="s">
        <v>856</v>
      </c>
      <c r="B652" t="s">
        <v>700</v>
      </c>
      <c r="C652" s="1"/>
      <c r="D652" s="1"/>
      <c r="E652" s="1"/>
      <c r="F652" s="1"/>
      <c r="G652" s="1"/>
      <c r="H652" s="1"/>
      <c r="I652" s="1"/>
      <c r="J652" s="1"/>
      <c r="K652" s="1"/>
      <c r="M652" s="10">
        <v>137</v>
      </c>
      <c r="N652" s="10" t="s">
        <v>723</v>
      </c>
      <c r="O652" s="10">
        <v>3500</v>
      </c>
      <c r="P652" s="10">
        <v>0</v>
      </c>
      <c r="Q652" s="10">
        <v>0</v>
      </c>
      <c r="R652" s="10">
        <v>0</v>
      </c>
      <c r="S652" s="10">
        <v>0</v>
      </c>
      <c r="T652" s="19">
        <v>0</v>
      </c>
      <c r="U652" s="19"/>
      <c r="V652">
        <f t="shared" si="20"/>
        <v>0</v>
      </c>
    </row>
    <row r="653" spans="1:22" x14ac:dyDescent="0.25">
      <c r="A653" t="s">
        <v>796</v>
      </c>
      <c r="B653" t="s">
        <v>701</v>
      </c>
      <c r="C653" s="1">
        <v>1849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f>SUM(H653,I653)</f>
        <v>0</v>
      </c>
      <c r="K653" s="1"/>
      <c r="M653" s="12">
        <v>211</v>
      </c>
      <c r="N653" s="12" t="s">
        <v>724</v>
      </c>
      <c r="O653" s="12"/>
      <c r="P653" s="12"/>
      <c r="Q653" s="12"/>
      <c r="R653" s="12"/>
      <c r="S653" s="12"/>
      <c r="T653" s="18"/>
      <c r="U653" s="18"/>
      <c r="V653">
        <f t="shared" si="20"/>
        <v>0</v>
      </c>
    </row>
    <row r="654" spans="1:22" x14ac:dyDescent="0.25">
      <c r="A654" t="s">
        <v>512</v>
      </c>
      <c r="B654" t="s">
        <v>702</v>
      </c>
      <c r="C654" s="1">
        <v>1182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f>SUM(H654,I654)</f>
        <v>0</v>
      </c>
      <c r="K654" s="1"/>
      <c r="M654" s="10" t="s">
        <v>814</v>
      </c>
      <c r="N654" s="10" t="s">
        <v>725</v>
      </c>
      <c r="O654" s="10">
        <v>5905</v>
      </c>
      <c r="P654" s="10">
        <v>0</v>
      </c>
      <c r="Q654" s="10">
        <v>0</v>
      </c>
      <c r="R654" s="10">
        <v>0</v>
      </c>
      <c r="S654" s="10">
        <v>0</v>
      </c>
      <c r="T654" s="19">
        <v>0</v>
      </c>
      <c r="U654" s="19"/>
      <c r="V654">
        <f t="shared" si="20"/>
        <v>0</v>
      </c>
    </row>
    <row r="655" spans="1:22" x14ac:dyDescent="0.25">
      <c r="A655" t="s">
        <v>850</v>
      </c>
      <c r="B655" t="s">
        <v>703</v>
      </c>
      <c r="C655" s="1"/>
      <c r="D655" s="1"/>
      <c r="E655" s="1"/>
      <c r="F655" s="1"/>
      <c r="G655" s="1"/>
      <c r="H655" s="1"/>
      <c r="I655" s="1"/>
      <c r="J655" s="1"/>
      <c r="K655" s="1"/>
      <c r="M655" s="12">
        <v>211</v>
      </c>
      <c r="N655" s="12" t="s">
        <v>726</v>
      </c>
      <c r="O655" s="12"/>
      <c r="P655" s="12"/>
      <c r="Q655" s="12"/>
      <c r="R655" s="12"/>
      <c r="S655" s="12"/>
      <c r="T655" s="18"/>
      <c r="U655" s="18"/>
      <c r="V655">
        <f t="shared" si="20"/>
        <v>0</v>
      </c>
    </row>
    <row r="656" spans="1:22" x14ac:dyDescent="0.25">
      <c r="A656" t="s">
        <v>146</v>
      </c>
      <c r="B656" t="s">
        <v>704</v>
      </c>
      <c r="C656" s="1">
        <v>4397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f>SUM(H656,I656)</f>
        <v>0</v>
      </c>
      <c r="K656" s="1"/>
      <c r="M656" s="10">
        <v>713</v>
      </c>
      <c r="N656" s="10" t="s">
        <v>727</v>
      </c>
      <c r="O656" s="10"/>
      <c r="P656" s="10"/>
      <c r="Q656" s="10"/>
      <c r="R656" s="10"/>
      <c r="S656" s="10"/>
      <c r="T656" s="19"/>
      <c r="U656" s="19"/>
      <c r="V656">
        <f t="shared" si="20"/>
        <v>0</v>
      </c>
    </row>
    <row r="657" spans="1:22" x14ac:dyDescent="0.25">
      <c r="A657" t="s">
        <v>846</v>
      </c>
      <c r="B657" t="s">
        <v>705</v>
      </c>
      <c r="C657" s="1"/>
      <c r="D657" s="1"/>
      <c r="E657" s="1"/>
      <c r="F657" s="1"/>
      <c r="G657" s="1"/>
      <c r="H657" s="1"/>
      <c r="I657" s="1"/>
      <c r="J657" s="1"/>
      <c r="K657" s="1"/>
      <c r="M657" s="12">
        <v>514</v>
      </c>
      <c r="N657" s="12" t="s">
        <v>728</v>
      </c>
      <c r="O657" s="12">
        <v>854</v>
      </c>
      <c r="P657" s="12">
        <v>0</v>
      </c>
      <c r="Q657" s="12">
        <v>0</v>
      </c>
      <c r="R657" s="12">
        <v>0</v>
      </c>
      <c r="S657" s="12">
        <v>0</v>
      </c>
      <c r="T657" s="18">
        <v>0</v>
      </c>
      <c r="U657" s="18"/>
      <c r="V657">
        <f t="shared" si="20"/>
        <v>0</v>
      </c>
    </row>
    <row r="658" spans="1:22" x14ac:dyDescent="0.25">
      <c r="A658" t="s">
        <v>855</v>
      </c>
      <c r="B658" t="s">
        <v>706</v>
      </c>
      <c r="C658" s="1"/>
      <c r="D658" s="1"/>
      <c r="E658" s="1"/>
      <c r="F658" s="1"/>
      <c r="G658" s="1"/>
      <c r="H658" s="1"/>
      <c r="I658" s="1"/>
      <c r="J658" s="1"/>
      <c r="K658" s="1"/>
      <c r="M658" s="10" t="s">
        <v>815</v>
      </c>
      <c r="N658" s="10" t="s">
        <v>729</v>
      </c>
      <c r="O658" s="10">
        <v>1631</v>
      </c>
      <c r="P658" s="10">
        <v>0</v>
      </c>
      <c r="Q658" s="10">
        <v>0</v>
      </c>
      <c r="R658" s="10">
        <v>0</v>
      </c>
      <c r="S658" s="10">
        <v>0</v>
      </c>
      <c r="T658" s="19">
        <v>0</v>
      </c>
      <c r="U658" s="19"/>
      <c r="V658">
        <f t="shared" si="20"/>
        <v>0</v>
      </c>
    </row>
    <row r="659" spans="1:22" x14ac:dyDescent="0.25">
      <c r="A659" t="s">
        <v>794</v>
      </c>
      <c r="B659" t="s">
        <v>707</v>
      </c>
      <c r="C659" s="1">
        <v>2120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f>SUM(H659,I659)</f>
        <v>0</v>
      </c>
      <c r="K659" s="1"/>
      <c r="M659" s="12">
        <v>610</v>
      </c>
      <c r="N659" s="12" t="s">
        <v>730</v>
      </c>
      <c r="O659" s="12">
        <v>72</v>
      </c>
      <c r="P659" s="12">
        <v>0</v>
      </c>
      <c r="Q659" s="12">
        <v>0</v>
      </c>
      <c r="R659" s="12">
        <v>0</v>
      </c>
      <c r="S659" s="12">
        <v>0</v>
      </c>
      <c r="T659" s="18">
        <v>0</v>
      </c>
      <c r="U659" s="18"/>
      <c r="V659">
        <f t="shared" si="20"/>
        <v>0</v>
      </c>
    </row>
    <row r="660" spans="1:22" x14ac:dyDescent="0.25">
      <c r="A660" t="s">
        <v>108</v>
      </c>
      <c r="B660" t="s">
        <v>708</v>
      </c>
      <c r="C660" s="1"/>
      <c r="D660" s="1"/>
      <c r="E660" s="1"/>
      <c r="F660" s="1"/>
      <c r="G660" s="1"/>
      <c r="H660" s="1"/>
      <c r="I660" s="1"/>
      <c r="J660" s="1"/>
      <c r="K660" s="1"/>
      <c r="M660" s="10">
        <v>114</v>
      </c>
      <c r="N660" s="10" t="s">
        <v>731</v>
      </c>
      <c r="O660" s="10"/>
      <c r="P660" s="10"/>
      <c r="Q660" s="10"/>
      <c r="R660" s="10"/>
      <c r="S660" s="10"/>
      <c r="T660" s="19"/>
      <c r="U660" s="19"/>
      <c r="V660">
        <f t="shared" si="20"/>
        <v>0</v>
      </c>
    </row>
    <row r="661" spans="1:22" x14ac:dyDescent="0.25">
      <c r="A661" t="s">
        <v>834</v>
      </c>
      <c r="B661" t="s">
        <v>709</v>
      </c>
      <c r="C661" s="1"/>
      <c r="D661" s="1"/>
      <c r="E661" s="1"/>
      <c r="F661" s="1"/>
      <c r="G661" s="1"/>
      <c r="H661" s="1"/>
      <c r="I661" s="1"/>
      <c r="J661" s="1"/>
      <c r="K661" s="1"/>
      <c r="M661" s="12" t="s">
        <v>815</v>
      </c>
      <c r="N661" s="12" t="s">
        <v>732</v>
      </c>
      <c r="O661" s="12">
        <v>1989</v>
      </c>
      <c r="P661" s="12">
        <v>0</v>
      </c>
      <c r="Q661" s="12">
        <v>0</v>
      </c>
      <c r="R661" s="12">
        <v>0</v>
      </c>
      <c r="S661" s="12">
        <v>0</v>
      </c>
      <c r="T661" s="18">
        <v>0</v>
      </c>
      <c r="U661" s="18"/>
      <c r="V661">
        <f t="shared" ref="V661:V704" si="23">SUM(T661:U661)</f>
        <v>0</v>
      </c>
    </row>
    <row r="662" spans="1:22" x14ac:dyDescent="0.25">
      <c r="A662" t="s">
        <v>852</v>
      </c>
      <c r="B662" t="s">
        <v>710</v>
      </c>
      <c r="C662" s="1"/>
      <c r="D662" s="1"/>
      <c r="E662" s="1"/>
      <c r="F662" s="1"/>
      <c r="G662" s="1"/>
      <c r="H662" s="1"/>
      <c r="I662" s="1"/>
      <c r="J662" s="1"/>
      <c r="K662" s="1"/>
      <c r="M662" s="10" t="s">
        <v>808</v>
      </c>
      <c r="N662" s="10" t="s">
        <v>733</v>
      </c>
      <c r="O662" s="10">
        <v>6813</v>
      </c>
      <c r="P662" s="10">
        <v>0</v>
      </c>
      <c r="Q662" s="10">
        <v>0</v>
      </c>
      <c r="R662" s="10">
        <v>0</v>
      </c>
      <c r="S662" s="10">
        <v>0</v>
      </c>
      <c r="T662" s="19">
        <v>0</v>
      </c>
      <c r="U662" s="19"/>
      <c r="V662">
        <f t="shared" si="23"/>
        <v>0</v>
      </c>
    </row>
    <row r="663" spans="1:22" x14ac:dyDescent="0.25">
      <c r="A663" t="s">
        <v>824</v>
      </c>
      <c r="B663" t="s">
        <v>711</v>
      </c>
      <c r="C663" s="1">
        <v>2347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f>SUM(H663,I663)</f>
        <v>0</v>
      </c>
      <c r="K663" s="1"/>
      <c r="M663" s="12">
        <v>200</v>
      </c>
      <c r="N663" s="12" t="s">
        <v>734</v>
      </c>
      <c r="O663" s="12">
        <v>229</v>
      </c>
      <c r="P663" s="12">
        <v>0</v>
      </c>
      <c r="Q663" s="12">
        <v>0</v>
      </c>
      <c r="R663" s="12">
        <v>0</v>
      </c>
      <c r="S663" s="12">
        <v>0</v>
      </c>
      <c r="T663" s="18">
        <v>0</v>
      </c>
      <c r="U663" s="18"/>
      <c r="V663">
        <f t="shared" si="23"/>
        <v>0</v>
      </c>
    </row>
    <row r="664" spans="1:22" x14ac:dyDescent="0.25">
      <c r="A664" t="s">
        <v>817</v>
      </c>
      <c r="B664" t="s">
        <v>712</v>
      </c>
      <c r="C664" s="1">
        <v>2194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f>SUM(H664,I664)</f>
        <v>0</v>
      </c>
      <c r="K664" s="1"/>
      <c r="M664" s="10">
        <v>616</v>
      </c>
      <c r="N664" s="10" t="s">
        <v>735</v>
      </c>
      <c r="O664" s="10"/>
      <c r="P664" s="10"/>
      <c r="Q664" s="10"/>
      <c r="R664" s="10"/>
      <c r="S664" s="10"/>
      <c r="T664" s="19"/>
      <c r="U664" s="19"/>
      <c r="V664">
        <f t="shared" si="23"/>
        <v>0</v>
      </c>
    </row>
    <row r="665" spans="1:22" x14ac:dyDescent="0.25">
      <c r="A665" t="s">
        <v>857</v>
      </c>
      <c r="B665" t="s">
        <v>713</v>
      </c>
      <c r="C665" s="1"/>
      <c r="D665" s="1"/>
      <c r="E665" s="1"/>
      <c r="F665" s="1"/>
      <c r="G665" s="1"/>
      <c r="H665" s="1"/>
      <c r="I665" s="1"/>
      <c r="J665" s="1"/>
      <c r="K665" s="1"/>
      <c r="M665" s="12">
        <v>711</v>
      </c>
      <c r="N665" s="12" t="s">
        <v>736</v>
      </c>
      <c r="O665" s="12"/>
      <c r="P665" s="12"/>
      <c r="Q665" s="12"/>
      <c r="R665" s="12"/>
      <c r="S665" s="12"/>
      <c r="T665" s="18"/>
      <c r="U665" s="18"/>
      <c r="V665">
        <f t="shared" si="23"/>
        <v>0</v>
      </c>
    </row>
    <row r="666" spans="1:22" x14ac:dyDescent="0.25">
      <c r="A666" t="s">
        <v>146</v>
      </c>
      <c r="B666" t="s">
        <v>714</v>
      </c>
      <c r="C666" s="1">
        <v>6110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f t="shared" ref="J666:J674" si="24">SUM(H666,I666)</f>
        <v>0</v>
      </c>
      <c r="K666" s="1"/>
      <c r="M666" s="10" t="s">
        <v>815</v>
      </c>
      <c r="N666" s="10" t="s">
        <v>737</v>
      </c>
      <c r="O666" s="10">
        <v>3538</v>
      </c>
      <c r="P666" s="10">
        <v>0</v>
      </c>
      <c r="Q666" s="10">
        <v>0</v>
      </c>
      <c r="R666" s="10">
        <v>0</v>
      </c>
      <c r="S666" s="10">
        <v>0</v>
      </c>
      <c r="T666" s="19">
        <v>0</v>
      </c>
      <c r="U666" s="19"/>
      <c r="V666">
        <f t="shared" si="23"/>
        <v>0</v>
      </c>
    </row>
    <row r="667" spans="1:22" x14ac:dyDescent="0.25">
      <c r="A667" t="s">
        <v>120</v>
      </c>
      <c r="B667" t="s">
        <v>715</v>
      </c>
      <c r="C667" s="1">
        <v>3694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f t="shared" si="24"/>
        <v>0</v>
      </c>
      <c r="K667" s="1"/>
      <c r="M667" s="12" t="s">
        <v>815</v>
      </c>
      <c r="N667" s="12" t="s">
        <v>738</v>
      </c>
      <c r="O667" s="12">
        <v>2415</v>
      </c>
      <c r="P667" s="12">
        <v>0</v>
      </c>
      <c r="Q667" s="12">
        <v>0</v>
      </c>
      <c r="R667" s="12">
        <v>0</v>
      </c>
      <c r="S667" s="12">
        <v>0</v>
      </c>
      <c r="T667" s="18">
        <v>0</v>
      </c>
      <c r="U667" s="18"/>
      <c r="V667">
        <f t="shared" si="23"/>
        <v>0</v>
      </c>
    </row>
    <row r="668" spans="1:22" x14ac:dyDescent="0.25">
      <c r="A668" t="s">
        <v>146</v>
      </c>
      <c r="B668" t="s">
        <v>716</v>
      </c>
      <c r="C668" s="1">
        <v>2307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f t="shared" si="24"/>
        <v>0</v>
      </c>
      <c r="K668" s="1"/>
      <c r="M668" s="10">
        <v>600</v>
      </c>
      <c r="N668" s="10" t="s">
        <v>739</v>
      </c>
      <c r="O668" s="10">
        <v>4648</v>
      </c>
      <c r="P668" s="10">
        <v>0</v>
      </c>
      <c r="Q668" s="10">
        <v>0</v>
      </c>
      <c r="R668" s="10">
        <v>0</v>
      </c>
      <c r="S668" s="10">
        <v>0</v>
      </c>
      <c r="T668" s="19">
        <v>0</v>
      </c>
      <c r="U668" s="19"/>
      <c r="V668">
        <f t="shared" si="23"/>
        <v>0</v>
      </c>
    </row>
    <row r="669" spans="1:22" x14ac:dyDescent="0.25">
      <c r="A669" t="s">
        <v>795</v>
      </c>
      <c r="B669" t="s">
        <v>717</v>
      </c>
      <c r="C669" s="1">
        <v>3375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f t="shared" si="24"/>
        <v>0</v>
      </c>
      <c r="K669" s="1"/>
      <c r="M669" s="12" t="s">
        <v>815</v>
      </c>
      <c r="N669" s="12" t="s">
        <v>740</v>
      </c>
      <c r="O669" s="12">
        <v>1448</v>
      </c>
      <c r="P669" s="12">
        <v>0</v>
      </c>
      <c r="Q669" s="12">
        <v>0</v>
      </c>
      <c r="R669" s="12">
        <v>0</v>
      </c>
      <c r="S669" s="12">
        <v>0</v>
      </c>
      <c r="T669" s="18">
        <v>0</v>
      </c>
      <c r="U669" s="18"/>
      <c r="V669">
        <f t="shared" si="23"/>
        <v>0</v>
      </c>
    </row>
    <row r="670" spans="1:22" x14ac:dyDescent="0.25">
      <c r="A670" t="s">
        <v>146</v>
      </c>
      <c r="B670" t="s">
        <v>718</v>
      </c>
      <c r="C670" s="1">
        <v>3592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f t="shared" si="24"/>
        <v>0</v>
      </c>
      <c r="K670" s="1"/>
      <c r="M670" s="10">
        <v>514</v>
      </c>
      <c r="N670" s="10" t="s">
        <v>741</v>
      </c>
      <c r="O670" s="10">
        <v>1967</v>
      </c>
      <c r="P670" s="10">
        <v>0</v>
      </c>
      <c r="Q670" s="10">
        <v>0</v>
      </c>
      <c r="R670" s="10">
        <v>0</v>
      </c>
      <c r="S670" s="10">
        <v>0</v>
      </c>
      <c r="T670" s="19">
        <v>0</v>
      </c>
      <c r="U670" s="19"/>
      <c r="V670">
        <f t="shared" si="23"/>
        <v>0</v>
      </c>
    </row>
    <row r="671" spans="1:22" x14ac:dyDescent="0.25">
      <c r="A671" t="s">
        <v>816</v>
      </c>
      <c r="B671" t="s">
        <v>719</v>
      </c>
      <c r="C671" s="1">
        <v>184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f t="shared" si="24"/>
        <v>0</v>
      </c>
      <c r="K671" s="1"/>
      <c r="M671" s="12">
        <v>118</v>
      </c>
      <c r="N671" s="12" t="s">
        <v>742</v>
      </c>
      <c r="O671" s="12">
        <v>2390</v>
      </c>
      <c r="P671" s="12">
        <v>0</v>
      </c>
      <c r="Q671" s="12">
        <v>0</v>
      </c>
      <c r="R671" s="12">
        <v>0</v>
      </c>
      <c r="S671" s="12">
        <v>0</v>
      </c>
      <c r="T671" s="18">
        <v>0</v>
      </c>
      <c r="U671" s="18"/>
      <c r="V671">
        <f t="shared" si="23"/>
        <v>0</v>
      </c>
    </row>
    <row r="672" spans="1:22" x14ac:dyDescent="0.25">
      <c r="A672" t="s">
        <v>817</v>
      </c>
      <c r="B672" t="s">
        <v>720</v>
      </c>
      <c r="C672" s="1">
        <v>12754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f t="shared" si="24"/>
        <v>0</v>
      </c>
      <c r="K672" s="1"/>
      <c r="M672" s="10">
        <v>700</v>
      </c>
      <c r="N672" s="10" t="s">
        <v>743</v>
      </c>
      <c r="O672" s="10">
        <v>547</v>
      </c>
      <c r="P672" s="10">
        <v>0</v>
      </c>
      <c r="Q672" s="10">
        <v>0</v>
      </c>
      <c r="R672" s="10">
        <v>0</v>
      </c>
      <c r="S672" s="10">
        <v>0</v>
      </c>
      <c r="T672" s="19">
        <v>0</v>
      </c>
      <c r="U672" s="19"/>
      <c r="V672">
        <f t="shared" si="23"/>
        <v>0</v>
      </c>
    </row>
    <row r="673" spans="1:22" x14ac:dyDescent="0.25">
      <c r="A673" t="s">
        <v>864</v>
      </c>
      <c r="B673" t="s">
        <v>721</v>
      </c>
      <c r="C673" s="1">
        <v>16789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f t="shared" si="24"/>
        <v>0</v>
      </c>
      <c r="K673" s="1"/>
      <c r="M673" s="12">
        <v>120</v>
      </c>
      <c r="N673" s="12" t="s">
        <v>744</v>
      </c>
      <c r="O673" s="12"/>
      <c r="P673" s="12"/>
      <c r="Q673" s="12"/>
      <c r="R673" s="12"/>
      <c r="S673" s="12"/>
      <c r="T673" s="18"/>
      <c r="U673" s="18"/>
      <c r="V673">
        <f t="shared" si="23"/>
        <v>0</v>
      </c>
    </row>
    <row r="674" spans="1:22" x14ac:dyDescent="0.25">
      <c r="A674" t="s">
        <v>146</v>
      </c>
      <c r="B674" t="s">
        <v>722</v>
      </c>
      <c r="C674" s="1">
        <v>1993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f t="shared" si="24"/>
        <v>0</v>
      </c>
      <c r="K674" s="1"/>
      <c r="M674" s="10">
        <v>111</v>
      </c>
      <c r="N674" s="10" t="s">
        <v>745</v>
      </c>
      <c r="O674" s="10">
        <v>9919</v>
      </c>
      <c r="P674" s="10">
        <v>0</v>
      </c>
      <c r="Q674" s="10">
        <v>0</v>
      </c>
      <c r="R674" s="10">
        <v>0</v>
      </c>
      <c r="S674" s="10">
        <v>0</v>
      </c>
      <c r="T674" s="19">
        <v>0</v>
      </c>
      <c r="U674" s="19"/>
      <c r="V674">
        <f t="shared" si="23"/>
        <v>0</v>
      </c>
    </row>
    <row r="675" spans="1:22" x14ac:dyDescent="0.25">
      <c r="A675" t="s">
        <v>858</v>
      </c>
      <c r="B675" t="s">
        <v>723</v>
      </c>
      <c r="C675" s="1"/>
      <c r="D675" s="1"/>
      <c r="E675" s="1"/>
      <c r="F675" s="1"/>
      <c r="G675" s="1"/>
      <c r="H675" s="1"/>
      <c r="I675" s="1"/>
      <c r="J675" s="1"/>
      <c r="K675" s="1"/>
      <c r="M675" s="12">
        <v>600</v>
      </c>
      <c r="N675" s="12" t="s">
        <v>746</v>
      </c>
      <c r="O675" s="12">
        <v>34492</v>
      </c>
      <c r="P675" s="12">
        <v>0</v>
      </c>
      <c r="Q675" s="12">
        <v>0</v>
      </c>
      <c r="R675" s="12">
        <v>0</v>
      </c>
      <c r="S675" s="12">
        <v>0</v>
      </c>
      <c r="T675" s="18">
        <v>0</v>
      </c>
      <c r="U675" s="18"/>
      <c r="V675">
        <f t="shared" si="23"/>
        <v>0</v>
      </c>
    </row>
    <row r="676" spans="1:22" x14ac:dyDescent="0.25">
      <c r="A676" t="s">
        <v>864</v>
      </c>
      <c r="B676" t="s">
        <v>724</v>
      </c>
      <c r="C676" s="1">
        <v>35351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f>SUM(H676,I676)</f>
        <v>0</v>
      </c>
      <c r="K676" s="1"/>
      <c r="M676" s="10">
        <v>711</v>
      </c>
      <c r="N676" s="10" t="s">
        <v>747</v>
      </c>
      <c r="O676" s="10"/>
      <c r="P676" s="10"/>
      <c r="Q676" s="10"/>
      <c r="R676" s="10"/>
      <c r="S676" s="10"/>
      <c r="T676" s="19"/>
      <c r="U676" s="19"/>
      <c r="V676">
        <f t="shared" si="23"/>
        <v>0</v>
      </c>
    </row>
    <row r="677" spans="1:22" x14ac:dyDescent="0.25">
      <c r="A677" t="s">
        <v>794</v>
      </c>
      <c r="B677" t="s">
        <v>725</v>
      </c>
      <c r="C677" s="1">
        <v>5905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f>SUM(H677,I677)</f>
        <v>0</v>
      </c>
      <c r="K677" s="1"/>
      <c r="M677" s="12" t="s">
        <v>808</v>
      </c>
      <c r="N677" s="12" t="s">
        <v>748</v>
      </c>
      <c r="O677" s="12">
        <v>2657</v>
      </c>
      <c r="P677" s="12">
        <v>98</v>
      </c>
      <c r="Q677" s="12">
        <v>0</v>
      </c>
      <c r="R677" s="12">
        <v>0</v>
      </c>
      <c r="S677" s="12">
        <v>0</v>
      </c>
      <c r="T677" s="18">
        <v>0</v>
      </c>
      <c r="U677" s="18"/>
      <c r="V677">
        <f t="shared" si="23"/>
        <v>0</v>
      </c>
    </row>
    <row r="678" spans="1:22" x14ac:dyDescent="0.25">
      <c r="A678" t="s">
        <v>864</v>
      </c>
      <c r="B678" t="s">
        <v>726</v>
      </c>
      <c r="C678" s="1">
        <v>11382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f>SUM(H678,I678)</f>
        <v>0</v>
      </c>
      <c r="K678" s="1"/>
      <c r="M678" s="10">
        <v>113</v>
      </c>
      <c r="N678" s="10" t="s">
        <v>749</v>
      </c>
      <c r="O678" s="10">
        <v>22085</v>
      </c>
      <c r="P678" s="10">
        <v>11</v>
      </c>
      <c r="Q678" s="10">
        <v>0</v>
      </c>
      <c r="R678" s="10">
        <v>0</v>
      </c>
      <c r="S678" s="10">
        <v>0</v>
      </c>
      <c r="T678" s="19">
        <v>0</v>
      </c>
      <c r="U678" s="19"/>
      <c r="V678">
        <f t="shared" si="23"/>
        <v>0</v>
      </c>
    </row>
    <row r="679" spans="1:22" x14ac:dyDescent="0.25">
      <c r="A679" s="2" t="s">
        <v>796</v>
      </c>
      <c r="B679" t="s">
        <v>727</v>
      </c>
      <c r="C679" s="1"/>
      <c r="D679" s="1"/>
      <c r="E679" s="1"/>
      <c r="F679" s="1"/>
      <c r="G679" s="1"/>
      <c r="H679" s="1"/>
      <c r="I679" s="1"/>
      <c r="J679" s="1"/>
      <c r="K679" s="1"/>
      <c r="M679" s="12">
        <v>300</v>
      </c>
      <c r="N679" s="12" t="s">
        <v>750</v>
      </c>
      <c r="O679" s="12">
        <v>1128</v>
      </c>
      <c r="P679" s="12">
        <v>27</v>
      </c>
      <c r="Q679" s="12">
        <v>0</v>
      </c>
      <c r="R679" s="12">
        <v>0</v>
      </c>
      <c r="S679" s="12">
        <v>0</v>
      </c>
      <c r="T679" s="18">
        <v>0</v>
      </c>
      <c r="U679" s="18"/>
      <c r="V679">
        <f t="shared" si="23"/>
        <v>0</v>
      </c>
    </row>
    <row r="680" spans="1:22" x14ac:dyDescent="0.25">
      <c r="A680" t="s">
        <v>134</v>
      </c>
      <c r="B680" t="s">
        <v>728</v>
      </c>
      <c r="C680" s="1">
        <v>854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f>SUM(H680,I680)</f>
        <v>0</v>
      </c>
      <c r="K680" s="1"/>
      <c r="M680" s="10">
        <v>111</v>
      </c>
      <c r="N680" s="10" t="s">
        <v>751</v>
      </c>
      <c r="O680" s="10">
        <v>4049</v>
      </c>
      <c r="P680" s="10">
        <v>28</v>
      </c>
      <c r="Q680" s="10">
        <v>0</v>
      </c>
      <c r="R680" s="10">
        <v>0</v>
      </c>
      <c r="S680" s="10">
        <v>0</v>
      </c>
      <c r="T680" s="19">
        <v>0</v>
      </c>
      <c r="U680" s="19"/>
      <c r="V680">
        <f t="shared" si="23"/>
        <v>0</v>
      </c>
    </row>
    <row r="681" spans="1:22" x14ac:dyDescent="0.25">
      <c r="A681" t="s">
        <v>138</v>
      </c>
      <c r="B681" t="s">
        <v>729</v>
      </c>
      <c r="C681" s="1"/>
      <c r="D681" s="1"/>
      <c r="E681" s="1"/>
      <c r="F681" s="1"/>
      <c r="G681" s="1"/>
      <c r="H681" s="1"/>
      <c r="I681" s="1"/>
      <c r="J681" s="1"/>
      <c r="K681" s="1"/>
      <c r="M681" s="12">
        <v>110</v>
      </c>
      <c r="N681" s="12" t="s">
        <v>752</v>
      </c>
      <c r="O681" s="12">
        <v>6321</v>
      </c>
      <c r="P681" s="12">
        <v>9</v>
      </c>
      <c r="Q681" s="12">
        <v>0</v>
      </c>
      <c r="R681" s="12">
        <v>0</v>
      </c>
      <c r="S681" s="12">
        <v>0</v>
      </c>
      <c r="T681" s="18">
        <v>0</v>
      </c>
      <c r="U681" s="18"/>
      <c r="V681">
        <f t="shared" si="23"/>
        <v>0</v>
      </c>
    </row>
    <row r="682" spans="1:22" x14ac:dyDescent="0.25">
      <c r="A682" t="s">
        <v>788</v>
      </c>
      <c r="B682" t="s">
        <v>730</v>
      </c>
      <c r="C682" s="1">
        <v>72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f>SUM(H682,I682)</f>
        <v>0</v>
      </c>
      <c r="K682" s="1"/>
      <c r="M682" s="10">
        <v>710</v>
      </c>
      <c r="N682" s="10" t="s">
        <v>753</v>
      </c>
      <c r="O682" s="10">
        <v>17217</v>
      </c>
      <c r="P682" s="10">
        <v>0</v>
      </c>
      <c r="Q682" s="10">
        <v>0</v>
      </c>
      <c r="R682" s="10">
        <v>0</v>
      </c>
      <c r="S682" s="10">
        <v>0</v>
      </c>
      <c r="T682" s="19">
        <v>0</v>
      </c>
      <c r="U682" s="19"/>
      <c r="V682">
        <f t="shared" si="23"/>
        <v>0</v>
      </c>
    </row>
    <row r="683" spans="1:22" x14ac:dyDescent="0.25">
      <c r="A683" t="s">
        <v>831</v>
      </c>
      <c r="B683" t="s">
        <v>731</v>
      </c>
      <c r="C683" s="1">
        <v>770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f>SUM(H683,I683)</f>
        <v>0</v>
      </c>
      <c r="K683" s="1"/>
      <c r="M683" s="12">
        <v>500</v>
      </c>
      <c r="N683" s="12" t="s">
        <v>754</v>
      </c>
      <c r="O683" s="12">
        <v>3341</v>
      </c>
      <c r="P683" s="12">
        <v>20</v>
      </c>
      <c r="Q683" s="12">
        <v>0</v>
      </c>
      <c r="R683" s="12">
        <v>0</v>
      </c>
      <c r="S683" s="12">
        <v>0</v>
      </c>
      <c r="T683" s="18">
        <v>0</v>
      </c>
      <c r="U683" s="18"/>
      <c r="V683">
        <f t="shared" si="23"/>
        <v>0</v>
      </c>
    </row>
    <row r="684" spans="1:22" x14ac:dyDescent="0.25">
      <c r="A684" t="s">
        <v>138</v>
      </c>
      <c r="B684" t="s">
        <v>732</v>
      </c>
      <c r="C684" s="1"/>
      <c r="D684" s="1"/>
      <c r="E684" s="1"/>
      <c r="F684" s="1"/>
      <c r="G684" s="1"/>
      <c r="H684" s="1"/>
      <c r="I684" s="1"/>
      <c r="J684" s="1"/>
      <c r="K684" s="1"/>
      <c r="M684" s="10">
        <v>616</v>
      </c>
      <c r="N684" s="10" t="s">
        <v>755</v>
      </c>
      <c r="O684" s="10">
        <v>25600</v>
      </c>
      <c r="P684" s="10">
        <v>38</v>
      </c>
      <c r="Q684" s="10">
        <v>0</v>
      </c>
      <c r="R684" s="10">
        <v>0</v>
      </c>
      <c r="S684" s="10">
        <v>0</v>
      </c>
      <c r="T684" s="19">
        <v>0</v>
      </c>
      <c r="U684" s="19"/>
      <c r="V684">
        <f t="shared" si="23"/>
        <v>0</v>
      </c>
    </row>
    <row r="685" spans="1:22" x14ac:dyDescent="0.25">
      <c r="A685" t="s">
        <v>809</v>
      </c>
      <c r="B685" t="s">
        <v>733</v>
      </c>
      <c r="C685" s="1">
        <v>6813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f>SUM(H685,I685)</f>
        <v>0</v>
      </c>
      <c r="K685" s="1"/>
      <c r="M685" s="12" t="s">
        <v>814</v>
      </c>
      <c r="N685" s="12" t="s">
        <v>756</v>
      </c>
      <c r="O685" s="12">
        <v>12662</v>
      </c>
      <c r="P685" s="12">
        <v>75</v>
      </c>
      <c r="Q685" s="12">
        <v>0</v>
      </c>
      <c r="R685" s="12">
        <v>0</v>
      </c>
      <c r="S685" s="12">
        <v>0</v>
      </c>
      <c r="T685" s="18">
        <v>0</v>
      </c>
      <c r="U685" s="18"/>
      <c r="V685">
        <f t="shared" si="23"/>
        <v>0</v>
      </c>
    </row>
    <row r="686" spans="1:22" x14ac:dyDescent="0.25">
      <c r="A686" t="s">
        <v>806</v>
      </c>
      <c r="B686" t="s">
        <v>734</v>
      </c>
      <c r="C686" s="1">
        <v>229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f>SUM(H686,I686)</f>
        <v>0</v>
      </c>
      <c r="K686" s="1"/>
      <c r="M686" s="10">
        <v>311</v>
      </c>
      <c r="N686" s="10" t="s">
        <v>757</v>
      </c>
      <c r="O686" s="10">
        <v>13843</v>
      </c>
      <c r="P686" s="10">
        <v>40</v>
      </c>
      <c r="Q686" s="10">
        <v>0</v>
      </c>
      <c r="R686" s="10">
        <v>0</v>
      </c>
      <c r="S686" s="10">
        <v>0</v>
      </c>
      <c r="T686" s="19">
        <v>0</v>
      </c>
      <c r="U686" s="19"/>
      <c r="V686">
        <f t="shared" si="23"/>
        <v>0</v>
      </c>
    </row>
    <row r="687" spans="1:22" x14ac:dyDescent="0.25">
      <c r="A687" t="s">
        <v>817</v>
      </c>
      <c r="B687" t="s">
        <v>735</v>
      </c>
      <c r="C687" s="1">
        <v>2077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f>SUM(H687,I687)</f>
        <v>0</v>
      </c>
      <c r="K687" s="1"/>
      <c r="M687" s="12">
        <v>610</v>
      </c>
      <c r="N687" s="12" t="s">
        <v>758</v>
      </c>
      <c r="O687" s="12">
        <v>9414</v>
      </c>
      <c r="P687" s="12">
        <v>1</v>
      </c>
      <c r="Q687" s="12">
        <v>0</v>
      </c>
      <c r="R687" s="12">
        <v>0</v>
      </c>
      <c r="S687" s="12">
        <v>0</v>
      </c>
      <c r="T687" s="18">
        <v>0</v>
      </c>
      <c r="U687" s="18"/>
      <c r="V687">
        <f t="shared" si="23"/>
        <v>0</v>
      </c>
    </row>
    <row r="688" spans="1:22" x14ac:dyDescent="0.25">
      <c r="A688" t="s">
        <v>801</v>
      </c>
      <c r="B688" t="s">
        <v>736</v>
      </c>
      <c r="C688" s="1">
        <v>522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f>SUM(H688,I688)</f>
        <v>0</v>
      </c>
      <c r="K688" s="1"/>
      <c r="M688" s="10">
        <v>611</v>
      </c>
      <c r="N688" s="10" t="s">
        <v>759</v>
      </c>
      <c r="O688" s="10">
        <v>36150</v>
      </c>
      <c r="P688" s="10">
        <v>0</v>
      </c>
      <c r="Q688" s="10">
        <v>0</v>
      </c>
      <c r="R688" s="10">
        <v>0</v>
      </c>
      <c r="S688" s="10">
        <v>0</v>
      </c>
      <c r="T688" s="19">
        <v>0</v>
      </c>
      <c r="U688" s="19"/>
      <c r="V688">
        <f t="shared" si="23"/>
        <v>0</v>
      </c>
    </row>
    <row r="689" spans="1:22" x14ac:dyDescent="0.25">
      <c r="A689" t="s">
        <v>138</v>
      </c>
      <c r="B689" t="s">
        <v>737</v>
      </c>
      <c r="C689" s="1"/>
      <c r="D689" s="1"/>
      <c r="E689" s="1"/>
      <c r="F689" s="1"/>
      <c r="G689" s="1"/>
      <c r="H689" s="1"/>
      <c r="I689" s="1"/>
      <c r="J689" s="1"/>
      <c r="K689" s="1"/>
      <c r="M689" s="12">
        <v>116</v>
      </c>
      <c r="N689" s="12" t="s">
        <v>760</v>
      </c>
      <c r="O689" s="12">
        <v>22340</v>
      </c>
      <c r="P689" s="12">
        <v>0</v>
      </c>
      <c r="Q689" s="12">
        <v>0</v>
      </c>
      <c r="R689" s="12">
        <v>0</v>
      </c>
      <c r="S689" s="12">
        <v>0</v>
      </c>
      <c r="T689" s="18">
        <v>0</v>
      </c>
      <c r="U689" s="18"/>
      <c r="V689">
        <f t="shared" si="23"/>
        <v>0</v>
      </c>
    </row>
    <row r="690" spans="1:22" x14ac:dyDescent="0.25">
      <c r="A690" t="s">
        <v>138</v>
      </c>
      <c r="B690" t="s">
        <v>738</v>
      </c>
      <c r="C690" s="1"/>
      <c r="D690" s="1"/>
      <c r="E690" s="1"/>
      <c r="F690" s="1"/>
      <c r="G690" s="1"/>
      <c r="H690" s="1"/>
      <c r="I690" s="1"/>
      <c r="J690" s="1"/>
      <c r="K690" s="1"/>
      <c r="M690" s="10">
        <v>600</v>
      </c>
      <c r="N690" s="10" t="s">
        <v>761</v>
      </c>
      <c r="O690" s="10">
        <v>5504</v>
      </c>
      <c r="P690" s="10">
        <v>0</v>
      </c>
      <c r="Q690" s="10">
        <v>0</v>
      </c>
      <c r="R690" s="10">
        <v>0</v>
      </c>
      <c r="S690" s="10">
        <v>0</v>
      </c>
      <c r="T690" s="19">
        <v>0</v>
      </c>
      <c r="U690" s="19"/>
      <c r="V690">
        <f t="shared" si="23"/>
        <v>0</v>
      </c>
    </row>
    <row r="691" spans="1:22" x14ac:dyDescent="0.25">
      <c r="A691" t="s">
        <v>248</v>
      </c>
      <c r="B691" t="s">
        <v>739</v>
      </c>
      <c r="C691" s="1"/>
      <c r="D691" s="1"/>
      <c r="E691" s="1"/>
      <c r="F691" s="1"/>
      <c r="G691" s="1"/>
      <c r="H691" s="1"/>
      <c r="I691" s="1"/>
      <c r="J691" s="1"/>
      <c r="K691" s="1"/>
      <c r="M691" s="12">
        <v>713</v>
      </c>
      <c r="N691" s="12" t="s">
        <v>762</v>
      </c>
      <c r="O691" s="12">
        <v>262</v>
      </c>
      <c r="P691" s="12">
        <v>2</v>
      </c>
      <c r="Q691" s="12">
        <v>0</v>
      </c>
      <c r="R691" s="12">
        <v>0</v>
      </c>
      <c r="S691" s="12">
        <v>0</v>
      </c>
      <c r="T691" s="18">
        <v>0</v>
      </c>
      <c r="U691" s="18"/>
      <c r="V691">
        <f t="shared" si="23"/>
        <v>0</v>
      </c>
    </row>
    <row r="692" spans="1:22" x14ac:dyDescent="0.25">
      <c r="A692" t="s">
        <v>138</v>
      </c>
      <c r="B692" t="s">
        <v>740</v>
      </c>
      <c r="C692" s="1"/>
      <c r="D692" s="1"/>
      <c r="E692" s="1"/>
      <c r="F692" s="1"/>
      <c r="G692" s="1"/>
      <c r="H692" s="1"/>
      <c r="I692" s="1"/>
      <c r="J692" s="1"/>
      <c r="K692" s="1"/>
      <c r="M692" s="12" t="s">
        <v>815</v>
      </c>
      <c r="N692" s="12" t="s">
        <v>763</v>
      </c>
      <c r="O692" s="12">
        <v>14284</v>
      </c>
      <c r="P692" s="12">
        <v>53</v>
      </c>
      <c r="Q692" s="12">
        <v>0</v>
      </c>
      <c r="R692" s="12">
        <v>0</v>
      </c>
      <c r="S692" s="12">
        <v>0</v>
      </c>
      <c r="T692" s="18">
        <v>0</v>
      </c>
      <c r="U692" s="18"/>
      <c r="V692">
        <f t="shared" si="23"/>
        <v>0</v>
      </c>
    </row>
    <row r="693" spans="1:22" x14ac:dyDescent="0.25">
      <c r="A693" t="s">
        <v>134</v>
      </c>
      <c r="B693" t="s">
        <v>741</v>
      </c>
      <c r="C693" s="1">
        <v>1967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f>SUM(H693,I693)</f>
        <v>0</v>
      </c>
      <c r="K693" s="1"/>
      <c r="M693" s="10" t="s">
        <v>820</v>
      </c>
      <c r="N693" s="10" t="s">
        <v>764</v>
      </c>
      <c r="O693" s="10">
        <v>4437</v>
      </c>
      <c r="P693" s="10">
        <v>0</v>
      </c>
      <c r="Q693" s="10">
        <v>0</v>
      </c>
      <c r="R693" s="10">
        <v>0</v>
      </c>
      <c r="S693" s="10">
        <v>0</v>
      </c>
      <c r="T693" s="19">
        <v>0</v>
      </c>
      <c r="U693" s="19"/>
      <c r="V693">
        <f t="shared" si="23"/>
        <v>0</v>
      </c>
    </row>
    <row r="694" spans="1:22" x14ac:dyDescent="0.25">
      <c r="A694" t="s">
        <v>231</v>
      </c>
      <c r="B694" t="s">
        <v>742</v>
      </c>
      <c r="C694" s="1"/>
      <c r="D694" s="1"/>
      <c r="E694" s="1"/>
      <c r="F694" s="1"/>
      <c r="G694" s="1"/>
      <c r="H694" s="1"/>
      <c r="I694" s="1"/>
      <c r="J694" s="1"/>
      <c r="K694" s="1"/>
      <c r="M694" s="12">
        <v>113</v>
      </c>
      <c r="N694" s="12" t="s">
        <v>765</v>
      </c>
      <c r="O694" s="12">
        <v>5310</v>
      </c>
      <c r="P694" s="12">
        <v>21</v>
      </c>
      <c r="Q694" s="12">
        <v>0</v>
      </c>
      <c r="R694" s="12">
        <v>0</v>
      </c>
      <c r="S694" s="12">
        <v>0</v>
      </c>
      <c r="T694" s="18">
        <v>0</v>
      </c>
      <c r="U694" s="18"/>
      <c r="V694">
        <f t="shared" si="23"/>
        <v>0</v>
      </c>
    </row>
    <row r="695" spans="1:22" x14ac:dyDescent="0.25">
      <c r="A695" t="s">
        <v>83</v>
      </c>
      <c r="B695" t="s">
        <v>743</v>
      </c>
      <c r="C695" s="1"/>
      <c r="D695" s="1"/>
      <c r="E695" s="1"/>
      <c r="F695" s="1"/>
      <c r="G695" s="1"/>
      <c r="H695" s="1"/>
      <c r="I695" s="1"/>
      <c r="J695" s="1"/>
      <c r="K695" s="1"/>
      <c r="M695" s="10">
        <v>700</v>
      </c>
      <c r="N695" s="10" t="s">
        <v>766</v>
      </c>
      <c r="O695" s="10"/>
      <c r="P695" s="10"/>
      <c r="Q695" s="10"/>
      <c r="R695" s="10"/>
      <c r="S695" s="10"/>
      <c r="T695" s="19"/>
      <c r="U695" s="19"/>
      <c r="V695">
        <f t="shared" si="23"/>
        <v>0</v>
      </c>
    </row>
    <row r="696" spans="1:22" x14ac:dyDescent="0.25">
      <c r="A696" t="s">
        <v>826</v>
      </c>
      <c r="B696" t="s">
        <v>744</v>
      </c>
      <c r="C696" s="1"/>
      <c r="D696" s="1"/>
      <c r="E696" s="1"/>
      <c r="F696" s="1"/>
      <c r="G696" s="1"/>
      <c r="H696" s="1"/>
      <c r="I696" s="1"/>
      <c r="J696" s="1"/>
      <c r="K696" s="1"/>
      <c r="M696" s="12">
        <v>211</v>
      </c>
      <c r="N696" s="12" t="s">
        <v>767</v>
      </c>
      <c r="O696" s="12"/>
      <c r="P696" s="12"/>
      <c r="Q696" s="12"/>
      <c r="R696" s="12"/>
      <c r="S696" s="12"/>
      <c r="T696" s="18"/>
      <c r="U696" s="18"/>
      <c r="V696">
        <f t="shared" si="23"/>
        <v>0</v>
      </c>
    </row>
    <row r="697" spans="1:22" x14ac:dyDescent="0.25">
      <c r="A697" t="s">
        <v>811</v>
      </c>
      <c r="B697" t="s">
        <v>745</v>
      </c>
      <c r="C697" s="1"/>
      <c r="D697" s="1"/>
      <c r="E697" s="1"/>
      <c r="F697" s="1"/>
      <c r="G697" s="1"/>
      <c r="H697" s="1"/>
      <c r="I697" s="1"/>
      <c r="J697" s="1"/>
      <c r="K697" s="1"/>
      <c r="M697" s="10">
        <v>712</v>
      </c>
      <c r="N697" s="10" t="s">
        <v>768</v>
      </c>
      <c r="O697" s="10">
        <v>13446</v>
      </c>
      <c r="P697" s="10">
        <v>68</v>
      </c>
      <c r="Q697" s="10">
        <v>0</v>
      </c>
      <c r="R697" s="10">
        <v>0</v>
      </c>
      <c r="S697" s="10">
        <v>0</v>
      </c>
      <c r="T697" s="19">
        <v>0</v>
      </c>
      <c r="U697" s="19"/>
      <c r="V697">
        <f t="shared" si="23"/>
        <v>0</v>
      </c>
    </row>
    <row r="698" spans="1:22" x14ac:dyDescent="0.25">
      <c r="A698" t="s">
        <v>248</v>
      </c>
      <c r="B698" t="s">
        <v>746</v>
      </c>
      <c r="C698" s="1"/>
      <c r="D698" s="1"/>
      <c r="E698" s="1"/>
      <c r="F698" s="1"/>
      <c r="G698" s="1"/>
      <c r="H698" s="1"/>
      <c r="I698" s="1"/>
      <c r="J698" s="1"/>
      <c r="K698" s="1"/>
      <c r="M698" s="12">
        <v>511</v>
      </c>
      <c r="N698" s="12" t="s">
        <v>769</v>
      </c>
      <c r="O698" s="12">
        <v>9139</v>
      </c>
      <c r="P698" s="12">
        <v>0</v>
      </c>
      <c r="Q698" s="12">
        <v>0</v>
      </c>
      <c r="R698" s="12">
        <v>0</v>
      </c>
      <c r="S698" s="12">
        <v>0</v>
      </c>
      <c r="T698" s="18">
        <v>0</v>
      </c>
      <c r="U698" s="18"/>
      <c r="V698">
        <f t="shared" si="23"/>
        <v>0</v>
      </c>
    </row>
    <row r="699" spans="1:22" x14ac:dyDescent="0.25">
      <c r="A699" t="s">
        <v>801</v>
      </c>
      <c r="B699" t="s">
        <v>747</v>
      </c>
      <c r="C699" s="1">
        <f>2362+1</f>
        <v>2363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f>SUM(H699,I699)</f>
        <v>0</v>
      </c>
      <c r="K699" s="1"/>
      <c r="M699" s="10">
        <v>114</v>
      </c>
      <c r="N699" s="10" t="s">
        <v>770</v>
      </c>
      <c r="O699" s="10">
        <v>487</v>
      </c>
      <c r="P699" s="10">
        <v>1</v>
      </c>
      <c r="Q699" s="10">
        <v>0</v>
      </c>
      <c r="R699" s="10">
        <v>0</v>
      </c>
      <c r="S699" s="10">
        <v>0</v>
      </c>
      <c r="T699" s="19">
        <v>0</v>
      </c>
      <c r="U699" s="19"/>
      <c r="V699">
        <f t="shared" si="23"/>
        <v>0</v>
      </c>
    </row>
    <row r="700" spans="1:22" x14ac:dyDescent="0.25">
      <c r="A700" t="s">
        <v>809</v>
      </c>
      <c r="B700" t="s">
        <v>748</v>
      </c>
      <c r="C700" s="1">
        <f>2638+2+3+1+13</f>
        <v>2657</v>
      </c>
      <c r="D700" s="1">
        <v>98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f>SUM(H700,I700)</f>
        <v>0</v>
      </c>
      <c r="K700" s="1"/>
      <c r="M700" s="12">
        <v>313</v>
      </c>
      <c r="N700" s="12" t="s">
        <v>771</v>
      </c>
      <c r="O700" s="12">
        <v>2436</v>
      </c>
      <c r="P700" s="12">
        <v>0</v>
      </c>
      <c r="Q700" s="12">
        <v>0</v>
      </c>
      <c r="R700" s="12">
        <v>0</v>
      </c>
      <c r="S700" s="12">
        <v>0</v>
      </c>
      <c r="T700" s="18">
        <v>0</v>
      </c>
      <c r="U700" s="18"/>
      <c r="V700">
        <f t="shared" si="23"/>
        <v>0</v>
      </c>
    </row>
    <row r="701" spans="1:22" x14ac:dyDescent="0.25">
      <c r="A701" t="s">
        <v>823</v>
      </c>
      <c r="B701" t="s">
        <v>749</v>
      </c>
      <c r="C701" s="1">
        <f>21766+12+307</f>
        <v>22085</v>
      </c>
      <c r="D701" s="1">
        <f>2+9</f>
        <v>11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f>SUM(H701,I701)</f>
        <v>0</v>
      </c>
      <c r="K701" s="1"/>
      <c r="M701" s="10">
        <v>161</v>
      </c>
      <c r="N701" s="10" t="s">
        <v>772</v>
      </c>
      <c r="O701" s="10">
        <v>1961</v>
      </c>
      <c r="P701" s="10">
        <v>0</v>
      </c>
      <c r="Q701" s="10">
        <v>0</v>
      </c>
      <c r="R701" s="10">
        <v>0</v>
      </c>
      <c r="S701" s="10">
        <v>0</v>
      </c>
      <c r="T701" s="19">
        <v>0</v>
      </c>
      <c r="U701" s="19"/>
      <c r="V701">
        <f t="shared" si="23"/>
        <v>0</v>
      </c>
    </row>
    <row r="702" spans="1:22" x14ac:dyDescent="0.25">
      <c r="A702" t="s">
        <v>226</v>
      </c>
      <c r="B702" t="s">
        <v>750</v>
      </c>
      <c r="C702" s="1">
        <f>1123+5</f>
        <v>1128</v>
      </c>
      <c r="D702" s="1">
        <v>27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f>SUM(H702,I702)</f>
        <v>0</v>
      </c>
      <c r="K702" s="1"/>
      <c r="M702" s="12">
        <v>713</v>
      </c>
      <c r="N702" s="12" t="s">
        <v>773</v>
      </c>
      <c r="O702" s="12">
        <v>1437</v>
      </c>
      <c r="P702" s="12">
        <v>0</v>
      </c>
      <c r="Q702" s="12">
        <v>0</v>
      </c>
      <c r="R702" s="12">
        <v>0</v>
      </c>
      <c r="S702" s="12">
        <v>0</v>
      </c>
      <c r="T702" s="18">
        <v>0</v>
      </c>
      <c r="U702" s="18"/>
      <c r="V702">
        <f t="shared" si="23"/>
        <v>0</v>
      </c>
    </row>
    <row r="703" spans="1:22" x14ac:dyDescent="0.25">
      <c r="A703" t="s">
        <v>811</v>
      </c>
      <c r="B703" t="s">
        <v>751</v>
      </c>
      <c r="C703" s="1"/>
      <c r="D703" s="1"/>
      <c r="E703" s="1"/>
      <c r="F703" s="1"/>
      <c r="G703" s="1"/>
      <c r="H703" s="1"/>
      <c r="I703" s="1"/>
      <c r="J703" s="1"/>
      <c r="K703" s="1"/>
      <c r="M703" s="10">
        <v>120</v>
      </c>
      <c r="N703" s="10" t="s">
        <v>774</v>
      </c>
      <c r="O703" s="10"/>
      <c r="P703" s="10"/>
      <c r="Q703" s="10"/>
      <c r="R703" s="10"/>
      <c r="S703" s="10"/>
      <c r="T703" s="19"/>
      <c r="U703" s="19"/>
      <c r="V703">
        <f t="shared" si="23"/>
        <v>0</v>
      </c>
    </row>
    <row r="704" spans="1:22" x14ac:dyDescent="0.25">
      <c r="A704" t="s">
        <v>797</v>
      </c>
      <c r="B704" t="s">
        <v>752</v>
      </c>
      <c r="C704" s="1"/>
      <c r="D704" s="1"/>
      <c r="E704" s="1"/>
      <c r="F704" s="1"/>
      <c r="G704" s="1"/>
      <c r="H704" s="1"/>
      <c r="I704" s="1"/>
      <c r="J704" s="1"/>
      <c r="K704" s="1"/>
      <c r="M704" t="s">
        <v>805</v>
      </c>
      <c r="N704" t="s">
        <v>775</v>
      </c>
      <c r="O704" s="12"/>
      <c r="P704" s="12"/>
      <c r="Q704" s="12"/>
      <c r="R704" s="12"/>
      <c r="S704" s="12"/>
      <c r="T704" s="18"/>
      <c r="U704" s="18"/>
      <c r="V704">
        <f t="shared" si="23"/>
        <v>0</v>
      </c>
    </row>
    <row r="705" spans="1:22" x14ac:dyDescent="0.25">
      <c r="A705" t="s">
        <v>69</v>
      </c>
      <c r="B705" t="s">
        <v>753</v>
      </c>
      <c r="C705" s="1">
        <v>17217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f t="shared" ref="J705:J712" si="25">SUM(H705,I705)</f>
        <v>0</v>
      </c>
      <c r="K705" s="1"/>
      <c r="M705" t="s">
        <v>805</v>
      </c>
      <c r="N705" t="s">
        <v>776</v>
      </c>
      <c r="O705" s="12"/>
      <c r="P705" s="12"/>
      <c r="Q705" s="12"/>
      <c r="R705" s="12"/>
      <c r="S705" s="12"/>
      <c r="T705" s="18"/>
      <c r="U705" s="18"/>
      <c r="V705">
        <f t="shared" ref="V705:V706" si="26">SUM(T705:U705)</f>
        <v>0</v>
      </c>
    </row>
    <row r="706" spans="1:22" x14ac:dyDescent="0.25">
      <c r="A706" t="s">
        <v>824</v>
      </c>
      <c r="B706" t="s">
        <v>754</v>
      </c>
      <c r="C706" s="1">
        <f>3309+32</f>
        <v>3341</v>
      </c>
      <c r="D706" s="1">
        <v>20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f t="shared" si="25"/>
        <v>0</v>
      </c>
      <c r="K706" s="1"/>
      <c r="M706" t="s">
        <v>805</v>
      </c>
      <c r="N706" t="s">
        <v>777</v>
      </c>
      <c r="O706" s="12"/>
      <c r="P706" s="12"/>
      <c r="Q706" s="12"/>
      <c r="R706" s="12"/>
      <c r="S706" s="12"/>
      <c r="T706" s="18"/>
      <c r="U706" s="18"/>
      <c r="V706">
        <f t="shared" si="26"/>
        <v>0</v>
      </c>
    </row>
    <row r="707" spans="1:22" x14ac:dyDescent="0.25">
      <c r="A707" t="s">
        <v>817</v>
      </c>
      <c r="B707" t="s">
        <v>755</v>
      </c>
      <c r="C707" s="1">
        <f>25496+4+31+61+4+4</f>
        <v>25600</v>
      </c>
      <c r="D707" s="1">
        <f>30+5+3</f>
        <v>38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f t="shared" si="25"/>
        <v>0</v>
      </c>
      <c r="K707" s="1"/>
      <c r="L707" s="8"/>
    </row>
    <row r="708" spans="1:22" x14ac:dyDescent="0.25">
      <c r="A708" t="s">
        <v>794</v>
      </c>
      <c r="B708" t="s">
        <v>756</v>
      </c>
      <c r="C708" s="1">
        <f>12635+23+4</f>
        <v>12662</v>
      </c>
      <c r="D708" s="1">
        <v>75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f t="shared" si="25"/>
        <v>0</v>
      </c>
      <c r="K708" s="1"/>
    </row>
    <row r="709" spans="1:22" x14ac:dyDescent="0.25">
      <c r="A709" t="s">
        <v>120</v>
      </c>
      <c r="B709" t="s">
        <v>757</v>
      </c>
      <c r="C709" s="1">
        <f>13770+3+53+1+16</f>
        <v>13843</v>
      </c>
      <c r="D709" s="1">
        <v>40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f t="shared" si="25"/>
        <v>0</v>
      </c>
      <c r="K709" s="1"/>
    </row>
    <row r="710" spans="1:22" x14ac:dyDescent="0.25">
      <c r="A710" t="s">
        <v>788</v>
      </c>
      <c r="B710" t="s">
        <v>758</v>
      </c>
      <c r="C710" s="1">
        <f>8303+1111</f>
        <v>9414</v>
      </c>
      <c r="D710" s="1">
        <v>1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f t="shared" si="25"/>
        <v>0</v>
      </c>
      <c r="K710" s="1"/>
    </row>
    <row r="711" spans="1:22" x14ac:dyDescent="0.25">
      <c r="A711" t="s">
        <v>146</v>
      </c>
      <c r="B711" t="s">
        <v>759</v>
      </c>
      <c r="C711" s="1">
        <v>36150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f t="shared" si="25"/>
        <v>0</v>
      </c>
      <c r="K711" s="1"/>
    </row>
    <row r="712" spans="1:22" x14ac:dyDescent="0.25">
      <c r="A712" t="s">
        <v>795</v>
      </c>
      <c r="B712" t="s">
        <v>760</v>
      </c>
      <c r="C712" s="1">
        <v>22340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f t="shared" si="25"/>
        <v>0</v>
      </c>
      <c r="K712" s="1"/>
    </row>
    <row r="713" spans="1:22" x14ac:dyDescent="0.25">
      <c r="A713" t="s">
        <v>248</v>
      </c>
      <c r="B713" t="s">
        <v>761</v>
      </c>
      <c r="C713" s="1"/>
      <c r="D713" s="1"/>
      <c r="E713" s="1"/>
      <c r="F713" s="1"/>
      <c r="G713" s="1"/>
      <c r="H713" s="1"/>
      <c r="I713" s="1"/>
      <c r="J713" s="1"/>
      <c r="K713" s="1"/>
    </row>
    <row r="714" spans="1:22" x14ac:dyDescent="0.25">
      <c r="A714" t="s">
        <v>796</v>
      </c>
      <c r="B714" t="s">
        <v>762</v>
      </c>
      <c r="C714" s="1">
        <v>262</v>
      </c>
      <c r="D714" s="1">
        <v>2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f>SUM(H714,I714)</f>
        <v>0</v>
      </c>
      <c r="K714" s="1"/>
    </row>
    <row r="715" spans="1:22" x14ac:dyDescent="0.25">
      <c r="A715" t="s">
        <v>138</v>
      </c>
      <c r="B715" t="s">
        <v>763</v>
      </c>
      <c r="C715" s="1"/>
      <c r="D715" s="1"/>
      <c r="E715" s="1"/>
      <c r="F715" s="1"/>
      <c r="G715" s="1"/>
      <c r="H715" s="1"/>
      <c r="I715" s="1"/>
      <c r="J715" s="1"/>
      <c r="K715" s="1"/>
    </row>
    <row r="716" spans="1:22" x14ac:dyDescent="0.25">
      <c r="A716" t="s">
        <v>265</v>
      </c>
      <c r="B716" t="s">
        <v>764</v>
      </c>
      <c r="C716" s="1">
        <v>4437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f>SUM(H716,I716)</f>
        <v>0</v>
      </c>
      <c r="K716" s="1"/>
    </row>
    <row r="717" spans="1:22" x14ac:dyDescent="0.25">
      <c r="A717" t="s">
        <v>823</v>
      </c>
      <c r="B717" t="s">
        <v>765</v>
      </c>
      <c r="C717" s="1">
        <f>5290+18+2</f>
        <v>5310</v>
      </c>
      <c r="D717" s="1">
        <v>21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f>SUM(H717,I717)</f>
        <v>0</v>
      </c>
      <c r="K717" s="1"/>
    </row>
    <row r="718" spans="1:22" x14ac:dyDescent="0.25">
      <c r="A718" t="s">
        <v>83</v>
      </c>
      <c r="B718" t="s">
        <v>766</v>
      </c>
      <c r="C718" s="1"/>
      <c r="D718" s="1"/>
      <c r="E718" s="1"/>
      <c r="F718" s="1"/>
      <c r="G718" s="1"/>
      <c r="H718" s="1"/>
      <c r="I718" s="1"/>
      <c r="J718" s="1"/>
      <c r="K718" s="1"/>
    </row>
    <row r="719" spans="1:22" x14ac:dyDescent="0.25">
      <c r="A719" t="s">
        <v>864</v>
      </c>
      <c r="B719" t="s">
        <v>767</v>
      </c>
      <c r="C719" s="1"/>
      <c r="D719" s="1"/>
      <c r="E719" s="1"/>
      <c r="F719" s="1"/>
      <c r="G719" s="1"/>
      <c r="H719" s="1"/>
      <c r="I719" s="1"/>
      <c r="J719" s="1"/>
      <c r="K719" s="1"/>
    </row>
    <row r="720" spans="1:22" x14ac:dyDescent="0.25">
      <c r="A720" t="s">
        <v>76</v>
      </c>
      <c r="B720" t="s">
        <v>768</v>
      </c>
      <c r="C720" s="1">
        <f>13443+3</f>
        <v>13446</v>
      </c>
      <c r="D720" s="1">
        <f>66+2</f>
        <v>68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f>SUM(H720,I720)</f>
        <v>0</v>
      </c>
      <c r="K720" s="1"/>
    </row>
    <row r="721" spans="1:11" x14ac:dyDescent="0.25">
      <c r="A721" s="53" t="s">
        <v>101</v>
      </c>
      <c r="B721" s="55" t="s">
        <v>769</v>
      </c>
      <c r="C721" s="1">
        <v>9139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f>SUM(H721,I721)</f>
        <v>0</v>
      </c>
      <c r="K721" s="1"/>
    </row>
    <row r="722" spans="1:11" x14ac:dyDescent="0.25">
      <c r="A722" s="53" t="s">
        <v>831</v>
      </c>
      <c r="B722" s="55" t="s">
        <v>770</v>
      </c>
      <c r="C722" s="1">
        <v>487</v>
      </c>
      <c r="D722" s="1">
        <v>1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f>SUM(H722,I722)</f>
        <v>0</v>
      </c>
      <c r="K722" s="1"/>
    </row>
    <row r="723" spans="1:11" x14ac:dyDescent="0.25">
      <c r="A723" s="53" t="s">
        <v>512</v>
      </c>
      <c r="B723" s="55" t="s">
        <v>771</v>
      </c>
      <c r="C723" s="1">
        <v>2436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f>SUM(H723,I723)</f>
        <v>0</v>
      </c>
      <c r="K723" s="1"/>
    </row>
    <row r="724" spans="1:11" x14ac:dyDescent="0.25">
      <c r="A724" s="53" t="s">
        <v>848</v>
      </c>
      <c r="B724" s="55" t="s">
        <v>772</v>
      </c>
      <c r="C724" s="1"/>
      <c r="D724" s="1"/>
      <c r="E724" s="1"/>
      <c r="F724" s="1"/>
      <c r="G724" s="1"/>
      <c r="H724" s="1"/>
      <c r="I724" s="1"/>
      <c r="J724" s="1"/>
      <c r="K724" s="1"/>
    </row>
    <row r="725" spans="1:11" x14ac:dyDescent="0.25">
      <c r="A725" s="53" t="s">
        <v>796</v>
      </c>
      <c r="B725" s="55" t="s">
        <v>773</v>
      </c>
      <c r="C725" s="1">
        <v>1437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f>SUM(H725,I725)</f>
        <v>0</v>
      </c>
      <c r="K725" s="1"/>
    </row>
    <row r="726" spans="1:11" x14ac:dyDescent="0.25">
      <c r="A726" s="53" t="s">
        <v>826</v>
      </c>
      <c r="B726" s="55" t="s">
        <v>774</v>
      </c>
      <c r="C726" s="1"/>
      <c r="D726" s="1"/>
      <c r="E726" s="1"/>
      <c r="F726" s="1"/>
      <c r="G726" s="1"/>
      <c r="H726" s="1"/>
      <c r="I726" s="1"/>
      <c r="J726" s="1"/>
      <c r="K726" s="1"/>
    </row>
    <row r="727" spans="1:11" x14ac:dyDescent="0.25">
      <c r="A727" s="53" t="s">
        <v>805</v>
      </c>
      <c r="B727" s="55" t="s">
        <v>775</v>
      </c>
      <c r="C727" s="1"/>
      <c r="D727" s="1"/>
      <c r="E727" s="1"/>
      <c r="F727" s="1"/>
      <c r="G727" s="1"/>
      <c r="H727" s="1"/>
      <c r="I727" s="1"/>
      <c r="J727" s="1"/>
      <c r="K727" s="1"/>
    </row>
    <row r="728" spans="1:11" x14ac:dyDescent="0.25">
      <c r="A728" s="53" t="s">
        <v>805</v>
      </c>
      <c r="B728" s="55" t="s">
        <v>776</v>
      </c>
      <c r="C728" s="1"/>
      <c r="D728" s="1"/>
      <c r="E728" s="1"/>
      <c r="F728" s="1"/>
      <c r="G728" s="1"/>
      <c r="H728" s="1"/>
      <c r="I728" s="1"/>
      <c r="J728" s="1"/>
      <c r="K728" s="1"/>
    </row>
    <row r="729" spans="1:11" x14ac:dyDescent="0.25">
      <c r="A729" s="54" t="s">
        <v>805</v>
      </c>
      <c r="B729" s="56" t="s">
        <v>777</v>
      </c>
      <c r="C729" s="1"/>
      <c r="D729" s="1"/>
      <c r="E729" s="1"/>
      <c r="F729" s="1"/>
      <c r="G729" s="1"/>
      <c r="H729" s="1"/>
      <c r="I729" s="1"/>
      <c r="J729" s="1"/>
      <c r="K729" s="1"/>
    </row>
  </sheetData>
  <conditionalFormatting sqref="A709:B709">
    <cfRule type="expression" dxfId="101" priority="7">
      <formula>A709&lt;&gt;N709</formula>
    </cfRule>
  </conditionalFormatting>
  <conditionalFormatting sqref="A2:K729">
    <cfRule type="expression" dxfId="100" priority="9">
      <formula>A2&lt;&gt;M2</formula>
    </cfRule>
  </conditionalFormatting>
  <conditionalFormatting sqref="B709">
    <cfRule type="expression" dxfId="99" priority="6">
      <formula>B709&lt;&gt;#REF!</formula>
    </cfRule>
  </conditionalFormatting>
  <conditionalFormatting sqref="B721:B729">
    <cfRule type="expression" dxfId="98" priority="1">
      <formula>B721&lt;&gt;M721</formula>
    </cfRule>
  </conditionalFormatting>
  <conditionalFormatting sqref="B710:C710">
    <cfRule type="expression" dxfId="97" priority="4">
      <formula>B710&lt;&gt;#REF!</formula>
    </cfRule>
  </conditionalFormatting>
  <conditionalFormatting sqref="B712:C712">
    <cfRule type="expression" dxfId="96" priority="3">
      <formula>B712&lt;&gt;#REF!</formula>
    </cfRule>
  </conditionalFormatting>
  <conditionalFormatting sqref="M2:V706">
    <cfRule type="expression" dxfId="95" priority="8">
      <formula>M2&lt;&gt;A2</formula>
    </cfRule>
  </conditionalFormatting>
  <pageMargins left="0.7" right="0.7" top="0.75" bottom="0.75" header="0.3" footer="0.3"/>
  <pageSetup paperSize="9" orientation="portrait"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559B0876-7518-4A3E-830E-1638822F9013}">
            <xm:f>A721&lt;&gt;'202212 DICIEMBRE'!#REF!</xm:f>
            <x14:dxf>
              <fill>
                <patternFill>
                  <bgColor theme="7" tint="0.39994506668294322"/>
                </patternFill>
              </fill>
            </x14:dxf>
          </x14:cfRule>
          <xm:sqref>A721:B729</xm:sqref>
        </x14:conditionalFormatting>
        <x14:conditionalFormatting xmlns:xm="http://schemas.microsoft.com/office/excel/2006/main">
          <x14:cfRule type="expression" priority="5" id="{BB564C65-3C65-42B6-9F7C-A763D60DACB4}">
            <xm:f>A710&lt;&gt;'202210 OCTUBRE'!#REF!</xm:f>
            <x14:dxf>
              <fill>
                <patternFill>
                  <bgColor theme="7" tint="0.39994506668294322"/>
                </patternFill>
              </fill>
            </x14:dxf>
          </x14:cfRule>
          <xm:sqref>A710:I720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BD94D-11EA-4551-B657-B281D9492532}">
  <sheetPr>
    <tabColor rgb="FF92D050"/>
  </sheetPr>
  <dimension ref="A1:V729"/>
  <sheetViews>
    <sheetView topLeftCell="A21" workbookViewId="0">
      <selection activeCell="B1" sqref="B1"/>
    </sheetView>
  </sheetViews>
  <sheetFormatPr baseColWidth="10" defaultColWidth="11.42578125" defaultRowHeight="15" x14ac:dyDescent="0.25"/>
  <cols>
    <col min="1" max="1" width="11.85546875" bestFit="1" customWidth="1"/>
    <col min="2" max="2" width="14.42578125" bestFit="1" customWidth="1"/>
    <col min="3" max="3" width="12.5703125" bestFit="1" customWidth="1"/>
    <col min="4" max="4" width="12.7109375" bestFit="1" customWidth="1"/>
    <col min="5" max="5" width="9" bestFit="1" customWidth="1"/>
    <col min="6" max="6" width="16.140625" bestFit="1" customWidth="1"/>
    <col min="7" max="7" width="16.42578125" bestFit="1" customWidth="1"/>
    <col min="8" max="9" width="10.28515625" bestFit="1" customWidth="1"/>
    <col min="10" max="10" width="18" bestFit="1" customWidth="1"/>
    <col min="11" max="11" width="20.7109375" bestFit="1" customWidth="1"/>
    <col min="13" max="13" width="12.140625" bestFit="1" customWidth="1"/>
    <col min="14" max="14" width="14.42578125" bestFit="1" customWidth="1"/>
    <col min="15" max="15" width="12.5703125" bestFit="1" customWidth="1"/>
    <col min="16" max="16" width="12.7109375" bestFit="1" customWidth="1"/>
    <col min="17" max="17" width="9" bestFit="1" customWidth="1"/>
    <col min="18" max="18" width="16.140625" bestFit="1" customWidth="1"/>
    <col min="19" max="19" width="16.42578125" bestFit="1" customWidth="1"/>
    <col min="20" max="21" width="10.28515625" bestFit="1" customWidth="1"/>
    <col min="22" max="22" width="18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827</v>
      </c>
      <c r="K1" t="s">
        <v>9</v>
      </c>
      <c r="M1" s="20" t="s">
        <v>0</v>
      </c>
      <c r="N1" s="20" t="s">
        <v>1</v>
      </c>
      <c r="O1" s="20" t="s">
        <v>2</v>
      </c>
      <c r="P1" s="20" t="s">
        <v>3</v>
      </c>
      <c r="Q1" s="20" t="s">
        <v>4</v>
      </c>
      <c r="R1" s="20" t="s">
        <v>5</v>
      </c>
      <c r="S1" s="20" t="s">
        <v>6</v>
      </c>
      <c r="T1" s="20" t="s">
        <v>7</v>
      </c>
      <c r="U1" s="20" t="s">
        <v>8</v>
      </c>
      <c r="V1" s="20" t="s">
        <v>827</v>
      </c>
    </row>
    <row r="2" spans="1:22" x14ac:dyDescent="0.25">
      <c r="A2" t="s">
        <v>76</v>
      </c>
      <c r="B2" t="s">
        <v>11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29708</v>
      </c>
      <c r="I2" s="1">
        <v>0</v>
      </c>
      <c r="J2" s="1">
        <f>SUM(H2,I2)</f>
        <v>29708</v>
      </c>
      <c r="K2" s="1"/>
      <c r="M2">
        <v>712</v>
      </c>
      <c r="N2" t="s">
        <v>11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29708</v>
      </c>
      <c r="U2" s="1"/>
      <c r="V2" s="1">
        <f>SUM(T2:U2)</f>
        <v>29708</v>
      </c>
    </row>
    <row r="3" spans="1:22" x14ac:dyDescent="0.25">
      <c r="A3" s="2" t="s">
        <v>796</v>
      </c>
      <c r="B3" s="2" t="s">
        <v>12</v>
      </c>
      <c r="C3" s="3"/>
      <c r="D3" s="3"/>
      <c r="E3" s="3"/>
      <c r="F3" s="3"/>
      <c r="G3" s="3"/>
      <c r="H3" s="3"/>
      <c r="I3" s="3"/>
      <c r="J3" s="3"/>
      <c r="K3" s="3"/>
      <c r="M3" s="2">
        <v>713</v>
      </c>
      <c r="N3" s="2" t="s">
        <v>12</v>
      </c>
      <c r="O3" s="3"/>
      <c r="P3" s="3"/>
      <c r="Q3" s="3"/>
      <c r="R3" s="3"/>
      <c r="S3" s="3"/>
      <c r="T3" s="3"/>
      <c r="U3" s="3"/>
      <c r="V3" s="3"/>
    </row>
    <row r="4" spans="1:22" x14ac:dyDescent="0.25">
      <c r="A4" t="s">
        <v>76</v>
      </c>
      <c r="B4" t="s">
        <v>13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3564</v>
      </c>
      <c r="I4" s="1">
        <v>0</v>
      </c>
      <c r="J4" s="1">
        <f>SUM(H4,I4)</f>
        <v>3564</v>
      </c>
      <c r="K4" s="1"/>
      <c r="M4">
        <v>712</v>
      </c>
      <c r="N4" t="s">
        <v>13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3564</v>
      </c>
      <c r="U4" s="1"/>
      <c r="V4" s="1">
        <f t="shared" ref="V4:V69" si="0">SUM(T4:U4)</f>
        <v>3564</v>
      </c>
    </row>
    <row r="5" spans="1:22" x14ac:dyDescent="0.25">
      <c r="A5" t="s">
        <v>801</v>
      </c>
      <c r="B5" t="s">
        <v>14</v>
      </c>
      <c r="C5" s="1"/>
      <c r="D5" s="1"/>
      <c r="E5" s="1"/>
      <c r="F5" s="1"/>
      <c r="G5" s="1"/>
      <c r="H5" s="1"/>
      <c r="I5" s="1"/>
      <c r="J5" s="1"/>
      <c r="K5" s="1"/>
      <c r="M5">
        <v>711</v>
      </c>
      <c r="N5" t="s">
        <v>14</v>
      </c>
      <c r="O5" s="1"/>
      <c r="P5" s="1"/>
      <c r="Q5" s="1"/>
      <c r="R5" s="1"/>
      <c r="S5" s="1"/>
      <c r="T5" s="1"/>
      <c r="U5" s="1"/>
      <c r="V5" s="1"/>
    </row>
    <row r="6" spans="1:22" x14ac:dyDescent="0.25">
      <c r="A6" t="s">
        <v>826</v>
      </c>
      <c r="B6" t="s">
        <v>15</v>
      </c>
      <c r="C6" s="1"/>
      <c r="D6" s="1"/>
      <c r="E6" s="1"/>
      <c r="F6" s="1"/>
      <c r="G6" s="1"/>
      <c r="H6" s="1"/>
      <c r="I6" s="1"/>
      <c r="J6" s="1"/>
      <c r="K6" s="1"/>
      <c r="M6">
        <v>120</v>
      </c>
      <c r="N6" t="s">
        <v>15</v>
      </c>
      <c r="O6" s="1"/>
      <c r="P6" s="1"/>
      <c r="Q6" s="1"/>
      <c r="R6" s="1"/>
      <c r="S6" s="1"/>
      <c r="T6" s="1"/>
      <c r="U6" s="1"/>
      <c r="V6" s="1"/>
    </row>
    <row r="7" spans="1:22" x14ac:dyDescent="0.25">
      <c r="A7" t="s">
        <v>796</v>
      </c>
      <c r="B7" t="s">
        <v>16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1362</v>
      </c>
      <c r="I7" s="1">
        <v>0</v>
      </c>
      <c r="J7" s="3">
        <f>SUM(H7,I7)</f>
        <v>1362</v>
      </c>
      <c r="K7" s="1"/>
      <c r="M7">
        <v>713</v>
      </c>
      <c r="N7" t="s">
        <v>16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1362</v>
      </c>
      <c r="U7" s="1"/>
      <c r="V7" s="3">
        <f t="shared" si="0"/>
        <v>1362</v>
      </c>
    </row>
    <row r="8" spans="1:22" x14ac:dyDescent="0.25">
      <c r="A8" t="s">
        <v>83</v>
      </c>
      <c r="B8" t="s">
        <v>17</v>
      </c>
      <c r="C8" s="1"/>
      <c r="D8" s="1"/>
      <c r="E8" s="1"/>
      <c r="F8" s="1"/>
      <c r="G8" s="1"/>
      <c r="H8" s="1"/>
      <c r="I8" s="1"/>
      <c r="J8" s="1"/>
      <c r="K8" s="1"/>
      <c r="M8">
        <v>700</v>
      </c>
      <c r="N8" t="s">
        <v>17</v>
      </c>
      <c r="O8" s="1"/>
      <c r="P8" s="1"/>
      <c r="Q8" s="1"/>
      <c r="R8" s="1"/>
      <c r="S8" s="1"/>
      <c r="T8" s="1"/>
      <c r="U8" s="1"/>
      <c r="V8" s="1"/>
    </row>
    <row r="9" spans="1:22" x14ac:dyDescent="0.25">
      <c r="A9" t="s">
        <v>803</v>
      </c>
      <c r="B9" s="1" t="s">
        <v>18</v>
      </c>
      <c r="C9" s="1"/>
      <c r="D9" s="1"/>
      <c r="E9" s="1"/>
      <c r="F9" s="1"/>
      <c r="G9" s="1"/>
      <c r="H9" s="1"/>
      <c r="I9" s="1"/>
      <c r="J9" s="1"/>
      <c r="K9" s="1"/>
      <c r="M9">
        <v>712</v>
      </c>
      <c r="N9" t="s">
        <v>19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7538</v>
      </c>
      <c r="U9" s="1"/>
      <c r="V9" s="1">
        <f t="shared" si="0"/>
        <v>7538</v>
      </c>
    </row>
    <row r="10" spans="1:22" x14ac:dyDescent="0.25">
      <c r="A10" t="s">
        <v>76</v>
      </c>
      <c r="B10" t="s">
        <v>19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7538</v>
      </c>
      <c r="I10" s="1">
        <v>0</v>
      </c>
      <c r="J10" s="1">
        <f>SUM(H10,I10)</f>
        <v>7538</v>
      </c>
      <c r="K10" s="1"/>
      <c r="M10">
        <v>700</v>
      </c>
      <c r="N10" s="5" t="s">
        <v>20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543</v>
      </c>
      <c r="U10" s="6"/>
      <c r="V10" s="6">
        <f t="shared" si="0"/>
        <v>543</v>
      </c>
    </row>
    <row r="11" spans="1:22" x14ac:dyDescent="0.25">
      <c r="A11" t="s">
        <v>83</v>
      </c>
      <c r="B11" s="5" t="s">
        <v>20</v>
      </c>
      <c r="C11" s="6"/>
      <c r="D11" s="6"/>
      <c r="E11" s="6"/>
      <c r="F11" s="6"/>
      <c r="G11" s="6"/>
      <c r="H11" s="6"/>
      <c r="I11" s="6"/>
      <c r="J11" s="6"/>
      <c r="K11" s="6" t="s">
        <v>867</v>
      </c>
      <c r="M11">
        <v>600</v>
      </c>
      <c r="N11" t="s">
        <v>21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1221</v>
      </c>
      <c r="U11" s="1"/>
      <c r="V11" s="1">
        <f t="shared" si="0"/>
        <v>1221</v>
      </c>
    </row>
    <row r="12" spans="1:22" x14ac:dyDescent="0.25">
      <c r="A12" t="s">
        <v>248</v>
      </c>
      <c r="B12" t="s">
        <v>21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1221</v>
      </c>
      <c r="I12" s="1">
        <v>0</v>
      </c>
      <c r="J12" s="1">
        <f>SUM(H12,I12)</f>
        <v>1221</v>
      </c>
      <c r="K12" s="1"/>
      <c r="M12">
        <v>700</v>
      </c>
      <c r="N12" s="5" t="s">
        <v>22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1364</v>
      </c>
      <c r="U12" s="6"/>
      <c r="V12" s="6">
        <f t="shared" si="0"/>
        <v>1364</v>
      </c>
    </row>
    <row r="13" spans="1:22" x14ac:dyDescent="0.25">
      <c r="A13" t="s">
        <v>83</v>
      </c>
      <c r="B13" s="5" t="s">
        <v>22</v>
      </c>
      <c r="C13" s="6"/>
      <c r="D13" s="6"/>
      <c r="E13" s="6"/>
      <c r="F13" s="6"/>
      <c r="G13" s="6"/>
      <c r="H13" s="6"/>
      <c r="I13" s="6"/>
      <c r="J13" s="6"/>
      <c r="K13" s="6" t="s">
        <v>867</v>
      </c>
      <c r="M13" t="s">
        <v>801</v>
      </c>
      <c r="N13" t="s">
        <v>23</v>
      </c>
      <c r="O13" s="1"/>
      <c r="P13" s="1"/>
      <c r="Q13" s="1"/>
      <c r="R13" s="1"/>
      <c r="S13" s="1"/>
      <c r="T13" s="1"/>
      <c r="U13" s="1"/>
      <c r="V13" s="1"/>
    </row>
    <row r="14" spans="1:22" x14ac:dyDescent="0.25">
      <c r="A14" t="s">
        <v>801</v>
      </c>
      <c r="B14" t="s">
        <v>23</v>
      </c>
      <c r="C14" s="1"/>
      <c r="D14" s="1"/>
      <c r="E14" s="1"/>
      <c r="F14" s="1"/>
      <c r="G14" s="1"/>
      <c r="H14" s="1"/>
      <c r="I14" s="1"/>
      <c r="J14" s="1"/>
      <c r="K14" s="1"/>
      <c r="M14">
        <v>713</v>
      </c>
      <c r="N14" t="s">
        <v>24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28</v>
      </c>
      <c r="U14" s="1"/>
      <c r="V14" s="1">
        <f t="shared" si="0"/>
        <v>28</v>
      </c>
    </row>
    <row r="15" spans="1:22" x14ac:dyDescent="0.25">
      <c r="A15" t="s">
        <v>796</v>
      </c>
      <c r="B15" t="s">
        <v>24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28</v>
      </c>
      <c r="I15" s="1">
        <v>0</v>
      </c>
      <c r="J15" s="1">
        <f>SUM(H15,I15)</f>
        <v>28</v>
      </c>
      <c r="K15" s="1"/>
      <c r="M15" t="s">
        <v>804</v>
      </c>
      <c r="N15" t="s">
        <v>25</v>
      </c>
      <c r="O15" s="1"/>
      <c r="P15" s="1"/>
      <c r="Q15" s="1"/>
      <c r="R15" s="1"/>
      <c r="S15" s="1"/>
      <c r="T15" s="1"/>
      <c r="U15" s="1"/>
      <c r="V15" s="1"/>
    </row>
    <row r="16" spans="1:22" x14ac:dyDescent="0.25">
      <c r="A16" t="s">
        <v>804</v>
      </c>
      <c r="B16" t="s">
        <v>25</v>
      </c>
      <c r="C16" s="1"/>
      <c r="D16" s="1"/>
      <c r="E16" s="1"/>
      <c r="F16" s="1"/>
      <c r="G16" s="1"/>
      <c r="H16" s="1"/>
      <c r="I16" s="1"/>
      <c r="J16" s="1"/>
      <c r="K16" s="1"/>
      <c r="M16">
        <v>600</v>
      </c>
      <c r="N16" s="5" t="s">
        <v>26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12910</v>
      </c>
      <c r="U16" s="6"/>
      <c r="V16" s="6">
        <f t="shared" si="0"/>
        <v>12910</v>
      </c>
    </row>
    <row r="17" spans="1:22" x14ac:dyDescent="0.25">
      <c r="A17" t="s">
        <v>248</v>
      </c>
      <c r="B17" s="5" t="s">
        <v>26</v>
      </c>
      <c r="C17" s="6"/>
      <c r="D17" s="6"/>
      <c r="E17" s="6"/>
      <c r="F17" s="6"/>
      <c r="G17" s="6"/>
      <c r="H17" s="6"/>
      <c r="I17" s="6"/>
      <c r="J17" s="6"/>
      <c r="K17" s="6" t="s">
        <v>867</v>
      </c>
      <c r="M17" t="s">
        <v>805</v>
      </c>
      <c r="N17" t="s">
        <v>27</v>
      </c>
      <c r="O17" s="1"/>
      <c r="P17" s="1"/>
      <c r="Q17" s="1"/>
      <c r="R17" s="1"/>
      <c r="S17" s="1"/>
      <c r="T17" s="1"/>
      <c r="U17" s="1"/>
      <c r="V17" s="1"/>
    </row>
    <row r="18" spans="1:22" x14ac:dyDescent="0.25">
      <c r="A18" t="s">
        <v>805</v>
      </c>
      <c r="B18" t="s">
        <v>27</v>
      </c>
      <c r="C18" s="1"/>
      <c r="D18" s="1"/>
      <c r="E18" s="1"/>
      <c r="F18" s="1"/>
      <c r="G18" s="1"/>
      <c r="H18" s="1"/>
      <c r="I18" s="1"/>
      <c r="J18" s="1"/>
      <c r="K18" s="1"/>
      <c r="M18" t="s">
        <v>805</v>
      </c>
      <c r="N18" t="s">
        <v>28</v>
      </c>
      <c r="O18" s="1"/>
      <c r="P18" s="1"/>
      <c r="Q18" s="1"/>
      <c r="R18" s="1"/>
      <c r="S18" s="1"/>
      <c r="T18" s="1"/>
      <c r="U18" s="1"/>
      <c r="V18" s="1"/>
    </row>
    <row r="19" spans="1:22" x14ac:dyDescent="0.25">
      <c r="A19" t="s">
        <v>805</v>
      </c>
      <c r="B19" t="s">
        <v>28</v>
      </c>
      <c r="C19" s="1"/>
      <c r="D19" s="1"/>
      <c r="E19" s="1"/>
      <c r="F19" s="1"/>
      <c r="G19" s="1"/>
      <c r="H19" s="1"/>
      <c r="I19" s="1"/>
      <c r="J19" s="1"/>
      <c r="K19" s="1"/>
      <c r="M19" t="s">
        <v>805</v>
      </c>
      <c r="N19" t="s">
        <v>30</v>
      </c>
      <c r="O19" s="1"/>
      <c r="P19" s="1"/>
      <c r="Q19" s="1"/>
      <c r="R19" s="1"/>
      <c r="S19" s="1"/>
      <c r="T19" s="1"/>
      <c r="U19" s="1"/>
      <c r="V19" s="1"/>
    </row>
    <row r="20" spans="1:22" x14ac:dyDescent="0.25">
      <c r="A20" t="s">
        <v>806</v>
      </c>
      <c r="B20" t="s">
        <v>29</v>
      </c>
      <c r="C20" s="1"/>
      <c r="D20" s="1"/>
      <c r="E20" s="1"/>
      <c r="F20" s="1"/>
      <c r="G20" s="1"/>
      <c r="H20" s="1"/>
      <c r="I20" s="1"/>
      <c r="J20" s="1"/>
      <c r="K20" s="1"/>
      <c r="M20">
        <v>141</v>
      </c>
      <c r="N20" t="s">
        <v>32</v>
      </c>
      <c r="O20" s="1">
        <v>12818</v>
      </c>
      <c r="P20" s="1">
        <v>0</v>
      </c>
      <c r="Q20" s="1">
        <v>0</v>
      </c>
      <c r="R20" s="1">
        <v>0</v>
      </c>
      <c r="S20" s="1">
        <v>0</v>
      </c>
      <c r="T20" s="1">
        <v>8333</v>
      </c>
      <c r="U20" s="1"/>
      <c r="V20" s="1">
        <f t="shared" si="0"/>
        <v>8333</v>
      </c>
    </row>
    <row r="21" spans="1:22" x14ac:dyDescent="0.25">
      <c r="A21" t="s">
        <v>805</v>
      </c>
      <c r="B21" t="s">
        <v>30</v>
      </c>
      <c r="C21" s="1"/>
      <c r="D21" s="1"/>
      <c r="E21" s="1"/>
      <c r="F21" s="1"/>
      <c r="G21" s="1"/>
      <c r="H21" s="1"/>
      <c r="I21" s="1"/>
      <c r="J21" s="1"/>
      <c r="K21" s="1"/>
      <c r="M21">
        <v>148</v>
      </c>
      <c r="N21" t="s">
        <v>34</v>
      </c>
      <c r="O21" s="1">
        <v>3409</v>
      </c>
      <c r="P21" s="1">
        <v>32</v>
      </c>
      <c r="Q21" s="1">
        <v>0</v>
      </c>
      <c r="R21" s="1">
        <v>0</v>
      </c>
      <c r="S21" s="1">
        <v>0</v>
      </c>
      <c r="T21" s="1">
        <v>3104</v>
      </c>
      <c r="U21" s="1"/>
      <c r="V21" s="1">
        <f t="shared" si="0"/>
        <v>3104</v>
      </c>
    </row>
    <row r="22" spans="1:22" x14ac:dyDescent="0.25">
      <c r="A22" t="s">
        <v>829</v>
      </c>
      <c r="B22" t="s">
        <v>32</v>
      </c>
      <c r="C22" s="1">
        <f>10370+2448</f>
        <v>12818</v>
      </c>
      <c r="D22" s="1">
        <v>0</v>
      </c>
      <c r="E22" s="1">
        <v>0</v>
      </c>
      <c r="F22" s="1">
        <v>0</v>
      </c>
      <c r="G22" s="1">
        <v>0</v>
      </c>
      <c r="H22" s="1">
        <v>8333</v>
      </c>
      <c r="I22" s="1">
        <v>2109</v>
      </c>
      <c r="J22" s="1">
        <f t="shared" ref="J22:J31" si="1">SUM(H22,I22)</f>
        <v>10442</v>
      </c>
      <c r="K22" s="1"/>
      <c r="M22">
        <v>114</v>
      </c>
      <c r="N22" t="s">
        <v>35</v>
      </c>
      <c r="O22" s="1">
        <v>5226</v>
      </c>
      <c r="P22" s="1">
        <v>0</v>
      </c>
      <c r="Q22" s="1">
        <v>0</v>
      </c>
      <c r="R22" s="1">
        <v>0</v>
      </c>
      <c r="S22" s="1">
        <v>0</v>
      </c>
      <c r="T22" s="1">
        <v>1663</v>
      </c>
      <c r="U22" s="1"/>
      <c r="V22" s="1">
        <f t="shared" si="0"/>
        <v>1663</v>
      </c>
    </row>
    <row r="23" spans="1:22" x14ac:dyDescent="0.25">
      <c r="A23" t="s">
        <v>830</v>
      </c>
      <c r="B23" t="s">
        <v>34</v>
      </c>
      <c r="C23" s="1">
        <f>1200+83+2+2124</f>
        <v>3409</v>
      </c>
      <c r="D23" s="1">
        <f>31+1</f>
        <v>32</v>
      </c>
      <c r="E23" s="1">
        <v>0</v>
      </c>
      <c r="F23" s="1">
        <v>0</v>
      </c>
      <c r="G23" s="1">
        <v>0</v>
      </c>
      <c r="H23" s="1">
        <v>3104</v>
      </c>
      <c r="I23" s="1">
        <v>2197</v>
      </c>
      <c r="J23" s="1">
        <f t="shared" si="1"/>
        <v>5301</v>
      </c>
      <c r="K23" s="1"/>
      <c r="M23">
        <v>146</v>
      </c>
      <c r="N23" t="s">
        <v>37</v>
      </c>
      <c r="O23" s="1">
        <v>6687</v>
      </c>
      <c r="P23" s="1">
        <v>10</v>
      </c>
      <c r="Q23" s="1">
        <v>0</v>
      </c>
      <c r="R23" s="1">
        <v>0</v>
      </c>
      <c r="S23" s="1">
        <v>0</v>
      </c>
      <c r="T23" s="1">
        <v>3434</v>
      </c>
      <c r="U23" s="1"/>
      <c r="V23" s="1">
        <f t="shared" si="0"/>
        <v>3434</v>
      </c>
    </row>
    <row r="24" spans="1:22" x14ac:dyDescent="0.25">
      <c r="A24" t="s">
        <v>831</v>
      </c>
      <c r="B24" t="s">
        <v>35</v>
      </c>
      <c r="C24" s="1">
        <f>4306+920</f>
        <v>5226</v>
      </c>
      <c r="D24" s="1">
        <v>0</v>
      </c>
      <c r="E24" s="1">
        <v>0</v>
      </c>
      <c r="F24" s="1">
        <v>0</v>
      </c>
      <c r="G24" s="1">
        <v>0</v>
      </c>
      <c r="H24" s="1">
        <v>1663</v>
      </c>
      <c r="I24" s="1">
        <v>689</v>
      </c>
      <c r="J24" s="1">
        <f t="shared" si="1"/>
        <v>2352</v>
      </c>
      <c r="K24" s="1"/>
      <c r="M24">
        <v>145</v>
      </c>
      <c r="N24" t="s">
        <v>39</v>
      </c>
      <c r="O24" s="1">
        <v>3097</v>
      </c>
      <c r="P24" s="1">
        <v>0</v>
      </c>
      <c r="Q24" s="1">
        <v>0</v>
      </c>
      <c r="R24" s="1">
        <v>0</v>
      </c>
      <c r="S24" s="1">
        <v>0</v>
      </c>
      <c r="T24" s="1">
        <v>7748</v>
      </c>
      <c r="U24" s="1"/>
      <c r="V24" s="1">
        <f t="shared" si="0"/>
        <v>7748</v>
      </c>
    </row>
    <row r="25" spans="1:22" x14ac:dyDescent="0.25">
      <c r="A25" t="s">
        <v>832</v>
      </c>
      <c r="B25" t="s">
        <v>37</v>
      </c>
      <c r="C25" s="1">
        <f>5353+1334</f>
        <v>6687</v>
      </c>
      <c r="D25" s="1">
        <f>8+2</f>
        <v>10</v>
      </c>
      <c r="E25" s="1">
        <v>0</v>
      </c>
      <c r="F25" s="1">
        <v>0</v>
      </c>
      <c r="G25" s="1">
        <v>0</v>
      </c>
      <c r="H25" s="1">
        <v>3434</v>
      </c>
      <c r="I25" s="1">
        <v>1185</v>
      </c>
      <c r="J25" s="1">
        <f t="shared" si="1"/>
        <v>4619</v>
      </c>
      <c r="K25" s="1"/>
      <c r="M25">
        <v>125</v>
      </c>
      <c r="N25" t="s">
        <v>41</v>
      </c>
      <c r="O25" s="1">
        <v>14782</v>
      </c>
      <c r="P25" s="1">
        <v>40</v>
      </c>
      <c r="Q25" s="1">
        <v>0</v>
      </c>
      <c r="R25" s="1">
        <v>0</v>
      </c>
      <c r="S25" s="1">
        <v>0</v>
      </c>
      <c r="T25" s="1">
        <v>3808</v>
      </c>
      <c r="U25" s="1"/>
      <c r="V25" s="1">
        <f t="shared" si="0"/>
        <v>3808</v>
      </c>
    </row>
    <row r="26" spans="1:22" x14ac:dyDescent="0.25">
      <c r="A26" t="s">
        <v>833</v>
      </c>
      <c r="B26" t="s">
        <v>39</v>
      </c>
      <c r="C26" s="1">
        <f>1142+138+1817</f>
        <v>3097</v>
      </c>
      <c r="D26" s="1">
        <v>0</v>
      </c>
      <c r="E26" s="1">
        <v>0</v>
      </c>
      <c r="F26" s="1">
        <v>0</v>
      </c>
      <c r="G26" s="1">
        <v>0</v>
      </c>
      <c r="H26" s="1">
        <v>7748</v>
      </c>
      <c r="I26" s="1">
        <v>1645</v>
      </c>
      <c r="J26" s="1">
        <f t="shared" si="1"/>
        <v>9393</v>
      </c>
      <c r="K26" s="1"/>
      <c r="M26">
        <v>144</v>
      </c>
      <c r="N26" t="s">
        <v>42</v>
      </c>
      <c r="O26" s="1">
        <v>4479</v>
      </c>
      <c r="P26" s="1">
        <v>14</v>
      </c>
      <c r="Q26" s="1">
        <v>0</v>
      </c>
      <c r="R26" s="1">
        <v>0</v>
      </c>
      <c r="S26" s="1">
        <v>0</v>
      </c>
      <c r="T26" s="1">
        <v>2055</v>
      </c>
      <c r="U26" s="1"/>
      <c r="V26" s="1">
        <f t="shared" si="0"/>
        <v>2055</v>
      </c>
    </row>
    <row r="27" spans="1:22" x14ac:dyDescent="0.25">
      <c r="A27" t="s">
        <v>834</v>
      </c>
      <c r="B27" t="s">
        <v>41</v>
      </c>
      <c r="C27" s="1">
        <f>9105+147+5530</f>
        <v>14782</v>
      </c>
      <c r="D27" s="1">
        <f>6+4+30</f>
        <v>40</v>
      </c>
      <c r="E27" s="1">
        <v>0</v>
      </c>
      <c r="F27" s="1">
        <v>0</v>
      </c>
      <c r="G27" s="1">
        <v>0</v>
      </c>
      <c r="H27" s="1">
        <v>3808</v>
      </c>
      <c r="I27" s="1">
        <v>3526</v>
      </c>
      <c r="J27" s="1">
        <f t="shared" si="1"/>
        <v>7334</v>
      </c>
      <c r="K27" s="1"/>
      <c r="M27">
        <v>150</v>
      </c>
      <c r="N27" t="s">
        <v>44</v>
      </c>
      <c r="O27" s="1">
        <v>14859</v>
      </c>
      <c r="P27" s="1">
        <v>11</v>
      </c>
      <c r="Q27" s="1">
        <v>0</v>
      </c>
      <c r="R27" s="1">
        <v>0</v>
      </c>
      <c r="S27" s="1">
        <v>0</v>
      </c>
      <c r="T27" s="1">
        <v>6237</v>
      </c>
      <c r="U27" s="1"/>
      <c r="V27" s="1">
        <f t="shared" si="0"/>
        <v>6237</v>
      </c>
    </row>
    <row r="28" spans="1:22" x14ac:dyDescent="0.25">
      <c r="A28" t="s">
        <v>835</v>
      </c>
      <c r="B28" t="s">
        <v>42</v>
      </c>
      <c r="C28" s="1">
        <f>3273+1+1205</f>
        <v>4479</v>
      </c>
      <c r="D28" s="1">
        <f>10+4</f>
        <v>14</v>
      </c>
      <c r="E28" s="1">
        <v>0</v>
      </c>
      <c r="F28" s="1">
        <v>0</v>
      </c>
      <c r="G28" s="1">
        <v>0</v>
      </c>
      <c r="H28" s="1">
        <v>2055</v>
      </c>
      <c r="I28" s="1">
        <v>972</v>
      </c>
      <c r="J28" s="1">
        <f t="shared" si="1"/>
        <v>3027</v>
      </c>
      <c r="K28" s="1"/>
      <c r="M28">
        <v>140</v>
      </c>
      <c r="N28" t="s">
        <v>46</v>
      </c>
      <c r="O28" s="1">
        <v>4952</v>
      </c>
      <c r="P28" s="1">
        <v>0</v>
      </c>
      <c r="Q28" s="1">
        <v>0</v>
      </c>
      <c r="R28" s="1">
        <v>0</v>
      </c>
      <c r="S28" s="1">
        <v>0</v>
      </c>
      <c r="T28" s="1">
        <v>4065</v>
      </c>
      <c r="U28" s="1"/>
      <c r="V28" s="1">
        <f t="shared" si="0"/>
        <v>4065</v>
      </c>
    </row>
    <row r="29" spans="1:22" x14ac:dyDescent="0.25">
      <c r="A29" t="s">
        <v>836</v>
      </c>
      <c r="B29" t="s">
        <v>44</v>
      </c>
      <c r="C29" s="1">
        <f>9348+1401+6+1+3337+766</f>
        <v>14859</v>
      </c>
      <c r="D29" s="1">
        <f>3+4+4</f>
        <v>11</v>
      </c>
      <c r="E29" s="1">
        <v>0</v>
      </c>
      <c r="F29" s="1">
        <v>0</v>
      </c>
      <c r="G29" s="1">
        <v>0</v>
      </c>
      <c r="H29" s="1">
        <v>6237</v>
      </c>
      <c r="I29" s="1">
        <v>2926</v>
      </c>
      <c r="J29" s="1">
        <f t="shared" si="1"/>
        <v>9163</v>
      </c>
      <c r="K29" s="1"/>
      <c r="M29">
        <v>151</v>
      </c>
      <c r="N29" t="s">
        <v>48</v>
      </c>
      <c r="O29" s="1">
        <v>12000</v>
      </c>
      <c r="P29" s="1">
        <v>17</v>
      </c>
      <c r="Q29" s="1">
        <v>0</v>
      </c>
      <c r="R29" s="1">
        <v>0</v>
      </c>
      <c r="S29" s="1">
        <v>0</v>
      </c>
      <c r="T29" s="1">
        <v>5399</v>
      </c>
      <c r="U29" s="1"/>
      <c r="V29" s="1">
        <f t="shared" si="0"/>
        <v>5399</v>
      </c>
    </row>
    <row r="30" spans="1:22" x14ac:dyDescent="0.25">
      <c r="A30" t="s">
        <v>837</v>
      </c>
      <c r="B30" t="s">
        <v>46</v>
      </c>
      <c r="C30" s="1">
        <f>3937+1015</f>
        <v>4952</v>
      </c>
      <c r="D30" s="1">
        <v>0</v>
      </c>
      <c r="E30" s="1">
        <v>0</v>
      </c>
      <c r="F30" s="1">
        <v>0</v>
      </c>
      <c r="G30" s="1">
        <v>0</v>
      </c>
      <c r="H30" s="1">
        <v>4065</v>
      </c>
      <c r="I30" s="1">
        <v>813</v>
      </c>
      <c r="J30" s="1">
        <f t="shared" si="1"/>
        <v>4878</v>
      </c>
      <c r="K30" s="1"/>
      <c r="M30">
        <v>300</v>
      </c>
      <c r="N30" t="s">
        <v>49</v>
      </c>
      <c r="O30" s="1"/>
      <c r="P30" s="1"/>
      <c r="Q30" s="1"/>
      <c r="R30" s="1"/>
      <c r="S30" s="1"/>
      <c r="T30" s="1"/>
      <c r="U30" s="1"/>
      <c r="V30" s="1"/>
    </row>
    <row r="31" spans="1:22" x14ac:dyDescent="0.25">
      <c r="A31" t="s">
        <v>838</v>
      </c>
      <c r="B31" t="s">
        <v>48</v>
      </c>
      <c r="C31" s="1">
        <f>8540+11+3+3+16+3427</f>
        <v>12000</v>
      </c>
      <c r="D31" s="1">
        <f>9+3+5</f>
        <v>17</v>
      </c>
      <c r="E31" s="1">
        <v>0</v>
      </c>
      <c r="F31" s="1">
        <v>0</v>
      </c>
      <c r="G31" s="1">
        <v>0</v>
      </c>
      <c r="H31" s="1">
        <v>5399</v>
      </c>
      <c r="I31" s="1">
        <v>3041</v>
      </c>
      <c r="J31" s="1">
        <f t="shared" si="1"/>
        <v>8440</v>
      </c>
      <c r="K31" s="1"/>
      <c r="M31">
        <v>138</v>
      </c>
      <c r="N31" t="s">
        <v>51</v>
      </c>
      <c r="O31" s="1">
        <v>908</v>
      </c>
      <c r="P31" s="1">
        <v>0</v>
      </c>
      <c r="Q31" s="1">
        <v>0</v>
      </c>
      <c r="R31" s="1">
        <v>0</v>
      </c>
      <c r="S31" s="1">
        <v>0</v>
      </c>
      <c r="T31" s="1">
        <v>307</v>
      </c>
      <c r="U31" s="1"/>
      <c r="V31" s="1">
        <f t="shared" si="0"/>
        <v>307</v>
      </c>
    </row>
    <row r="32" spans="1:22" x14ac:dyDescent="0.25">
      <c r="A32" t="s">
        <v>839</v>
      </c>
      <c r="B32" t="s">
        <v>49</v>
      </c>
      <c r="C32" s="1"/>
      <c r="D32" s="1"/>
      <c r="E32" s="1"/>
      <c r="F32" s="1"/>
      <c r="G32" s="1"/>
      <c r="H32" s="1"/>
      <c r="I32" s="1"/>
      <c r="J32" s="1"/>
      <c r="K32" s="1"/>
      <c r="M32">
        <v>149</v>
      </c>
      <c r="N32" t="s">
        <v>53</v>
      </c>
      <c r="O32" s="1">
        <v>8916</v>
      </c>
      <c r="P32" s="1">
        <v>0</v>
      </c>
      <c r="Q32" s="1">
        <v>0</v>
      </c>
      <c r="R32" s="1">
        <v>0</v>
      </c>
      <c r="S32" s="1">
        <v>0</v>
      </c>
      <c r="T32" s="1">
        <v>5589</v>
      </c>
      <c r="U32" s="1"/>
      <c r="V32" s="1">
        <f t="shared" si="0"/>
        <v>5589</v>
      </c>
    </row>
    <row r="33" spans="1:22" x14ac:dyDescent="0.25">
      <c r="A33" t="s">
        <v>840</v>
      </c>
      <c r="B33" t="s">
        <v>51</v>
      </c>
      <c r="C33" s="1">
        <f>9+899</f>
        <v>908</v>
      </c>
      <c r="D33" s="1">
        <v>0</v>
      </c>
      <c r="E33" s="1">
        <v>0</v>
      </c>
      <c r="F33" s="1">
        <v>0</v>
      </c>
      <c r="G33" s="1">
        <v>0</v>
      </c>
      <c r="H33" s="1">
        <v>307</v>
      </c>
      <c r="I33" s="1">
        <v>353</v>
      </c>
      <c r="J33" s="1">
        <f t="shared" ref="J33:J41" si="2">SUM(H33,I33)</f>
        <v>660</v>
      </c>
      <c r="K33" s="1"/>
      <c r="M33">
        <v>142</v>
      </c>
      <c r="N33" t="s">
        <v>55</v>
      </c>
      <c r="O33" s="1">
        <v>14074</v>
      </c>
      <c r="P33" s="1">
        <v>22</v>
      </c>
      <c r="Q33" s="1">
        <v>0</v>
      </c>
      <c r="R33" s="1">
        <v>0</v>
      </c>
      <c r="S33" s="1">
        <v>0</v>
      </c>
      <c r="T33" s="1">
        <v>8951</v>
      </c>
      <c r="U33" s="1"/>
      <c r="V33" s="1">
        <f t="shared" si="0"/>
        <v>8951</v>
      </c>
    </row>
    <row r="34" spans="1:22" x14ac:dyDescent="0.25">
      <c r="A34" t="s">
        <v>841</v>
      </c>
      <c r="B34" t="s">
        <v>53</v>
      </c>
      <c r="C34" s="1">
        <f>3701+5215</f>
        <v>8916</v>
      </c>
      <c r="D34" s="1">
        <v>0</v>
      </c>
      <c r="E34" s="1">
        <v>0</v>
      </c>
      <c r="F34" s="1">
        <v>0</v>
      </c>
      <c r="G34" s="1">
        <v>0</v>
      </c>
      <c r="H34" s="1">
        <v>5589</v>
      </c>
      <c r="I34" s="1">
        <v>4009</v>
      </c>
      <c r="J34" s="1">
        <f t="shared" si="2"/>
        <v>9598</v>
      </c>
      <c r="K34" s="1"/>
      <c r="M34">
        <v>610</v>
      </c>
      <c r="N34" t="s">
        <v>56</v>
      </c>
      <c r="O34" s="1">
        <v>49665</v>
      </c>
      <c r="P34" s="1">
        <v>137</v>
      </c>
      <c r="Q34" s="1">
        <v>0</v>
      </c>
      <c r="R34" s="1">
        <v>0</v>
      </c>
      <c r="S34" s="1">
        <v>0</v>
      </c>
      <c r="T34" s="1">
        <v>11744</v>
      </c>
      <c r="U34" s="1"/>
      <c r="V34" s="1">
        <f t="shared" si="0"/>
        <v>11744</v>
      </c>
    </row>
    <row r="35" spans="1:22" x14ac:dyDescent="0.25">
      <c r="A35" t="s">
        <v>842</v>
      </c>
      <c r="B35" t="s">
        <v>55</v>
      </c>
      <c r="C35" s="1">
        <f>8957+5117</f>
        <v>14074</v>
      </c>
      <c r="D35" s="1">
        <f>5+17</f>
        <v>22</v>
      </c>
      <c r="E35" s="1">
        <v>0</v>
      </c>
      <c r="F35" s="1">
        <v>0</v>
      </c>
      <c r="G35" s="1">
        <v>0</v>
      </c>
      <c r="H35" s="1">
        <v>8951</v>
      </c>
      <c r="I35" s="1">
        <v>3959</v>
      </c>
      <c r="J35" s="1">
        <f t="shared" si="2"/>
        <v>12910</v>
      </c>
      <c r="K35" s="1"/>
      <c r="M35">
        <v>613</v>
      </c>
      <c r="N35" t="s">
        <v>57</v>
      </c>
      <c r="O35" s="1">
        <v>4965</v>
      </c>
      <c r="P35" s="1">
        <v>0</v>
      </c>
      <c r="Q35" s="1">
        <v>0</v>
      </c>
      <c r="R35" s="1">
        <v>0</v>
      </c>
      <c r="S35" s="1">
        <v>0</v>
      </c>
      <c r="T35" s="1">
        <v>1741</v>
      </c>
      <c r="U35" s="1"/>
      <c r="V35" s="1">
        <f t="shared" si="0"/>
        <v>1741</v>
      </c>
    </row>
    <row r="36" spans="1:22" x14ac:dyDescent="0.25">
      <c r="A36" t="s">
        <v>788</v>
      </c>
      <c r="B36" t="s">
        <v>56</v>
      </c>
      <c r="C36" s="1">
        <f>31910+1+1+2+3+17748</f>
        <v>49665</v>
      </c>
      <c r="D36" s="1">
        <f>51+85+1</f>
        <v>137</v>
      </c>
      <c r="E36" s="1">
        <v>0</v>
      </c>
      <c r="F36" s="1">
        <v>0</v>
      </c>
      <c r="G36" s="1">
        <v>0</v>
      </c>
      <c r="H36" s="1">
        <v>11744</v>
      </c>
      <c r="I36" s="1">
        <v>11175</v>
      </c>
      <c r="J36" s="1">
        <f t="shared" si="2"/>
        <v>22919</v>
      </c>
      <c r="K36" s="1"/>
      <c r="M36">
        <v>600</v>
      </c>
      <c r="N36" t="s">
        <v>58</v>
      </c>
      <c r="O36" s="1">
        <v>6137</v>
      </c>
      <c r="P36" s="1">
        <v>10</v>
      </c>
      <c r="Q36" s="1">
        <v>0</v>
      </c>
      <c r="R36" s="1">
        <v>0</v>
      </c>
      <c r="S36" s="1">
        <v>0</v>
      </c>
      <c r="T36" s="1">
        <v>4803</v>
      </c>
      <c r="U36" s="1"/>
      <c r="V36" s="1">
        <f t="shared" si="0"/>
        <v>4803</v>
      </c>
    </row>
    <row r="37" spans="1:22" x14ac:dyDescent="0.25">
      <c r="A37" t="s">
        <v>495</v>
      </c>
      <c r="B37" t="s">
        <v>57</v>
      </c>
      <c r="C37" s="1">
        <f>4643+322</f>
        <v>4965</v>
      </c>
      <c r="D37" s="1">
        <v>0</v>
      </c>
      <c r="E37" s="1">
        <v>0</v>
      </c>
      <c r="F37" s="1">
        <v>0</v>
      </c>
      <c r="G37" s="1">
        <v>0</v>
      </c>
      <c r="H37" s="1">
        <v>1741</v>
      </c>
      <c r="I37" s="1">
        <v>227</v>
      </c>
      <c r="J37" s="1">
        <f t="shared" si="2"/>
        <v>1968</v>
      </c>
      <c r="K37" s="1"/>
      <c r="M37">
        <v>139</v>
      </c>
      <c r="N37" t="s">
        <v>60</v>
      </c>
      <c r="O37" s="1">
        <v>3989</v>
      </c>
      <c r="P37" s="1">
        <v>0</v>
      </c>
      <c r="Q37" s="1">
        <v>0</v>
      </c>
      <c r="R37" s="1">
        <v>0</v>
      </c>
      <c r="S37" s="1">
        <v>0</v>
      </c>
      <c r="T37" s="1">
        <v>3182</v>
      </c>
      <c r="U37" s="1"/>
      <c r="V37" s="1">
        <f t="shared" si="0"/>
        <v>3182</v>
      </c>
    </row>
    <row r="38" spans="1:22" x14ac:dyDescent="0.25">
      <c r="A38" t="s">
        <v>248</v>
      </c>
      <c r="B38" t="s">
        <v>58</v>
      </c>
      <c r="C38" s="1">
        <f>4593+26+93+1425</f>
        <v>6137</v>
      </c>
      <c r="D38" s="1">
        <v>10</v>
      </c>
      <c r="E38" s="1">
        <v>0</v>
      </c>
      <c r="F38" s="1">
        <v>0</v>
      </c>
      <c r="G38" s="1">
        <v>0</v>
      </c>
      <c r="H38" s="1">
        <v>4803</v>
      </c>
      <c r="I38" s="1">
        <v>1229</v>
      </c>
      <c r="J38" s="1">
        <f t="shared" si="2"/>
        <v>6032</v>
      </c>
      <c r="K38" s="1"/>
      <c r="M38">
        <v>143</v>
      </c>
      <c r="N38" t="s">
        <v>62</v>
      </c>
      <c r="O38" s="1">
        <v>6585</v>
      </c>
      <c r="P38" s="1">
        <v>13</v>
      </c>
      <c r="Q38" s="1">
        <v>0</v>
      </c>
      <c r="R38" s="1">
        <v>0</v>
      </c>
      <c r="S38" s="1">
        <v>0</v>
      </c>
      <c r="T38" s="1">
        <v>5157</v>
      </c>
      <c r="U38" s="1"/>
      <c r="V38" s="1">
        <f t="shared" si="0"/>
        <v>5157</v>
      </c>
    </row>
    <row r="39" spans="1:22" x14ac:dyDescent="0.25">
      <c r="A39" t="s">
        <v>843</v>
      </c>
      <c r="B39" t="s">
        <v>60</v>
      </c>
      <c r="C39" s="1">
        <f>2601+1388</f>
        <v>3989</v>
      </c>
      <c r="D39" s="1">
        <v>0</v>
      </c>
      <c r="E39" s="1">
        <v>0</v>
      </c>
      <c r="F39" s="1">
        <v>0</v>
      </c>
      <c r="G39" s="1">
        <v>0</v>
      </c>
      <c r="H39" s="1">
        <v>3182</v>
      </c>
      <c r="I39" s="1">
        <v>1131</v>
      </c>
      <c r="J39" s="1">
        <f t="shared" si="2"/>
        <v>4313</v>
      </c>
      <c r="K39" s="1"/>
      <c r="M39">
        <v>147</v>
      </c>
      <c r="N39" t="s">
        <v>63</v>
      </c>
      <c r="O39" s="1">
        <v>19378</v>
      </c>
      <c r="P39" s="1">
        <v>141</v>
      </c>
      <c r="Q39" s="1">
        <v>0</v>
      </c>
      <c r="R39" s="1">
        <v>0</v>
      </c>
      <c r="S39" s="1">
        <v>0</v>
      </c>
      <c r="T39" s="1">
        <v>6968</v>
      </c>
      <c r="U39" s="1"/>
      <c r="V39" s="1">
        <f t="shared" si="0"/>
        <v>6968</v>
      </c>
    </row>
    <row r="40" spans="1:22" x14ac:dyDescent="0.25">
      <c r="A40" t="s">
        <v>844</v>
      </c>
      <c r="B40" t="s">
        <v>62</v>
      </c>
      <c r="C40" s="1">
        <f>4036+1+2548</f>
        <v>6585</v>
      </c>
      <c r="D40" s="1">
        <v>13</v>
      </c>
      <c r="E40" s="1">
        <v>0</v>
      </c>
      <c r="F40" s="1">
        <v>0</v>
      </c>
      <c r="G40" s="1">
        <v>0</v>
      </c>
      <c r="H40" s="1">
        <v>5157</v>
      </c>
      <c r="I40" s="1">
        <v>2039</v>
      </c>
      <c r="J40" s="1">
        <f t="shared" si="2"/>
        <v>7196</v>
      </c>
      <c r="K40" s="1"/>
      <c r="M40">
        <v>152</v>
      </c>
      <c r="N40" t="s">
        <v>64</v>
      </c>
      <c r="O40" s="1"/>
      <c r="P40" s="1"/>
      <c r="Q40" s="1"/>
      <c r="R40" s="1"/>
      <c r="S40" s="1"/>
      <c r="T40" s="1"/>
      <c r="U40" s="1"/>
      <c r="V40" s="1"/>
    </row>
    <row r="41" spans="1:22" x14ac:dyDescent="0.25">
      <c r="A41" t="s">
        <v>845</v>
      </c>
      <c r="B41" t="s">
        <v>63</v>
      </c>
      <c r="C41" s="1">
        <f>12751+1+2+995+3+2+22+8+36+17+1+5540</f>
        <v>19378</v>
      </c>
      <c r="D41" s="1">
        <f>28+58+39+9+5+2</f>
        <v>141</v>
      </c>
      <c r="E41" s="1">
        <v>0</v>
      </c>
      <c r="F41" s="1">
        <v>0</v>
      </c>
      <c r="G41" s="1">
        <v>0</v>
      </c>
      <c r="H41" s="1">
        <v>6968</v>
      </c>
      <c r="I41" s="1">
        <v>3662</v>
      </c>
      <c r="J41" s="1">
        <f t="shared" si="2"/>
        <v>10630</v>
      </c>
      <c r="K41" s="1"/>
      <c r="M41">
        <v>610</v>
      </c>
      <c r="N41" t="s">
        <v>65</v>
      </c>
      <c r="O41" s="1"/>
      <c r="P41" s="1"/>
      <c r="Q41" s="1"/>
      <c r="R41" s="1"/>
      <c r="S41" s="1"/>
      <c r="T41" s="1"/>
      <c r="U41" s="1"/>
      <c r="V41" s="1"/>
    </row>
    <row r="42" spans="1:22" x14ac:dyDescent="0.25">
      <c r="A42" t="s">
        <v>846</v>
      </c>
      <c r="B42" s="10" t="s">
        <v>64</v>
      </c>
      <c r="C42" s="1"/>
      <c r="D42" s="1"/>
      <c r="E42" s="1"/>
      <c r="F42" s="1"/>
      <c r="G42" s="1"/>
      <c r="H42" s="1"/>
      <c r="I42" s="1"/>
      <c r="J42" s="1"/>
      <c r="K42" s="1"/>
      <c r="M42">
        <v>712</v>
      </c>
      <c r="N42" s="10" t="s">
        <v>66</v>
      </c>
      <c r="O42" s="1">
        <v>4880</v>
      </c>
      <c r="P42" s="1">
        <v>25</v>
      </c>
      <c r="Q42" s="1">
        <v>0</v>
      </c>
      <c r="R42" s="1">
        <v>0</v>
      </c>
      <c r="S42" s="1">
        <v>0</v>
      </c>
      <c r="T42" s="1">
        <v>935</v>
      </c>
      <c r="U42" s="1"/>
      <c r="V42" s="1">
        <f t="shared" si="0"/>
        <v>935</v>
      </c>
    </row>
    <row r="43" spans="1:22" x14ac:dyDescent="0.25">
      <c r="A43" t="s">
        <v>788</v>
      </c>
      <c r="B43" t="s">
        <v>65</v>
      </c>
      <c r="C43" s="1"/>
      <c r="D43" s="1"/>
      <c r="E43" s="1"/>
      <c r="F43" s="1"/>
      <c r="G43" s="1"/>
      <c r="H43" s="1"/>
      <c r="I43" s="1"/>
      <c r="J43" s="1"/>
      <c r="K43" s="1"/>
      <c r="M43">
        <v>310</v>
      </c>
      <c r="N43" t="s">
        <v>68</v>
      </c>
      <c r="O43" s="1"/>
      <c r="P43" s="1"/>
      <c r="Q43" s="1"/>
      <c r="R43" s="1"/>
      <c r="S43" s="1"/>
      <c r="T43" s="1"/>
      <c r="U43" s="1"/>
      <c r="V43" s="1"/>
    </row>
    <row r="44" spans="1:22" x14ac:dyDescent="0.25">
      <c r="A44" t="s">
        <v>76</v>
      </c>
      <c r="B44" t="s">
        <v>66</v>
      </c>
      <c r="C44" s="1">
        <f>2996+12+1872</f>
        <v>4880</v>
      </c>
      <c r="D44" s="1">
        <f>24+1</f>
        <v>25</v>
      </c>
      <c r="E44" s="1">
        <v>0</v>
      </c>
      <c r="F44" s="1">
        <v>0</v>
      </c>
      <c r="G44" s="1">
        <v>0</v>
      </c>
      <c r="H44" s="1">
        <v>935</v>
      </c>
      <c r="I44" s="1">
        <v>1123</v>
      </c>
      <c r="J44" s="1">
        <f>SUM(H44,I44)</f>
        <v>2058</v>
      </c>
      <c r="K44" s="1"/>
      <c r="M44">
        <v>710</v>
      </c>
      <c r="N44" s="5" t="s">
        <v>70</v>
      </c>
      <c r="O44" s="6">
        <v>96323</v>
      </c>
      <c r="P44" s="6">
        <v>118</v>
      </c>
      <c r="Q44" s="6">
        <v>0</v>
      </c>
      <c r="R44" s="6">
        <v>0</v>
      </c>
      <c r="S44" s="6">
        <v>0</v>
      </c>
      <c r="T44" s="6">
        <v>85302</v>
      </c>
      <c r="U44" s="6"/>
      <c r="V44" s="6">
        <f t="shared" si="0"/>
        <v>85302</v>
      </c>
    </row>
    <row r="45" spans="1:22" x14ac:dyDescent="0.25">
      <c r="A45" t="s">
        <v>67</v>
      </c>
      <c r="B45" t="s">
        <v>68</v>
      </c>
      <c r="C45" s="1"/>
      <c r="D45" s="1"/>
      <c r="E45" s="1"/>
      <c r="F45" s="1"/>
      <c r="G45" s="1"/>
      <c r="H45" s="1"/>
      <c r="I45" s="1"/>
      <c r="J45" s="1"/>
      <c r="K45" s="1"/>
      <c r="M45">
        <v>712</v>
      </c>
      <c r="N45" s="23" t="s">
        <v>71</v>
      </c>
      <c r="O45" s="1"/>
      <c r="P45" s="1"/>
      <c r="Q45" s="1"/>
      <c r="R45" s="1"/>
      <c r="S45" s="1"/>
      <c r="T45" s="1"/>
      <c r="U45" s="1"/>
      <c r="V45" s="1"/>
    </row>
    <row r="46" spans="1:22" x14ac:dyDescent="0.25">
      <c r="A46" t="s">
        <v>76</v>
      </c>
      <c r="B46" s="5" t="s">
        <v>70</v>
      </c>
      <c r="C46" s="6"/>
      <c r="D46" s="6"/>
      <c r="E46" s="6"/>
      <c r="F46" s="6"/>
      <c r="G46" s="6"/>
      <c r="H46" s="6"/>
      <c r="I46" s="6"/>
      <c r="J46" s="6"/>
      <c r="K46" s="6" t="s">
        <v>867</v>
      </c>
      <c r="M46">
        <v>312</v>
      </c>
      <c r="N46" t="s">
        <v>73</v>
      </c>
      <c r="O46" s="1">
        <v>9211</v>
      </c>
      <c r="P46" s="1">
        <v>100</v>
      </c>
      <c r="Q46" s="1">
        <v>0</v>
      </c>
      <c r="R46" s="1">
        <v>0</v>
      </c>
      <c r="S46" s="1">
        <v>0</v>
      </c>
      <c r="T46" s="1">
        <v>7016</v>
      </c>
      <c r="U46" s="1"/>
      <c r="V46" s="1">
        <f t="shared" si="0"/>
        <v>7016</v>
      </c>
    </row>
    <row r="47" spans="1:22" x14ac:dyDescent="0.25">
      <c r="A47" t="s">
        <v>803</v>
      </c>
      <c r="B47" s="23" t="s">
        <v>71</v>
      </c>
      <c r="C47" s="1"/>
      <c r="D47" s="1"/>
      <c r="E47" s="1"/>
      <c r="F47" s="1"/>
      <c r="G47" s="1"/>
      <c r="H47" s="1"/>
      <c r="I47" s="1"/>
      <c r="J47" s="1"/>
      <c r="K47" s="1"/>
      <c r="M47" t="s">
        <v>808</v>
      </c>
      <c r="N47" t="s">
        <v>74</v>
      </c>
      <c r="O47" s="1">
        <v>17713</v>
      </c>
      <c r="P47" s="1">
        <v>124</v>
      </c>
      <c r="Q47" s="1">
        <v>0</v>
      </c>
      <c r="R47" s="1">
        <v>0</v>
      </c>
      <c r="S47" s="1">
        <v>0</v>
      </c>
      <c r="T47" s="1">
        <v>16330</v>
      </c>
      <c r="U47" s="1"/>
      <c r="V47" s="1">
        <f t="shared" si="0"/>
        <v>16330</v>
      </c>
    </row>
    <row r="48" spans="1:22" x14ac:dyDescent="0.25">
      <c r="A48" t="s">
        <v>72</v>
      </c>
      <c r="B48" t="s">
        <v>73</v>
      </c>
      <c r="C48" s="1">
        <f>7575+13+8+1615</f>
        <v>9211</v>
      </c>
      <c r="D48" s="1">
        <v>100</v>
      </c>
      <c r="E48" s="1">
        <v>0</v>
      </c>
      <c r="F48" s="1">
        <v>0</v>
      </c>
      <c r="G48" s="1">
        <v>0</v>
      </c>
      <c r="H48" s="1">
        <v>7016</v>
      </c>
      <c r="I48" s="1">
        <v>1482</v>
      </c>
      <c r="J48" s="1">
        <f>SUM(H48,I48)</f>
        <v>8498</v>
      </c>
      <c r="K48" s="1"/>
      <c r="M48">
        <v>611</v>
      </c>
      <c r="N48" t="s">
        <v>75</v>
      </c>
      <c r="O48" s="1">
        <v>9203</v>
      </c>
      <c r="P48" s="1">
        <v>9</v>
      </c>
      <c r="Q48" s="1">
        <v>0</v>
      </c>
      <c r="R48" s="1">
        <v>0</v>
      </c>
      <c r="S48" s="1">
        <v>0</v>
      </c>
      <c r="T48" s="1">
        <v>7428</v>
      </c>
      <c r="U48" s="1"/>
      <c r="V48" s="1">
        <f t="shared" si="0"/>
        <v>7428</v>
      </c>
    </row>
    <row r="49" spans="1:22" x14ac:dyDescent="0.25">
      <c r="A49" t="s">
        <v>809</v>
      </c>
      <c r="B49" t="s">
        <v>74</v>
      </c>
      <c r="C49" s="1">
        <f>16929+8+135+385+18+1+237+4135</f>
        <v>21848</v>
      </c>
      <c r="D49" s="1">
        <f>112+5+7</f>
        <v>124</v>
      </c>
      <c r="E49" s="1">
        <v>0</v>
      </c>
      <c r="F49" s="1">
        <v>0</v>
      </c>
      <c r="G49" s="1">
        <v>0</v>
      </c>
      <c r="H49" s="1">
        <v>16330</v>
      </c>
      <c r="I49" s="1">
        <v>2706</v>
      </c>
      <c r="J49" s="1">
        <f>SUM(H49,I49)</f>
        <v>19036</v>
      </c>
      <c r="K49" s="1"/>
      <c r="M49">
        <v>712</v>
      </c>
      <c r="N49" t="s">
        <v>77</v>
      </c>
      <c r="O49" s="1">
        <v>10201</v>
      </c>
      <c r="P49" s="1">
        <v>117</v>
      </c>
      <c r="Q49" s="1">
        <v>0</v>
      </c>
      <c r="R49" s="1">
        <v>0</v>
      </c>
      <c r="S49" s="1">
        <v>0</v>
      </c>
      <c r="T49" s="1">
        <v>3932</v>
      </c>
      <c r="U49" s="1"/>
      <c r="V49" s="1">
        <f t="shared" si="0"/>
        <v>3932</v>
      </c>
    </row>
    <row r="50" spans="1:22" x14ac:dyDescent="0.25">
      <c r="A50" t="s">
        <v>146</v>
      </c>
      <c r="B50" t="s">
        <v>75</v>
      </c>
      <c r="C50" s="1">
        <f>2939+6264</f>
        <v>9203</v>
      </c>
      <c r="D50" s="1">
        <f>3+6</f>
        <v>9</v>
      </c>
      <c r="E50" s="1">
        <v>0</v>
      </c>
      <c r="F50" s="1">
        <v>0</v>
      </c>
      <c r="G50" s="1">
        <v>0</v>
      </c>
      <c r="H50" s="1">
        <v>7428</v>
      </c>
      <c r="I50" s="1">
        <v>5986</v>
      </c>
      <c r="J50" s="1">
        <f>SUM(H50,I50)</f>
        <v>13414</v>
      </c>
      <c r="K50" s="1"/>
      <c r="M50">
        <v>711</v>
      </c>
      <c r="N50" t="s">
        <v>78</v>
      </c>
      <c r="O50" s="1"/>
      <c r="P50" s="1"/>
      <c r="Q50" s="1"/>
      <c r="R50" s="1"/>
      <c r="S50" s="1"/>
      <c r="T50" s="1"/>
      <c r="U50" s="1"/>
      <c r="V50" s="1"/>
    </row>
    <row r="51" spans="1:22" x14ac:dyDescent="0.25">
      <c r="A51" t="s">
        <v>76</v>
      </c>
      <c r="B51" t="s">
        <v>77</v>
      </c>
      <c r="C51" s="1">
        <f>6801+3400</f>
        <v>10201</v>
      </c>
      <c r="D51" s="1">
        <f>37+80</f>
        <v>117</v>
      </c>
      <c r="E51" s="1">
        <v>0</v>
      </c>
      <c r="F51" s="1">
        <v>0</v>
      </c>
      <c r="G51" s="1">
        <v>0</v>
      </c>
      <c r="H51" s="1">
        <v>3932</v>
      </c>
      <c r="I51" s="1">
        <v>2687</v>
      </c>
      <c r="J51" s="1">
        <f>SUM(H51,I51)</f>
        <v>6619</v>
      </c>
      <c r="K51" s="1"/>
      <c r="M51">
        <v>131</v>
      </c>
      <c r="N51" t="s">
        <v>79</v>
      </c>
      <c r="O51" s="1">
        <v>3576</v>
      </c>
      <c r="P51" s="1">
        <v>0</v>
      </c>
      <c r="Q51" s="1">
        <v>0</v>
      </c>
      <c r="R51" s="1">
        <v>0</v>
      </c>
      <c r="S51" s="1">
        <v>0</v>
      </c>
      <c r="T51" s="1">
        <v>610</v>
      </c>
      <c r="U51" s="1"/>
      <c r="V51" s="1">
        <f t="shared" si="0"/>
        <v>610</v>
      </c>
    </row>
    <row r="52" spans="1:22" x14ac:dyDescent="0.25">
      <c r="A52" t="s">
        <v>801</v>
      </c>
      <c r="B52" t="s">
        <v>78</v>
      </c>
      <c r="C52" s="1"/>
      <c r="D52" s="1"/>
      <c r="E52" s="1"/>
      <c r="F52" s="1"/>
      <c r="G52" s="1"/>
      <c r="H52" s="1"/>
      <c r="I52" s="1"/>
      <c r="J52" s="1"/>
      <c r="K52" s="1"/>
      <c r="M52">
        <v>300</v>
      </c>
      <c r="N52" s="5" t="s">
        <v>80</v>
      </c>
      <c r="O52" s="6">
        <v>4281</v>
      </c>
      <c r="P52" s="6">
        <v>7</v>
      </c>
      <c r="Q52" s="6">
        <v>0</v>
      </c>
      <c r="R52" s="6">
        <v>0</v>
      </c>
      <c r="S52" s="6">
        <v>0</v>
      </c>
      <c r="T52" s="6">
        <v>2127</v>
      </c>
      <c r="U52" s="6"/>
      <c r="V52" s="6">
        <f t="shared" si="0"/>
        <v>2127</v>
      </c>
    </row>
    <row r="53" spans="1:22" x14ac:dyDescent="0.25">
      <c r="A53" t="s">
        <v>847</v>
      </c>
      <c r="B53" t="s">
        <v>79</v>
      </c>
      <c r="C53" s="1">
        <f>3080+496</f>
        <v>3576</v>
      </c>
      <c r="D53" s="1">
        <v>0</v>
      </c>
      <c r="E53" s="1">
        <v>0</v>
      </c>
      <c r="F53" s="1">
        <v>0</v>
      </c>
      <c r="G53" s="1">
        <v>0</v>
      </c>
      <c r="H53" s="1">
        <v>610</v>
      </c>
      <c r="I53" s="1">
        <v>394</v>
      </c>
      <c r="J53" s="1">
        <f>SUM(H53,I53)</f>
        <v>1004</v>
      </c>
      <c r="K53" s="1"/>
      <c r="M53">
        <v>120</v>
      </c>
      <c r="N53" t="s">
        <v>81</v>
      </c>
      <c r="O53" s="1">
        <v>5591</v>
      </c>
      <c r="P53" s="1">
        <v>0</v>
      </c>
      <c r="Q53" s="1">
        <v>0</v>
      </c>
      <c r="R53" s="1">
        <v>0</v>
      </c>
      <c r="S53" s="1">
        <v>0</v>
      </c>
      <c r="T53" s="1">
        <v>1945</v>
      </c>
      <c r="U53" s="1"/>
      <c r="V53" s="1">
        <f t="shared" si="0"/>
        <v>1945</v>
      </c>
    </row>
    <row r="54" spans="1:22" x14ac:dyDescent="0.25">
      <c r="A54" t="s">
        <v>226</v>
      </c>
      <c r="B54" s="5" t="s">
        <v>80</v>
      </c>
      <c r="C54" s="6"/>
      <c r="D54" s="6"/>
      <c r="E54" s="6"/>
      <c r="F54" s="6"/>
      <c r="G54" s="6"/>
      <c r="H54" s="6"/>
      <c r="I54" s="6"/>
      <c r="J54" s="6"/>
      <c r="K54" s="6" t="s">
        <v>867</v>
      </c>
      <c r="M54">
        <v>712</v>
      </c>
      <c r="N54" t="s">
        <v>82</v>
      </c>
      <c r="O54" s="1">
        <v>32239</v>
      </c>
      <c r="P54" s="1">
        <v>200</v>
      </c>
      <c r="Q54" s="1">
        <v>0</v>
      </c>
      <c r="R54" s="1">
        <v>0</v>
      </c>
      <c r="S54" s="1">
        <v>0</v>
      </c>
      <c r="T54" s="1">
        <v>4244</v>
      </c>
      <c r="U54" s="1"/>
      <c r="V54" s="1">
        <f t="shared" si="0"/>
        <v>4244</v>
      </c>
    </row>
    <row r="55" spans="1:22" x14ac:dyDescent="0.25">
      <c r="A55" t="s">
        <v>826</v>
      </c>
      <c r="B55" t="s">
        <v>81</v>
      </c>
      <c r="C55" s="1">
        <f>4569+2+1+43+976</f>
        <v>5591</v>
      </c>
      <c r="D55" s="1">
        <v>0</v>
      </c>
      <c r="E55" s="1">
        <v>0</v>
      </c>
      <c r="F55" s="1">
        <v>0</v>
      </c>
      <c r="G55" s="1">
        <v>0</v>
      </c>
      <c r="H55" s="1">
        <v>1945</v>
      </c>
      <c r="I55" s="1">
        <v>858</v>
      </c>
      <c r="J55" s="1">
        <f t="shared" ref="J55:J79" si="3">SUM(H55,I55)</f>
        <v>2803</v>
      </c>
      <c r="K55" s="1"/>
      <c r="M55">
        <v>700</v>
      </c>
      <c r="N55" t="s">
        <v>84</v>
      </c>
      <c r="O55" s="1">
        <v>22831</v>
      </c>
      <c r="P55" s="1">
        <v>1</v>
      </c>
      <c r="Q55" s="1">
        <v>0</v>
      </c>
      <c r="R55" s="1">
        <v>0</v>
      </c>
      <c r="S55" s="1">
        <v>0</v>
      </c>
      <c r="T55" s="1">
        <v>19208</v>
      </c>
      <c r="U55" s="1"/>
      <c r="V55" s="1">
        <f t="shared" si="0"/>
        <v>19208</v>
      </c>
    </row>
    <row r="56" spans="1:22" x14ac:dyDescent="0.25">
      <c r="A56" t="s">
        <v>76</v>
      </c>
      <c r="B56" t="s">
        <v>82</v>
      </c>
      <c r="C56" s="1">
        <f>28495+1+9+3732+2</f>
        <v>32239</v>
      </c>
      <c r="D56" s="1">
        <f>128+66+16</f>
        <v>210</v>
      </c>
      <c r="E56" s="1">
        <v>0</v>
      </c>
      <c r="F56" s="1">
        <v>0</v>
      </c>
      <c r="G56" s="1">
        <v>0</v>
      </c>
      <c r="H56" s="1">
        <v>4244</v>
      </c>
      <c r="I56" s="1">
        <v>2544</v>
      </c>
      <c r="J56" s="1">
        <f t="shared" si="3"/>
        <v>6788</v>
      </c>
      <c r="K56" s="1"/>
      <c r="M56" t="s">
        <v>808</v>
      </c>
      <c r="N56" t="s">
        <v>85</v>
      </c>
      <c r="O56" s="1">
        <v>2600</v>
      </c>
      <c r="P56" s="1">
        <v>0</v>
      </c>
      <c r="Q56" s="1">
        <v>0</v>
      </c>
      <c r="R56" s="1">
        <v>0</v>
      </c>
      <c r="S56" s="1">
        <v>0</v>
      </c>
      <c r="T56" s="1">
        <v>1247</v>
      </c>
      <c r="U56" s="1"/>
      <c r="V56" s="1">
        <f t="shared" si="0"/>
        <v>1247</v>
      </c>
    </row>
    <row r="57" spans="1:22" x14ac:dyDescent="0.25">
      <c r="A57" t="s">
        <v>83</v>
      </c>
      <c r="B57" t="s">
        <v>84</v>
      </c>
      <c r="C57" s="1">
        <f>5442+17389</f>
        <v>22831</v>
      </c>
      <c r="D57" s="1">
        <v>1</v>
      </c>
      <c r="E57" s="1">
        <v>0</v>
      </c>
      <c r="F57" s="1">
        <v>0</v>
      </c>
      <c r="G57" s="1">
        <v>0</v>
      </c>
      <c r="H57" s="1">
        <v>19208</v>
      </c>
      <c r="I57" s="1">
        <v>17348</v>
      </c>
      <c r="J57" s="1">
        <f t="shared" si="3"/>
        <v>36556</v>
      </c>
      <c r="K57" s="1"/>
      <c r="M57">
        <v>111</v>
      </c>
      <c r="N57" t="s">
        <v>86</v>
      </c>
      <c r="O57" s="1">
        <v>33416</v>
      </c>
      <c r="P57" s="1">
        <v>5834</v>
      </c>
      <c r="Q57" s="1">
        <v>0</v>
      </c>
      <c r="R57" s="1">
        <v>0</v>
      </c>
      <c r="S57" s="1">
        <v>0</v>
      </c>
      <c r="T57" s="1">
        <v>2277</v>
      </c>
      <c r="U57" s="1"/>
      <c r="V57" s="1">
        <f t="shared" si="0"/>
        <v>2277</v>
      </c>
    </row>
    <row r="58" spans="1:22" x14ac:dyDescent="0.25">
      <c r="A58" t="s">
        <v>809</v>
      </c>
      <c r="B58" t="s">
        <v>85</v>
      </c>
      <c r="C58" s="1">
        <f>2160+1+1+26+412</f>
        <v>2600</v>
      </c>
      <c r="D58" s="1">
        <v>0</v>
      </c>
      <c r="E58" s="1">
        <v>0</v>
      </c>
      <c r="F58" s="1">
        <v>0</v>
      </c>
      <c r="G58" s="1">
        <v>0</v>
      </c>
      <c r="H58" s="1">
        <v>1247</v>
      </c>
      <c r="I58" s="1">
        <v>404</v>
      </c>
      <c r="J58" s="1">
        <f t="shared" si="3"/>
        <v>1651</v>
      </c>
      <c r="K58" s="1"/>
      <c r="M58">
        <v>111</v>
      </c>
      <c r="N58" t="s">
        <v>87</v>
      </c>
      <c r="O58" s="1">
        <v>12755</v>
      </c>
      <c r="P58" s="1">
        <v>1616</v>
      </c>
      <c r="Q58" s="1">
        <v>0</v>
      </c>
      <c r="R58" s="1">
        <v>0</v>
      </c>
      <c r="S58" s="1">
        <v>0</v>
      </c>
      <c r="T58" s="1">
        <v>3121</v>
      </c>
      <c r="U58" s="1"/>
      <c r="V58" s="1">
        <f t="shared" si="0"/>
        <v>3121</v>
      </c>
    </row>
    <row r="59" spans="1:22" x14ac:dyDescent="0.25">
      <c r="A59" t="s">
        <v>811</v>
      </c>
      <c r="B59" t="s">
        <v>86</v>
      </c>
      <c r="C59" s="1">
        <f>14812+43+6+200+18355</f>
        <v>33416</v>
      </c>
      <c r="D59" s="1">
        <f>843+28+10+644+4251+58</f>
        <v>5834</v>
      </c>
      <c r="E59" s="1">
        <v>0</v>
      </c>
      <c r="F59" s="1">
        <v>0</v>
      </c>
      <c r="G59" s="1">
        <v>0</v>
      </c>
      <c r="H59" s="1">
        <v>2277</v>
      </c>
      <c r="I59" s="1">
        <v>16904</v>
      </c>
      <c r="J59" s="1">
        <f t="shared" si="3"/>
        <v>19181</v>
      </c>
      <c r="K59" s="1"/>
      <c r="M59">
        <v>100</v>
      </c>
      <c r="N59" t="s">
        <v>88</v>
      </c>
      <c r="O59" s="1">
        <v>9500</v>
      </c>
      <c r="P59" s="1">
        <v>442</v>
      </c>
      <c r="Q59" s="1">
        <v>0</v>
      </c>
      <c r="R59" s="1">
        <v>0</v>
      </c>
      <c r="S59" s="1">
        <v>0</v>
      </c>
      <c r="T59" s="1">
        <v>1691</v>
      </c>
      <c r="U59" s="1"/>
      <c r="V59" s="1">
        <f t="shared" si="0"/>
        <v>1691</v>
      </c>
    </row>
    <row r="60" spans="1:22" x14ac:dyDescent="0.25">
      <c r="A60" t="s">
        <v>811</v>
      </c>
      <c r="B60" t="s">
        <v>87</v>
      </c>
      <c r="C60" s="1">
        <f>8867+1+7+10+36+8+259+17+1+1+6+243+3299</f>
        <v>12755</v>
      </c>
      <c r="D60" s="1">
        <f>393+1171+52</f>
        <v>1616</v>
      </c>
      <c r="E60" s="1">
        <v>0</v>
      </c>
      <c r="F60" s="1">
        <v>0</v>
      </c>
      <c r="G60" s="1">
        <v>0</v>
      </c>
      <c r="H60" s="1">
        <v>3121</v>
      </c>
      <c r="I60" s="1">
        <v>3996</v>
      </c>
      <c r="J60" s="1">
        <f t="shared" si="3"/>
        <v>7117</v>
      </c>
      <c r="K60" s="1"/>
      <c r="M60" t="s">
        <v>808</v>
      </c>
      <c r="N60" t="s">
        <v>89</v>
      </c>
      <c r="O60" s="1">
        <v>712</v>
      </c>
      <c r="P60" s="1">
        <v>23</v>
      </c>
      <c r="Q60" s="1">
        <v>0</v>
      </c>
      <c r="R60" s="1">
        <v>0</v>
      </c>
      <c r="S60" s="1">
        <v>0</v>
      </c>
      <c r="T60" s="1">
        <v>2051</v>
      </c>
      <c r="U60" s="1"/>
      <c r="V60" s="1">
        <f t="shared" si="0"/>
        <v>2051</v>
      </c>
    </row>
    <row r="61" spans="1:22" x14ac:dyDescent="0.25">
      <c r="A61" t="s">
        <v>791</v>
      </c>
      <c r="B61" t="s">
        <v>88</v>
      </c>
      <c r="C61" s="1">
        <f>5978+10+18+3494</f>
        <v>9500</v>
      </c>
      <c r="D61" s="1">
        <f>337+25+80</f>
        <v>442</v>
      </c>
      <c r="E61" s="1">
        <v>0</v>
      </c>
      <c r="F61" s="1">
        <v>0</v>
      </c>
      <c r="G61" s="1">
        <v>0</v>
      </c>
      <c r="H61" s="1">
        <v>1691</v>
      </c>
      <c r="I61" s="1">
        <v>3367</v>
      </c>
      <c r="J61" s="1">
        <f t="shared" si="3"/>
        <v>5058</v>
      </c>
      <c r="K61" s="1"/>
      <c r="M61">
        <v>161</v>
      </c>
      <c r="N61" t="s">
        <v>90</v>
      </c>
      <c r="O61" s="1">
        <v>23453</v>
      </c>
      <c r="P61" s="1">
        <v>80</v>
      </c>
      <c r="Q61" s="1">
        <v>0</v>
      </c>
      <c r="R61" s="1">
        <v>0</v>
      </c>
      <c r="S61" s="1">
        <v>0</v>
      </c>
      <c r="T61" s="1">
        <v>4283</v>
      </c>
      <c r="U61" s="1"/>
      <c r="V61" s="1">
        <f t="shared" si="0"/>
        <v>4283</v>
      </c>
    </row>
    <row r="62" spans="1:22" x14ac:dyDescent="0.25">
      <c r="A62" t="s">
        <v>809</v>
      </c>
      <c r="B62" t="s">
        <v>89</v>
      </c>
      <c r="C62" s="1">
        <f>604+2+106</f>
        <v>712</v>
      </c>
      <c r="D62" s="1">
        <v>23</v>
      </c>
      <c r="E62" s="1">
        <v>0</v>
      </c>
      <c r="F62" s="1">
        <v>0</v>
      </c>
      <c r="G62" s="1">
        <v>0</v>
      </c>
      <c r="H62" s="1">
        <v>2051</v>
      </c>
      <c r="I62" s="1">
        <v>131</v>
      </c>
      <c r="J62" s="1">
        <f t="shared" si="3"/>
        <v>2182</v>
      </c>
      <c r="K62" s="1"/>
      <c r="M62">
        <v>111</v>
      </c>
      <c r="N62" t="s">
        <v>91</v>
      </c>
      <c r="O62" s="1">
        <v>105189</v>
      </c>
      <c r="P62" s="1">
        <v>2074</v>
      </c>
      <c r="Q62" s="1">
        <v>0</v>
      </c>
      <c r="R62" s="1">
        <v>0</v>
      </c>
      <c r="S62" s="1">
        <v>0</v>
      </c>
      <c r="T62" s="1">
        <v>34710</v>
      </c>
      <c r="U62" s="1"/>
      <c r="V62" s="1">
        <f t="shared" si="0"/>
        <v>34710</v>
      </c>
    </row>
    <row r="63" spans="1:22" x14ac:dyDescent="0.25">
      <c r="A63" t="s">
        <v>848</v>
      </c>
      <c r="B63" t="s">
        <v>90</v>
      </c>
      <c r="C63" s="1">
        <f>10169+54+67+1+59+13103</f>
        <v>23453</v>
      </c>
      <c r="D63" s="1">
        <f>8+72</f>
        <v>80</v>
      </c>
      <c r="E63" s="1">
        <v>0</v>
      </c>
      <c r="F63" s="1">
        <v>0</v>
      </c>
      <c r="G63" s="1">
        <v>0</v>
      </c>
      <c r="H63" s="1">
        <v>4283</v>
      </c>
      <c r="I63" s="1">
        <v>12621</v>
      </c>
      <c r="J63" s="1">
        <f t="shared" si="3"/>
        <v>16904</v>
      </c>
      <c r="K63" s="1"/>
      <c r="M63">
        <v>120</v>
      </c>
      <c r="N63" t="s">
        <v>92</v>
      </c>
      <c r="O63" s="1">
        <v>28118</v>
      </c>
      <c r="P63" s="1">
        <v>337</v>
      </c>
      <c r="Q63" s="1">
        <v>0</v>
      </c>
      <c r="R63" s="1">
        <v>0</v>
      </c>
      <c r="S63" s="1">
        <v>0</v>
      </c>
      <c r="T63" s="1">
        <v>2106</v>
      </c>
      <c r="U63" s="1"/>
      <c r="V63" s="1">
        <f t="shared" si="0"/>
        <v>2106</v>
      </c>
    </row>
    <row r="64" spans="1:22" x14ac:dyDescent="0.25">
      <c r="A64" t="s">
        <v>811</v>
      </c>
      <c r="B64" t="s">
        <v>91</v>
      </c>
      <c r="C64" s="1">
        <f>35038+253+2+2+69894</f>
        <v>105189</v>
      </c>
      <c r="D64" s="1">
        <f>1002+1+37+947+87</f>
        <v>2074</v>
      </c>
      <c r="E64" s="1">
        <v>0</v>
      </c>
      <c r="F64" s="1">
        <v>0</v>
      </c>
      <c r="G64" s="1">
        <v>0</v>
      </c>
      <c r="H64" s="1">
        <v>34710</v>
      </c>
      <c r="I64" s="1">
        <v>55643</v>
      </c>
      <c r="J64" s="1">
        <f t="shared" si="3"/>
        <v>90353</v>
      </c>
      <c r="K64" s="1"/>
      <c r="M64">
        <v>132</v>
      </c>
      <c r="N64" t="s">
        <v>93</v>
      </c>
      <c r="O64" s="1">
        <v>2591</v>
      </c>
      <c r="P64" s="1">
        <v>2</v>
      </c>
      <c r="Q64" s="1">
        <v>0</v>
      </c>
      <c r="R64" s="1">
        <v>0</v>
      </c>
      <c r="S64" s="1">
        <v>0</v>
      </c>
      <c r="T64" s="1">
        <v>1604</v>
      </c>
      <c r="U64" s="1"/>
      <c r="V64" s="1">
        <f t="shared" si="0"/>
        <v>1604</v>
      </c>
    </row>
    <row r="65" spans="1:22" x14ac:dyDescent="0.25">
      <c r="A65" t="s">
        <v>826</v>
      </c>
      <c r="B65" t="s">
        <v>92</v>
      </c>
      <c r="C65" s="1">
        <f>25144+2+1+12+534+2425</f>
        <v>28118</v>
      </c>
      <c r="D65" s="1">
        <f>192+43+35+66+1</f>
        <v>337</v>
      </c>
      <c r="E65" s="1">
        <v>0</v>
      </c>
      <c r="F65" s="1">
        <v>0</v>
      </c>
      <c r="G65" s="1">
        <v>0</v>
      </c>
      <c r="H65" s="1">
        <v>2106</v>
      </c>
      <c r="I65" s="1">
        <v>2179</v>
      </c>
      <c r="J65" s="1">
        <f t="shared" si="3"/>
        <v>4285</v>
      </c>
      <c r="K65" s="1"/>
      <c r="M65">
        <v>100</v>
      </c>
      <c r="N65" t="s">
        <v>94</v>
      </c>
      <c r="O65" s="1">
        <v>6791</v>
      </c>
      <c r="P65" s="1">
        <v>12</v>
      </c>
      <c r="Q65" s="1">
        <v>0</v>
      </c>
      <c r="R65" s="1">
        <v>0</v>
      </c>
      <c r="S65" s="1">
        <v>0</v>
      </c>
      <c r="T65" s="1">
        <v>3219</v>
      </c>
      <c r="U65" s="1"/>
      <c r="V65" s="1">
        <f t="shared" si="0"/>
        <v>3219</v>
      </c>
    </row>
    <row r="66" spans="1:22" x14ac:dyDescent="0.25">
      <c r="A66" t="s">
        <v>849</v>
      </c>
      <c r="B66" t="s">
        <v>93</v>
      </c>
      <c r="C66" s="1">
        <f>1382+7+54+1148</f>
        <v>2591</v>
      </c>
      <c r="D66" s="1">
        <v>2</v>
      </c>
      <c r="E66" s="1">
        <v>0</v>
      </c>
      <c r="F66" s="1">
        <v>0</v>
      </c>
      <c r="G66" s="1">
        <v>0</v>
      </c>
      <c r="H66" s="1">
        <v>1604</v>
      </c>
      <c r="I66" s="1">
        <v>1007</v>
      </c>
      <c r="J66" s="1">
        <f t="shared" si="3"/>
        <v>2611</v>
      </c>
      <c r="K66" s="1"/>
      <c r="M66">
        <v>161</v>
      </c>
      <c r="N66" t="s">
        <v>95</v>
      </c>
      <c r="O66" s="1">
        <v>1424</v>
      </c>
      <c r="P66" s="1">
        <v>22</v>
      </c>
      <c r="Q66" s="1">
        <v>0</v>
      </c>
      <c r="R66" s="1">
        <v>0</v>
      </c>
      <c r="S66" s="1">
        <v>0</v>
      </c>
      <c r="T66" s="1">
        <v>430</v>
      </c>
      <c r="U66" s="1"/>
      <c r="V66" s="1">
        <f t="shared" si="0"/>
        <v>430</v>
      </c>
    </row>
    <row r="67" spans="1:22" x14ac:dyDescent="0.25">
      <c r="A67" t="s">
        <v>791</v>
      </c>
      <c r="B67" t="s">
        <v>94</v>
      </c>
      <c r="C67" s="1">
        <f>5806+16+25+16+23+905</f>
        <v>6791</v>
      </c>
      <c r="D67" s="1">
        <f>2+9+1</f>
        <v>12</v>
      </c>
      <c r="E67" s="1">
        <v>0</v>
      </c>
      <c r="F67" s="1">
        <v>0</v>
      </c>
      <c r="G67" s="1">
        <v>0</v>
      </c>
      <c r="H67" s="1">
        <v>3219</v>
      </c>
      <c r="I67" s="1">
        <v>705</v>
      </c>
      <c r="J67" s="1">
        <f t="shared" si="3"/>
        <v>3924</v>
      </c>
      <c r="K67" s="1"/>
      <c r="M67">
        <v>120</v>
      </c>
      <c r="N67" t="s">
        <v>96</v>
      </c>
      <c r="O67" s="1">
        <v>2732</v>
      </c>
      <c r="P67" s="1">
        <v>9</v>
      </c>
      <c r="Q67" s="1">
        <v>0</v>
      </c>
      <c r="R67" s="1">
        <v>0</v>
      </c>
      <c r="S67" s="1">
        <v>0</v>
      </c>
      <c r="T67" s="1">
        <v>534</v>
      </c>
      <c r="U67" s="1"/>
      <c r="V67" s="1">
        <f t="shared" si="0"/>
        <v>534</v>
      </c>
    </row>
    <row r="68" spans="1:22" x14ac:dyDescent="0.25">
      <c r="A68" t="s">
        <v>848</v>
      </c>
      <c r="B68" t="s">
        <v>95</v>
      </c>
      <c r="C68" s="1">
        <f>1139+285</f>
        <v>1424</v>
      </c>
      <c r="D68" s="1">
        <f>18+4</f>
        <v>22</v>
      </c>
      <c r="E68" s="1">
        <v>0</v>
      </c>
      <c r="F68" s="1">
        <v>0</v>
      </c>
      <c r="G68" s="1">
        <v>0</v>
      </c>
      <c r="H68" s="1">
        <v>430</v>
      </c>
      <c r="I68" s="1">
        <v>180</v>
      </c>
      <c r="J68" s="1">
        <f t="shared" si="3"/>
        <v>610</v>
      </c>
      <c r="K68" s="1"/>
      <c r="M68">
        <v>126</v>
      </c>
      <c r="N68" t="s">
        <v>98</v>
      </c>
      <c r="O68" s="1">
        <v>6234</v>
      </c>
      <c r="P68" s="1">
        <v>1</v>
      </c>
      <c r="Q68" s="1">
        <v>0</v>
      </c>
      <c r="R68" s="1">
        <v>0</v>
      </c>
      <c r="S68" s="1">
        <v>0</v>
      </c>
      <c r="T68" s="1">
        <v>4645</v>
      </c>
      <c r="U68" s="1"/>
      <c r="V68" s="1">
        <f t="shared" si="0"/>
        <v>4645</v>
      </c>
    </row>
    <row r="69" spans="1:22" x14ac:dyDescent="0.25">
      <c r="A69" t="s">
        <v>826</v>
      </c>
      <c r="B69" t="s">
        <v>96</v>
      </c>
      <c r="C69" s="1">
        <f>2086+646</f>
        <v>2732</v>
      </c>
      <c r="D69" s="1">
        <v>9</v>
      </c>
      <c r="E69" s="1">
        <v>0</v>
      </c>
      <c r="F69" s="1">
        <v>0</v>
      </c>
      <c r="G69" s="1">
        <v>0</v>
      </c>
      <c r="H69" s="1">
        <v>534</v>
      </c>
      <c r="I69" s="1">
        <v>414</v>
      </c>
      <c r="J69" s="1">
        <f t="shared" si="3"/>
        <v>948</v>
      </c>
      <c r="K69" s="1"/>
      <c r="M69">
        <v>134</v>
      </c>
      <c r="N69" t="s">
        <v>100</v>
      </c>
      <c r="O69" s="1">
        <v>2938</v>
      </c>
      <c r="P69" s="1">
        <v>119</v>
      </c>
      <c r="Q69" s="1">
        <v>0</v>
      </c>
      <c r="R69" s="1">
        <v>0</v>
      </c>
      <c r="S69" s="1">
        <v>0</v>
      </c>
      <c r="T69" s="1">
        <v>1824</v>
      </c>
      <c r="U69" s="1"/>
      <c r="V69" s="1">
        <f t="shared" si="0"/>
        <v>1824</v>
      </c>
    </row>
    <row r="70" spans="1:22" x14ac:dyDescent="0.25">
      <c r="A70" t="s">
        <v>850</v>
      </c>
      <c r="B70" t="s">
        <v>98</v>
      </c>
      <c r="C70" s="1">
        <f>4115+2119</f>
        <v>6234</v>
      </c>
      <c r="D70" s="1">
        <v>1</v>
      </c>
      <c r="E70" s="1">
        <v>0</v>
      </c>
      <c r="F70" s="1">
        <v>0</v>
      </c>
      <c r="G70" s="1">
        <v>0</v>
      </c>
      <c r="H70" s="1">
        <v>4645</v>
      </c>
      <c r="I70" s="1">
        <v>1849</v>
      </c>
      <c r="J70" s="1">
        <f t="shared" si="3"/>
        <v>6494</v>
      </c>
      <c r="K70" s="1"/>
      <c r="M70">
        <v>511</v>
      </c>
      <c r="N70" t="s">
        <v>102</v>
      </c>
      <c r="O70" s="1">
        <v>19542</v>
      </c>
      <c r="P70" s="1">
        <v>2</v>
      </c>
      <c r="Q70" s="1">
        <v>0</v>
      </c>
      <c r="R70" s="1">
        <v>0</v>
      </c>
      <c r="S70" s="1">
        <v>0</v>
      </c>
      <c r="T70" s="1">
        <v>16981</v>
      </c>
      <c r="U70" s="1"/>
      <c r="V70" s="1">
        <f t="shared" ref="V70:V133" si="4">SUM(T70:U70)</f>
        <v>16981</v>
      </c>
    </row>
    <row r="71" spans="1:22" x14ac:dyDescent="0.25">
      <c r="A71" t="s">
        <v>851</v>
      </c>
      <c r="B71" t="s">
        <v>100</v>
      </c>
      <c r="C71" s="1">
        <f>1731+1+1206</f>
        <v>2938</v>
      </c>
      <c r="D71" s="1">
        <f>60+59</f>
        <v>119</v>
      </c>
      <c r="E71" s="1">
        <v>0</v>
      </c>
      <c r="F71" s="1">
        <v>0</v>
      </c>
      <c r="G71" s="1">
        <v>0</v>
      </c>
      <c r="H71" s="1">
        <v>1824</v>
      </c>
      <c r="I71" s="1">
        <v>1065</v>
      </c>
      <c r="J71" s="1">
        <f t="shared" si="3"/>
        <v>2889</v>
      </c>
      <c r="K71" s="1"/>
      <c r="M71">
        <v>313</v>
      </c>
      <c r="N71" t="s">
        <v>103</v>
      </c>
      <c r="O71" s="1">
        <v>7817</v>
      </c>
      <c r="P71" s="1">
        <v>0</v>
      </c>
      <c r="Q71" s="1">
        <v>0</v>
      </c>
      <c r="R71" s="1">
        <v>0</v>
      </c>
      <c r="S71" s="1">
        <v>0</v>
      </c>
      <c r="T71" s="1">
        <v>270</v>
      </c>
      <c r="U71" s="1"/>
      <c r="V71" s="1">
        <f t="shared" si="4"/>
        <v>270</v>
      </c>
    </row>
    <row r="72" spans="1:22" x14ac:dyDescent="0.25">
      <c r="A72" t="s">
        <v>101</v>
      </c>
      <c r="B72" t="s">
        <v>102</v>
      </c>
      <c r="C72" s="1">
        <f>15842+16+6+3678</f>
        <v>19542</v>
      </c>
      <c r="D72" s="1">
        <v>2</v>
      </c>
      <c r="E72" s="1">
        <v>0</v>
      </c>
      <c r="F72" s="1">
        <v>0</v>
      </c>
      <c r="G72" s="1">
        <v>0</v>
      </c>
      <c r="H72" s="1">
        <v>16981</v>
      </c>
      <c r="I72" s="1">
        <v>2941</v>
      </c>
      <c r="J72" s="1">
        <f t="shared" si="3"/>
        <v>19922</v>
      </c>
      <c r="K72" s="1"/>
      <c r="M72">
        <v>121</v>
      </c>
      <c r="N72" t="s">
        <v>105</v>
      </c>
      <c r="O72" s="1">
        <v>7411</v>
      </c>
      <c r="P72" s="1">
        <v>6</v>
      </c>
      <c r="Q72" s="1">
        <v>0</v>
      </c>
      <c r="R72" s="1">
        <v>0</v>
      </c>
      <c r="S72" s="1">
        <v>0</v>
      </c>
      <c r="T72" s="1">
        <v>3297</v>
      </c>
      <c r="U72" s="1"/>
      <c r="V72" s="1">
        <f t="shared" si="4"/>
        <v>3297</v>
      </c>
    </row>
    <row r="73" spans="1:22" x14ac:dyDescent="0.25">
      <c r="A73" t="s">
        <v>512</v>
      </c>
      <c r="B73" t="s">
        <v>103</v>
      </c>
      <c r="C73" s="1">
        <f>6214+1+1602</f>
        <v>7817</v>
      </c>
      <c r="D73" s="1">
        <v>0</v>
      </c>
      <c r="E73" s="1">
        <v>0</v>
      </c>
      <c r="F73" s="1">
        <v>0</v>
      </c>
      <c r="G73" s="1">
        <v>0</v>
      </c>
      <c r="H73" s="1">
        <v>270</v>
      </c>
      <c r="I73" s="1">
        <v>1267</v>
      </c>
      <c r="J73" s="1">
        <f t="shared" si="3"/>
        <v>1537</v>
      </c>
      <c r="K73" s="1"/>
      <c r="M73">
        <v>133</v>
      </c>
      <c r="N73" t="s">
        <v>107</v>
      </c>
      <c r="O73" s="1">
        <v>22346</v>
      </c>
      <c r="P73" s="1">
        <v>125</v>
      </c>
      <c r="Q73" s="1">
        <v>0</v>
      </c>
      <c r="R73" s="1">
        <v>0</v>
      </c>
      <c r="S73" s="1">
        <v>0</v>
      </c>
      <c r="T73" s="1">
        <v>11305</v>
      </c>
      <c r="U73" s="1"/>
      <c r="V73" s="1">
        <f t="shared" si="4"/>
        <v>11305</v>
      </c>
    </row>
    <row r="74" spans="1:22" x14ac:dyDescent="0.25">
      <c r="A74" t="s">
        <v>852</v>
      </c>
      <c r="B74" t="s">
        <v>105</v>
      </c>
      <c r="C74" s="1">
        <f>4839+2572</f>
        <v>7411</v>
      </c>
      <c r="D74" s="1">
        <f>1+3+2</f>
        <v>6</v>
      </c>
      <c r="E74" s="1">
        <v>0</v>
      </c>
      <c r="F74" s="1">
        <v>0</v>
      </c>
      <c r="G74" s="1">
        <v>0</v>
      </c>
      <c r="H74" s="1">
        <v>3297</v>
      </c>
      <c r="I74" s="1">
        <v>2163</v>
      </c>
      <c r="J74" s="1">
        <f t="shared" si="3"/>
        <v>5460</v>
      </c>
      <c r="K74" s="1"/>
      <c r="M74">
        <v>127</v>
      </c>
      <c r="N74" t="s">
        <v>109</v>
      </c>
      <c r="O74" s="1">
        <v>9155</v>
      </c>
      <c r="P74" s="1">
        <v>111</v>
      </c>
      <c r="Q74" s="1">
        <v>0</v>
      </c>
      <c r="R74" s="1">
        <v>0</v>
      </c>
      <c r="S74" s="1">
        <v>0</v>
      </c>
      <c r="T74" s="1">
        <v>7123</v>
      </c>
      <c r="U74" s="1"/>
      <c r="V74" s="1">
        <f t="shared" si="4"/>
        <v>7123</v>
      </c>
    </row>
    <row r="75" spans="1:22" x14ac:dyDescent="0.25">
      <c r="A75" t="s">
        <v>853</v>
      </c>
      <c r="B75" t="s">
        <v>107</v>
      </c>
      <c r="C75" s="1">
        <f>17376+297+5+4668</f>
        <v>22346</v>
      </c>
      <c r="D75" s="1">
        <f>27+1+97</f>
        <v>125</v>
      </c>
      <c r="E75" s="1">
        <v>0</v>
      </c>
      <c r="F75" s="1">
        <v>0</v>
      </c>
      <c r="G75" s="1">
        <v>0</v>
      </c>
      <c r="H75" s="1">
        <v>11305</v>
      </c>
      <c r="I75" s="1">
        <v>4340</v>
      </c>
      <c r="J75" s="1">
        <f t="shared" si="3"/>
        <v>15645</v>
      </c>
      <c r="K75" s="1"/>
      <c r="M75">
        <v>123</v>
      </c>
      <c r="N75" t="s">
        <v>111</v>
      </c>
      <c r="O75" s="1">
        <v>4809</v>
      </c>
      <c r="P75" s="1">
        <v>36</v>
      </c>
      <c r="Q75" s="1">
        <v>0</v>
      </c>
      <c r="R75" s="1">
        <v>0</v>
      </c>
      <c r="S75" s="1">
        <v>0</v>
      </c>
      <c r="T75" s="1">
        <v>4631</v>
      </c>
      <c r="U75" s="1"/>
      <c r="V75" s="1">
        <f t="shared" si="4"/>
        <v>4631</v>
      </c>
    </row>
    <row r="76" spans="1:22" x14ac:dyDescent="0.25">
      <c r="A76" t="s">
        <v>854</v>
      </c>
      <c r="B76" t="s">
        <v>109</v>
      </c>
      <c r="C76" s="1">
        <f>6397+18+3+28+2707+2</f>
        <v>9155</v>
      </c>
      <c r="D76" s="1">
        <f>28+6+41+36</f>
        <v>111</v>
      </c>
      <c r="E76" s="1">
        <v>0</v>
      </c>
      <c r="F76" s="1">
        <v>0</v>
      </c>
      <c r="G76" s="1">
        <v>0</v>
      </c>
      <c r="H76" s="1">
        <v>7123</v>
      </c>
      <c r="I76" s="1">
        <v>2154</v>
      </c>
      <c r="J76" s="1">
        <f t="shared" si="3"/>
        <v>9277</v>
      </c>
      <c r="K76" s="1"/>
      <c r="M76">
        <v>511</v>
      </c>
      <c r="N76" t="s">
        <v>112</v>
      </c>
      <c r="O76" s="1">
        <v>14386</v>
      </c>
      <c r="P76" s="1">
        <v>8</v>
      </c>
      <c r="Q76" s="1">
        <v>0</v>
      </c>
      <c r="R76" s="1">
        <v>0</v>
      </c>
      <c r="S76" s="1">
        <v>0</v>
      </c>
      <c r="T76" s="1">
        <v>26771</v>
      </c>
      <c r="U76" s="1"/>
      <c r="V76" s="1">
        <f t="shared" si="4"/>
        <v>26771</v>
      </c>
    </row>
    <row r="77" spans="1:22" x14ac:dyDescent="0.25">
      <c r="A77" t="s">
        <v>855</v>
      </c>
      <c r="B77" t="s">
        <v>111</v>
      </c>
      <c r="C77" s="1">
        <f>3150+4+1655</f>
        <v>4809</v>
      </c>
      <c r="D77" s="1">
        <f>32+4</f>
        <v>36</v>
      </c>
      <c r="E77" s="1">
        <v>0</v>
      </c>
      <c r="F77" s="1">
        <v>0</v>
      </c>
      <c r="G77" s="1">
        <v>0</v>
      </c>
      <c r="H77" s="1">
        <v>4631</v>
      </c>
      <c r="I77" s="1">
        <v>1564</v>
      </c>
      <c r="J77" s="1">
        <f t="shared" si="3"/>
        <v>6195</v>
      </c>
      <c r="K77" s="1"/>
      <c r="M77">
        <v>135</v>
      </c>
      <c r="N77" t="s">
        <v>114</v>
      </c>
      <c r="O77" s="1">
        <v>6072</v>
      </c>
      <c r="P77" s="1">
        <v>157</v>
      </c>
      <c r="Q77" s="1">
        <v>0</v>
      </c>
      <c r="R77" s="1">
        <v>0</v>
      </c>
      <c r="S77" s="1">
        <v>0</v>
      </c>
      <c r="T77" s="1">
        <v>11972</v>
      </c>
      <c r="U77" s="1"/>
      <c r="V77" s="1">
        <f t="shared" si="4"/>
        <v>11972</v>
      </c>
    </row>
    <row r="78" spans="1:22" x14ac:dyDescent="0.25">
      <c r="A78" t="s">
        <v>101</v>
      </c>
      <c r="B78" t="s">
        <v>112</v>
      </c>
      <c r="C78" s="1">
        <f>12972+25+110+14+1265</f>
        <v>14386</v>
      </c>
      <c r="D78" s="1">
        <f>5+3</f>
        <v>8</v>
      </c>
      <c r="E78" s="1">
        <v>0</v>
      </c>
      <c r="F78" s="1">
        <v>0</v>
      </c>
      <c r="G78" s="1">
        <v>0</v>
      </c>
      <c r="H78" s="1">
        <v>26771</v>
      </c>
      <c r="I78" s="1">
        <v>1056</v>
      </c>
      <c r="J78" s="1">
        <f t="shared" si="3"/>
        <v>27827</v>
      </c>
      <c r="K78" s="1"/>
      <c r="M78">
        <v>122</v>
      </c>
      <c r="N78" t="s">
        <v>116</v>
      </c>
      <c r="O78" s="1">
        <v>9365</v>
      </c>
      <c r="P78" s="1">
        <v>116</v>
      </c>
      <c r="Q78" s="1">
        <v>0</v>
      </c>
      <c r="R78" s="1">
        <v>0</v>
      </c>
      <c r="S78" s="1">
        <v>0</v>
      </c>
      <c r="T78" s="1">
        <v>1647</v>
      </c>
      <c r="U78" s="1"/>
      <c r="V78" s="1">
        <f t="shared" si="4"/>
        <v>1647</v>
      </c>
    </row>
    <row r="79" spans="1:22" x14ac:dyDescent="0.25">
      <c r="A79" t="s">
        <v>856</v>
      </c>
      <c r="B79" t="s">
        <v>114</v>
      </c>
      <c r="C79" s="1">
        <f>1813+2+6+4250+1</f>
        <v>6072</v>
      </c>
      <c r="D79" s="1">
        <f>140+17</f>
        <v>157</v>
      </c>
      <c r="E79" s="1">
        <v>0</v>
      </c>
      <c r="F79" s="1">
        <v>0</v>
      </c>
      <c r="G79" s="1">
        <v>0</v>
      </c>
      <c r="H79" s="1">
        <v>11972</v>
      </c>
      <c r="I79" s="1">
        <v>3898</v>
      </c>
      <c r="J79" s="1">
        <f t="shared" si="3"/>
        <v>15870</v>
      </c>
      <c r="K79" s="1"/>
      <c r="M79">
        <v>113</v>
      </c>
      <c r="N79" t="s">
        <v>117</v>
      </c>
      <c r="O79" s="1">
        <v>5361</v>
      </c>
      <c r="P79" s="1">
        <v>0</v>
      </c>
      <c r="Q79" s="1">
        <v>0</v>
      </c>
      <c r="R79" s="1">
        <v>0</v>
      </c>
      <c r="S79" s="1">
        <v>0</v>
      </c>
      <c r="T79" s="1">
        <v>14</v>
      </c>
      <c r="U79" s="1"/>
      <c r="V79" s="1">
        <f t="shared" si="4"/>
        <v>14</v>
      </c>
    </row>
    <row r="80" spans="1:22" x14ac:dyDescent="0.25">
      <c r="A80" t="s">
        <v>857</v>
      </c>
      <c r="B80" t="s">
        <v>116</v>
      </c>
      <c r="C80" s="1"/>
      <c r="D80" s="1"/>
      <c r="E80" s="1"/>
      <c r="F80" s="1"/>
      <c r="G80" s="1"/>
      <c r="H80" s="1"/>
      <c r="I80" s="1"/>
      <c r="J80" s="1"/>
      <c r="K80" s="1"/>
      <c r="M80">
        <v>137</v>
      </c>
      <c r="N80" t="s">
        <v>119</v>
      </c>
      <c r="O80" s="1">
        <v>8199</v>
      </c>
      <c r="P80" s="1">
        <v>33</v>
      </c>
      <c r="Q80" s="1">
        <v>0</v>
      </c>
      <c r="R80" s="1">
        <v>0</v>
      </c>
      <c r="S80" s="1">
        <v>0</v>
      </c>
      <c r="T80" s="1">
        <v>3787</v>
      </c>
      <c r="U80" s="1"/>
      <c r="V80" s="1">
        <f t="shared" si="4"/>
        <v>3787</v>
      </c>
    </row>
    <row r="81" spans="1:22" x14ac:dyDescent="0.25">
      <c r="A81" t="s">
        <v>823</v>
      </c>
      <c r="B81" t="s">
        <v>117</v>
      </c>
      <c r="C81" s="1">
        <f>4148+1213</f>
        <v>5361</v>
      </c>
      <c r="D81" s="1">
        <v>0</v>
      </c>
      <c r="E81" s="1">
        <v>0</v>
      </c>
      <c r="F81" s="1">
        <v>0</v>
      </c>
      <c r="G81" s="1">
        <v>0</v>
      </c>
      <c r="H81" s="1">
        <v>14</v>
      </c>
      <c r="I81" s="1">
        <v>1108</v>
      </c>
      <c r="J81" s="1">
        <f>SUM(H81,I81)</f>
        <v>1122</v>
      </c>
      <c r="K81" s="1"/>
      <c r="M81">
        <v>311</v>
      </c>
      <c r="N81" t="s">
        <v>121</v>
      </c>
      <c r="O81" s="1"/>
      <c r="P81" s="1"/>
      <c r="Q81" s="1"/>
      <c r="R81" s="1"/>
      <c r="S81" s="1"/>
      <c r="T81" s="1"/>
      <c r="U81" s="1"/>
      <c r="V81" s="1"/>
    </row>
    <row r="82" spans="1:22" x14ac:dyDescent="0.25">
      <c r="A82" t="s">
        <v>858</v>
      </c>
      <c r="B82" t="s">
        <v>119</v>
      </c>
      <c r="C82" s="1">
        <f>3688+6+4505</f>
        <v>8199</v>
      </c>
      <c r="D82" s="1">
        <f>8+2+23</f>
        <v>33</v>
      </c>
      <c r="E82" s="1">
        <v>0</v>
      </c>
      <c r="F82" s="1">
        <v>0</v>
      </c>
      <c r="G82" s="1">
        <v>0</v>
      </c>
      <c r="H82" s="1">
        <v>3787</v>
      </c>
      <c r="I82" s="1">
        <v>2754</v>
      </c>
      <c r="J82" s="1">
        <f>SUM(H82,I82)</f>
        <v>6541</v>
      </c>
      <c r="K82" s="1"/>
      <c r="M82">
        <v>130</v>
      </c>
      <c r="N82" t="s">
        <v>122</v>
      </c>
      <c r="O82" s="1">
        <v>9369</v>
      </c>
      <c r="P82" s="1">
        <v>1</v>
      </c>
      <c r="Q82" s="1">
        <v>0</v>
      </c>
      <c r="R82" s="1">
        <v>0</v>
      </c>
      <c r="S82" s="1">
        <v>0</v>
      </c>
      <c r="T82" s="1">
        <v>3768</v>
      </c>
      <c r="U82" s="1"/>
      <c r="V82" s="1">
        <f t="shared" si="4"/>
        <v>3768</v>
      </c>
    </row>
    <row r="83" spans="1:22" x14ac:dyDescent="0.25">
      <c r="A83" t="s">
        <v>859</v>
      </c>
      <c r="B83" t="s">
        <v>121</v>
      </c>
      <c r="C83" s="1"/>
      <c r="D83" s="1"/>
      <c r="E83" s="1"/>
      <c r="F83" s="1"/>
      <c r="G83" s="1"/>
      <c r="H83" s="1"/>
      <c r="I83" s="1"/>
      <c r="J83" s="1"/>
      <c r="K83" s="1"/>
      <c r="M83">
        <v>124</v>
      </c>
      <c r="N83" t="s">
        <v>124</v>
      </c>
      <c r="O83" s="1">
        <v>7503</v>
      </c>
      <c r="P83" s="1">
        <v>0</v>
      </c>
      <c r="Q83" s="1">
        <v>0</v>
      </c>
      <c r="R83" s="1">
        <v>0</v>
      </c>
      <c r="S83" s="1">
        <v>0</v>
      </c>
      <c r="T83" s="1">
        <v>4502</v>
      </c>
      <c r="U83" s="1"/>
      <c r="V83" s="1">
        <f t="shared" si="4"/>
        <v>4502</v>
      </c>
    </row>
    <row r="84" spans="1:22" x14ac:dyDescent="0.25">
      <c r="A84" t="s">
        <v>860</v>
      </c>
      <c r="B84" t="s">
        <v>122</v>
      </c>
      <c r="C84" s="1">
        <f>6085+1+3283</f>
        <v>9369</v>
      </c>
      <c r="D84" s="1">
        <v>1</v>
      </c>
      <c r="E84" s="1">
        <v>0</v>
      </c>
      <c r="F84" s="1">
        <v>0</v>
      </c>
      <c r="G84" s="1">
        <v>0</v>
      </c>
      <c r="H84" s="1">
        <v>3768</v>
      </c>
      <c r="I84" s="1">
        <v>2442</v>
      </c>
      <c r="J84" s="1">
        <f t="shared" ref="J84:J94" si="5">SUM(H84,I84)</f>
        <v>6210</v>
      </c>
      <c r="K84" s="1"/>
      <c r="M84">
        <v>113</v>
      </c>
      <c r="N84" t="s">
        <v>125</v>
      </c>
      <c r="O84" s="1">
        <v>36617</v>
      </c>
      <c r="P84" s="1">
        <v>0</v>
      </c>
      <c r="Q84" s="1">
        <v>0</v>
      </c>
      <c r="R84" s="1">
        <v>0</v>
      </c>
      <c r="S84" s="1">
        <v>0</v>
      </c>
      <c r="T84" s="1">
        <v>395</v>
      </c>
      <c r="U84" s="1"/>
      <c r="V84" s="1">
        <f t="shared" si="4"/>
        <v>395</v>
      </c>
    </row>
    <row r="85" spans="1:22" x14ac:dyDescent="0.25">
      <c r="A85" t="s">
        <v>861</v>
      </c>
      <c r="B85" t="s">
        <v>124</v>
      </c>
      <c r="C85" s="1">
        <f>5436+2067</f>
        <v>7503</v>
      </c>
      <c r="D85" s="1">
        <v>0</v>
      </c>
      <c r="E85" s="1">
        <v>0</v>
      </c>
      <c r="F85" s="1">
        <v>0</v>
      </c>
      <c r="G85" s="1">
        <v>0</v>
      </c>
      <c r="H85" s="1">
        <v>4502</v>
      </c>
      <c r="I85" s="1">
        <v>1722</v>
      </c>
      <c r="J85" s="1">
        <f t="shared" si="5"/>
        <v>6224</v>
      </c>
      <c r="K85" s="1"/>
      <c r="M85">
        <v>600</v>
      </c>
      <c r="N85" t="s">
        <v>126</v>
      </c>
      <c r="O85" s="1">
        <v>10361</v>
      </c>
      <c r="P85" s="1">
        <v>7</v>
      </c>
      <c r="Q85" s="1">
        <v>0</v>
      </c>
      <c r="R85" s="1">
        <v>0</v>
      </c>
      <c r="S85" s="1">
        <v>0</v>
      </c>
      <c r="T85" s="1">
        <v>12136</v>
      </c>
      <c r="U85" s="1"/>
      <c r="V85" s="1">
        <f t="shared" si="4"/>
        <v>12136</v>
      </c>
    </row>
    <row r="86" spans="1:22" x14ac:dyDescent="0.25">
      <c r="A86" t="s">
        <v>823</v>
      </c>
      <c r="B86" t="s">
        <v>125</v>
      </c>
      <c r="C86" s="1">
        <f>35253+1364</f>
        <v>36617</v>
      </c>
      <c r="D86" s="1">
        <v>0</v>
      </c>
      <c r="E86" s="1">
        <v>0</v>
      </c>
      <c r="F86" s="1">
        <v>0</v>
      </c>
      <c r="G86" s="1">
        <v>0</v>
      </c>
      <c r="H86" s="1">
        <v>395</v>
      </c>
      <c r="I86" s="1">
        <v>743</v>
      </c>
      <c r="J86" s="1">
        <f t="shared" si="5"/>
        <v>1138</v>
      </c>
      <c r="K86" s="1"/>
      <c r="M86">
        <v>128</v>
      </c>
      <c r="N86" t="s">
        <v>127</v>
      </c>
      <c r="O86" s="1">
        <v>4413</v>
      </c>
      <c r="P86" s="1">
        <v>53</v>
      </c>
      <c r="Q86" s="1">
        <v>0</v>
      </c>
      <c r="R86" s="1">
        <v>0</v>
      </c>
      <c r="S86" s="1">
        <v>0</v>
      </c>
      <c r="T86" s="1">
        <v>3474</v>
      </c>
      <c r="U86" s="1"/>
      <c r="V86" s="1">
        <f t="shared" si="4"/>
        <v>3474</v>
      </c>
    </row>
    <row r="87" spans="1:22" x14ac:dyDescent="0.25">
      <c r="A87" t="s">
        <v>248</v>
      </c>
      <c r="B87" t="s">
        <v>126</v>
      </c>
      <c r="C87" s="1">
        <f>7773+2+2586</f>
        <v>10361</v>
      </c>
      <c r="D87" s="1">
        <f>6+1</f>
        <v>7</v>
      </c>
      <c r="E87" s="1">
        <v>0</v>
      </c>
      <c r="F87" s="1">
        <v>0</v>
      </c>
      <c r="G87" s="1">
        <v>0</v>
      </c>
      <c r="H87" s="1">
        <v>12136</v>
      </c>
      <c r="I87" s="1">
        <v>2235</v>
      </c>
      <c r="J87" s="1">
        <f t="shared" si="5"/>
        <v>14371</v>
      </c>
      <c r="K87" s="1"/>
      <c r="M87">
        <v>136</v>
      </c>
      <c r="N87" t="s">
        <v>129</v>
      </c>
      <c r="O87" s="1">
        <v>11657</v>
      </c>
      <c r="P87" s="1">
        <v>172</v>
      </c>
      <c r="Q87" s="1">
        <v>0</v>
      </c>
      <c r="R87" s="1">
        <v>0</v>
      </c>
      <c r="S87" s="1">
        <v>0</v>
      </c>
      <c r="T87" s="1">
        <v>3810</v>
      </c>
      <c r="U87" s="1"/>
      <c r="V87" s="1">
        <f t="shared" si="4"/>
        <v>3810</v>
      </c>
    </row>
    <row r="88" spans="1:22" x14ac:dyDescent="0.25">
      <c r="A88" t="s">
        <v>862</v>
      </c>
      <c r="B88" t="s">
        <v>127</v>
      </c>
      <c r="C88" s="1">
        <f>2879+1534</f>
        <v>4413</v>
      </c>
      <c r="D88" s="1">
        <v>53</v>
      </c>
      <c r="E88" s="1">
        <v>0</v>
      </c>
      <c r="F88" s="1">
        <v>0</v>
      </c>
      <c r="G88" s="1">
        <v>0</v>
      </c>
      <c r="H88" s="1">
        <v>3474</v>
      </c>
      <c r="I88" s="1">
        <v>1521</v>
      </c>
      <c r="J88" s="1">
        <f t="shared" si="5"/>
        <v>4995</v>
      </c>
      <c r="K88" s="1"/>
      <c r="M88" t="s">
        <v>814</v>
      </c>
      <c r="N88" t="s">
        <v>130</v>
      </c>
      <c r="O88" s="1">
        <v>20683</v>
      </c>
      <c r="P88" s="1">
        <v>98</v>
      </c>
      <c r="Q88" s="1">
        <v>0</v>
      </c>
      <c r="R88" s="1">
        <v>0</v>
      </c>
      <c r="S88" s="1">
        <v>0</v>
      </c>
      <c r="T88" s="1">
        <v>1950</v>
      </c>
      <c r="U88" s="1"/>
      <c r="V88" s="1">
        <f t="shared" si="4"/>
        <v>1950</v>
      </c>
    </row>
    <row r="89" spans="1:22" x14ac:dyDescent="0.25">
      <c r="A89" t="s">
        <v>863</v>
      </c>
      <c r="B89" t="s">
        <v>129</v>
      </c>
      <c r="C89" s="1">
        <f>7800+3857</f>
        <v>11657</v>
      </c>
      <c r="D89" s="1">
        <f>163+9</f>
        <v>172</v>
      </c>
      <c r="E89" s="1">
        <v>0</v>
      </c>
      <c r="F89" s="1">
        <v>0</v>
      </c>
      <c r="G89" s="1">
        <v>0</v>
      </c>
      <c r="H89" s="1">
        <v>3810</v>
      </c>
      <c r="I89" s="1">
        <v>2954</v>
      </c>
      <c r="J89" s="1">
        <f t="shared" si="5"/>
        <v>6764</v>
      </c>
      <c r="K89" s="1"/>
      <c r="M89">
        <v>211</v>
      </c>
      <c r="N89" t="s">
        <v>132</v>
      </c>
      <c r="O89" s="1">
        <v>14332</v>
      </c>
      <c r="P89" s="1">
        <v>26</v>
      </c>
      <c r="Q89" s="1">
        <v>0</v>
      </c>
      <c r="R89" s="1">
        <v>0</v>
      </c>
      <c r="S89" s="1">
        <v>0</v>
      </c>
      <c r="T89" s="1">
        <v>19247</v>
      </c>
      <c r="U89" s="1"/>
      <c r="V89" s="1">
        <f t="shared" si="4"/>
        <v>19247</v>
      </c>
    </row>
    <row r="90" spans="1:22" x14ac:dyDescent="0.25">
      <c r="A90" t="s">
        <v>794</v>
      </c>
      <c r="B90" t="s">
        <v>130</v>
      </c>
      <c r="C90" s="1">
        <f>17817+756+2110</f>
        <v>20683</v>
      </c>
      <c r="D90" s="1">
        <f>19+69+10</f>
        <v>98</v>
      </c>
      <c r="E90" s="1">
        <v>0</v>
      </c>
      <c r="F90" s="1">
        <v>0</v>
      </c>
      <c r="G90" s="1">
        <v>0</v>
      </c>
      <c r="H90" s="1">
        <v>1950</v>
      </c>
      <c r="I90" s="1">
        <v>1941</v>
      </c>
      <c r="J90" s="1">
        <f t="shared" si="5"/>
        <v>3891</v>
      </c>
      <c r="K90" s="1"/>
      <c r="M90">
        <v>313</v>
      </c>
      <c r="N90" t="s">
        <v>133</v>
      </c>
      <c r="O90" s="1">
        <v>8322</v>
      </c>
      <c r="P90" s="1">
        <v>0</v>
      </c>
      <c r="Q90" s="1">
        <v>0</v>
      </c>
      <c r="R90" s="1">
        <v>0</v>
      </c>
      <c r="S90" s="1">
        <v>0</v>
      </c>
      <c r="T90" s="1">
        <v>525</v>
      </c>
      <c r="U90" s="1"/>
      <c r="V90" s="1">
        <f t="shared" si="4"/>
        <v>525</v>
      </c>
    </row>
    <row r="91" spans="1:22" x14ac:dyDescent="0.25">
      <c r="A91" t="s">
        <v>864</v>
      </c>
      <c r="B91" t="s">
        <v>132</v>
      </c>
      <c r="C91" s="1">
        <f>10492+3840</f>
        <v>14332</v>
      </c>
      <c r="D91" s="1">
        <f>2+24</f>
        <v>26</v>
      </c>
      <c r="E91" s="1">
        <v>0</v>
      </c>
      <c r="F91" s="1">
        <v>0</v>
      </c>
      <c r="G91" s="1">
        <v>0</v>
      </c>
      <c r="H91" s="1">
        <v>19247</v>
      </c>
      <c r="I91" s="1">
        <v>3188</v>
      </c>
      <c r="J91" s="1">
        <f t="shared" si="5"/>
        <v>22435</v>
      </c>
      <c r="K91" s="1"/>
      <c r="M91">
        <v>514</v>
      </c>
      <c r="N91" t="s">
        <v>135</v>
      </c>
      <c r="O91" s="1">
        <v>19189</v>
      </c>
      <c r="P91" s="1">
        <v>10</v>
      </c>
      <c r="Q91" s="1">
        <v>0</v>
      </c>
      <c r="R91" s="1">
        <v>0</v>
      </c>
      <c r="S91" s="1">
        <v>0</v>
      </c>
      <c r="T91" s="1">
        <v>25257</v>
      </c>
      <c r="U91" s="1"/>
      <c r="V91" s="1">
        <f t="shared" si="4"/>
        <v>25257</v>
      </c>
    </row>
    <row r="92" spans="1:22" x14ac:dyDescent="0.25">
      <c r="A92" t="s">
        <v>512</v>
      </c>
      <c r="B92" t="s">
        <v>133</v>
      </c>
      <c r="C92" s="1">
        <f>5994+2+2326</f>
        <v>8322</v>
      </c>
      <c r="D92" s="1">
        <v>0</v>
      </c>
      <c r="E92" s="1">
        <v>0</v>
      </c>
      <c r="F92" s="1">
        <v>0</v>
      </c>
      <c r="G92" s="1">
        <v>0</v>
      </c>
      <c r="H92" s="1">
        <v>525</v>
      </c>
      <c r="I92" s="1">
        <v>1641</v>
      </c>
      <c r="J92" s="1">
        <f t="shared" si="5"/>
        <v>2166</v>
      </c>
      <c r="K92" s="1"/>
      <c r="M92">
        <v>116</v>
      </c>
      <c r="N92" t="s">
        <v>136</v>
      </c>
      <c r="O92" s="1">
        <v>7878</v>
      </c>
      <c r="P92" s="1">
        <v>163</v>
      </c>
      <c r="Q92" s="1">
        <v>0</v>
      </c>
      <c r="R92" s="1">
        <v>0</v>
      </c>
      <c r="S92" s="1">
        <v>0</v>
      </c>
      <c r="T92" s="1">
        <v>2874</v>
      </c>
      <c r="U92" s="1"/>
      <c r="V92" s="1">
        <f t="shared" si="4"/>
        <v>2874</v>
      </c>
    </row>
    <row r="93" spans="1:22" x14ac:dyDescent="0.25">
      <c r="A93" t="s">
        <v>134</v>
      </c>
      <c r="B93" t="s">
        <v>135</v>
      </c>
      <c r="C93" s="1">
        <f>10963+49+8177</f>
        <v>19189</v>
      </c>
      <c r="D93" s="1">
        <f>7+3</f>
        <v>10</v>
      </c>
      <c r="E93" s="1">
        <v>0</v>
      </c>
      <c r="F93" s="1">
        <v>0</v>
      </c>
      <c r="G93" s="1">
        <v>0</v>
      </c>
      <c r="H93" s="1">
        <v>25257</v>
      </c>
      <c r="I93" s="1">
        <v>6555</v>
      </c>
      <c r="J93" s="1">
        <f t="shared" si="5"/>
        <v>31812</v>
      </c>
      <c r="K93" s="1"/>
      <c r="M93">
        <v>311</v>
      </c>
      <c r="N93" t="s">
        <v>137</v>
      </c>
      <c r="O93" s="1"/>
      <c r="P93" s="1"/>
      <c r="Q93" s="1"/>
      <c r="R93" s="1"/>
      <c r="S93" s="1"/>
      <c r="T93" s="1"/>
      <c r="U93" s="1"/>
      <c r="V93" s="1"/>
    </row>
    <row r="94" spans="1:22" x14ac:dyDescent="0.25">
      <c r="A94" t="s">
        <v>795</v>
      </c>
      <c r="B94" t="s">
        <v>136</v>
      </c>
      <c r="C94" s="1">
        <f>5523+16+1+2338</f>
        <v>7878</v>
      </c>
      <c r="D94" s="1">
        <f>105+36+15+7</f>
        <v>163</v>
      </c>
      <c r="E94" s="1">
        <v>0</v>
      </c>
      <c r="F94" s="1">
        <v>0</v>
      </c>
      <c r="G94" s="1">
        <v>0</v>
      </c>
      <c r="H94" s="1">
        <v>2874</v>
      </c>
      <c r="I94" s="1">
        <v>2211</v>
      </c>
      <c r="J94" s="1">
        <f t="shared" si="5"/>
        <v>5085</v>
      </c>
      <c r="K94" s="1"/>
      <c r="M94" t="s">
        <v>815</v>
      </c>
      <c r="N94" t="s">
        <v>139</v>
      </c>
      <c r="O94" s="1">
        <v>13743</v>
      </c>
      <c r="P94" s="1">
        <v>17</v>
      </c>
      <c r="Q94" s="1">
        <v>0</v>
      </c>
      <c r="R94" s="1">
        <v>0</v>
      </c>
      <c r="S94" s="1">
        <v>0</v>
      </c>
      <c r="T94" s="1">
        <v>3410</v>
      </c>
      <c r="U94" s="1"/>
      <c r="V94" s="1">
        <f t="shared" si="4"/>
        <v>3410</v>
      </c>
    </row>
    <row r="95" spans="1:22" x14ac:dyDescent="0.25">
      <c r="A95" t="s">
        <v>120</v>
      </c>
      <c r="B95" t="s">
        <v>137</v>
      </c>
      <c r="C95" s="1"/>
      <c r="D95" s="1"/>
      <c r="E95" s="1"/>
      <c r="F95" s="1"/>
      <c r="G95" s="1"/>
      <c r="H95" s="1"/>
      <c r="I95" s="1"/>
      <c r="J95" s="1"/>
      <c r="K95" s="1"/>
      <c r="M95">
        <v>200</v>
      </c>
      <c r="N95" t="s">
        <v>141</v>
      </c>
      <c r="O95" s="1">
        <v>671</v>
      </c>
      <c r="P95" s="1">
        <v>0</v>
      </c>
      <c r="Q95" s="1">
        <v>0</v>
      </c>
      <c r="R95" s="1">
        <v>0</v>
      </c>
      <c r="S95" s="1">
        <v>0</v>
      </c>
      <c r="T95" s="1">
        <v>232</v>
      </c>
      <c r="U95" s="1"/>
      <c r="V95" s="1">
        <f t="shared" si="4"/>
        <v>232</v>
      </c>
    </row>
    <row r="96" spans="1:22" x14ac:dyDescent="0.25">
      <c r="A96" t="s">
        <v>138</v>
      </c>
      <c r="B96" t="s">
        <v>139</v>
      </c>
      <c r="C96" s="1">
        <f>10824+26+4+233+4+56+2596</f>
        <v>13743</v>
      </c>
      <c r="D96" s="1">
        <f>2+15</f>
        <v>17</v>
      </c>
      <c r="E96" s="1">
        <v>0</v>
      </c>
      <c r="F96" s="1">
        <v>0</v>
      </c>
      <c r="G96" s="1">
        <v>0</v>
      </c>
      <c r="H96" s="1">
        <v>3410</v>
      </c>
      <c r="I96" s="1">
        <v>2202</v>
      </c>
      <c r="J96" s="1">
        <f>SUM(H96,I96)</f>
        <v>5612</v>
      </c>
      <c r="K96" s="1"/>
      <c r="M96">
        <v>310</v>
      </c>
      <c r="N96" t="s">
        <v>142</v>
      </c>
      <c r="O96" s="1"/>
      <c r="P96" s="1"/>
      <c r="Q96" s="1"/>
      <c r="R96" s="1"/>
      <c r="S96" s="1"/>
      <c r="T96" s="1"/>
      <c r="U96" s="1"/>
      <c r="V96" s="1"/>
    </row>
    <row r="97" spans="1:22" x14ac:dyDescent="0.25">
      <c r="A97" t="s">
        <v>806</v>
      </c>
      <c r="B97" t="s">
        <v>141</v>
      </c>
      <c r="C97" s="1">
        <f>617+8+46</f>
        <v>671</v>
      </c>
      <c r="D97" s="1">
        <v>0</v>
      </c>
      <c r="E97" s="1">
        <v>0</v>
      </c>
      <c r="F97" s="1">
        <v>0</v>
      </c>
      <c r="G97" s="1">
        <v>0</v>
      </c>
      <c r="H97" s="1">
        <v>232</v>
      </c>
      <c r="I97" s="1">
        <v>49</v>
      </c>
      <c r="J97" s="1">
        <f>SUM(H97,I97)</f>
        <v>281</v>
      </c>
      <c r="K97" s="1"/>
      <c r="M97">
        <v>113</v>
      </c>
      <c r="N97" t="s">
        <v>143</v>
      </c>
      <c r="O97" s="1">
        <v>5413</v>
      </c>
      <c r="P97" s="1">
        <v>0</v>
      </c>
      <c r="Q97" s="1">
        <v>0</v>
      </c>
      <c r="R97" s="1">
        <v>0</v>
      </c>
      <c r="S97" s="1">
        <v>0</v>
      </c>
      <c r="T97" s="1">
        <v>26</v>
      </c>
      <c r="U97" s="1"/>
      <c r="V97" s="1">
        <f t="shared" si="4"/>
        <v>26</v>
      </c>
    </row>
    <row r="98" spans="1:22" x14ac:dyDescent="0.25">
      <c r="A98" t="s">
        <v>67</v>
      </c>
      <c r="B98" t="s">
        <v>142</v>
      </c>
      <c r="C98" s="1"/>
      <c r="D98" s="1"/>
      <c r="E98" s="1"/>
      <c r="F98" s="1"/>
      <c r="G98" s="1"/>
      <c r="H98" s="1"/>
      <c r="I98" s="1"/>
      <c r="J98" s="1"/>
      <c r="K98" s="1"/>
      <c r="M98">
        <v>161</v>
      </c>
      <c r="N98" t="s">
        <v>144</v>
      </c>
      <c r="O98" s="1">
        <v>5114</v>
      </c>
      <c r="P98" s="1">
        <v>227</v>
      </c>
      <c r="Q98" s="1">
        <v>0</v>
      </c>
      <c r="R98" s="1">
        <v>0</v>
      </c>
      <c r="S98" s="1">
        <v>0</v>
      </c>
      <c r="T98" s="1">
        <v>1223</v>
      </c>
      <c r="U98" s="1"/>
      <c r="V98" s="1">
        <f t="shared" si="4"/>
        <v>1223</v>
      </c>
    </row>
    <row r="99" spans="1:22" x14ac:dyDescent="0.25">
      <c r="A99" t="s">
        <v>823</v>
      </c>
      <c r="B99" t="s">
        <v>143</v>
      </c>
      <c r="C99" s="1">
        <f>3985+1428</f>
        <v>5413</v>
      </c>
      <c r="D99" s="1">
        <v>0</v>
      </c>
      <c r="E99" s="1">
        <v>0</v>
      </c>
      <c r="F99" s="1">
        <v>0</v>
      </c>
      <c r="G99" s="1">
        <v>0</v>
      </c>
      <c r="H99" s="1">
        <v>26</v>
      </c>
      <c r="I99" s="1">
        <v>226</v>
      </c>
      <c r="J99" s="1">
        <f>SUM(H99,I99)</f>
        <v>252</v>
      </c>
      <c r="K99" s="1"/>
      <c r="M99">
        <v>515</v>
      </c>
      <c r="N99" t="s">
        <v>145</v>
      </c>
      <c r="O99" s="1">
        <v>24339</v>
      </c>
      <c r="P99" s="1">
        <v>20</v>
      </c>
      <c r="Q99" s="1">
        <v>0</v>
      </c>
      <c r="R99" s="1">
        <v>0</v>
      </c>
      <c r="S99" s="1">
        <v>0</v>
      </c>
      <c r="T99" s="1">
        <v>21718</v>
      </c>
      <c r="U99" s="1"/>
      <c r="V99" s="1">
        <f t="shared" si="4"/>
        <v>21718</v>
      </c>
    </row>
    <row r="100" spans="1:22" x14ac:dyDescent="0.25">
      <c r="A100" t="s">
        <v>848</v>
      </c>
      <c r="B100" t="s">
        <v>144</v>
      </c>
      <c r="C100" s="1">
        <f>3344+1770</f>
        <v>5114</v>
      </c>
      <c r="D100" s="1">
        <f>222+5</f>
        <v>227</v>
      </c>
      <c r="E100" s="1">
        <v>0</v>
      </c>
      <c r="F100" s="1">
        <v>0</v>
      </c>
      <c r="G100" s="1">
        <v>0</v>
      </c>
      <c r="H100" s="1">
        <v>1223</v>
      </c>
      <c r="I100" s="1">
        <v>1569</v>
      </c>
      <c r="J100" s="1">
        <f>SUM(H100,I100)</f>
        <v>2792</v>
      </c>
      <c r="K100" s="1"/>
      <c r="M100">
        <v>611</v>
      </c>
      <c r="N100" t="s">
        <v>147</v>
      </c>
      <c r="O100" s="1">
        <v>31198</v>
      </c>
      <c r="P100" s="1">
        <v>50</v>
      </c>
      <c r="Q100" s="1">
        <v>0</v>
      </c>
      <c r="R100" s="1">
        <v>0</v>
      </c>
      <c r="S100" s="1">
        <v>0</v>
      </c>
      <c r="T100" s="1">
        <v>22545</v>
      </c>
      <c r="U100" s="1"/>
      <c r="V100" s="1">
        <f t="shared" si="4"/>
        <v>22545</v>
      </c>
    </row>
    <row r="101" spans="1:22" x14ac:dyDescent="0.25">
      <c r="A101" t="s">
        <v>816</v>
      </c>
      <c r="B101" t="s">
        <v>145</v>
      </c>
      <c r="C101" s="1"/>
      <c r="D101" s="1"/>
      <c r="E101" s="1"/>
      <c r="F101" s="1"/>
      <c r="G101" s="1"/>
      <c r="H101" s="1"/>
      <c r="I101" s="1"/>
      <c r="J101" s="1"/>
      <c r="K101" s="1"/>
      <c r="M101">
        <v>710</v>
      </c>
      <c r="N101" s="5" t="s">
        <v>148</v>
      </c>
      <c r="O101" s="6">
        <v>67754</v>
      </c>
      <c r="P101" s="6">
        <v>79</v>
      </c>
      <c r="Q101" s="6">
        <v>0</v>
      </c>
      <c r="R101" s="6">
        <v>0</v>
      </c>
      <c r="S101" s="6">
        <v>0</v>
      </c>
      <c r="T101" s="6">
        <v>82274</v>
      </c>
      <c r="U101" s="6"/>
      <c r="V101" s="6">
        <f t="shared" si="4"/>
        <v>82274</v>
      </c>
    </row>
    <row r="102" spans="1:22" x14ac:dyDescent="0.25">
      <c r="A102" t="s">
        <v>146</v>
      </c>
      <c r="B102" t="s">
        <v>147</v>
      </c>
      <c r="C102" s="1">
        <f>22165+22+9011</f>
        <v>31198</v>
      </c>
      <c r="D102" s="1">
        <f>44+2+2+2</f>
        <v>50</v>
      </c>
      <c r="E102" s="1">
        <v>0</v>
      </c>
      <c r="F102" s="1">
        <v>0</v>
      </c>
      <c r="G102" s="1">
        <v>0</v>
      </c>
      <c r="H102" s="1">
        <v>22545</v>
      </c>
      <c r="I102" s="1">
        <v>7600</v>
      </c>
      <c r="J102" s="1">
        <f>SUM(H102,I102)</f>
        <v>30145</v>
      </c>
      <c r="K102" s="1"/>
      <c r="M102">
        <v>616</v>
      </c>
      <c r="N102" t="s">
        <v>149</v>
      </c>
      <c r="O102" s="1">
        <v>9168</v>
      </c>
      <c r="P102" s="1">
        <v>316</v>
      </c>
      <c r="Q102" s="1">
        <v>0</v>
      </c>
      <c r="R102" s="1">
        <v>0</v>
      </c>
      <c r="S102" s="1">
        <v>0</v>
      </c>
      <c r="T102" s="1">
        <v>14371</v>
      </c>
      <c r="U102" s="1"/>
      <c r="V102" s="1">
        <f t="shared" si="4"/>
        <v>14371</v>
      </c>
    </row>
    <row r="103" spans="1:22" x14ac:dyDescent="0.25">
      <c r="A103" t="s">
        <v>804</v>
      </c>
      <c r="B103" s="5" t="s">
        <v>148</v>
      </c>
      <c r="C103" s="6"/>
      <c r="D103" s="6"/>
      <c r="E103" s="6"/>
      <c r="F103" s="6"/>
      <c r="G103" s="6"/>
      <c r="H103" s="6"/>
      <c r="I103" s="6"/>
      <c r="J103" s="6"/>
      <c r="K103" s="6" t="s">
        <v>867</v>
      </c>
      <c r="M103">
        <v>114</v>
      </c>
      <c r="N103" t="s">
        <v>151</v>
      </c>
      <c r="O103" s="1">
        <v>3167</v>
      </c>
      <c r="P103" s="1">
        <v>0</v>
      </c>
      <c r="Q103" s="1">
        <v>0</v>
      </c>
      <c r="R103" s="1">
        <v>0</v>
      </c>
      <c r="S103" s="1">
        <v>0</v>
      </c>
      <c r="T103" s="1">
        <v>412</v>
      </c>
      <c r="U103" s="1"/>
      <c r="V103" s="1">
        <f t="shared" si="4"/>
        <v>412</v>
      </c>
    </row>
    <row r="104" spans="1:22" x14ac:dyDescent="0.25">
      <c r="A104" t="s">
        <v>817</v>
      </c>
      <c r="B104" t="s">
        <v>149</v>
      </c>
      <c r="C104" s="1">
        <f>5361+1+3804+2</f>
        <v>9168</v>
      </c>
      <c r="D104" s="1">
        <f>266+14+34+2</f>
        <v>316</v>
      </c>
      <c r="E104" s="1">
        <v>0</v>
      </c>
      <c r="F104" s="1">
        <v>0</v>
      </c>
      <c r="G104" s="1">
        <v>0</v>
      </c>
      <c r="H104" s="1">
        <v>14371</v>
      </c>
      <c r="I104" s="1">
        <v>3330</v>
      </c>
      <c r="J104" s="1">
        <f t="shared" ref="J104:J114" si="6">SUM(H104,I104)</f>
        <v>17701</v>
      </c>
      <c r="K104" s="1"/>
      <c r="M104">
        <v>611</v>
      </c>
      <c r="N104" t="s">
        <v>152</v>
      </c>
      <c r="O104" s="1">
        <v>9636</v>
      </c>
      <c r="P104" s="1">
        <v>21</v>
      </c>
      <c r="Q104" s="1">
        <v>0</v>
      </c>
      <c r="R104" s="1">
        <v>0</v>
      </c>
      <c r="S104" s="1">
        <v>0</v>
      </c>
      <c r="T104" s="1">
        <v>4806</v>
      </c>
      <c r="U104" s="1"/>
      <c r="V104" s="1">
        <f t="shared" si="4"/>
        <v>4806</v>
      </c>
    </row>
    <row r="105" spans="1:22" x14ac:dyDescent="0.25">
      <c r="A105" t="s">
        <v>831</v>
      </c>
      <c r="B105" t="s">
        <v>151</v>
      </c>
      <c r="C105" s="1">
        <f>2446+3+718</f>
        <v>3167</v>
      </c>
      <c r="D105" s="1">
        <v>0</v>
      </c>
      <c r="E105" s="1">
        <v>0</v>
      </c>
      <c r="F105" s="1">
        <v>0</v>
      </c>
      <c r="G105" s="1">
        <v>0</v>
      </c>
      <c r="H105" s="1">
        <v>412</v>
      </c>
      <c r="I105" s="1">
        <v>523</v>
      </c>
      <c r="J105" s="1">
        <f t="shared" si="6"/>
        <v>935</v>
      </c>
      <c r="K105" s="1"/>
      <c r="M105">
        <v>613</v>
      </c>
      <c r="N105" t="s">
        <v>153</v>
      </c>
      <c r="O105" s="1">
        <v>4306</v>
      </c>
      <c r="P105" s="1">
        <v>0</v>
      </c>
      <c r="Q105" s="1">
        <v>0</v>
      </c>
      <c r="R105" s="1">
        <v>0</v>
      </c>
      <c r="S105" s="1">
        <v>0</v>
      </c>
      <c r="T105" s="1">
        <v>568</v>
      </c>
      <c r="U105" s="1"/>
      <c r="V105" s="1">
        <f t="shared" si="4"/>
        <v>568</v>
      </c>
    </row>
    <row r="106" spans="1:22" x14ac:dyDescent="0.25">
      <c r="A106" t="s">
        <v>146</v>
      </c>
      <c r="B106" t="s">
        <v>152</v>
      </c>
      <c r="C106" s="1">
        <f>4012+4+1+5619</f>
        <v>9636</v>
      </c>
      <c r="D106" s="1">
        <f>9+12</f>
        <v>21</v>
      </c>
      <c r="E106" s="1">
        <v>0</v>
      </c>
      <c r="F106" s="1">
        <v>0</v>
      </c>
      <c r="G106" s="1">
        <v>0</v>
      </c>
      <c r="H106" s="1">
        <v>4806</v>
      </c>
      <c r="I106" s="1">
        <v>3661</v>
      </c>
      <c r="J106" s="1">
        <f t="shared" si="6"/>
        <v>8467</v>
      </c>
      <c r="K106" s="1"/>
      <c r="M106">
        <v>712</v>
      </c>
      <c r="N106" t="s">
        <v>154</v>
      </c>
      <c r="O106" s="1">
        <v>21488</v>
      </c>
      <c r="P106" s="1">
        <v>2</v>
      </c>
      <c r="Q106" s="1">
        <v>0</v>
      </c>
      <c r="R106" s="1">
        <v>0</v>
      </c>
      <c r="S106" s="1">
        <v>0</v>
      </c>
      <c r="T106" s="1">
        <v>2942</v>
      </c>
      <c r="U106" s="1"/>
      <c r="V106" s="1">
        <f t="shared" si="4"/>
        <v>2942</v>
      </c>
    </row>
    <row r="107" spans="1:22" x14ac:dyDescent="0.25">
      <c r="A107" t="s">
        <v>495</v>
      </c>
      <c r="B107" t="s">
        <v>153</v>
      </c>
      <c r="C107" s="1">
        <f>3918+48+340</f>
        <v>4306</v>
      </c>
      <c r="D107" s="1">
        <v>0</v>
      </c>
      <c r="E107" s="1">
        <v>0</v>
      </c>
      <c r="F107" s="1">
        <v>0</v>
      </c>
      <c r="G107" s="1">
        <v>0</v>
      </c>
      <c r="H107" s="1">
        <v>568</v>
      </c>
      <c r="I107" s="1">
        <v>311</v>
      </c>
      <c r="J107" s="1">
        <f t="shared" si="6"/>
        <v>879</v>
      </c>
      <c r="K107" s="1"/>
      <c r="M107">
        <v>700</v>
      </c>
      <c r="N107" t="s">
        <v>155</v>
      </c>
      <c r="O107" s="1">
        <v>8076</v>
      </c>
      <c r="P107" s="1">
        <v>5</v>
      </c>
      <c r="Q107" s="1">
        <v>0</v>
      </c>
      <c r="R107" s="1">
        <v>0</v>
      </c>
      <c r="S107" s="1">
        <v>0</v>
      </c>
      <c r="T107" s="1">
        <v>27997</v>
      </c>
      <c r="U107" s="1"/>
      <c r="V107" s="1">
        <f t="shared" si="4"/>
        <v>27997</v>
      </c>
    </row>
    <row r="108" spans="1:22" x14ac:dyDescent="0.25">
      <c r="A108" t="s">
        <v>76</v>
      </c>
      <c r="B108" t="s">
        <v>154</v>
      </c>
      <c r="C108" s="1">
        <f>10127+11361</f>
        <v>21488</v>
      </c>
      <c r="D108" s="1">
        <f>1+1</f>
        <v>2</v>
      </c>
      <c r="E108" s="1">
        <v>0</v>
      </c>
      <c r="F108" s="1">
        <v>0</v>
      </c>
      <c r="G108" s="1">
        <v>0</v>
      </c>
      <c r="H108" s="1">
        <v>2942</v>
      </c>
      <c r="I108" s="1">
        <v>8710</v>
      </c>
      <c r="J108" s="1">
        <f t="shared" si="6"/>
        <v>11652</v>
      </c>
      <c r="K108" s="1"/>
      <c r="M108" t="s">
        <v>815</v>
      </c>
      <c r="N108" t="s">
        <v>156</v>
      </c>
      <c r="O108" s="1">
        <v>18695</v>
      </c>
      <c r="P108" s="1">
        <v>176</v>
      </c>
      <c r="Q108" s="1">
        <v>0</v>
      </c>
      <c r="R108" s="1">
        <v>0</v>
      </c>
      <c r="S108" s="1">
        <v>0</v>
      </c>
      <c r="T108" s="1">
        <v>12678</v>
      </c>
      <c r="U108" s="1"/>
      <c r="V108" s="1">
        <f t="shared" si="4"/>
        <v>12678</v>
      </c>
    </row>
    <row r="109" spans="1:22" x14ac:dyDescent="0.25">
      <c r="A109" t="s">
        <v>83</v>
      </c>
      <c r="B109" t="s">
        <v>155</v>
      </c>
      <c r="C109" s="1">
        <f>6520+1556</f>
        <v>8076</v>
      </c>
      <c r="D109" s="1">
        <v>5</v>
      </c>
      <c r="E109" s="1">
        <v>0</v>
      </c>
      <c r="F109" s="1">
        <v>0</v>
      </c>
      <c r="G109" s="1">
        <v>0</v>
      </c>
      <c r="H109" s="1">
        <v>27997</v>
      </c>
      <c r="I109" s="1">
        <v>1187</v>
      </c>
      <c r="J109" s="1">
        <f t="shared" si="6"/>
        <v>29184</v>
      </c>
      <c r="K109" s="1"/>
      <c r="M109">
        <v>114</v>
      </c>
      <c r="N109" t="s">
        <v>157</v>
      </c>
      <c r="O109" s="1">
        <v>4780</v>
      </c>
      <c r="P109" s="1">
        <v>0</v>
      </c>
      <c r="Q109" s="1">
        <v>0</v>
      </c>
      <c r="R109" s="1">
        <v>0</v>
      </c>
      <c r="S109" s="1">
        <v>0</v>
      </c>
      <c r="T109" s="1">
        <v>3015</v>
      </c>
      <c r="U109" s="1"/>
      <c r="V109" s="1">
        <f t="shared" si="4"/>
        <v>3015</v>
      </c>
    </row>
    <row r="110" spans="1:22" x14ac:dyDescent="0.25">
      <c r="A110" t="s">
        <v>138</v>
      </c>
      <c r="B110" t="s">
        <v>156</v>
      </c>
      <c r="C110" s="1">
        <f>12376+6319</f>
        <v>18695</v>
      </c>
      <c r="D110" s="1">
        <f>6+1+8+161</f>
        <v>176</v>
      </c>
      <c r="E110" s="1">
        <v>0</v>
      </c>
      <c r="F110" s="1">
        <v>0</v>
      </c>
      <c r="G110" s="1">
        <v>0</v>
      </c>
      <c r="H110" s="1">
        <v>12678</v>
      </c>
      <c r="I110" s="1">
        <v>4582</v>
      </c>
      <c r="J110" s="1">
        <f t="shared" si="6"/>
        <v>17260</v>
      </c>
      <c r="K110" s="1"/>
      <c r="M110">
        <v>715</v>
      </c>
      <c r="N110" t="s">
        <v>158</v>
      </c>
      <c r="O110" s="1">
        <v>11582</v>
      </c>
      <c r="P110" s="1">
        <v>0</v>
      </c>
      <c r="Q110" s="1">
        <v>0</v>
      </c>
      <c r="R110" s="1">
        <v>0</v>
      </c>
      <c r="S110" s="1">
        <v>0</v>
      </c>
      <c r="T110" s="1">
        <v>5617</v>
      </c>
      <c r="U110" s="1"/>
      <c r="V110" s="1">
        <f t="shared" si="4"/>
        <v>5617</v>
      </c>
    </row>
    <row r="111" spans="1:22" x14ac:dyDescent="0.25">
      <c r="A111" t="s">
        <v>831</v>
      </c>
      <c r="B111" t="s">
        <v>157</v>
      </c>
      <c r="C111" s="1">
        <f>3280+7+1493</f>
        <v>4780</v>
      </c>
      <c r="D111" s="1">
        <v>0</v>
      </c>
      <c r="E111" s="1">
        <v>0</v>
      </c>
      <c r="F111" s="1">
        <v>0</v>
      </c>
      <c r="G111" s="1">
        <v>0</v>
      </c>
      <c r="H111" s="1">
        <v>3015</v>
      </c>
      <c r="I111" s="1">
        <v>1362</v>
      </c>
      <c r="J111" s="1">
        <f t="shared" si="6"/>
        <v>4377</v>
      </c>
      <c r="K111" s="1"/>
      <c r="M111">
        <v>514</v>
      </c>
      <c r="N111" t="s">
        <v>159</v>
      </c>
      <c r="O111" s="1">
        <v>1272</v>
      </c>
      <c r="P111" s="1">
        <v>70</v>
      </c>
      <c r="Q111" s="1">
        <v>0</v>
      </c>
      <c r="R111" s="1">
        <v>0</v>
      </c>
      <c r="S111" s="1">
        <v>0</v>
      </c>
      <c r="T111" s="1">
        <v>1144</v>
      </c>
      <c r="U111" s="1"/>
      <c r="V111" s="1">
        <f t="shared" si="4"/>
        <v>1144</v>
      </c>
    </row>
    <row r="112" spans="1:22" x14ac:dyDescent="0.25">
      <c r="A112" t="s">
        <v>818</v>
      </c>
      <c r="B112" t="s">
        <v>158</v>
      </c>
      <c r="C112" s="1">
        <f>9006+3+2573</f>
        <v>11582</v>
      </c>
      <c r="D112" s="1">
        <v>0</v>
      </c>
      <c r="E112" s="1">
        <v>0</v>
      </c>
      <c r="F112" s="1">
        <v>0</v>
      </c>
      <c r="G112" s="1">
        <v>0</v>
      </c>
      <c r="H112" s="1">
        <v>5617</v>
      </c>
      <c r="I112" s="1">
        <v>2060</v>
      </c>
      <c r="J112" s="1">
        <f t="shared" si="6"/>
        <v>7677</v>
      </c>
      <c r="K112" s="1"/>
      <c r="M112">
        <v>116</v>
      </c>
      <c r="N112" t="s">
        <v>160</v>
      </c>
      <c r="O112" s="1">
        <v>24214</v>
      </c>
      <c r="P112" s="1">
        <v>1141</v>
      </c>
      <c r="Q112" s="1">
        <v>0</v>
      </c>
      <c r="R112" s="1">
        <v>0</v>
      </c>
      <c r="S112" s="1">
        <v>0</v>
      </c>
      <c r="T112" s="1">
        <v>1878</v>
      </c>
      <c r="U112" s="1"/>
      <c r="V112" s="1">
        <f t="shared" si="4"/>
        <v>1878</v>
      </c>
    </row>
    <row r="113" spans="1:22" x14ac:dyDescent="0.25">
      <c r="A113" t="s">
        <v>134</v>
      </c>
      <c r="B113" t="s">
        <v>159</v>
      </c>
      <c r="C113" s="1">
        <f>1161+4+107</f>
        <v>1272</v>
      </c>
      <c r="D113" s="1">
        <v>70</v>
      </c>
      <c r="E113" s="1">
        <v>0</v>
      </c>
      <c r="F113" s="1">
        <v>0</v>
      </c>
      <c r="G113" s="1">
        <v>0</v>
      </c>
      <c r="H113" s="1">
        <v>1144</v>
      </c>
      <c r="I113" s="1">
        <v>81</v>
      </c>
      <c r="J113" s="1">
        <f t="shared" si="6"/>
        <v>1225</v>
      </c>
      <c r="K113" s="1"/>
      <c r="M113">
        <v>300</v>
      </c>
      <c r="N113" s="5" t="s">
        <v>161</v>
      </c>
      <c r="O113" s="6">
        <v>2107</v>
      </c>
      <c r="P113" s="6">
        <v>1</v>
      </c>
      <c r="Q113" s="6">
        <v>0</v>
      </c>
      <c r="R113" s="6">
        <v>0</v>
      </c>
      <c r="S113" s="6">
        <v>0</v>
      </c>
      <c r="T113" s="6">
        <v>890</v>
      </c>
      <c r="U113" s="6"/>
      <c r="V113" s="6">
        <f t="shared" si="4"/>
        <v>890</v>
      </c>
    </row>
    <row r="114" spans="1:22" x14ac:dyDescent="0.25">
      <c r="A114" t="s">
        <v>795</v>
      </c>
      <c r="B114" t="s">
        <v>160</v>
      </c>
      <c r="C114" s="1">
        <f>16414+7800</f>
        <v>24214</v>
      </c>
      <c r="D114" s="1">
        <f>156+52+7+129+440+357</f>
        <v>1141</v>
      </c>
      <c r="E114" s="1">
        <v>0</v>
      </c>
      <c r="F114" s="1">
        <v>0</v>
      </c>
      <c r="G114" s="1">
        <v>0</v>
      </c>
      <c r="H114" s="1">
        <v>1878</v>
      </c>
      <c r="I114" s="1">
        <v>4950</v>
      </c>
      <c r="J114" s="1">
        <f t="shared" si="6"/>
        <v>6828</v>
      </c>
      <c r="K114" s="1"/>
      <c r="M114">
        <v>100</v>
      </c>
      <c r="N114" t="s">
        <v>162</v>
      </c>
      <c r="O114" s="1">
        <v>4136</v>
      </c>
      <c r="P114" s="1">
        <v>10</v>
      </c>
      <c r="Q114" s="1">
        <v>0</v>
      </c>
      <c r="R114" s="1">
        <v>0</v>
      </c>
      <c r="S114" s="1">
        <v>0</v>
      </c>
      <c r="T114" s="1">
        <v>4447</v>
      </c>
      <c r="U114" s="1"/>
      <c r="V114" s="1">
        <f t="shared" si="4"/>
        <v>4447</v>
      </c>
    </row>
    <row r="115" spans="1:22" x14ac:dyDescent="0.25">
      <c r="A115" t="s">
        <v>226</v>
      </c>
      <c r="B115" s="5" t="s">
        <v>161</v>
      </c>
      <c r="C115" s="6"/>
      <c r="D115" s="6"/>
      <c r="E115" s="6"/>
      <c r="F115" s="6"/>
      <c r="G115" s="6"/>
      <c r="H115" s="6"/>
      <c r="I115" s="6"/>
      <c r="J115" s="6"/>
      <c r="K115" s="6" t="s">
        <v>867</v>
      </c>
      <c r="M115">
        <v>111</v>
      </c>
      <c r="N115" s="5" t="s">
        <v>163</v>
      </c>
      <c r="O115" s="6">
        <v>23902</v>
      </c>
      <c r="P115" s="6">
        <v>1058</v>
      </c>
      <c r="Q115" s="6">
        <v>0</v>
      </c>
      <c r="R115" s="6">
        <v>0</v>
      </c>
      <c r="S115" s="6">
        <v>0</v>
      </c>
      <c r="T115" s="6">
        <v>15829</v>
      </c>
      <c r="U115" s="6"/>
      <c r="V115" s="6">
        <f t="shared" si="4"/>
        <v>15829</v>
      </c>
    </row>
    <row r="116" spans="1:22" x14ac:dyDescent="0.25">
      <c r="A116" t="s">
        <v>791</v>
      </c>
      <c r="B116" t="s">
        <v>162</v>
      </c>
      <c r="C116" s="1">
        <f>3006+3+34+3+1090</f>
        <v>4136</v>
      </c>
      <c r="D116" s="1">
        <f>2+8</f>
        <v>10</v>
      </c>
      <c r="E116" s="1">
        <v>0</v>
      </c>
      <c r="F116" s="1">
        <v>0</v>
      </c>
      <c r="G116" s="1">
        <v>0</v>
      </c>
      <c r="H116" s="1">
        <v>4447</v>
      </c>
      <c r="I116" s="1">
        <v>1077</v>
      </c>
      <c r="J116" s="1">
        <f>SUM(H116,I116)</f>
        <v>5524</v>
      </c>
      <c r="K116" s="1"/>
      <c r="M116" t="s">
        <v>815</v>
      </c>
      <c r="N116" t="s">
        <v>164</v>
      </c>
      <c r="O116" s="1">
        <v>40924</v>
      </c>
      <c r="P116" s="1">
        <v>65</v>
      </c>
      <c r="Q116" s="1">
        <v>0</v>
      </c>
      <c r="R116" s="1">
        <v>0</v>
      </c>
      <c r="S116" s="1">
        <v>0</v>
      </c>
      <c r="T116" s="1">
        <v>14053</v>
      </c>
      <c r="U116" s="1"/>
      <c r="V116" s="1">
        <f t="shared" si="4"/>
        <v>14053</v>
      </c>
    </row>
    <row r="117" spans="1:22" x14ac:dyDescent="0.25">
      <c r="A117" t="s">
        <v>811</v>
      </c>
      <c r="B117" s="5" t="s">
        <v>163</v>
      </c>
      <c r="C117" s="6"/>
      <c r="D117" s="6"/>
      <c r="E117" s="6"/>
      <c r="F117" s="6"/>
      <c r="G117" s="6"/>
      <c r="H117" s="6"/>
      <c r="I117" s="6"/>
      <c r="J117" s="6"/>
      <c r="K117" s="6" t="s">
        <v>867</v>
      </c>
      <c r="M117">
        <v>700</v>
      </c>
      <c r="N117" t="s">
        <v>165</v>
      </c>
      <c r="O117" s="1">
        <v>5168</v>
      </c>
      <c r="P117" s="1">
        <v>123</v>
      </c>
      <c r="Q117" s="1">
        <v>0</v>
      </c>
      <c r="R117" s="1">
        <v>0</v>
      </c>
      <c r="S117" s="1">
        <v>0</v>
      </c>
      <c r="T117" s="1">
        <v>2846</v>
      </c>
      <c r="U117" s="1"/>
      <c r="V117" s="1">
        <f t="shared" si="4"/>
        <v>2846</v>
      </c>
    </row>
    <row r="118" spans="1:22" x14ac:dyDescent="0.25">
      <c r="A118" t="s">
        <v>138</v>
      </c>
      <c r="B118" t="s">
        <v>164</v>
      </c>
      <c r="C118" s="1">
        <f>28707+7+12210</f>
        <v>40924</v>
      </c>
      <c r="D118" s="1">
        <f>9+36+18+2</f>
        <v>65</v>
      </c>
      <c r="E118" s="1">
        <v>0</v>
      </c>
      <c r="F118" s="1">
        <v>0</v>
      </c>
      <c r="G118" s="1">
        <v>0</v>
      </c>
      <c r="H118" s="1">
        <v>14053</v>
      </c>
      <c r="I118" s="1">
        <v>10606</v>
      </c>
      <c r="J118" s="1">
        <f>SUM(H118,I118)</f>
        <v>24659</v>
      </c>
      <c r="K118" s="1"/>
      <c r="M118">
        <v>715</v>
      </c>
      <c r="N118" t="s">
        <v>166</v>
      </c>
      <c r="O118" s="1">
        <v>3491</v>
      </c>
      <c r="P118" s="1">
        <v>0</v>
      </c>
      <c r="Q118" s="1">
        <v>0</v>
      </c>
      <c r="R118" s="1">
        <v>0</v>
      </c>
      <c r="S118" s="1">
        <v>0</v>
      </c>
      <c r="T118" s="1">
        <v>388</v>
      </c>
      <c r="U118" s="1"/>
      <c r="V118" s="1">
        <f t="shared" si="4"/>
        <v>388</v>
      </c>
    </row>
    <row r="119" spans="1:22" x14ac:dyDescent="0.25">
      <c r="A119" t="s">
        <v>83</v>
      </c>
      <c r="B119" t="s">
        <v>165</v>
      </c>
      <c r="C119" s="1">
        <f>3395+1773</f>
        <v>5168</v>
      </c>
      <c r="D119" s="1">
        <f>99+24</f>
        <v>123</v>
      </c>
      <c r="E119" s="1">
        <v>0</v>
      </c>
      <c r="F119" s="1">
        <v>0</v>
      </c>
      <c r="G119" s="1">
        <v>0</v>
      </c>
      <c r="H119" s="1">
        <v>2846</v>
      </c>
      <c r="I119" s="1">
        <v>1778</v>
      </c>
      <c r="J119" s="1">
        <f>SUM(H119,I119)</f>
        <v>4624</v>
      </c>
      <c r="K119" s="1"/>
      <c r="M119">
        <v>711</v>
      </c>
      <c r="N119" t="s">
        <v>167</v>
      </c>
      <c r="O119" s="1"/>
      <c r="P119" s="1"/>
      <c r="Q119" s="1"/>
      <c r="R119" s="1"/>
      <c r="S119" s="1"/>
      <c r="T119" s="1"/>
      <c r="U119" s="1"/>
      <c r="V119" s="1"/>
    </row>
    <row r="120" spans="1:22" x14ac:dyDescent="0.25">
      <c r="A120" t="s">
        <v>818</v>
      </c>
      <c r="B120" t="s">
        <v>166</v>
      </c>
      <c r="C120" s="1">
        <f>3165+3+323</f>
        <v>3491</v>
      </c>
      <c r="D120" s="1">
        <v>0</v>
      </c>
      <c r="E120" s="1">
        <v>0</v>
      </c>
      <c r="F120" s="1">
        <v>0</v>
      </c>
      <c r="G120" s="1">
        <v>0</v>
      </c>
      <c r="H120" s="1">
        <v>388</v>
      </c>
      <c r="I120" s="1">
        <v>306</v>
      </c>
      <c r="J120" s="1">
        <f>SUM(H120,I120)</f>
        <v>694</v>
      </c>
      <c r="K120" s="1"/>
      <c r="M120">
        <v>120</v>
      </c>
      <c r="N120" t="s">
        <v>168</v>
      </c>
      <c r="O120" s="1">
        <v>14372</v>
      </c>
      <c r="P120" s="1">
        <v>155</v>
      </c>
      <c r="Q120" s="1">
        <v>0</v>
      </c>
      <c r="R120" s="1">
        <v>0</v>
      </c>
      <c r="S120" s="1">
        <v>0</v>
      </c>
      <c r="T120" s="1">
        <v>4781</v>
      </c>
      <c r="U120" s="1"/>
      <c r="V120" s="1">
        <f t="shared" si="4"/>
        <v>4781</v>
      </c>
    </row>
    <row r="121" spans="1:22" x14ac:dyDescent="0.25">
      <c r="A121" t="s">
        <v>801</v>
      </c>
      <c r="B121" t="s">
        <v>167</v>
      </c>
      <c r="C121" s="1"/>
      <c r="D121" s="1"/>
      <c r="E121" s="1"/>
      <c r="F121" s="1"/>
      <c r="G121" s="1"/>
      <c r="H121" s="1"/>
      <c r="I121" s="1"/>
      <c r="J121" s="1"/>
      <c r="K121" s="1"/>
      <c r="M121">
        <v>161</v>
      </c>
      <c r="N121" t="s">
        <v>169</v>
      </c>
      <c r="O121" s="1">
        <v>4296</v>
      </c>
      <c r="P121" s="1">
        <v>75</v>
      </c>
      <c r="Q121" s="1">
        <v>0</v>
      </c>
      <c r="R121" s="1">
        <v>0</v>
      </c>
      <c r="S121" s="1">
        <v>0</v>
      </c>
      <c r="T121" s="1">
        <v>606</v>
      </c>
      <c r="U121" s="1"/>
      <c r="V121" s="1">
        <f t="shared" si="4"/>
        <v>606</v>
      </c>
    </row>
    <row r="122" spans="1:22" x14ac:dyDescent="0.25">
      <c r="A122" t="s">
        <v>826</v>
      </c>
      <c r="B122" t="s">
        <v>168</v>
      </c>
      <c r="C122" s="1">
        <f>12704+4+42+182+6+1+12+205+1216</f>
        <v>14372</v>
      </c>
      <c r="D122" s="1">
        <f>149+4+2</f>
        <v>155</v>
      </c>
      <c r="E122" s="1">
        <v>0</v>
      </c>
      <c r="F122" s="1">
        <v>0</v>
      </c>
      <c r="G122" s="1">
        <v>0</v>
      </c>
      <c r="H122" s="1">
        <v>4781</v>
      </c>
      <c r="I122" s="1">
        <v>1215</v>
      </c>
      <c r="J122" s="1">
        <f>SUM(H122,I122)</f>
        <v>5996</v>
      </c>
      <c r="K122" s="1"/>
      <c r="M122">
        <v>111</v>
      </c>
      <c r="N122" s="5" t="s">
        <v>170</v>
      </c>
      <c r="O122" s="6">
        <v>9216</v>
      </c>
      <c r="P122" s="6">
        <v>34</v>
      </c>
      <c r="Q122" s="6">
        <v>0</v>
      </c>
      <c r="R122" s="6">
        <v>0</v>
      </c>
      <c r="S122" s="6">
        <v>0</v>
      </c>
      <c r="T122" s="6">
        <v>5309</v>
      </c>
      <c r="U122" s="6"/>
      <c r="V122" s="6">
        <f t="shared" si="4"/>
        <v>5309</v>
      </c>
    </row>
    <row r="123" spans="1:22" x14ac:dyDescent="0.25">
      <c r="A123" t="s">
        <v>848</v>
      </c>
      <c r="B123" t="s">
        <v>169</v>
      </c>
      <c r="C123" s="1">
        <f>3061+31+2+27+1175</f>
        <v>4296</v>
      </c>
      <c r="D123" s="1">
        <f>73+2</f>
        <v>75</v>
      </c>
      <c r="E123" s="1">
        <v>0</v>
      </c>
      <c r="F123" s="1">
        <v>0</v>
      </c>
      <c r="G123" s="1">
        <v>0</v>
      </c>
      <c r="H123" s="1">
        <v>606</v>
      </c>
      <c r="I123" s="1">
        <v>1109</v>
      </c>
      <c r="J123" s="1">
        <f>SUM(H123,I123)</f>
        <v>1715</v>
      </c>
      <c r="K123" s="1"/>
      <c r="M123">
        <v>313</v>
      </c>
      <c r="N123" t="s">
        <v>171</v>
      </c>
      <c r="O123" s="1">
        <v>2834</v>
      </c>
      <c r="P123" s="1">
        <v>0</v>
      </c>
      <c r="Q123" s="1">
        <v>0</v>
      </c>
      <c r="R123" s="1">
        <v>0</v>
      </c>
      <c r="S123" s="1">
        <v>0</v>
      </c>
      <c r="T123" s="1">
        <v>2784</v>
      </c>
      <c r="U123" s="1"/>
      <c r="V123" s="1">
        <f t="shared" si="4"/>
        <v>2784</v>
      </c>
    </row>
    <row r="124" spans="1:22" x14ac:dyDescent="0.25">
      <c r="A124" t="s">
        <v>811</v>
      </c>
      <c r="B124" s="5" t="s">
        <v>170</v>
      </c>
      <c r="C124" s="6"/>
      <c r="D124" s="6"/>
      <c r="E124" s="6"/>
      <c r="F124" s="6"/>
      <c r="G124" s="6"/>
      <c r="H124" s="6"/>
      <c r="I124" s="6"/>
      <c r="J124" s="6"/>
      <c r="K124" s="6" t="s">
        <v>867</v>
      </c>
      <c r="M124">
        <v>161</v>
      </c>
      <c r="N124" t="s">
        <v>172</v>
      </c>
      <c r="O124" s="1"/>
      <c r="P124" s="1"/>
      <c r="Q124" s="1"/>
      <c r="R124" s="1"/>
      <c r="S124" s="1"/>
      <c r="T124" s="1"/>
      <c r="U124" s="1"/>
      <c r="V124" s="1"/>
    </row>
    <row r="125" spans="1:22" x14ac:dyDescent="0.25">
      <c r="A125" t="s">
        <v>512</v>
      </c>
      <c r="B125" t="s">
        <v>171</v>
      </c>
      <c r="C125" s="1">
        <f>1707+1127</f>
        <v>2834</v>
      </c>
      <c r="D125" s="1">
        <v>0</v>
      </c>
      <c r="E125" s="1">
        <v>0</v>
      </c>
      <c r="F125" s="1">
        <v>0</v>
      </c>
      <c r="G125" s="1">
        <v>0</v>
      </c>
      <c r="H125" s="1">
        <v>2784</v>
      </c>
      <c r="I125" s="1">
        <v>768</v>
      </c>
      <c r="J125" s="1">
        <f>SUM(H125,I125)</f>
        <v>3552</v>
      </c>
      <c r="K125" s="1"/>
      <c r="M125">
        <v>711</v>
      </c>
      <c r="N125" t="s">
        <v>173</v>
      </c>
      <c r="O125" s="1"/>
      <c r="P125" s="1"/>
      <c r="Q125" s="1"/>
      <c r="R125" s="1"/>
      <c r="S125" s="1"/>
      <c r="T125" s="1"/>
      <c r="U125" s="1"/>
      <c r="V125" s="1"/>
    </row>
    <row r="126" spans="1:22" x14ac:dyDescent="0.25">
      <c r="A126" t="s">
        <v>848</v>
      </c>
      <c r="B126" t="s">
        <v>172</v>
      </c>
      <c r="C126" s="1"/>
      <c r="D126" s="1"/>
      <c r="E126" s="1"/>
      <c r="F126" s="1"/>
      <c r="G126" s="1"/>
      <c r="H126" s="1"/>
      <c r="I126" s="1"/>
      <c r="J126" s="1"/>
      <c r="K126" s="1"/>
      <c r="M126">
        <v>211</v>
      </c>
      <c r="N126" t="s">
        <v>174</v>
      </c>
      <c r="O126" s="1">
        <v>4424</v>
      </c>
      <c r="P126" s="1">
        <v>16</v>
      </c>
      <c r="Q126" s="1">
        <v>0</v>
      </c>
      <c r="R126" s="1">
        <v>0</v>
      </c>
      <c r="S126" s="1">
        <v>0</v>
      </c>
      <c r="T126" s="1">
        <v>4684</v>
      </c>
      <c r="U126" s="1"/>
      <c r="V126" s="1">
        <f t="shared" si="4"/>
        <v>4684</v>
      </c>
    </row>
    <row r="127" spans="1:22" x14ac:dyDescent="0.25">
      <c r="A127" t="s">
        <v>801</v>
      </c>
      <c r="B127" t="s">
        <v>173</v>
      </c>
      <c r="C127" s="1"/>
      <c r="D127" s="1"/>
      <c r="E127" s="1"/>
      <c r="F127" s="1"/>
      <c r="G127" s="1"/>
      <c r="H127" s="1"/>
      <c r="I127" s="1"/>
      <c r="J127" s="1"/>
      <c r="K127" s="1"/>
      <c r="M127">
        <v>300</v>
      </c>
      <c r="N127" s="5" t="s">
        <v>175</v>
      </c>
      <c r="O127" s="6">
        <v>1764</v>
      </c>
      <c r="P127" s="6">
        <v>344</v>
      </c>
      <c r="Q127" s="6">
        <v>0</v>
      </c>
      <c r="R127" s="6">
        <v>0</v>
      </c>
      <c r="S127" s="6">
        <v>0</v>
      </c>
      <c r="T127" s="6">
        <v>490</v>
      </c>
      <c r="U127" s="6"/>
      <c r="V127" s="6">
        <f t="shared" si="4"/>
        <v>490</v>
      </c>
    </row>
    <row r="128" spans="1:22" x14ac:dyDescent="0.25">
      <c r="A128" t="s">
        <v>864</v>
      </c>
      <c r="B128" t="s">
        <v>174</v>
      </c>
      <c r="C128" s="1">
        <f>3202+1222</f>
        <v>4424</v>
      </c>
      <c r="D128" s="1">
        <f>2+14</f>
        <v>16</v>
      </c>
      <c r="E128" s="1">
        <v>0</v>
      </c>
      <c r="F128" s="1">
        <v>0</v>
      </c>
      <c r="G128" s="1">
        <v>0</v>
      </c>
      <c r="H128" s="1">
        <v>4684</v>
      </c>
      <c r="I128" s="1">
        <v>1128</v>
      </c>
      <c r="J128" s="1">
        <f>SUM(H128,I128)</f>
        <v>5812</v>
      </c>
      <c r="K128" s="1"/>
      <c r="M128" t="s">
        <v>814</v>
      </c>
      <c r="N128" t="s">
        <v>176</v>
      </c>
      <c r="O128" s="1">
        <v>58841</v>
      </c>
      <c r="P128" s="1">
        <v>10</v>
      </c>
      <c r="Q128" s="1">
        <v>0</v>
      </c>
      <c r="R128" s="1">
        <v>0</v>
      </c>
      <c r="S128" s="1">
        <v>0</v>
      </c>
      <c r="T128" s="1">
        <v>5311</v>
      </c>
      <c r="U128" s="1"/>
      <c r="V128" s="1">
        <f t="shared" si="4"/>
        <v>5311</v>
      </c>
    </row>
    <row r="129" spans="1:22" x14ac:dyDescent="0.25">
      <c r="A129" t="s">
        <v>226</v>
      </c>
      <c r="B129" s="5" t="s">
        <v>175</v>
      </c>
      <c r="C129" s="6"/>
      <c r="D129" s="6"/>
      <c r="E129" s="6"/>
      <c r="F129" s="6"/>
      <c r="G129" s="6"/>
      <c r="H129" s="6"/>
      <c r="I129" s="6"/>
      <c r="J129" s="6"/>
      <c r="K129" s="6" t="s">
        <v>867</v>
      </c>
      <c r="M129">
        <v>600</v>
      </c>
      <c r="N129" t="s">
        <v>177</v>
      </c>
      <c r="O129" s="1">
        <v>8033</v>
      </c>
      <c r="P129" s="1">
        <v>1</v>
      </c>
      <c r="Q129" s="1">
        <v>0</v>
      </c>
      <c r="R129" s="1">
        <v>0</v>
      </c>
      <c r="S129" s="1">
        <v>0</v>
      </c>
      <c r="T129" s="1">
        <v>4535</v>
      </c>
      <c r="U129" s="1"/>
      <c r="V129" s="1">
        <f t="shared" si="4"/>
        <v>4535</v>
      </c>
    </row>
    <row r="130" spans="1:22" x14ac:dyDescent="0.25">
      <c r="A130" t="s">
        <v>794</v>
      </c>
      <c r="B130" t="s">
        <v>176</v>
      </c>
      <c r="C130" s="1">
        <f>54840+1+4000</f>
        <v>58841</v>
      </c>
      <c r="D130" s="1">
        <v>10</v>
      </c>
      <c r="E130" s="1">
        <v>0</v>
      </c>
      <c r="F130" s="1">
        <v>0</v>
      </c>
      <c r="G130" s="1">
        <v>0</v>
      </c>
      <c r="H130" s="1">
        <v>5311</v>
      </c>
      <c r="I130" s="1">
        <v>3060</v>
      </c>
      <c r="J130" s="1">
        <f t="shared" ref="J130:J137" si="7">SUM(H130,I130)</f>
        <v>8371</v>
      </c>
      <c r="K130" s="1"/>
      <c r="M130">
        <v>700</v>
      </c>
      <c r="N130" t="s">
        <v>178</v>
      </c>
      <c r="O130" s="1">
        <v>23989</v>
      </c>
      <c r="P130" s="1">
        <v>143</v>
      </c>
      <c r="Q130" s="1">
        <v>0</v>
      </c>
      <c r="R130" s="1">
        <v>0</v>
      </c>
      <c r="S130" s="1">
        <v>0</v>
      </c>
      <c r="T130" s="1">
        <v>30237</v>
      </c>
      <c r="U130" s="1"/>
      <c r="V130" s="1">
        <f t="shared" si="4"/>
        <v>30237</v>
      </c>
    </row>
    <row r="131" spans="1:22" x14ac:dyDescent="0.25">
      <c r="A131" t="s">
        <v>248</v>
      </c>
      <c r="B131" t="s">
        <v>177</v>
      </c>
      <c r="C131" s="1">
        <f>6363+3+1+12+2+15+5+15+1617</f>
        <v>8033</v>
      </c>
      <c r="D131" s="1">
        <v>1</v>
      </c>
      <c r="E131" s="1">
        <v>0</v>
      </c>
      <c r="F131" s="1">
        <v>0</v>
      </c>
      <c r="G131" s="1">
        <v>0</v>
      </c>
      <c r="H131" s="1">
        <v>4535</v>
      </c>
      <c r="I131" s="1">
        <v>1023</v>
      </c>
      <c r="J131" s="1">
        <f t="shared" si="7"/>
        <v>5558</v>
      </c>
      <c r="K131" s="1"/>
      <c r="M131">
        <v>113</v>
      </c>
      <c r="N131" t="s">
        <v>179</v>
      </c>
      <c r="O131" s="1">
        <v>15963</v>
      </c>
      <c r="P131" s="1">
        <v>5</v>
      </c>
      <c r="Q131" s="1">
        <v>0</v>
      </c>
      <c r="R131" s="1">
        <v>0</v>
      </c>
      <c r="S131" s="1">
        <v>0</v>
      </c>
      <c r="T131" s="1">
        <v>12221</v>
      </c>
      <c r="U131" s="1"/>
      <c r="V131" s="1">
        <f t="shared" si="4"/>
        <v>12221</v>
      </c>
    </row>
    <row r="132" spans="1:22" x14ac:dyDescent="0.25">
      <c r="A132" t="s">
        <v>83</v>
      </c>
      <c r="B132" t="s">
        <v>178</v>
      </c>
      <c r="C132" s="1">
        <f>20014+5+1+3969</f>
        <v>23989</v>
      </c>
      <c r="D132" s="1">
        <f>105+26+12</f>
        <v>143</v>
      </c>
      <c r="E132" s="1">
        <v>0</v>
      </c>
      <c r="F132" s="1">
        <v>0</v>
      </c>
      <c r="G132" s="1">
        <v>0</v>
      </c>
      <c r="H132" s="1">
        <v>30237</v>
      </c>
      <c r="I132" s="1">
        <v>3870</v>
      </c>
      <c r="J132" s="1">
        <f t="shared" si="7"/>
        <v>34107</v>
      </c>
      <c r="K132" s="1"/>
      <c r="M132">
        <v>116</v>
      </c>
      <c r="N132" t="s">
        <v>180</v>
      </c>
      <c r="O132" s="1">
        <v>55092</v>
      </c>
      <c r="P132" s="1">
        <v>40</v>
      </c>
      <c r="Q132" s="1">
        <v>0</v>
      </c>
      <c r="R132" s="1">
        <v>0</v>
      </c>
      <c r="S132" s="1">
        <v>0</v>
      </c>
      <c r="T132" s="1">
        <v>23798</v>
      </c>
      <c r="U132" s="1"/>
      <c r="V132" s="1">
        <f t="shared" si="4"/>
        <v>23798</v>
      </c>
    </row>
    <row r="133" spans="1:22" x14ac:dyDescent="0.25">
      <c r="A133" t="s">
        <v>823</v>
      </c>
      <c r="B133" t="s">
        <v>179</v>
      </c>
      <c r="C133" s="1">
        <f>11078+4881</f>
        <v>15959</v>
      </c>
      <c r="D133" s="1">
        <f>1+4</f>
        <v>5</v>
      </c>
      <c r="E133" s="1">
        <v>0</v>
      </c>
      <c r="F133" s="1">
        <v>0</v>
      </c>
      <c r="G133" s="1">
        <v>0</v>
      </c>
      <c r="H133" s="1">
        <v>12221</v>
      </c>
      <c r="I133" s="1">
        <v>4377</v>
      </c>
      <c r="J133" s="1">
        <f t="shared" si="7"/>
        <v>16598</v>
      </c>
      <c r="K133" s="1"/>
      <c r="M133">
        <v>100</v>
      </c>
      <c r="N133" t="s">
        <v>181</v>
      </c>
      <c r="O133" s="1">
        <v>3299</v>
      </c>
      <c r="P133" s="1">
        <v>505</v>
      </c>
      <c r="Q133" s="1">
        <v>0</v>
      </c>
      <c r="R133" s="1">
        <v>0</v>
      </c>
      <c r="S133" s="1">
        <v>0</v>
      </c>
      <c r="T133" s="1">
        <v>3721</v>
      </c>
      <c r="U133" s="1"/>
      <c r="V133" s="1">
        <f t="shared" si="4"/>
        <v>3721</v>
      </c>
    </row>
    <row r="134" spans="1:22" x14ac:dyDescent="0.25">
      <c r="A134" t="s">
        <v>795</v>
      </c>
      <c r="B134" t="s">
        <v>180</v>
      </c>
      <c r="C134" s="1">
        <f>43518+16+11558</f>
        <v>55092</v>
      </c>
      <c r="D134" s="1">
        <f>23+17</f>
        <v>40</v>
      </c>
      <c r="E134" s="1">
        <v>0</v>
      </c>
      <c r="F134" s="1">
        <v>0</v>
      </c>
      <c r="G134" s="1">
        <v>0</v>
      </c>
      <c r="H134" s="1">
        <v>23798</v>
      </c>
      <c r="I134" s="1">
        <v>10641</v>
      </c>
      <c r="J134" s="1">
        <f t="shared" si="7"/>
        <v>34439</v>
      </c>
      <c r="K134" s="1"/>
      <c r="M134">
        <v>700</v>
      </c>
      <c r="N134" t="s">
        <v>182</v>
      </c>
      <c r="O134" s="1">
        <v>17720</v>
      </c>
      <c r="P134" s="1">
        <v>75</v>
      </c>
      <c r="Q134" s="1">
        <v>0</v>
      </c>
      <c r="R134" s="1">
        <v>0</v>
      </c>
      <c r="S134" s="1">
        <v>0</v>
      </c>
      <c r="T134" s="1">
        <v>2713</v>
      </c>
      <c r="U134" s="1"/>
      <c r="V134" s="1">
        <f t="shared" ref="V134:V197" si="8">SUM(T134:U134)</f>
        <v>2713</v>
      </c>
    </row>
    <row r="135" spans="1:22" x14ac:dyDescent="0.25">
      <c r="A135" t="s">
        <v>791</v>
      </c>
      <c r="B135" t="s">
        <v>181</v>
      </c>
      <c r="C135" s="1">
        <f>1410+1889</f>
        <v>3299</v>
      </c>
      <c r="D135" s="1">
        <f>465+39+1</f>
        <v>505</v>
      </c>
      <c r="E135" s="1">
        <v>0</v>
      </c>
      <c r="F135" s="1">
        <v>0</v>
      </c>
      <c r="G135" s="1">
        <v>0</v>
      </c>
      <c r="H135" s="1">
        <v>3721</v>
      </c>
      <c r="I135" s="1">
        <v>909</v>
      </c>
      <c r="J135" s="1">
        <f t="shared" si="7"/>
        <v>4630</v>
      </c>
      <c r="K135" s="1"/>
      <c r="M135">
        <v>616</v>
      </c>
      <c r="N135" t="s">
        <v>183</v>
      </c>
      <c r="O135" s="1">
        <v>1471</v>
      </c>
      <c r="P135" s="1">
        <v>14</v>
      </c>
      <c r="Q135" s="1">
        <v>0</v>
      </c>
      <c r="R135" s="1">
        <v>0</v>
      </c>
      <c r="S135" s="1">
        <v>0</v>
      </c>
      <c r="T135" s="1">
        <v>8417</v>
      </c>
      <c r="U135" s="1"/>
      <c r="V135" s="1">
        <f t="shared" si="8"/>
        <v>8417</v>
      </c>
    </row>
    <row r="136" spans="1:22" x14ac:dyDescent="0.25">
      <c r="A136" t="s">
        <v>83</v>
      </c>
      <c r="B136" t="s">
        <v>182</v>
      </c>
      <c r="C136" s="1">
        <f>14352+3368</f>
        <v>17720</v>
      </c>
      <c r="D136" s="1">
        <v>75</v>
      </c>
      <c r="E136" s="1">
        <v>0</v>
      </c>
      <c r="F136" s="1">
        <v>0</v>
      </c>
      <c r="G136" s="1">
        <v>0</v>
      </c>
      <c r="H136" s="1">
        <v>2713</v>
      </c>
      <c r="I136" s="1">
        <v>3147</v>
      </c>
      <c r="J136" s="1">
        <f t="shared" si="7"/>
        <v>5860</v>
      </c>
      <c r="K136" s="1"/>
      <c r="M136">
        <v>310</v>
      </c>
      <c r="N136" t="s">
        <v>184</v>
      </c>
      <c r="O136" s="1"/>
      <c r="P136" s="1"/>
      <c r="Q136" s="1"/>
      <c r="R136" s="1"/>
      <c r="S136" s="1"/>
      <c r="T136" s="1"/>
      <c r="U136" s="1"/>
      <c r="V136" s="1"/>
    </row>
    <row r="137" spans="1:22" x14ac:dyDescent="0.25">
      <c r="A137" t="s">
        <v>817</v>
      </c>
      <c r="B137" t="s">
        <v>183</v>
      </c>
      <c r="C137" s="1">
        <f>240+1230</f>
        <v>1470</v>
      </c>
      <c r="D137" s="1">
        <f>11+1</f>
        <v>12</v>
      </c>
      <c r="E137" s="1">
        <v>0</v>
      </c>
      <c r="F137" s="1">
        <v>0</v>
      </c>
      <c r="G137" s="1">
        <v>0</v>
      </c>
      <c r="H137" s="1">
        <v>8417</v>
      </c>
      <c r="I137" s="1">
        <v>986</v>
      </c>
      <c r="J137" s="1">
        <f t="shared" si="7"/>
        <v>9403</v>
      </c>
      <c r="K137" s="1"/>
      <c r="M137">
        <v>210</v>
      </c>
      <c r="N137" t="s">
        <v>186</v>
      </c>
      <c r="O137" s="1">
        <v>5979</v>
      </c>
      <c r="P137" s="1">
        <v>0</v>
      </c>
      <c r="Q137" s="1">
        <v>0</v>
      </c>
      <c r="R137" s="1">
        <v>0</v>
      </c>
      <c r="S137" s="1">
        <v>0</v>
      </c>
      <c r="T137" s="1">
        <v>7580</v>
      </c>
      <c r="U137" s="1"/>
      <c r="V137" s="1">
        <f t="shared" si="8"/>
        <v>7580</v>
      </c>
    </row>
    <row r="138" spans="1:22" x14ac:dyDescent="0.25">
      <c r="A138" t="s">
        <v>67</v>
      </c>
      <c r="B138" t="s">
        <v>184</v>
      </c>
      <c r="C138" s="1"/>
      <c r="D138" s="1"/>
      <c r="E138" s="1"/>
      <c r="F138" s="1"/>
      <c r="G138" s="1"/>
      <c r="H138" s="1"/>
      <c r="I138" s="1"/>
      <c r="J138" s="1"/>
      <c r="K138" s="1"/>
      <c r="M138">
        <v>313</v>
      </c>
      <c r="N138" t="s">
        <v>187</v>
      </c>
      <c r="O138" s="1">
        <v>9396</v>
      </c>
      <c r="P138" s="1">
        <v>0</v>
      </c>
      <c r="Q138" s="1">
        <v>0</v>
      </c>
      <c r="R138" s="1">
        <v>0</v>
      </c>
      <c r="S138" s="1">
        <v>0</v>
      </c>
      <c r="T138" s="1">
        <v>8927</v>
      </c>
      <c r="U138" s="1"/>
      <c r="V138" s="1">
        <f t="shared" si="8"/>
        <v>8927</v>
      </c>
    </row>
    <row r="139" spans="1:22" x14ac:dyDescent="0.25">
      <c r="A139" t="s">
        <v>865</v>
      </c>
      <c r="B139" t="s">
        <v>186</v>
      </c>
      <c r="C139" s="1">
        <f>3514+2465</f>
        <v>5979</v>
      </c>
      <c r="D139" s="1">
        <v>0</v>
      </c>
      <c r="E139" s="1">
        <v>0</v>
      </c>
      <c r="F139" s="1">
        <v>0</v>
      </c>
      <c r="G139" s="1">
        <v>0</v>
      </c>
      <c r="H139" s="1">
        <v>7580</v>
      </c>
      <c r="I139" s="1">
        <v>1469</v>
      </c>
      <c r="J139" s="1">
        <f t="shared" ref="J139:J145" si="9">SUM(H139,I139)</f>
        <v>9049</v>
      </c>
      <c r="K139" s="1"/>
      <c r="M139">
        <v>118</v>
      </c>
      <c r="N139" t="s">
        <v>189</v>
      </c>
      <c r="O139" s="1">
        <v>20091</v>
      </c>
      <c r="P139" s="1">
        <v>28</v>
      </c>
      <c r="Q139" s="1">
        <v>0</v>
      </c>
      <c r="R139" s="1">
        <v>0</v>
      </c>
      <c r="S139" s="1">
        <v>0</v>
      </c>
      <c r="T139" s="1">
        <v>1700</v>
      </c>
      <c r="U139" s="1"/>
      <c r="V139" s="1">
        <f t="shared" si="8"/>
        <v>1700</v>
      </c>
    </row>
    <row r="140" spans="1:22" x14ac:dyDescent="0.25">
      <c r="A140" t="s">
        <v>512</v>
      </c>
      <c r="B140" t="s">
        <v>187</v>
      </c>
      <c r="C140" s="1">
        <f>7375+112+29+27+1853</f>
        <v>9396</v>
      </c>
      <c r="D140" s="1">
        <v>0</v>
      </c>
      <c r="E140" s="1">
        <v>0</v>
      </c>
      <c r="F140" s="1">
        <v>0</v>
      </c>
      <c r="G140" s="1">
        <v>0</v>
      </c>
      <c r="H140" s="1">
        <v>8927</v>
      </c>
      <c r="I140" s="1">
        <v>1556</v>
      </c>
      <c r="J140" s="1">
        <f t="shared" si="9"/>
        <v>10483</v>
      </c>
      <c r="K140" s="1"/>
      <c r="M140">
        <v>700</v>
      </c>
      <c r="N140" t="s">
        <v>190</v>
      </c>
      <c r="O140" s="1">
        <v>26175</v>
      </c>
      <c r="P140" s="1">
        <v>58</v>
      </c>
      <c r="Q140" s="1">
        <v>0</v>
      </c>
      <c r="R140" s="1">
        <v>0</v>
      </c>
      <c r="S140" s="1">
        <v>0</v>
      </c>
      <c r="T140" s="1">
        <v>3035</v>
      </c>
      <c r="U140" s="1"/>
      <c r="V140" s="1">
        <f t="shared" si="8"/>
        <v>3035</v>
      </c>
    </row>
    <row r="141" spans="1:22" x14ac:dyDescent="0.25">
      <c r="A141" t="s">
        <v>231</v>
      </c>
      <c r="B141" t="s">
        <v>189</v>
      </c>
      <c r="C141" s="1">
        <f>17080+8+9+51+2943</f>
        <v>20091</v>
      </c>
      <c r="D141" s="1">
        <f>27+1</f>
        <v>28</v>
      </c>
      <c r="E141" s="1">
        <v>0</v>
      </c>
      <c r="F141" s="1">
        <v>0</v>
      </c>
      <c r="G141" s="1">
        <v>0</v>
      </c>
      <c r="H141" s="1">
        <v>1700</v>
      </c>
      <c r="I141" s="1">
        <v>2517</v>
      </c>
      <c r="J141" s="1">
        <f t="shared" si="9"/>
        <v>4217</v>
      </c>
      <c r="K141" s="1"/>
      <c r="M141">
        <v>712</v>
      </c>
      <c r="N141" t="s">
        <v>191</v>
      </c>
      <c r="O141" s="1">
        <v>29880</v>
      </c>
      <c r="P141" s="1">
        <v>932</v>
      </c>
      <c r="Q141" s="1">
        <v>0</v>
      </c>
      <c r="R141" s="1">
        <v>0</v>
      </c>
      <c r="S141" s="1">
        <v>0</v>
      </c>
      <c r="T141" s="1">
        <v>353</v>
      </c>
      <c r="U141" s="1"/>
      <c r="V141" s="1">
        <f t="shared" si="8"/>
        <v>353</v>
      </c>
    </row>
    <row r="142" spans="1:22" x14ac:dyDescent="0.25">
      <c r="A142" t="s">
        <v>83</v>
      </c>
      <c r="B142" t="s">
        <v>190</v>
      </c>
      <c r="C142" s="1">
        <f>24703+104+1+1367</f>
        <v>26175</v>
      </c>
      <c r="D142" s="1">
        <f>50+8</f>
        <v>58</v>
      </c>
      <c r="E142" s="1">
        <v>0</v>
      </c>
      <c r="F142" s="1">
        <v>0</v>
      </c>
      <c r="G142" s="1">
        <v>0</v>
      </c>
      <c r="H142" s="1">
        <v>3035</v>
      </c>
      <c r="I142" s="1">
        <v>1424</v>
      </c>
      <c r="J142" s="1">
        <f t="shared" si="9"/>
        <v>4459</v>
      </c>
      <c r="K142" s="1"/>
      <c r="M142">
        <v>511</v>
      </c>
      <c r="N142" t="s">
        <v>192</v>
      </c>
      <c r="O142" s="1">
        <v>27758</v>
      </c>
      <c r="P142" s="1">
        <v>188</v>
      </c>
      <c r="Q142" s="1">
        <v>0</v>
      </c>
      <c r="R142" s="1">
        <v>0</v>
      </c>
      <c r="S142" s="1">
        <v>0</v>
      </c>
      <c r="T142" s="1">
        <v>27530</v>
      </c>
      <c r="U142" s="1"/>
      <c r="V142" s="1">
        <f t="shared" si="8"/>
        <v>27530</v>
      </c>
    </row>
    <row r="143" spans="1:22" x14ac:dyDescent="0.25">
      <c r="A143" t="s">
        <v>76</v>
      </c>
      <c r="B143" t="s">
        <v>191</v>
      </c>
      <c r="C143" s="1">
        <f>19266+10614</f>
        <v>29880</v>
      </c>
      <c r="D143" s="1">
        <f>3+793+136</f>
        <v>932</v>
      </c>
      <c r="E143" s="1">
        <v>0</v>
      </c>
      <c r="F143" s="1">
        <v>0</v>
      </c>
      <c r="G143" s="1">
        <v>0</v>
      </c>
      <c r="H143" s="1">
        <v>353</v>
      </c>
      <c r="I143" s="1">
        <v>6984</v>
      </c>
      <c r="J143" s="1">
        <f t="shared" si="9"/>
        <v>7337</v>
      </c>
      <c r="K143" s="1"/>
      <c r="M143">
        <v>114</v>
      </c>
      <c r="N143" t="s">
        <v>193</v>
      </c>
      <c r="O143" s="1">
        <v>1356</v>
      </c>
      <c r="P143" s="1">
        <v>0</v>
      </c>
      <c r="Q143" s="1">
        <v>0</v>
      </c>
      <c r="R143" s="1">
        <v>0</v>
      </c>
      <c r="S143" s="1">
        <v>0</v>
      </c>
      <c r="T143" s="1">
        <v>291</v>
      </c>
      <c r="U143" s="1"/>
      <c r="V143" s="1">
        <f t="shared" si="8"/>
        <v>291</v>
      </c>
    </row>
    <row r="144" spans="1:22" x14ac:dyDescent="0.25">
      <c r="A144" t="s">
        <v>101</v>
      </c>
      <c r="B144" t="s">
        <v>192</v>
      </c>
      <c r="C144" s="1">
        <f>23447+7+4304</f>
        <v>27758</v>
      </c>
      <c r="D144" s="1">
        <v>188</v>
      </c>
      <c r="E144" s="1">
        <v>0</v>
      </c>
      <c r="F144" s="1">
        <v>0</v>
      </c>
      <c r="G144" s="1">
        <v>0</v>
      </c>
      <c r="H144" s="1">
        <v>27530</v>
      </c>
      <c r="I144" s="1">
        <v>2929</v>
      </c>
      <c r="J144" s="1">
        <f t="shared" si="9"/>
        <v>30459</v>
      </c>
      <c r="K144" s="1"/>
      <c r="M144">
        <v>111</v>
      </c>
      <c r="N144" s="5" t="s">
        <v>194</v>
      </c>
      <c r="O144" s="6">
        <v>32129</v>
      </c>
      <c r="P144" s="6">
        <v>203</v>
      </c>
      <c r="Q144" s="6">
        <v>0</v>
      </c>
      <c r="R144" s="6">
        <v>0</v>
      </c>
      <c r="S144" s="6">
        <v>0</v>
      </c>
      <c r="T144" s="6">
        <v>875</v>
      </c>
      <c r="U144" s="6"/>
      <c r="V144" s="6">
        <f t="shared" si="8"/>
        <v>875</v>
      </c>
    </row>
    <row r="145" spans="1:22" x14ac:dyDescent="0.25">
      <c r="A145" t="s">
        <v>831</v>
      </c>
      <c r="B145" t="s">
        <v>193</v>
      </c>
      <c r="C145" s="1">
        <f>1213+143</f>
        <v>1356</v>
      </c>
      <c r="D145" s="1">
        <v>0</v>
      </c>
      <c r="E145" s="1">
        <v>0</v>
      </c>
      <c r="F145" s="1">
        <v>0</v>
      </c>
      <c r="G145" s="1">
        <v>0</v>
      </c>
      <c r="H145" s="1">
        <v>291</v>
      </c>
      <c r="I145" s="1">
        <v>125</v>
      </c>
      <c r="J145" s="1">
        <f t="shared" si="9"/>
        <v>416</v>
      </c>
      <c r="K145" s="1"/>
      <c r="M145">
        <v>712</v>
      </c>
      <c r="N145" t="s">
        <v>195</v>
      </c>
      <c r="O145" s="1">
        <v>34720</v>
      </c>
      <c r="P145" s="1">
        <v>52</v>
      </c>
      <c r="Q145" s="1">
        <v>0</v>
      </c>
      <c r="R145" s="1">
        <v>0</v>
      </c>
      <c r="S145" s="1">
        <v>0</v>
      </c>
      <c r="T145" s="1">
        <v>15100</v>
      </c>
      <c r="U145" s="1"/>
      <c r="V145" s="1">
        <f t="shared" si="8"/>
        <v>15100</v>
      </c>
    </row>
    <row r="146" spans="1:22" x14ac:dyDescent="0.25">
      <c r="A146" t="s">
        <v>811</v>
      </c>
      <c r="B146" s="5" t="s">
        <v>194</v>
      </c>
      <c r="C146" s="6"/>
      <c r="D146" s="6"/>
      <c r="E146" s="6"/>
      <c r="F146" s="6"/>
      <c r="G146" s="6"/>
      <c r="H146" s="6"/>
      <c r="I146" s="6"/>
      <c r="J146" s="6"/>
      <c r="K146" s="6" t="s">
        <v>867</v>
      </c>
      <c r="M146">
        <v>610</v>
      </c>
      <c r="N146" t="s">
        <v>196</v>
      </c>
      <c r="O146" s="1">
        <v>23137</v>
      </c>
      <c r="P146" s="1">
        <v>220</v>
      </c>
      <c r="Q146" s="1">
        <v>0</v>
      </c>
      <c r="R146" s="1">
        <v>0</v>
      </c>
      <c r="S146" s="1">
        <v>0</v>
      </c>
      <c r="T146" s="1">
        <v>23484</v>
      </c>
      <c r="U146" s="1"/>
      <c r="V146" s="1">
        <f t="shared" si="8"/>
        <v>23484</v>
      </c>
    </row>
    <row r="147" spans="1:22" x14ac:dyDescent="0.25">
      <c r="A147" t="s">
        <v>76</v>
      </c>
      <c r="B147" t="s">
        <v>195</v>
      </c>
      <c r="C147" s="1">
        <f>29997+8+56+4659</f>
        <v>34720</v>
      </c>
      <c r="D147" s="1">
        <f>44+2+6</f>
        <v>52</v>
      </c>
      <c r="E147" s="1">
        <v>0</v>
      </c>
      <c r="F147" s="1">
        <v>0</v>
      </c>
      <c r="G147" s="1">
        <v>0</v>
      </c>
      <c r="H147" s="1">
        <v>15100</v>
      </c>
      <c r="I147" s="1">
        <v>4132</v>
      </c>
      <c r="J147" s="1">
        <f t="shared" ref="J147:J152" si="10">SUM(H147,I147)</f>
        <v>19232</v>
      </c>
      <c r="K147" s="1"/>
      <c r="M147">
        <v>616</v>
      </c>
      <c r="N147" t="s">
        <v>197</v>
      </c>
      <c r="O147" s="1">
        <v>11754</v>
      </c>
      <c r="P147" s="1">
        <v>101</v>
      </c>
      <c r="Q147" s="1">
        <v>0</v>
      </c>
      <c r="R147" s="1">
        <v>0</v>
      </c>
      <c r="S147" s="1">
        <v>0</v>
      </c>
      <c r="T147" s="1">
        <v>15843</v>
      </c>
      <c r="U147" s="1"/>
      <c r="V147" s="1">
        <f t="shared" si="8"/>
        <v>15843</v>
      </c>
    </row>
    <row r="148" spans="1:22" x14ac:dyDescent="0.25">
      <c r="A148" t="s">
        <v>788</v>
      </c>
      <c r="B148" t="s">
        <v>196</v>
      </c>
      <c r="C148" s="1">
        <f>12132+5+4+1+10995</f>
        <v>23137</v>
      </c>
      <c r="D148" s="1">
        <f>1+2+37+180</f>
        <v>220</v>
      </c>
      <c r="E148" s="1">
        <v>0</v>
      </c>
      <c r="F148" s="1">
        <v>0</v>
      </c>
      <c r="G148" s="1">
        <v>0</v>
      </c>
      <c r="H148" s="1">
        <v>23484</v>
      </c>
      <c r="I148" s="1">
        <v>8714</v>
      </c>
      <c r="J148" s="1">
        <f t="shared" si="10"/>
        <v>32198</v>
      </c>
      <c r="K148" s="1"/>
      <c r="M148">
        <v>616</v>
      </c>
      <c r="N148" t="s">
        <v>198</v>
      </c>
      <c r="O148" s="1">
        <v>10901</v>
      </c>
      <c r="P148" s="1">
        <v>143</v>
      </c>
      <c r="Q148" s="1">
        <v>0</v>
      </c>
      <c r="R148" s="1">
        <v>0</v>
      </c>
      <c r="S148" s="1">
        <v>0</v>
      </c>
      <c r="T148" s="1">
        <v>11743</v>
      </c>
      <c r="U148" s="1"/>
      <c r="V148" s="1">
        <f t="shared" si="8"/>
        <v>11743</v>
      </c>
    </row>
    <row r="149" spans="1:22" x14ac:dyDescent="0.25">
      <c r="A149" t="s">
        <v>817</v>
      </c>
      <c r="B149" t="s">
        <v>197</v>
      </c>
      <c r="C149" s="1">
        <f>3480+23+8251</f>
        <v>11754</v>
      </c>
      <c r="D149" s="1">
        <f>8+5+25+63</f>
        <v>101</v>
      </c>
      <c r="E149" s="1">
        <v>0</v>
      </c>
      <c r="F149" s="1">
        <v>0</v>
      </c>
      <c r="G149" s="1">
        <v>0</v>
      </c>
      <c r="H149" s="1">
        <v>15843</v>
      </c>
      <c r="I149" s="1">
        <v>7215</v>
      </c>
      <c r="J149" s="1">
        <f t="shared" si="10"/>
        <v>23058</v>
      </c>
      <c r="K149" s="1"/>
      <c r="M149">
        <v>710</v>
      </c>
      <c r="N149" t="s">
        <v>199</v>
      </c>
      <c r="O149" s="1">
        <v>19970</v>
      </c>
      <c r="P149" s="1">
        <v>7</v>
      </c>
      <c r="Q149" s="1">
        <v>0</v>
      </c>
      <c r="R149" s="1">
        <v>0</v>
      </c>
      <c r="S149" s="1">
        <v>0</v>
      </c>
      <c r="T149" s="1">
        <v>107739</v>
      </c>
      <c r="U149" s="1"/>
      <c r="V149" s="1">
        <f t="shared" si="8"/>
        <v>107739</v>
      </c>
    </row>
    <row r="150" spans="1:22" x14ac:dyDescent="0.25">
      <c r="A150" t="s">
        <v>817</v>
      </c>
      <c r="B150" t="s">
        <v>198</v>
      </c>
      <c r="C150" s="1">
        <f>2889+8012</f>
        <v>10901</v>
      </c>
      <c r="D150" s="1">
        <f>4+3+86+50</f>
        <v>143</v>
      </c>
      <c r="E150" s="1">
        <v>0</v>
      </c>
      <c r="F150" s="1">
        <v>0</v>
      </c>
      <c r="G150" s="1">
        <v>0</v>
      </c>
      <c r="H150" s="1">
        <v>11743</v>
      </c>
      <c r="I150" s="1">
        <v>8029</v>
      </c>
      <c r="J150" s="1">
        <f t="shared" si="10"/>
        <v>19772</v>
      </c>
      <c r="K150" s="1"/>
      <c r="M150">
        <v>712</v>
      </c>
      <c r="N150" t="s">
        <v>200</v>
      </c>
      <c r="O150" s="1">
        <v>20539</v>
      </c>
      <c r="P150" s="1">
        <v>105</v>
      </c>
      <c r="Q150" s="1">
        <v>0</v>
      </c>
      <c r="R150" s="1">
        <v>0</v>
      </c>
      <c r="S150" s="1">
        <v>0</v>
      </c>
      <c r="T150" s="1">
        <v>12038</v>
      </c>
      <c r="U150" s="1"/>
      <c r="V150" s="1">
        <f t="shared" si="8"/>
        <v>12038</v>
      </c>
    </row>
    <row r="151" spans="1:22" x14ac:dyDescent="0.25">
      <c r="A151" t="s">
        <v>69</v>
      </c>
      <c r="B151" t="s">
        <v>199</v>
      </c>
      <c r="C151" s="1">
        <f>16005+3965</f>
        <v>19970</v>
      </c>
      <c r="D151" s="1">
        <v>7</v>
      </c>
      <c r="E151" s="1">
        <v>0</v>
      </c>
      <c r="F151" s="1">
        <v>0</v>
      </c>
      <c r="G151" s="1">
        <v>0</v>
      </c>
      <c r="H151" s="1">
        <v>107739</v>
      </c>
      <c r="I151" s="1">
        <v>3444</v>
      </c>
      <c r="J151" s="1">
        <f t="shared" si="10"/>
        <v>111183</v>
      </c>
      <c r="K151" s="1"/>
      <c r="M151">
        <v>311</v>
      </c>
      <c r="N151" t="s">
        <v>201</v>
      </c>
      <c r="O151" s="1"/>
      <c r="P151" s="1"/>
      <c r="Q151" s="1"/>
      <c r="R151" s="1"/>
      <c r="S151" s="1"/>
      <c r="T151" s="1"/>
      <c r="U151" s="1"/>
      <c r="V151" s="1"/>
    </row>
    <row r="152" spans="1:22" x14ac:dyDescent="0.25">
      <c r="A152" t="s">
        <v>76</v>
      </c>
      <c r="B152" t="s">
        <v>200</v>
      </c>
      <c r="C152" s="1">
        <f>14001+23+12+68+27+6408</f>
        <v>20539</v>
      </c>
      <c r="D152" s="1">
        <f>53+4+24+24</f>
        <v>105</v>
      </c>
      <c r="E152" s="1">
        <v>0</v>
      </c>
      <c r="F152" s="1">
        <v>0</v>
      </c>
      <c r="G152" s="1">
        <v>0</v>
      </c>
      <c r="H152" s="1">
        <v>12038</v>
      </c>
      <c r="I152" s="1">
        <v>5456</v>
      </c>
      <c r="J152" s="1">
        <f t="shared" si="10"/>
        <v>17494</v>
      </c>
      <c r="K152" s="1"/>
      <c r="M152">
        <v>613</v>
      </c>
      <c r="N152" t="s">
        <v>202</v>
      </c>
      <c r="O152" s="1">
        <v>10018</v>
      </c>
      <c r="P152" s="1">
        <v>10</v>
      </c>
      <c r="Q152" s="1">
        <v>0</v>
      </c>
      <c r="R152" s="1">
        <v>0</v>
      </c>
      <c r="S152" s="1">
        <v>0</v>
      </c>
      <c r="T152" s="1">
        <v>5809</v>
      </c>
      <c r="U152" s="1"/>
      <c r="V152" s="1">
        <f t="shared" si="8"/>
        <v>5809</v>
      </c>
    </row>
    <row r="153" spans="1:22" x14ac:dyDescent="0.25">
      <c r="A153" t="s">
        <v>120</v>
      </c>
      <c r="B153" t="s">
        <v>201</v>
      </c>
      <c r="C153" s="1"/>
      <c r="D153" s="1"/>
      <c r="E153" s="1"/>
      <c r="F153" s="1"/>
      <c r="G153" s="1"/>
      <c r="H153" s="1"/>
      <c r="I153" s="1"/>
      <c r="J153" s="1"/>
      <c r="K153" s="1"/>
      <c r="M153">
        <v>610</v>
      </c>
      <c r="N153" t="s">
        <v>203</v>
      </c>
      <c r="O153" s="1">
        <v>52708</v>
      </c>
      <c r="P153" s="1">
        <v>5</v>
      </c>
      <c r="Q153" s="1">
        <v>0</v>
      </c>
      <c r="R153" s="1">
        <v>0</v>
      </c>
      <c r="S153" s="1">
        <v>0</v>
      </c>
      <c r="T153" s="1">
        <v>4177</v>
      </c>
      <c r="U153" s="1"/>
      <c r="V153" s="1">
        <f t="shared" si="8"/>
        <v>4177</v>
      </c>
    </row>
    <row r="154" spans="1:22" x14ac:dyDescent="0.25">
      <c r="A154" t="s">
        <v>495</v>
      </c>
      <c r="B154" t="s">
        <v>202</v>
      </c>
      <c r="C154" s="1">
        <f>4880+2+9+1+420+4661+1+44</f>
        <v>10018</v>
      </c>
      <c r="D154" s="1">
        <f>2+8</f>
        <v>10</v>
      </c>
      <c r="E154" s="1">
        <v>0</v>
      </c>
      <c r="F154" s="1">
        <v>0</v>
      </c>
      <c r="G154" s="1">
        <v>0</v>
      </c>
      <c r="H154" s="1">
        <v>5809</v>
      </c>
      <c r="I154" s="1">
        <v>4061</v>
      </c>
      <c r="J154" s="1">
        <f t="shared" ref="J154:J160" si="11">SUM(H154,I154)</f>
        <v>9870</v>
      </c>
      <c r="K154" s="1"/>
      <c r="M154">
        <v>312</v>
      </c>
      <c r="N154" t="s">
        <v>204</v>
      </c>
      <c r="O154" s="1">
        <v>10303</v>
      </c>
      <c r="P154" s="1">
        <v>7</v>
      </c>
      <c r="Q154" s="1">
        <v>0</v>
      </c>
      <c r="R154" s="1">
        <v>0</v>
      </c>
      <c r="S154" s="1">
        <v>0</v>
      </c>
      <c r="T154" s="1">
        <v>1730</v>
      </c>
      <c r="U154" s="1"/>
      <c r="V154" s="1">
        <f t="shared" si="8"/>
        <v>1730</v>
      </c>
    </row>
    <row r="155" spans="1:22" x14ac:dyDescent="0.25">
      <c r="A155" t="s">
        <v>788</v>
      </c>
      <c r="B155" t="s">
        <v>203</v>
      </c>
      <c r="C155" s="1">
        <f>23748+10+3+3+28941</f>
        <v>52705</v>
      </c>
      <c r="D155" s="1">
        <f>2+3+2+1</f>
        <v>8</v>
      </c>
      <c r="E155" s="1">
        <v>0</v>
      </c>
      <c r="F155" s="1">
        <v>0</v>
      </c>
      <c r="G155" s="1">
        <v>0</v>
      </c>
      <c r="H155" s="1">
        <v>4177</v>
      </c>
      <c r="I155" s="1">
        <v>4490</v>
      </c>
      <c r="J155" s="1">
        <f t="shared" si="11"/>
        <v>8667</v>
      </c>
      <c r="K155" s="1"/>
      <c r="M155">
        <v>712</v>
      </c>
      <c r="N155" t="s">
        <v>205</v>
      </c>
      <c r="O155" s="1">
        <v>13525</v>
      </c>
      <c r="P155" s="1">
        <v>209</v>
      </c>
      <c r="Q155" s="1">
        <v>0</v>
      </c>
      <c r="R155" s="1">
        <v>0</v>
      </c>
      <c r="S155" s="1">
        <v>0</v>
      </c>
      <c r="T155" s="1">
        <v>18124</v>
      </c>
      <c r="U155" s="1"/>
      <c r="V155" s="1">
        <f t="shared" si="8"/>
        <v>18124</v>
      </c>
    </row>
    <row r="156" spans="1:22" x14ac:dyDescent="0.25">
      <c r="A156" t="s">
        <v>72</v>
      </c>
      <c r="B156" t="s">
        <v>204</v>
      </c>
      <c r="C156" s="1">
        <f>9282+8+8+1005</f>
        <v>10303</v>
      </c>
      <c r="D156" s="1">
        <v>7</v>
      </c>
      <c r="E156" s="1">
        <v>0</v>
      </c>
      <c r="F156" s="1">
        <v>0</v>
      </c>
      <c r="G156" s="1">
        <v>0</v>
      </c>
      <c r="H156" s="1">
        <v>1730</v>
      </c>
      <c r="I156" s="1">
        <v>942</v>
      </c>
      <c r="J156" s="1">
        <f t="shared" si="11"/>
        <v>2672</v>
      </c>
      <c r="K156" s="1"/>
      <c r="M156">
        <v>211</v>
      </c>
      <c r="N156" t="s">
        <v>206</v>
      </c>
      <c r="O156" s="1">
        <v>11016</v>
      </c>
      <c r="P156" s="1">
        <v>12</v>
      </c>
      <c r="Q156" s="1">
        <v>0</v>
      </c>
      <c r="R156" s="1">
        <v>0</v>
      </c>
      <c r="S156" s="1">
        <v>0</v>
      </c>
      <c r="T156" s="1">
        <v>8875</v>
      </c>
      <c r="U156" s="1"/>
      <c r="V156" s="1">
        <f t="shared" si="8"/>
        <v>8875</v>
      </c>
    </row>
    <row r="157" spans="1:22" x14ac:dyDescent="0.25">
      <c r="A157" t="s">
        <v>76</v>
      </c>
      <c r="B157" t="s">
        <v>205</v>
      </c>
      <c r="C157" s="1">
        <f>5094+18+41+1+8371</f>
        <v>13525</v>
      </c>
      <c r="D157" s="1">
        <f>46+163</f>
        <v>209</v>
      </c>
      <c r="E157" s="1">
        <v>0</v>
      </c>
      <c r="F157" s="1">
        <v>0</v>
      </c>
      <c r="G157" s="1">
        <v>0</v>
      </c>
      <c r="H157" s="1">
        <v>18124</v>
      </c>
      <c r="I157" s="1">
        <v>5295</v>
      </c>
      <c r="J157" s="1">
        <f t="shared" si="11"/>
        <v>23419</v>
      </c>
      <c r="K157" s="1"/>
      <c r="M157">
        <v>712</v>
      </c>
      <c r="N157" t="s">
        <v>207</v>
      </c>
      <c r="O157" s="1">
        <v>29709</v>
      </c>
      <c r="P157" s="1">
        <v>29</v>
      </c>
      <c r="Q157" s="1">
        <v>0</v>
      </c>
      <c r="R157" s="1">
        <v>0</v>
      </c>
      <c r="S157" s="1">
        <v>0</v>
      </c>
      <c r="T157" s="1">
        <v>6317</v>
      </c>
      <c r="U157" s="1"/>
      <c r="V157" s="1">
        <f t="shared" si="8"/>
        <v>6317</v>
      </c>
    </row>
    <row r="158" spans="1:22" x14ac:dyDescent="0.25">
      <c r="A158" t="s">
        <v>864</v>
      </c>
      <c r="B158" t="s">
        <v>206</v>
      </c>
      <c r="C158" s="1">
        <f>2706+237+7066+1007</f>
        <v>11016</v>
      </c>
      <c r="D158" s="1">
        <f>3+2+7</f>
        <v>12</v>
      </c>
      <c r="E158" s="1">
        <v>0</v>
      </c>
      <c r="F158" s="1">
        <v>0</v>
      </c>
      <c r="G158" s="1">
        <v>0</v>
      </c>
      <c r="H158" s="1">
        <v>8875</v>
      </c>
      <c r="I158" s="1">
        <v>7576</v>
      </c>
      <c r="J158" s="1">
        <f t="shared" si="11"/>
        <v>16451</v>
      </c>
      <c r="K158" s="1"/>
      <c r="M158" t="s">
        <v>820</v>
      </c>
      <c r="N158" t="s">
        <v>208</v>
      </c>
      <c r="O158" s="1">
        <v>4088</v>
      </c>
      <c r="P158" s="1">
        <v>0</v>
      </c>
      <c r="Q158" s="1">
        <v>0</v>
      </c>
      <c r="R158" s="1">
        <v>0</v>
      </c>
      <c r="S158" s="1">
        <v>0</v>
      </c>
      <c r="T158" s="1">
        <v>8582</v>
      </c>
      <c r="U158" s="1"/>
      <c r="V158" s="1">
        <f t="shared" si="8"/>
        <v>8582</v>
      </c>
    </row>
    <row r="159" spans="1:22" x14ac:dyDescent="0.25">
      <c r="A159" t="s">
        <v>76</v>
      </c>
      <c r="B159" t="s">
        <v>207</v>
      </c>
      <c r="C159" s="1">
        <f>18410+11299</f>
        <v>29709</v>
      </c>
      <c r="D159" s="1">
        <f>5+24</f>
        <v>29</v>
      </c>
      <c r="E159" s="1">
        <v>0</v>
      </c>
      <c r="F159" s="1">
        <v>0</v>
      </c>
      <c r="G159" s="1">
        <v>0</v>
      </c>
      <c r="H159" s="1">
        <v>6317</v>
      </c>
      <c r="I159" s="1">
        <v>10039</v>
      </c>
      <c r="J159" s="1">
        <f t="shared" si="11"/>
        <v>16356</v>
      </c>
      <c r="K159" s="1"/>
      <c r="M159">
        <v>711</v>
      </c>
      <c r="N159" t="s">
        <v>209</v>
      </c>
      <c r="O159" s="1"/>
      <c r="P159" s="1"/>
      <c r="Q159" s="1"/>
      <c r="R159" s="1"/>
      <c r="S159" s="1"/>
      <c r="T159" s="1"/>
      <c r="U159" s="1"/>
      <c r="V159" s="1"/>
    </row>
    <row r="160" spans="1:22" x14ac:dyDescent="0.25">
      <c r="A160" t="s">
        <v>265</v>
      </c>
      <c r="B160" t="s">
        <v>208</v>
      </c>
      <c r="C160" s="1">
        <f>3377+711</f>
        <v>4088</v>
      </c>
      <c r="D160" s="1">
        <v>0</v>
      </c>
      <c r="E160" s="1">
        <v>0</v>
      </c>
      <c r="F160" s="1">
        <v>0</v>
      </c>
      <c r="G160" s="1">
        <v>0</v>
      </c>
      <c r="H160" s="1">
        <v>8582</v>
      </c>
      <c r="I160" s="1">
        <v>701</v>
      </c>
      <c r="J160" s="1">
        <f t="shared" si="11"/>
        <v>9283</v>
      </c>
      <c r="K160" s="1"/>
      <c r="M160">
        <v>312</v>
      </c>
      <c r="N160" t="s">
        <v>210</v>
      </c>
      <c r="O160" s="1">
        <v>19102</v>
      </c>
      <c r="P160" s="1">
        <v>68</v>
      </c>
      <c r="Q160" s="1">
        <v>0</v>
      </c>
      <c r="R160" s="1">
        <v>0</v>
      </c>
      <c r="S160" s="1">
        <v>0</v>
      </c>
      <c r="T160" s="1">
        <v>16296</v>
      </c>
      <c r="U160" s="1"/>
      <c r="V160" s="1">
        <f t="shared" si="8"/>
        <v>16296</v>
      </c>
    </row>
    <row r="161" spans="1:22" x14ac:dyDescent="0.25">
      <c r="A161" t="s">
        <v>801</v>
      </c>
      <c r="B161" t="s">
        <v>209</v>
      </c>
      <c r="C161" s="1"/>
      <c r="D161" s="1"/>
      <c r="E161" s="1"/>
      <c r="F161" s="1"/>
      <c r="G161" s="1"/>
      <c r="H161" s="1"/>
      <c r="I161" s="1"/>
      <c r="J161" s="1"/>
      <c r="K161" s="1"/>
      <c r="M161">
        <v>616</v>
      </c>
      <c r="N161" t="s">
        <v>211</v>
      </c>
      <c r="O161" s="1">
        <v>40942</v>
      </c>
      <c r="P161" s="1">
        <v>160</v>
      </c>
      <c r="Q161" s="1">
        <v>0</v>
      </c>
      <c r="R161" s="1">
        <v>0</v>
      </c>
      <c r="S161" s="1">
        <v>0</v>
      </c>
      <c r="T161" s="1">
        <v>25752</v>
      </c>
      <c r="U161" s="1"/>
      <c r="V161" s="1">
        <f t="shared" si="8"/>
        <v>25752</v>
      </c>
    </row>
    <row r="162" spans="1:22" x14ac:dyDescent="0.25">
      <c r="A162" t="s">
        <v>72</v>
      </c>
      <c r="B162" t="s">
        <v>210</v>
      </c>
      <c r="C162" s="1">
        <f>11209+40+5+1+17+7830</f>
        <v>19102</v>
      </c>
      <c r="D162" s="1">
        <f>33+34+1</f>
        <v>68</v>
      </c>
      <c r="E162" s="1">
        <v>0</v>
      </c>
      <c r="F162" s="1">
        <v>0</v>
      </c>
      <c r="G162" s="1">
        <v>0</v>
      </c>
      <c r="H162" s="1">
        <v>16296</v>
      </c>
      <c r="I162" s="1">
        <v>7348</v>
      </c>
      <c r="J162" s="1">
        <f t="shared" ref="J162:J170" si="12">SUM(H162,I162)</f>
        <v>23644</v>
      </c>
      <c r="K162" s="1"/>
      <c r="M162">
        <v>312</v>
      </c>
      <c r="N162" t="s">
        <v>212</v>
      </c>
      <c r="O162" s="1">
        <v>14327</v>
      </c>
      <c r="P162" s="1">
        <v>1</v>
      </c>
      <c r="Q162" s="1">
        <v>0</v>
      </c>
      <c r="R162" s="1">
        <v>0</v>
      </c>
      <c r="S162" s="1">
        <v>0</v>
      </c>
      <c r="T162" s="1">
        <v>2834</v>
      </c>
      <c r="U162" s="1"/>
      <c r="V162" s="1">
        <f t="shared" si="8"/>
        <v>2834</v>
      </c>
    </row>
    <row r="163" spans="1:22" x14ac:dyDescent="0.25">
      <c r="A163" t="s">
        <v>817</v>
      </c>
      <c r="B163" t="s">
        <v>211</v>
      </c>
      <c r="C163" s="1">
        <f>1771+35+4+39131+1</f>
        <v>40942</v>
      </c>
      <c r="D163" s="1">
        <f>47+77+36</f>
        <v>160</v>
      </c>
      <c r="E163" s="1">
        <v>0</v>
      </c>
      <c r="F163" s="1">
        <v>0</v>
      </c>
      <c r="G163" s="1">
        <v>0</v>
      </c>
      <c r="H163" s="1">
        <v>25752</v>
      </c>
      <c r="I163" s="1">
        <v>34748</v>
      </c>
      <c r="J163" s="1">
        <f t="shared" si="12"/>
        <v>60500</v>
      </c>
      <c r="K163" s="1"/>
      <c r="M163">
        <v>514</v>
      </c>
      <c r="N163" t="s">
        <v>213</v>
      </c>
      <c r="O163" s="1">
        <v>2701</v>
      </c>
      <c r="P163" s="1">
        <v>0</v>
      </c>
      <c r="Q163" s="1">
        <v>0</v>
      </c>
      <c r="R163" s="1">
        <v>0</v>
      </c>
      <c r="S163" s="1">
        <v>0</v>
      </c>
      <c r="T163" s="1">
        <v>8717</v>
      </c>
      <c r="U163" s="1"/>
      <c r="V163" s="1">
        <f t="shared" si="8"/>
        <v>8717</v>
      </c>
    </row>
    <row r="164" spans="1:22" x14ac:dyDescent="0.25">
      <c r="A164" t="s">
        <v>72</v>
      </c>
      <c r="B164" t="s">
        <v>212</v>
      </c>
      <c r="C164" s="1">
        <f>12728+4+1595</f>
        <v>14327</v>
      </c>
      <c r="D164" s="1">
        <v>1</v>
      </c>
      <c r="E164" s="1">
        <v>0</v>
      </c>
      <c r="F164" s="1">
        <v>0</v>
      </c>
      <c r="G164" s="1">
        <v>0</v>
      </c>
      <c r="H164" s="1">
        <v>2834</v>
      </c>
      <c r="I164" s="1">
        <v>1570</v>
      </c>
      <c r="J164" s="1">
        <f t="shared" si="12"/>
        <v>4404</v>
      </c>
      <c r="K164" s="1"/>
      <c r="M164">
        <v>613</v>
      </c>
      <c r="N164" t="s">
        <v>214</v>
      </c>
      <c r="O164" s="1">
        <v>24345</v>
      </c>
      <c r="P164" s="1">
        <v>404</v>
      </c>
      <c r="Q164" s="1">
        <v>0</v>
      </c>
      <c r="R164" s="1">
        <v>0</v>
      </c>
      <c r="S164" s="1">
        <v>0</v>
      </c>
      <c r="T164" s="1">
        <v>13581</v>
      </c>
      <c r="U164" s="1"/>
      <c r="V164" s="1">
        <f t="shared" si="8"/>
        <v>13581</v>
      </c>
    </row>
    <row r="165" spans="1:22" x14ac:dyDescent="0.25">
      <c r="A165" t="s">
        <v>134</v>
      </c>
      <c r="B165" t="s">
        <v>213</v>
      </c>
      <c r="C165" s="1">
        <f>2341+360</f>
        <v>2701</v>
      </c>
      <c r="D165" s="1">
        <v>0</v>
      </c>
      <c r="E165" s="1">
        <v>0</v>
      </c>
      <c r="F165" s="1">
        <v>0</v>
      </c>
      <c r="G165" s="1">
        <v>0</v>
      </c>
      <c r="H165" s="1">
        <v>8717</v>
      </c>
      <c r="I165" s="1">
        <v>350</v>
      </c>
      <c r="J165" s="1">
        <f t="shared" si="12"/>
        <v>9067</v>
      </c>
      <c r="K165" s="1"/>
      <c r="M165">
        <v>611</v>
      </c>
      <c r="N165" t="s">
        <v>215</v>
      </c>
      <c r="O165" s="1">
        <v>29079</v>
      </c>
      <c r="P165" s="1">
        <v>2</v>
      </c>
      <c r="Q165" s="1">
        <v>0</v>
      </c>
      <c r="R165" s="1">
        <v>0</v>
      </c>
      <c r="S165" s="1">
        <v>0</v>
      </c>
      <c r="T165" s="1">
        <v>23996</v>
      </c>
      <c r="U165" s="1"/>
      <c r="V165" s="1">
        <f t="shared" si="8"/>
        <v>23996</v>
      </c>
    </row>
    <row r="166" spans="1:22" x14ac:dyDescent="0.25">
      <c r="A166" t="s">
        <v>495</v>
      </c>
      <c r="B166" t="s">
        <v>214</v>
      </c>
      <c r="C166" s="1">
        <f>17449+34+14+6848</f>
        <v>24345</v>
      </c>
      <c r="D166" s="1">
        <f>311+2+87+2+2</f>
        <v>404</v>
      </c>
      <c r="E166" s="1">
        <v>0</v>
      </c>
      <c r="F166" s="1">
        <v>0</v>
      </c>
      <c r="G166" s="1">
        <v>0</v>
      </c>
      <c r="H166" s="1">
        <v>13581</v>
      </c>
      <c r="I166" s="1">
        <v>5733</v>
      </c>
      <c r="J166" s="1">
        <f t="shared" si="12"/>
        <v>19314</v>
      </c>
      <c r="K166" s="1"/>
      <c r="M166" t="s">
        <v>815</v>
      </c>
      <c r="N166" t="s">
        <v>216</v>
      </c>
      <c r="O166" s="1">
        <v>11968</v>
      </c>
      <c r="P166" s="1">
        <v>7</v>
      </c>
      <c r="Q166" s="1">
        <v>0</v>
      </c>
      <c r="R166" s="1">
        <v>0</v>
      </c>
      <c r="S166" s="1">
        <v>0</v>
      </c>
      <c r="T166" s="1">
        <v>1079</v>
      </c>
      <c r="U166" s="1"/>
      <c r="V166" s="1">
        <f t="shared" si="8"/>
        <v>1079</v>
      </c>
    </row>
    <row r="167" spans="1:22" x14ac:dyDescent="0.25">
      <c r="A167" t="s">
        <v>146</v>
      </c>
      <c r="B167" t="s">
        <v>215</v>
      </c>
      <c r="C167" s="1">
        <f>20222+1+5+1+8850</f>
        <v>29079</v>
      </c>
      <c r="D167" s="1">
        <v>2</v>
      </c>
      <c r="E167" s="1">
        <v>0</v>
      </c>
      <c r="F167" s="1">
        <v>0</v>
      </c>
      <c r="G167" s="1">
        <v>0</v>
      </c>
      <c r="H167" s="1">
        <v>23996</v>
      </c>
      <c r="I167" s="1">
        <v>8030</v>
      </c>
      <c r="J167" s="1">
        <f t="shared" si="12"/>
        <v>32026</v>
      </c>
      <c r="K167" s="1"/>
      <c r="M167" t="s">
        <v>814</v>
      </c>
      <c r="N167" t="s">
        <v>217</v>
      </c>
      <c r="O167" s="1">
        <v>4777</v>
      </c>
      <c r="P167" s="1">
        <v>0</v>
      </c>
      <c r="Q167" s="1">
        <v>0</v>
      </c>
      <c r="R167" s="1">
        <v>0</v>
      </c>
      <c r="S167" s="1">
        <v>0</v>
      </c>
      <c r="T167" s="1">
        <v>6399</v>
      </c>
      <c r="U167" s="1"/>
      <c r="V167" s="1">
        <f t="shared" si="8"/>
        <v>6399</v>
      </c>
    </row>
    <row r="168" spans="1:22" x14ac:dyDescent="0.25">
      <c r="A168" t="s">
        <v>138</v>
      </c>
      <c r="B168" t="s">
        <v>216</v>
      </c>
      <c r="C168" s="1">
        <f>8996+86+2886</f>
        <v>11968</v>
      </c>
      <c r="D168" s="1">
        <v>7</v>
      </c>
      <c r="E168" s="1">
        <v>0</v>
      </c>
      <c r="F168" s="1">
        <v>0</v>
      </c>
      <c r="G168" s="1">
        <v>0</v>
      </c>
      <c r="H168" s="1">
        <v>1079</v>
      </c>
      <c r="I168" s="1">
        <v>2476</v>
      </c>
      <c r="J168" s="1">
        <f t="shared" si="12"/>
        <v>3555</v>
      </c>
      <c r="K168" s="1"/>
      <c r="M168" t="s">
        <v>820</v>
      </c>
      <c r="N168" t="s">
        <v>218</v>
      </c>
      <c r="O168" s="1">
        <v>4937</v>
      </c>
      <c r="P168" s="1">
        <v>0</v>
      </c>
      <c r="Q168" s="1">
        <v>0</v>
      </c>
      <c r="R168" s="1">
        <v>0</v>
      </c>
      <c r="S168" s="1">
        <v>0</v>
      </c>
      <c r="T168" s="1">
        <v>7162</v>
      </c>
      <c r="U168" s="1"/>
      <c r="V168" s="1">
        <f t="shared" si="8"/>
        <v>7162</v>
      </c>
    </row>
    <row r="169" spans="1:22" x14ac:dyDescent="0.25">
      <c r="A169" t="s">
        <v>794</v>
      </c>
      <c r="B169" t="s">
        <v>217</v>
      </c>
      <c r="C169" s="1">
        <f>3258+1+1518</f>
        <v>4777</v>
      </c>
      <c r="D169" s="1">
        <v>0</v>
      </c>
      <c r="E169" s="1">
        <v>0</v>
      </c>
      <c r="F169" s="1">
        <v>0</v>
      </c>
      <c r="G169" s="1">
        <v>0</v>
      </c>
      <c r="H169" s="1">
        <v>6399</v>
      </c>
      <c r="I169" s="1">
        <v>1209</v>
      </c>
      <c r="J169" s="1">
        <f t="shared" si="12"/>
        <v>7608</v>
      </c>
      <c r="K169" s="1"/>
      <c r="M169">
        <v>711</v>
      </c>
      <c r="N169" t="s">
        <v>219</v>
      </c>
      <c r="O169" s="1"/>
      <c r="P169" s="1"/>
      <c r="Q169" s="1"/>
      <c r="R169" s="1"/>
      <c r="S169" s="1"/>
      <c r="T169" s="1"/>
      <c r="U169" s="1"/>
      <c r="V169" s="1"/>
    </row>
    <row r="170" spans="1:22" x14ac:dyDescent="0.25">
      <c r="A170" t="s">
        <v>265</v>
      </c>
      <c r="B170" t="s">
        <v>218</v>
      </c>
      <c r="C170" s="1">
        <f>4269+2+5+3+4+1+653</f>
        <v>4937</v>
      </c>
      <c r="D170" s="1">
        <v>0</v>
      </c>
      <c r="E170" s="1">
        <v>0</v>
      </c>
      <c r="F170" s="1">
        <v>0</v>
      </c>
      <c r="G170" s="1">
        <v>0</v>
      </c>
      <c r="H170" s="1">
        <v>7162</v>
      </c>
      <c r="I170" s="1">
        <v>514</v>
      </c>
      <c r="J170" s="1">
        <f t="shared" si="12"/>
        <v>7676</v>
      </c>
      <c r="K170" s="1"/>
      <c r="M170">
        <v>114</v>
      </c>
      <c r="N170" t="s">
        <v>220</v>
      </c>
      <c r="O170" s="1">
        <v>1422</v>
      </c>
      <c r="P170" s="1">
        <v>0</v>
      </c>
      <c r="Q170" s="1">
        <v>0</v>
      </c>
      <c r="R170" s="1">
        <v>0</v>
      </c>
      <c r="S170" s="1">
        <v>0</v>
      </c>
      <c r="T170" s="1">
        <v>1977</v>
      </c>
      <c r="U170" s="1"/>
      <c r="V170" s="1">
        <f t="shared" si="8"/>
        <v>1977</v>
      </c>
    </row>
    <row r="171" spans="1:22" x14ac:dyDescent="0.25">
      <c r="A171" t="s">
        <v>801</v>
      </c>
      <c r="B171" t="s">
        <v>219</v>
      </c>
      <c r="C171" s="1"/>
      <c r="D171" s="1"/>
      <c r="E171" s="1"/>
      <c r="F171" s="1"/>
      <c r="G171" s="1"/>
      <c r="H171" s="1"/>
      <c r="I171" s="1"/>
      <c r="J171" s="1"/>
      <c r="K171" s="1"/>
      <c r="M171" t="s">
        <v>814</v>
      </c>
      <c r="N171" t="s">
        <v>221</v>
      </c>
      <c r="O171" s="1">
        <v>15952</v>
      </c>
      <c r="P171" s="1">
        <v>44</v>
      </c>
      <c r="Q171" s="1">
        <v>0</v>
      </c>
      <c r="R171" s="1">
        <v>0</v>
      </c>
      <c r="S171" s="1">
        <v>0</v>
      </c>
      <c r="T171" s="1">
        <v>11892</v>
      </c>
      <c r="U171" s="1"/>
      <c r="V171" s="1">
        <f t="shared" si="8"/>
        <v>11892</v>
      </c>
    </row>
    <row r="172" spans="1:22" x14ac:dyDescent="0.25">
      <c r="A172" s="9" t="s">
        <v>831</v>
      </c>
      <c r="B172" s="10" t="s">
        <v>220</v>
      </c>
      <c r="C172" s="1">
        <f>1192+230</f>
        <v>1422</v>
      </c>
      <c r="D172" s="1">
        <v>0</v>
      </c>
      <c r="E172" s="1">
        <v>0</v>
      </c>
      <c r="F172" s="1">
        <v>0</v>
      </c>
      <c r="G172" s="1">
        <v>0</v>
      </c>
      <c r="H172" s="1">
        <v>1977</v>
      </c>
      <c r="I172" s="1">
        <v>232</v>
      </c>
      <c r="J172" s="1">
        <f>SUM(H172,I172)</f>
        <v>2209</v>
      </c>
      <c r="K172" s="1"/>
      <c r="M172" s="9">
        <v>311</v>
      </c>
      <c r="N172" s="10" t="s">
        <v>222</v>
      </c>
      <c r="O172" s="1"/>
      <c r="P172" s="1"/>
      <c r="Q172" s="1"/>
      <c r="R172" s="1"/>
      <c r="S172" s="1"/>
      <c r="T172" s="1"/>
      <c r="U172" s="1"/>
      <c r="V172" s="1"/>
    </row>
    <row r="173" spans="1:22" x14ac:dyDescent="0.25">
      <c r="A173" t="s">
        <v>794</v>
      </c>
      <c r="B173" t="s">
        <v>221</v>
      </c>
      <c r="C173" s="1">
        <f>10391+4+4+5551+2</f>
        <v>15952</v>
      </c>
      <c r="D173" s="1">
        <f>8+36</f>
        <v>44</v>
      </c>
      <c r="E173" s="1">
        <v>0</v>
      </c>
      <c r="F173" s="1">
        <v>0</v>
      </c>
      <c r="G173" s="1">
        <v>0</v>
      </c>
      <c r="H173" s="1">
        <v>11892</v>
      </c>
      <c r="I173" s="1">
        <v>4015</v>
      </c>
      <c r="J173" s="1">
        <f>SUM(H173,I173)</f>
        <v>15907</v>
      </c>
      <c r="K173" s="1"/>
      <c r="M173">
        <v>161</v>
      </c>
      <c r="N173" t="s">
        <v>223</v>
      </c>
      <c r="O173" s="1">
        <v>3091</v>
      </c>
      <c r="P173" s="1">
        <v>13</v>
      </c>
      <c r="Q173" s="1">
        <v>0</v>
      </c>
      <c r="R173" s="1">
        <v>0</v>
      </c>
      <c r="S173" s="1">
        <v>0</v>
      </c>
      <c r="T173" s="1">
        <v>509</v>
      </c>
      <c r="U173" s="1"/>
      <c r="V173" s="1">
        <f t="shared" si="8"/>
        <v>509</v>
      </c>
    </row>
    <row r="174" spans="1:22" x14ac:dyDescent="0.25">
      <c r="A174" t="s">
        <v>120</v>
      </c>
      <c r="B174" t="s">
        <v>222</v>
      </c>
      <c r="C174" s="1"/>
      <c r="D174" s="1"/>
      <c r="E174" s="1"/>
      <c r="F174" s="1"/>
      <c r="G174" s="1"/>
      <c r="H174" s="1"/>
      <c r="I174" s="1"/>
      <c r="J174" s="1"/>
      <c r="K174" s="1"/>
      <c r="M174">
        <v>412</v>
      </c>
      <c r="N174" t="s">
        <v>224</v>
      </c>
      <c r="O174" s="1">
        <v>7166</v>
      </c>
      <c r="P174" s="1">
        <v>30</v>
      </c>
      <c r="Q174" s="1">
        <v>0</v>
      </c>
      <c r="R174" s="1">
        <v>0</v>
      </c>
      <c r="S174" s="1">
        <v>0</v>
      </c>
      <c r="T174" s="1">
        <v>4426</v>
      </c>
      <c r="U174" s="1"/>
      <c r="V174" s="1">
        <f t="shared" si="8"/>
        <v>4426</v>
      </c>
    </row>
    <row r="175" spans="1:22" x14ac:dyDescent="0.25">
      <c r="A175" t="s">
        <v>848</v>
      </c>
      <c r="B175" t="s">
        <v>223</v>
      </c>
      <c r="C175" s="1">
        <f>2659+432</f>
        <v>3091</v>
      </c>
      <c r="D175" s="1">
        <v>13</v>
      </c>
      <c r="E175" s="1">
        <v>0</v>
      </c>
      <c r="F175" s="1">
        <v>0</v>
      </c>
      <c r="G175" s="1">
        <v>0</v>
      </c>
      <c r="H175" s="1">
        <v>509</v>
      </c>
      <c r="I175" s="1">
        <v>390</v>
      </c>
      <c r="J175" s="1">
        <f>SUM(H175,I175)</f>
        <v>899</v>
      </c>
      <c r="K175" s="1"/>
      <c r="M175" s="23">
        <v>710</v>
      </c>
      <c r="N175" s="23" t="s">
        <v>225</v>
      </c>
      <c r="O175" s="1">
        <v>25968</v>
      </c>
      <c r="P175" s="1">
        <v>36</v>
      </c>
      <c r="Q175" s="1">
        <v>0</v>
      </c>
      <c r="R175" s="1">
        <v>0</v>
      </c>
      <c r="S175" s="1">
        <v>0</v>
      </c>
      <c r="T175" s="1">
        <v>91058</v>
      </c>
      <c r="U175" s="1"/>
      <c r="V175" s="1">
        <f t="shared" si="8"/>
        <v>91058</v>
      </c>
    </row>
    <row r="176" spans="1:22" x14ac:dyDescent="0.25">
      <c r="A176" t="s">
        <v>825</v>
      </c>
      <c r="B176" t="s">
        <v>224</v>
      </c>
      <c r="C176" s="1">
        <f>5987+157+1022</f>
        <v>7166</v>
      </c>
      <c r="D176" s="1">
        <v>30</v>
      </c>
      <c r="E176" s="1">
        <v>0</v>
      </c>
      <c r="F176" s="1">
        <v>0</v>
      </c>
      <c r="G176" s="1">
        <v>0</v>
      </c>
      <c r="H176" s="1">
        <v>4426</v>
      </c>
      <c r="I176" s="1">
        <v>878</v>
      </c>
      <c r="J176" s="1">
        <f>SUM(H176,I176)</f>
        <v>5304</v>
      </c>
      <c r="K176" s="1"/>
      <c r="M176">
        <v>300</v>
      </c>
      <c r="N176" t="s">
        <v>227</v>
      </c>
      <c r="O176" s="1">
        <v>6307</v>
      </c>
      <c r="P176" s="1">
        <v>17</v>
      </c>
      <c r="Q176" s="1">
        <v>0</v>
      </c>
      <c r="R176" s="1">
        <v>0</v>
      </c>
      <c r="S176" s="1">
        <v>0</v>
      </c>
      <c r="T176" s="1">
        <v>1609</v>
      </c>
      <c r="U176" s="1"/>
      <c r="V176" s="1">
        <f t="shared" si="8"/>
        <v>1609</v>
      </c>
    </row>
    <row r="177" spans="1:22" x14ac:dyDescent="0.25">
      <c r="A177" s="23" t="s">
        <v>805</v>
      </c>
      <c r="B177" s="23" t="s">
        <v>225</v>
      </c>
      <c r="C177" s="1"/>
      <c r="D177" s="1"/>
      <c r="E177" s="1"/>
      <c r="F177" s="1"/>
      <c r="G177" s="1"/>
      <c r="H177" s="1"/>
      <c r="I177" s="1"/>
      <c r="J177" s="1"/>
      <c r="K177" s="1"/>
      <c r="M177">
        <v>300</v>
      </c>
      <c r="N177" t="s">
        <v>228</v>
      </c>
      <c r="O177" s="1">
        <v>11316</v>
      </c>
      <c r="P177" s="1">
        <v>22</v>
      </c>
      <c r="Q177" s="1">
        <v>0</v>
      </c>
      <c r="R177" s="1">
        <v>0</v>
      </c>
      <c r="S177" s="1">
        <v>0</v>
      </c>
      <c r="T177" s="1">
        <v>12913</v>
      </c>
      <c r="U177" s="1"/>
      <c r="V177" s="1">
        <f t="shared" si="8"/>
        <v>12913</v>
      </c>
    </row>
    <row r="178" spans="1:22" x14ac:dyDescent="0.25">
      <c r="A178" t="s">
        <v>226</v>
      </c>
      <c r="B178" t="s">
        <v>227</v>
      </c>
      <c r="C178" s="1">
        <f>5095+1+3+1208</f>
        <v>6307</v>
      </c>
      <c r="D178" s="1">
        <v>17</v>
      </c>
      <c r="E178" s="1">
        <v>0</v>
      </c>
      <c r="F178" s="1">
        <v>0</v>
      </c>
      <c r="G178" s="1">
        <v>0</v>
      </c>
      <c r="H178" s="1">
        <v>1609</v>
      </c>
      <c r="I178" s="1">
        <v>1056</v>
      </c>
      <c r="J178" s="1">
        <f t="shared" ref="J178:J185" si="13">SUM(H178,I178)</f>
        <v>2665</v>
      </c>
      <c r="K178" s="1"/>
      <c r="M178">
        <v>173</v>
      </c>
      <c r="N178" t="s">
        <v>230</v>
      </c>
      <c r="O178" s="1">
        <v>3854</v>
      </c>
      <c r="P178" s="1">
        <v>21</v>
      </c>
      <c r="Q178" s="1">
        <v>0</v>
      </c>
      <c r="R178" s="1">
        <v>0</v>
      </c>
      <c r="S178" s="1">
        <v>0</v>
      </c>
      <c r="T178" s="1">
        <v>4279</v>
      </c>
      <c r="U178" s="1"/>
      <c r="V178" s="1">
        <f t="shared" si="8"/>
        <v>4279</v>
      </c>
    </row>
    <row r="179" spans="1:22" x14ac:dyDescent="0.25">
      <c r="A179" t="s">
        <v>226</v>
      </c>
      <c r="B179" t="s">
        <v>228</v>
      </c>
      <c r="C179" s="1">
        <f>9013+1+2302</f>
        <v>11316</v>
      </c>
      <c r="D179" s="1">
        <f>19+2+1</f>
        <v>22</v>
      </c>
      <c r="E179" s="1">
        <v>0</v>
      </c>
      <c r="F179" s="1">
        <v>0</v>
      </c>
      <c r="G179" s="1">
        <v>0</v>
      </c>
      <c r="H179" s="1">
        <v>12913</v>
      </c>
      <c r="I179" s="1">
        <v>2140</v>
      </c>
      <c r="J179" s="1">
        <f t="shared" si="13"/>
        <v>15053</v>
      </c>
      <c r="K179" s="1"/>
      <c r="M179">
        <v>118</v>
      </c>
      <c r="N179" t="s">
        <v>232</v>
      </c>
      <c r="O179" s="1">
        <v>4682</v>
      </c>
      <c r="P179" s="1">
        <v>0</v>
      </c>
      <c r="Q179" s="1">
        <v>0</v>
      </c>
      <c r="R179" s="1">
        <v>0</v>
      </c>
      <c r="S179" s="1">
        <v>0</v>
      </c>
      <c r="T179" s="1">
        <v>234</v>
      </c>
      <c r="U179" s="1"/>
      <c r="V179" s="1">
        <f t="shared" si="8"/>
        <v>234</v>
      </c>
    </row>
    <row r="180" spans="1:22" x14ac:dyDescent="0.25">
      <c r="A180" t="s">
        <v>229</v>
      </c>
      <c r="B180" t="s">
        <v>230</v>
      </c>
      <c r="C180" s="1">
        <f>3036+1+817</f>
        <v>3854</v>
      </c>
      <c r="D180" s="1">
        <f>10+10+1</f>
        <v>21</v>
      </c>
      <c r="E180" s="1">
        <v>0</v>
      </c>
      <c r="F180" s="1">
        <v>0</v>
      </c>
      <c r="G180" s="1">
        <v>0</v>
      </c>
      <c r="H180" s="1">
        <v>4279</v>
      </c>
      <c r="I180" s="1">
        <v>677</v>
      </c>
      <c r="J180" s="1">
        <f t="shared" si="13"/>
        <v>4956</v>
      </c>
      <c r="K180" s="1"/>
      <c r="M180">
        <v>600</v>
      </c>
      <c r="N180" t="s">
        <v>233</v>
      </c>
      <c r="O180" s="1">
        <v>7177</v>
      </c>
      <c r="P180" s="1">
        <v>25</v>
      </c>
      <c r="Q180" s="1">
        <v>0</v>
      </c>
      <c r="R180" s="1">
        <v>0</v>
      </c>
      <c r="S180" s="1">
        <v>0</v>
      </c>
      <c r="T180" s="1">
        <v>19014</v>
      </c>
      <c r="U180" s="1"/>
      <c r="V180" s="1">
        <f t="shared" si="8"/>
        <v>19014</v>
      </c>
    </row>
    <row r="181" spans="1:22" x14ac:dyDescent="0.25">
      <c r="A181" t="s">
        <v>231</v>
      </c>
      <c r="B181" t="s">
        <v>232</v>
      </c>
      <c r="C181" s="1">
        <f>4395+1+1+285</f>
        <v>4682</v>
      </c>
      <c r="D181" s="1">
        <v>0</v>
      </c>
      <c r="E181" s="1">
        <v>0</v>
      </c>
      <c r="F181" s="1">
        <v>0</v>
      </c>
      <c r="G181" s="1">
        <v>0</v>
      </c>
      <c r="H181" s="1">
        <v>234</v>
      </c>
      <c r="I181" s="1">
        <v>232</v>
      </c>
      <c r="J181" s="1">
        <f t="shared" si="13"/>
        <v>466</v>
      </c>
      <c r="K181" s="1"/>
      <c r="M181">
        <v>710</v>
      </c>
      <c r="N181" t="s">
        <v>234</v>
      </c>
      <c r="O181" s="1">
        <v>107417</v>
      </c>
      <c r="P181" s="1">
        <v>81</v>
      </c>
      <c r="Q181" s="1">
        <v>0</v>
      </c>
      <c r="R181" s="1">
        <v>0</v>
      </c>
      <c r="S181" s="1">
        <v>0</v>
      </c>
      <c r="T181" s="1">
        <v>78831</v>
      </c>
      <c r="U181" s="1"/>
      <c r="V181" s="1">
        <f t="shared" si="8"/>
        <v>78831</v>
      </c>
    </row>
    <row r="182" spans="1:22" x14ac:dyDescent="0.25">
      <c r="A182" t="s">
        <v>248</v>
      </c>
      <c r="B182" t="s">
        <v>233</v>
      </c>
      <c r="C182" s="1">
        <f>5590+7+2+1+1+5+1571</f>
        <v>7177</v>
      </c>
      <c r="D182" s="1">
        <f>24+1</f>
        <v>25</v>
      </c>
      <c r="E182" s="1">
        <v>0</v>
      </c>
      <c r="F182" s="1">
        <v>0</v>
      </c>
      <c r="G182" s="1">
        <v>0</v>
      </c>
      <c r="H182" s="1">
        <v>19014</v>
      </c>
      <c r="I182" s="1">
        <v>1336</v>
      </c>
      <c r="J182" s="1">
        <f t="shared" si="13"/>
        <v>20350</v>
      </c>
      <c r="K182" s="1"/>
      <c r="M182">
        <v>116</v>
      </c>
      <c r="N182" t="s">
        <v>235</v>
      </c>
      <c r="O182" s="1">
        <v>18419</v>
      </c>
      <c r="P182" s="1">
        <v>30</v>
      </c>
      <c r="Q182" s="1">
        <v>0</v>
      </c>
      <c r="R182" s="1">
        <v>0</v>
      </c>
      <c r="S182" s="1">
        <v>0</v>
      </c>
      <c r="T182" s="1">
        <v>513</v>
      </c>
      <c r="U182" s="1"/>
      <c r="V182" s="1">
        <f t="shared" si="8"/>
        <v>513</v>
      </c>
    </row>
    <row r="183" spans="1:22" x14ac:dyDescent="0.25">
      <c r="A183" t="s">
        <v>69</v>
      </c>
      <c r="B183" t="s">
        <v>234</v>
      </c>
      <c r="C183" s="1">
        <f>88566+37+93+293+18428</f>
        <v>107417</v>
      </c>
      <c r="D183" s="1">
        <f>10+11+39+1+59</f>
        <v>120</v>
      </c>
      <c r="E183" s="1">
        <v>0</v>
      </c>
      <c r="F183" s="1">
        <v>0</v>
      </c>
      <c r="G183" s="1">
        <v>0</v>
      </c>
      <c r="H183" s="1">
        <v>78831</v>
      </c>
      <c r="I183" s="1">
        <v>15147</v>
      </c>
      <c r="J183" s="1">
        <f t="shared" si="13"/>
        <v>93978</v>
      </c>
      <c r="K183" s="1"/>
      <c r="M183">
        <v>116</v>
      </c>
      <c r="N183" t="s">
        <v>236</v>
      </c>
      <c r="O183" s="1">
        <v>13314</v>
      </c>
      <c r="P183" s="1">
        <v>105</v>
      </c>
      <c r="Q183" s="1">
        <v>0</v>
      </c>
      <c r="R183" s="1">
        <v>0</v>
      </c>
      <c r="S183" s="1">
        <v>0</v>
      </c>
      <c r="T183" s="1">
        <v>11307</v>
      </c>
      <c r="U183" s="1"/>
      <c r="V183" s="1">
        <f t="shared" si="8"/>
        <v>11307</v>
      </c>
    </row>
    <row r="184" spans="1:22" x14ac:dyDescent="0.25">
      <c r="A184" t="s">
        <v>795</v>
      </c>
      <c r="B184" t="s">
        <v>235</v>
      </c>
      <c r="C184" s="1">
        <f>8186+10233</f>
        <v>18419</v>
      </c>
      <c r="D184" s="1">
        <f>29+1</f>
        <v>30</v>
      </c>
      <c r="E184" s="1">
        <v>0</v>
      </c>
      <c r="F184" s="1">
        <v>0</v>
      </c>
      <c r="G184" s="1">
        <v>0</v>
      </c>
      <c r="H184" s="1">
        <v>513</v>
      </c>
      <c r="I184" s="1">
        <v>8942</v>
      </c>
      <c r="J184" s="1">
        <f t="shared" si="13"/>
        <v>9455</v>
      </c>
      <c r="K184" s="1"/>
      <c r="M184">
        <v>711</v>
      </c>
      <c r="N184" t="s">
        <v>237</v>
      </c>
      <c r="O184" s="1"/>
      <c r="P184" s="1"/>
      <c r="Q184" s="1"/>
      <c r="R184" s="1"/>
      <c r="S184" s="1"/>
      <c r="T184" s="1"/>
      <c r="U184" s="1"/>
      <c r="V184" s="1"/>
    </row>
    <row r="185" spans="1:22" x14ac:dyDescent="0.25">
      <c r="A185" t="s">
        <v>795</v>
      </c>
      <c r="B185" t="s">
        <v>236</v>
      </c>
      <c r="C185" s="1">
        <f>6242+1+192+2+6876+1</f>
        <v>13314</v>
      </c>
      <c r="D185" s="1">
        <f>19+4+76+6</f>
        <v>105</v>
      </c>
      <c r="E185" s="1">
        <v>0</v>
      </c>
      <c r="F185" s="1">
        <v>0</v>
      </c>
      <c r="G185" s="1">
        <v>0</v>
      </c>
      <c r="H185" s="1">
        <v>11307</v>
      </c>
      <c r="I185" s="1">
        <v>5519</v>
      </c>
      <c r="J185" s="1">
        <f t="shared" si="13"/>
        <v>16826</v>
      </c>
      <c r="K185" s="1"/>
      <c r="M185">
        <v>610</v>
      </c>
      <c r="N185" t="s">
        <v>238</v>
      </c>
      <c r="O185" s="1">
        <v>1258</v>
      </c>
      <c r="P185" s="1">
        <v>0</v>
      </c>
      <c r="Q185" s="1">
        <v>0</v>
      </c>
      <c r="R185" s="1">
        <v>0</v>
      </c>
      <c r="S185" s="1">
        <v>0</v>
      </c>
      <c r="T185" s="1">
        <v>88</v>
      </c>
      <c r="U185" s="1"/>
      <c r="V185" s="1">
        <f t="shared" si="8"/>
        <v>88</v>
      </c>
    </row>
    <row r="186" spans="1:22" x14ac:dyDescent="0.25">
      <c r="A186" t="s">
        <v>801</v>
      </c>
      <c r="B186" t="s">
        <v>237</v>
      </c>
      <c r="C186" s="1"/>
      <c r="D186" s="1"/>
      <c r="E186" s="1"/>
      <c r="F186" s="1"/>
      <c r="G186" s="1"/>
      <c r="H186" s="1"/>
      <c r="I186" s="1"/>
      <c r="J186" s="1"/>
      <c r="K186" s="1"/>
      <c r="M186">
        <v>100</v>
      </c>
      <c r="N186" t="s">
        <v>239</v>
      </c>
      <c r="O186" s="1">
        <v>4130</v>
      </c>
      <c r="P186" s="1">
        <v>0</v>
      </c>
      <c r="Q186" s="1">
        <v>0</v>
      </c>
      <c r="R186" s="1">
        <v>0</v>
      </c>
      <c r="S186" s="1">
        <v>0</v>
      </c>
      <c r="T186" s="1">
        <v>2293</v>
      </c>
      <c r="U186" s="1"/>
      <c r="V186" s="1">
        <f t="shared" si="8"/>
        <v>2293</v>
      </c>
    </row>
    <row r="187" spans="1:22" x14ac:dyDescent="0.25">
      <c r="A187" t="s">
        <v>788</v>
      </c>
      <c r="B187" t="s">
        <v>238</v>
      </c>
      <c r="C187" s="1">
        <f>1245+13</f>
        <v>1258</v>
      </c>
      <c r="D187" s="1">
        <v>0</v>
      </c>
      <c r="E187" s="1">
        <v>0</v>
      </c>
      <c r="F187" s="1">
        <v>0</v>
      </c>
      <c r="G187" s="1">
        <v>0</v>
      </c>
      <c r="H187" s="1">
        <v>88</v>
      </c>
      <c r="I187" s="1">
        <v>13</v>
      </c>
      <c r="J187" s="1">
        <f>SUM(H187,I187)</f>
        <v>101</v>
      </c>
      <c r="K187" s="1"/>
      <c r="M187">
        <v>711</v>
      </c>
      <c r="N187" t="s">
        <v>240</v>
      </c>
      <c r="O187" s="1"/>
      <c r="P187" s="1"/>
      <c r="Q187" s="1"/>
      <c r="R187" s="1"/>
      <c r="S187" s="1"/>
      <c r="T187" s="1"/>
      <c r="U187" s="1"/>
      <c r="V187" s="1"/>
    </row>
    <row r="188" spans="1:22" x14ac:dyDescent="0.25">
      <c r="A188" t="s">
        <v>791</v>
      </c>
      <c r="B188" t="s">
        <v>239</v>
      </c>
      <c r="C188" s="1">
        <f>3364+766</f>
        <v>4130</v>
      </c>
      <c r="D188" s="1">
        <v>0</v>
      </c>
      <c r="E188" s="1">
        <v>0</v>
      </c>
      <c r="F188" s="1">
        <v>0</v>
      </c>
      <c r="G188" s="1">
        <v>0</v>
      </c>
      <c r="H188" s="1">
        <v>2293</v>
      </c>
      <c r="I188" s="1">
        <v>581</v>
      </c>
      <c r="J188" s="1">
        <f>SUM(H188,I188)</f>
        <v>2874</v>
      </c>
      <c r="K188" s="1"/>
      <c r="M188">
        <v>610</v>
      </c>
      <c r="N188" t="s">
        <v>241</v>
      </c>
      <c r="O188" s="1">
        <v>30075</v>
      </c>
      <c r="P188" s="1">
        <v>15</v>
      </c>
      <c r="Q188" s="1">
        <v>0</v>
      </c>
      <c r="R188" s="1">
        <v>0</v>
      </c>
      <c r="S188" s="1">
        <v>0</v>
      </c>
      <c r="T188" s="1">
        <v>7768</v>
      </c>
      <c r="U188" s="1"/>
      <c r="V188" s="1">
        <f t="shared" si="8"/>
        <v>7768</v>
      </c>
    </row>
    <row r="189" spans="1:22" x14ac:dyDescent="0.25">
      <c r="A189" t="s">
        <v>801</v>
      </c>
      <c r="B189" t="s">
        <v>240</v>
      </c>
      <c r="C189" s="1"/>
      <c r="D189" s="1"/>
      <c r="E189" s="1"/>
      <c r="F189" s="1"/>
      <c r="G189" s="1"/>
      <c r="H189" s="1"/>
      <c r="I189" s="1"/>
      <c r="J189" s="1"/>
      <c r="K189" s="1"/>
      <c r="M189" t="s">
        <v>815</v>
      </c>
      <c r="N189" t="s">
        <v>242</v>
      </c>
      <c r="O189" s="1">
        <v>23541</v>
      </c>
      <c r="P189" s="1">
        <v>9</v>
      </c>
      <c r="Q189" s="1">
        <v>0</v>
      </c>
      <c r="R189" s="1">
        <v>0</v>
      </c>
      <c r="S189" s="1">
        <v>0</v>
      </c>
      <c r="T189" s="1">
        <v>10290</v>
      </c>
      <c r="U189" s="1"/>
      <c r="V189" s="1">
        <f t="shared" si="8"/>
        <v>10290</v>
      </c>
    </row>
    <row r="190" spans="1:22" x14ac:dyDescent="0.25">
      <c r="A190" t="s">
        <v>788</v>
      </c>
      <c r="B190" t="s">
        <v>241</v>
      </c>
      <c r="C190" s="1">
        <f>22227+3+7845</f>
        <v>30075</v>
      </c>
      <c r="D190" s="1">
        <f>5+10</f>
        <v>15</v>
      </c>
      <c r="E190" s="1">
        <v>0</v>
      </c>
      <c r="F190" s="1">
        <v>0</v>
      </c>
      <c r="G190" s="1">
        <v>0</v>
      </c>
      <c r="H190" s="1">
        <v>7768</v>
      </c>
      <c r="I190" s="1">
        <v>6626</v>
      </c>
      <c r="J190" s="1">
        <f t="shared" ref="J190:J201" si="14">SUM(H190,I190)</f>
        <v>14394</v>
      </c>
      <c r="K190" s="1"/>
      <c r="M190">
        <v>313</v>
      </c>
      <c r="N190" t="s">
        <v>243</v>
      </c>
      <c r="O190" s="1">
        <v>3634</v>
      </c>
      <c r="P190" s="1">
        <v>0</v>
      </c>
      <c r="Q190" s="1">
        <v>0</v>
      </c>
      <c r="R190" s="1">
        <v>0</v>
      </c>
      <c r="S190" s="1">
        <v>0</v>
      </c>
      <c r="T190" s="1">
        <v>180</v>
      </c>
      <c r="U190" s="1"/>
      <c r="V190" s="1">
        <f t="shared" si="8"/>
        <v>180</v>
      </c>
    </row>
    <row r="191" spans="1:22" x14ac:dyDescent="0.25">
      <c r="A191" t="s">
        <v>138</v>
      </c>
      <c r="B191" t="s">
        <v>242</v>
      </c>
      <c r="C191" s="1">
        <f>20806+3+10+13+61+7+2641</f>
        <v>23541</v>
      </c>
      <c r="D191" s="1">
        <f>4+2+3</f>
        <v>9</v>
      </c>
      <c r="E191" s="1">
        <v>0</v>
      </c>
      <c r="F191" s="1">
        <v>0</v>
      </c>
      <c r="G191" s="1">
        <v>0</v>
      </c>
      <c r="H191" s="1">
        <v>10290</v>
      </c>
      <c r="I191" s="1">
        <v>2089</v>
      </c>
      <c r="J191" s="1">
        <f t="shared" si="14"/>
        <v>12379</v>
      </c>
      <c r="K191" s="1"/>
      <c r="M191">
        <v>713</v>
      </c>
      <c r="N191" t="s">
        <v>244</v>
      </c>
      <c r="O191" s="1">
        <v>37816</v>
      </c>
      <c r="P191" s="1">
        <v>139</v>
      </c>
      <c r="Q191" s="1">
        <v>0</v>
      </c>
      <c r="R191" s="1">
        <v>0</v>
      </c>
      <c r="S191" s="1">
        <v>0</v>
      </c>
      <c r="T191" s="1">
        <v>51985</v>
      </c>
      <c r="U191" s="1"/>
      <c r="V191" s="1">
        <f t="shared" si="8"/>
        <v>51985</v>
      </c>
    </row>
    <row r="192" spans="1:22" x14ac:dyDescent="0.25">
      <c r="A192" t="s">
        <v>512</v>
      </c>
      <c r="B192" t="s">
        <v>243</v>
      </c>
      <c r="C192" s="1">
        <f>3142+1+491</f>
        <v>3634</v>
      </c>
      <c r="D192" s="1">
        <v>0</v>
      </c>
      <c r="E192" s="1">
        <v>0</v>
      </c>
      <c r="F192" s="1">
        <v>0</v>
      </c>
      <c r="G192" s="1">
        <v>0</v>
      </c>
      <c r="H192" s="1">
        <v>180</v>
      </c>
      <c r="I192" s="1">
        <v>400</v>
      </c>
      <c r="J192" s="1">
        <f t="shared" si="14"/>
        <v>580</v>
      </c>
      <c r="K192" s="1"/>
      <c r="M192">
        <v>611</v>
      </c>
      <c r="N192" t="s">
        <v>245</v>
      </c>
      <c r="O192" s="1">
        <v>5304</v>
      </c>
      <c r="P192" s="1">
        <v>13</v>
      </c>
      <c r="Q192" s="1">
        <v>0</v>
      </c>
      <c r="R192" s="1">
        <v>0</v>
      </c>
      <c r="S192" s="1">
        <v>0</v>
      </c>
      <c r="T192" s="1">
        <v>10250</v>
      </c>
      <c r="U192" s="1"/>
      <c r="V192" s="1">
        <f t="shared" si="8"/>
        <v>10250</v>
      </c>
    </row>
    <row r="193" spans="1:22" x14ac:dyDescent="0.25">
      <c r="A193" t="s">
        <v>796</v>
      </c>
      <c r="B193" t="s">
        <v>244</v>
      </c>
      <c r="C193" s="1">
        <f>29926+23+1+11+7855</f>
        <v>37816</v>
      </c>
      <c r="D193" s="1">
        <f>99+2+19+1+16+2</f>
        <v>139</v>
      </c>
      <c r="E193" s="1">
        <v>0</v>
      </c>
      <c r="F193" s="1">
        <v>0</v>
      </c>
      <c r="G193" s="1">
        <v>0</v>
      </c>
      <c r="H193" s="1">
        <v>51985</v>
      </c>
      <c r="I193" s="1">
        <v>7439</v>
      </c>
      <c r="J193" s="1">
        <f t="shared" si="14"/>
        <v>59424</v>
      </c>
      <c r="K193" s="1"/>
      <c r="M193">
        <v>114</v>
      </c>
      <c r="N193" t="s">
        <v>246</v>
      </c>
      <c r="O193" s="1">
        <v>2234</v>
      </c>
      <c r="P193" s="1">
        <v>8</v>
      </c>
      <c r="Q193" s="1">
        <v>0</v>
      </c>
      <c r="R193" s="1">
        <v>0</v>
      </c>
      <c r="S193" s="1">
        <v>0</v>
      </c>
      <c r="T193" s="1">
        <v>515</v>
      </c>
      <c r="U193" s="1"/>
      <c r="V193" s="1">
        <f t="shared" si="8"/>
        <v>515</v>
      </c>
    </row>
    <row r="194" spans="1:22" x14ac:dyDescent="0.25">
      <c r="A194" t="s">
        <v>146</v>
      </c>
      <c r="B194" t="s">
        <v>245</v>
      </c>
      <c r="C194" s="1">
        <f>4396+22+1+885</f>
        <v>5304</v>
      </c>
      <c r="D194" s="1">
        <f>11+1+1</f>
        <v>13</v>
      </c>
      <c r="E194" s="1">
        <v>0</v>
      </c>
      <c r="F194" s="1">
        <v>0</v>
      </c>
      <c r="G194" s="1">
        <v>0</v>
      </c>
      <c r="H194" s="1">
        <v>10250</v>
      </c>
      <c r="I194" s="1">
        <v>860</v>
      </c>
      <c r="J194" s="1">
        <f t="shared" si="14"/>
        <v>11110</v>
      </c>
      <c r="K194" s="1"/>
      <c r="M194">
        <v>100</v>
      </c>
      <c r="N194" t="s">
        <v>247</v>
      </c>
      <c r="O194" s="1">
        <v>4013</v>
      </c>
      <c r="P194" s="1">
        <v>305</v>
      </c>
      <c r="Q194" s="1">
        <v>0</v>
      </c>
      <c r="R194" s="1">
        <v>0</v>
      </c>
      <c r="S194" s="1">
        <v>0</v>
      </c>
      <c r="T194" s="1">
        <v>1723</v>
      </c>
      <c r="U194" s="1"/>
      <c r="V194" s="1">
        <f t="shared" si="8"/>
        <v>1723</v>
      </c>
    </row>
    <row r="195" spans="1:22" x14ac:dyDescent="0.25">
      <c r="A195" t="s">
        <v>831</v>
      </c>
      <c r="B195" t="s">
        <v>246</v>
      </c>
      <c r="C195" s="1">
        <f>1682+552</f>
        <v>2234</v>
      </c>
      <c r="D195" s="1">
        <v>8</v>
      </c>
      <c r="E195" s="1">
        <v>0</v>
      </c>
      <c r="F195" s="1">
        <v>0</v>
      </c>
      <c r="G195" s="1">
        <v>0</v>
      </c>
      <c r="H195" s="1">
        <v>515</v>
      </c>
      <c r="I195" s="1">
        <v>347</v>
      </c>
      <c r="J195" s="1">
        <f t="shared" si="14"/>
        <v>862</v>
      </c>
      <c r="K195" s="1"/>
      <c r="M195">
        <v>600</v>
      </c>
      <c r="N195" t="s">
        <v>249</v>
      </c>
      <c r="O195" s="1">
        <v>21516</v>
      </c>
      <c r="P195" s="1">
        <v>34</v>
      </c>
      <c r="Q195" s="1">
        <v>0</v>
      </c>
      <c r="R195" s="1">
        <v>0</v>
      </c>
      <c r="S195" s="1">
        <v>0</v>
      </c>
      <c r="T195" s="1">
        <v>24668</v>
      </c>
      <c r="U195" s="1"/>
      <c r="V195" s="1">
        <f t="shared" si="8"/>
        <v>24668</v>
      </c>
    </row>
    <row r="196" spans="1:22" x14ac:dyDescent="0.25">
      <c r="A196" t="s">
        <v>791</v>
      </c>
      <c r="B196" t="s">
        <v>247</v>
      </c>
      <c r="C196" s="1">
        <f>967+3046</f>
        <v>4013</v>
      </c>
      <c r="D196" s="1">
        <f>3+302</f>
        <v>305</v>
      </c>
      <c r="E196" s="1">
        <v>0</v>
      </c>
      <c r="F196" s="1">
        <v>0</v>
      </c>
      <c r="G196" s="1">
        <v>0</v>
      </c>
      <c r="H196" s="1">
        <v>1723</v>
      </c>
      <c r="I196" s="1">
        <v>2836</v>
      </c>
      <c r="J196" s="1">
        <f t="shared" si="14"/>
        <v>4559</v>
      </c>
      <c r="K196" s="1"/>
      <c r="M196">
        <v>210</v>
      </c>
      <c r="N196" t="s">
        <v>250</v>
      </c>
      <c r="O196" s="1">
        <v>3068</v>
      </c>
      <c r="P196" s="1">
        <v>7</v>
      </c>
      <c r="Q196" s="1">
        <v>0</v>
      </c>
      <c r="R196" s="1">
        <v>0</v>
      </c>
      <c r="S196" s="1">
        <v>0</v>
      </c>
      <c r="T196" s="1">
        <v>1474</v>
      </c>
      <c r="U196" s="1"/>
      <c r="V196" s="1">
        <f t="shared" si="8"/>
        <v>1474</v>
      </c>
    </row>
    <row r="197" spans="1:22" x14ac:dyDescent="0.25">
      <c r="A197" t="s">
        <v>248</v>
      </c>
      <c r="B197" t="s">
        <v>249</v>
      </c>
      <c r="C197" s="1">
        <f>17514+4+10+2+3986</f>
        <v>21516</v>
      </c>
      <c r="D197" s="1">
        <f>33+1</f>
        <v>34</v>
      </c>
      <c r="E197" s="1">
        <v>0</v>
      </c>
      <c r="F197" s="1">
        <v>0</v>
      </c>
      <c r="G197" s="1">
        <v>0</v>
      </c>
      <c r="H197" s="1">
        <v>24668</v>
      </c>
      <c r="I197" s="1">
        <v>3561</v>
      </c>
      <c r="J197" s="1">
        <f t="shared" si="14"/>
        <v>28229</v>
      </c>
      <c r="K197" s="1"/>
      <c r="M197">
        <v>600</v>
      </c>
      <c r="N197" t="s">
        <v>251</v>
      </c>
      <c r="O197" s="1">
        <v>13230</v>
      </c>
      <c r="P197" s="1">
        <v>358</v>
      </c>
      <c r="Q197" s="1">
        <v>0</v>
      </c>
      <c r="R197" s="1">
        <v>0</v>
      </c>
      <c r="S197" s="1">
        <v>0</v>
      </c>
      <c r="T197" s="1">
        <v>21172</v>
      </c>
      <c r="U197" s="1"/>
      <c r="V197" s="1">
        <f t="shared" si="8"/>
        <v>21172</v>
      </c>
    </row>
    <row r="198" spans="1:22" x14ac:dyDescent="0.25">
      <c r="A198" t="s">
        <v>865</v>
      </c>
      <c r="B198" t="s">
        <v>250</v>
      </c>
      <c r="C198" s="1">
        <f>2412+8+19+629</f>
        <v>3068</v>
      </c>
      <c r="D198" s="1">
        <v>7</v>
      </c>
      <c r="E198" s="1">
        <v>0</v>
      </c>
      <c r="F198" s="1">
        <v>0</v>
      </c>
      <c r="G198" s="1">
        <v>0</v>
      </c>
      <c r="H198" s="1">
        <v>1474</v>
      </c>
      <c r="I198" s="1">
        <v>553</v>
      </c>
      <c r="J198" s="1">
        <f t="shared" si="14"/>
        <v>2027</v>
      </c>
      <c r="K198" s="1"/>
      <c r="M198">
        <v>116</v>
      </c>
      <c r="N198" t="s">
        <v>252</v>
      </c>
      <c r="O198" s="1">
        <v>13950</v>
      </c>
      <c r="P198" s="1">
        <v>43</v>
      </c>
      <c r="Q198" s="1">
        <v>0</v>
      </c>
      <c r="R198" s="1">
        <v>0</v>
      </c>
      <c r="S198" s="1">
        <v>0</v>
      </c>
      <c r="T198" s="1">
        <v>6835</v>
      </c>
      <c r="U198" s="1"/>
      <c r="V198" s="1">
        <f t="shared" ref="V198:V263" si="15">SUM(T198:U198)</f>
        <v>6835</v>
      </c>
    </row>
    <row r="199" spans="1:22" x14ac:dyDescent="0.25">
      <c r="A199" t="s">
        <v>248</v>
      </c>
      <c r="B199" t="s">
        <v>251</v>
      </c>
      <c r="C199" s="1">
        <f>10664+3+2563</f>
        <v>13230</v>
      </c>
      <c r="D199" s="1">
        <f>215+140+3</f>
        <v>358</v>
      </c>
      <c r="E199" s="1">
        <v>0</v>
      </c>
      <c r="F199" s="1">
        <v>0</v>
      </c>
      <c r="G199" s="1">
        <v>0</v>
      </c>
      <c r="H199" s="1">
        <v>21172</v>
      </c>
      <c r="I199" s="1">
        <v>2258</v>
      </c>
      <c r="J199" s="1">
        <f t="shared" si="14"/>
        <v>23430</v>
      </c>
      <c r="K199" s="1"/>
      <c r="M199">
        <v>600</v>
      </c>
      <c r="N199" t="s">
        <v>253</v>
      </c>
      <c r="O199" s="1">
        <v>21860</v>
      </c>
      <c r="P199" s="1">
        <v>156</v>
      </c>
      <c r="Q199" s="1">
        <v>0</v>
      </c>
      <c r="R199" s="1">
        <v>0</v>
      </c>
      <c r="S199" s="1">
        <v>0</v>
      </c>
      <c r="T199" s="1">
        <v>5592</v>
      </c>
      <c r="U199" s="1"/>
      <c r="V199" s="1">
        <f t="shared" si="15"/>
        <v>5592</v>
      </c>
    </row>
    <row r="200" spans="1:22" x14ac:dyDescent="0.25">
      <c r="A200" t="s">
        <v>795</v>
      </c>
      <c r="B200" t="s">
        <v>252</v>
      </c>
      <c r="C200" s="1">
        <f>6745+8+2+7195</f>
        <v>13950</v>
      </c>
      <c r="D200" s="1">
        <f>10+8+1+24</f>
        <v>43</v>
      </c>
      <c r="E200" s="1">
        <v>0</v>
      </c>
      <c r="F200" s="1">
        <v>0</v>
      </c>
      <c r="G200" s="1">
        <v>0</v>
      </c>
      <c r="H200" s="1">
        <v>6835</v>
      </c>
      <c r="I200" s="1">
        <v>4471</v>
      </c>
      <c r="J200" s="1">
        <f t="shared" si="14"/>
        <v>11306</v>
      </c>
      <c r="K200" s="1"/>
      <c r="M200" t="s">
        <v>820</v>
      </c>
      <c r="N200" t="s">
        <v>254</v>
      </c>
      <c r="O200" s="1"/>
      <c r="P200" s="1"/>
      <c r="Q200" s="1"/>
      <c r="R200" s="1"/>
      <c r="S200" s="1"/>
      <c r="T200" s="1"/>
      <c r="U200" s="1"/>
      <c r="V200" s="1"/>
    </row>
    <row r="201" spans="1:22" x14ac:dyDescent="0.25">
      <c r="A201" t="s">
        <v>248</v>
      </c>
      <c r="B201" t="s">
        <v>253</v>
      </c>
      <c r="C201" s="1">
        <f>17388+54+8+3+4407</f>
        <v>21860</v>
      </c>
      <c r="D201" s="1">
        <f>53+1+54+48</f>
        <v>156</v>
      </c>
      <c r="E201" s="1">
        <v>0</v>
      </c>
      <c r="F201" s="1">
        <v>0</v>
      </c>
      <c r="G201" s="1">
        <v>0</v>
      </c>
      <c r="H201" s="1">
        <v>5592</v>
      </c>
      <c r="I201" s="1">
        <v>3766</v>
      </c>
      <c r="J201" s="1">
        <f t="shared" si="14"/>
        <v>9358</v>
      </c>
      <c r="K201" s="1"/>
      <c r="M201">
        <v>310</v>
      </c>
      <c r="N201" t="s">
        <v>255</v>
      </c>
      <c r="O201" s="1"/>
      <c r="P201" s="1"/>
      <c r="Q201" s="1"/>
      <c r="R201" s="1"/>
      <c r="S201" s="1"/>
      <c r="T201" s="1"/>
      <c r="U201" s="1"/>
      <c r="V201" s="1"/>
    </row>
    <row r="202" spans="1:22" x14ac:dyDescent="0.25">
      <c r="A202" t="s">
        <v>823</v>
      </c>
      <c r="B202" t="s">
        <v>254</v>
      </c>
      <c r="C202" s="1"/>
      <c r="D202" s="1"/>
      <c r="E202" s="1"/>
      <c r="F202" s="1"/>
      <c r="G202" s="1"/>
      <c r="H202" s="1"/>
      <c r="I202" s="1"/>
      <c r="J202" s="1"/>
      <c r="K202" s="1"/>
      <c r="M202">
        <v>312</v>
      </c>
      <c r="N202" t="s">
        <v>256</v>
      </c>
      <c r="O202" s="1">
        <v>8746</v>
      </c>
      <c r="P202" s="1">
        <v>0</v>
      </c>
      <c r="Q202" s="1">
        <v>0</v>
      </c>
      <c r="R202" s="1">
        <v>0</v>
      </c>
      <c r="S202" s="1">
        <v>0</v>
      </c>
      <c r="T202" s="1">
        <v>3672</v>
      </c>
      <c r="U202" s="1"/>
      <c r="V202" s="1">
        <f t="shared" si="15"/>
        <v>3672</v>
      </c>
    </row>
    <row r="203" spans="1:22" x14ac:dyDescent="0.25">
      <c r="A203" t="s">
        <v>67</v>
      </c>
      <c r="B203" t="s">
        <v>255</v>
      </c>
      <c r="C203" s="1"/>
      <c r="D203" s="1"/>
      <c r="E203" s="1"/>
      <c r="F203" s="1"/>
      <c r="G203" s="1"/>
      <c r="H203" s="1"/>
      <c r="I203" s="1"/>
      <c r="J203" s="1"/>
      <c r="K203" s="1"/>
      <c r="M203" t="s">
        <v>815</v>
      </c>
      <c r="N203" t="s">
        <v>257</v>
      </c>
      <c r="O203" s="1">
        <v>23003</v>
      </c>
      <c r="P203" s="1">
        <v>2612</v>
      </c>
      <c r="Q203" s="1">
        <v>0</v>
      </c>
      <c r="R203" s="1">
        <v>0</v>
      </c>
      <c r="S203" s="1">
        <v>0</v>
      </c>
      <c r="T203" s="1">
        <v>8075</v>
      </c>
      <c r="U203" s="1"/>
      <c r="V203" s="1">
        <f t="shared" si="15"/>
        <v>8075</v>
      </c>
    </row>
    <row r="204" spans="1:22" x14ac:dyDescent="0.25">
      <c r="A204" t="s">
        <v>72</v>
      </c>
      <c r="B204" t="s">
        <v>256</v>
      </c>
      <c r="C204" s="1">
        <f>7089+1+2+27+1627</f>
        <v>8746</v>
      </c>
      <c r="D204" s="1">
        <v>0</v>
      </c>
      <c r="E204" s="1">
        <v>0</v>
      </c>
      <c r="F204" s="1">
        <v>0</v>
      </c>
      <c r="G204" s="1">
        <v>0</v>
      </c>
      <c r="H204" s="1">
        <v>3672</v>
      </c>
      <c r="I204" s="1">
        <v>1592</v>
      </c>
      <c r="J204" s="1">
        <f>SUM(H204,I204)</f>
        <v>5264</v>
      </c>
      <c r="K204" s="1"/>
      <c r="M204">
        <v>616</v>
      </c>
      <c r="N204" t="s">
        <v>258</v>
      </c>
      <c r="O204" s="1"/>
      <c r="P204" s="1"/>
      <c r="Q204" s="1"/>
      <c r="R204" s="1"/>
      <c r="S204" s="1"/>
      <c r="T204" s="1"/>
      <c r="U204" s="1"/>
      <c r="V204" s="1"/>
    </row>
    <row r="205" spans="1:22" x14ac:dyDescent="0.25">
      <c r="A205" t="s">
        <v>138</v>
      </c>
      <c r="B205" t="s">
        <v>257</v>
      </c>
      <c r="C205" s="1">
        <f>15774+1+7228</f>
        <v>23003</v>
      </c>
      <c r="D205" s="1">
        <f>81+74+70+772+62+1553</f>
        <v>2612</v>
      </c>
      <c r="E205" s="1">
        <v>0</v>
      </c>
      <c r="F205" s="1">
        <v>0</v>
      </c>
      <c r="G205" s="1">
        <v>0</v>
      </c>
      <c r="H205" s="1">
        <v>8075</v>
      </c>
      <c r="I205" s="1">
        <v>7575</v>
      </c>
      <c r="J205" s="1">
        <f>SUM(H205,I205)</f>
        <v>15650</v>
      </c>
      <c r="K205" s="1"/>
      <c r="M205">
        <v>116</v>
      </c>
      <c r="N205" t="s">
        <v>259</v>
      </c>
      <c r="O205" s="1">
        <v>60609</v>
      </c>
      <c r="P205" s="1">
        <v>418</v>
      </c>
      <c r="Q205" s="1">
        <v>0</v>
      </c>
      <c r="R205" s="1">
        <v>0</v>
      </c>
      <c r="S205" s="1">
        <v>0</v>
      </c>
      <c r="T205" s="1">
        <v>14755</v>
      </c>
      <c r="U205" s="1"/>
      <c r="V205" s="1">
        <f t="shared" si="15"/>
        <v>14755</v>
      </c>
    </row>
    <row r="206" spans="1:22" x14ac:dyDescent="0.25">
      <c r="A206" t="s">
        <v>817</v>
      </c>
      <c r="B206" t="s">
        <v>258</v>
      </c>
      <c r="C206" s="1"/>
      <c r="D206" s="1"/>
      <c r="E206" s="1"/>
      <c r="F206" s="1"/>
      <c r="G206" s="1"/>
      <c r="H206" s="1"/>
      <c r="I206" s="1"/>
      <c r="J206" s="1"/>
      <c r="K206" s="1"/>
      <c r="M206">
        <v>211</v>
      </c>
      <c r="N206" t="s">
        <v>260</v>
      </c>
      <c r="O206" s="1">
        <v>15737</v>
      </c>
      <c r="P206" s="1">
        <v>192</v>
      </c>
      <c r="Q206" s="1">
        <v>0</v>
      </c>
      <c r="R206" s="1">
        <v>0</v>
      </c>
      <c r="S206" s="1">
        <v>0</v>
      </c>
      <c r="T206" s="1">
        <v>6792</v>
      </c>
      <c r="U206" s="1"/>
      <c r="V206" s="1">
        <f t="shared" si="15"/>
        <v>6792</v>
      </c>
    </row>
    <row r="207" spans="1:22" x14ac:dyDescent="0.25">
      <c r="A207" t="s">
        <v>795</v>
      </c>
      <c r="B207" t="s">
        <v>259</v>
      </c>
      <c r="C207" s="1">
        <f>28216+10598+21383+412</f>
        <v>60609</v>
      </c>
      <c r="D207" s="1">
        <f>371+3+9+35</f>
        <v>418</v>
      </c>
      <c r="E207" s="1">
        <v>0</v>
      </c>
      <c r="F207" s="1">
        <v>0</v>
      </c>
      <c r="G207" s="1">
        <v>0</v>
      </c>
      <c r="H207" s="1">
        <v>14755</v>
      </c>
      <c r="I207" s="1">
        <v>18387</v>
      </c>
      <c r="J207" s="1">
        <f>SUM(H207,I207)</f>
        <v>33142</v>
      </c>
      <c r="K207" s="1"/>
      <c r="M207">
        <v>120</v>
      </c>
      <c r="N207" t="s">
        <v>261</v>
      </c>
      <c r="O207" s="1">
        <v>495</v>
      </c>
      <c r="P207" s="1">
        <v>0</v>
      </c>
      <c r="Q207" s="1">
        <v>0</v>
      </c>
      <c r="R207" s="1">
        <v>0</v>
      </c>
      <c r="S207" s="1">
        <v>0</v>
      </c>
      <c r="T207" s="1">
        <v>384</v>
      </c>
      <c r="U207" s="1"/>
      <c r="V207" s="1">
        <f t="shared" si="15"/>
        <v>384</v>
      </c>
    </row>
    <row r="208" spans="1:22" x14ac:dyDescent="0.25">
      <c r="A208" t="s">
        <v>864</v>
      </c>
      <c r="B208" t="s">
        <v>260</v>
      </c>
      <c r="C208" s="1">
        <f>9265+4+83+4+6381</f>
        <v>15737</v>
      </c>
      <c r="D208" s="1">
        <f>22+158+12</f>
        <v>192</v>
      </c>
      <c r="E208" s="1">
        <v>0</v>
      </c>
      <c r="F208" s="1">
        <v>0</v>
      </c>
      <c r="G208" s="1">
        <v>0</v>
      </c>
      <c r="H208" s="1">
        <v>6792</v>
      </c>
      <c r="I208" s="1">
        <v>5361</v>
      </c>
      <c r="J208" s="1">
        <f>SUM(H208,I208)</f>
        <v>12153</v>
      </c>
      <c r="K208" s="1"/>
      <c r="M208">
        <v>711</v>
      </c>
      <c r="N208" t="s">
        <v>262</v>
      </c>
      <c r="O208" s="1"/>
      <c r="P208" s="1"/>
      <c r="Q208" s="1"/>
      <c r="R208" s="1"/>
      <c r="S208" s="1"/>
      <c r="T208" s="1"/>
      <c r="U208" s="1"/>
      <c r="V208" s="1"/>
    </row>
    <row r="209" spans="1:22" x14ac:dyDescent="0.25">
      <c r="A209" t="s">
        <v>826</v>
      </c>
      <c r="B209" t="s">
        <v>261</v>
      </c>
      <c r="C209" s="1">
        <f>266+1+6+222</f>
        <v>495</v>
      </c>
      <c r="D209" s="1">
        <v>0</v>
      </c>
      <c r="E209" s="1">
        <v>0</v>
      </c>
      <c r="F209" s="1">
        <v>0</v>
      </c>
      <c r="G209" s="1">
        <v>0</v>
      </c>
      <c r="H209" s="1">
        <v>384</v>
      </c>
      <c r="I209" s="1">
        <v>134</v>
      </c>
      <c r="J209" s="1">
        <f>SUM(H209,I209)</f>
        <v>518</v>
      </c>
      <c r="K209" s="1"/>
      <c r="M209">
        <v>311</v>
      </c>
      <c r="N209" t="s">
        <v>263</v>
      </c>
      <c r="O209" s="1"/>
      <c r="P209" s="1"/>
      <c r="Q209" s="1"/>
      <c r="R209" s="1"/>
      <c r="S209" s="1"/>
      <c r="T209" s="1"/>
      <c r="U209" s="1"/>
      <c r="V209" s="1"/>
    </row>
    <row r="210" spans="1:22" x14ac:dyDescent="0.25">
      <c r="A210" t="s">
        <v>801</v>
      </c>
      <c r="B210" t="s">
        <v>262</v>
      </c>
      <c r="C210" s="1"/>
      <c r="D210" s="1"/>
      <c r="E210" s="1"/>
      <c r="F210" s="1"/>
      <c r="G210" s="1"/>
      <c r="H210" s="1"/>
      <c r="I210" s="1"/>
      <c r="J210" s="1"/>
      <c r="K210" s="1"/>
      <c r="M210">
        <v>200</v>
      </c>
      <c r="N210" t="s">
        <v>264</v>
      </c>
      <c r="O210" s="1">
        <v>5748</v>
      </c>
      <c r="P210" s="1">
        <v>5</v>
      </c>
      <c r="Q210" s="1">
        <v>0</v>
      </c>
      <c r="R210" s="1">
        <v>0</v>
      </c>
      <c r="S210" s="1">
        <v>0</v>
      </c>
      <c r="T210" s="1">
        <v>1052</v>
      </c>
      <c r="U210" s="1"/>
      <c r="V210" s="1">
        <f t="shared" si="15"/>
        <v>1052</v>
      </c>
    </row>
    <row r="211" spans="1:22" x14ac:dyDescent="0.25">
      <c r="A211" t="s">
        <v>120</v>
      </c>
      <c r="B211" t="s">
        <v>263</v>
      </c>
      <c r="C211" s="1"/>
      <c r="D211" s="1"/>
      <c r="E211" s="1"/>
      <c r="F211" s="1"/>
      <c r="G211" s="1"/>
      <c r="H211" s="1"/>
      <c r="I211" s="1"/>
      <c r="J211" s="1"/>
      <c r="K211" s="1"/>
      <c r="M211" t="s">
        <v>820</v>
      </c>
      <c r="N211" t="s">
        <v>266</v>
      </c>
      <c r="O211" s="1">
        <v>43687</v>
      </c>
      <c r="P211" s="1">
        <v>190</v>
      </c>
      <c r="Q211" s="1">
        <v>0</v>
      </c>
      <c r="R211" s="1">
        <v>0</v>
      </c>
      <c r="S211" s="1">
        <v>0</v>
      </c>
      <c r="T211" s="1">
        <v>28542</v>
      </c>
      <c r="U211" s="1"/>
      <c r="V211" s="1">
        <f t="shared" si="15"/>
        <v>28542</v>
      </c>
    </row>
    <row r="212" spans="1:22" x14ac:dyDescent="0.25">
      <c r="A212" t="s">
        <v>806</v>
      </c>
      <c r="B212" t="s">
        <v>264</v>
      </c>
      <c r="C212" s="1">
        <f>4258+20+125+1345</f>
        <v>5748</v>
      </c>
      <c r="D212" s="1">
        <v>5</v>
      </c>
      <c r="E212" s="1">
        <v>0</v>
      </c>
      <c r="F212" s="1">
        <v>0</v>
      </c>
      <c r="G212" s="1">
        <v>0</v>
      </c>
      <c r="H212" s="1">
        <v>1052</v>
      </c>
      <c r="I212" s="1">
        <v>927</v>
      </c>
      <c r="J212" s="1">
        <f>SUM(H212,I212)</f>
        <v>1979</v>
      </c>
      <c r="K212" s="1"/>
      <c r="M212" t="s">
        <v>822</v>
      </c>
      <c r="N212" s="5" t="s">
        <v>267</v>
      </c>
      <c r="O212" s="6">
        <v>52921</v>
      </c>
      <c r="P212" s="6">
        <v>1384</v>
      </c>
      <c r="Q212" s="6">
        <v>0</v>
      </c>
      <c r="R212" s="6">
        <v>0</v>
      </c>
      <c r="S212" s="6">
        <v>0</v>
      </c>
      <c r="T212" s="6">
        <v>25896</v>
      </c>
      <c r="U212" s="6"/>
      <c r="V212" s="6">
        <f t="shared" si="15"/>
        <v>25896</v>
      </c>
    </row>
    <row r="213" spans="1:22" x14ac:dyDescent="0.25">
      <c r="A213" t="s">
        <v>265</v>
      </c>
      <c r="B213" t="s">
        <v>266</v>
      </c>
      <c r="C213" s="1">
        <f>32441+1+59+1+9+11176</f>
        <v>43687</v>
      </c>
      <c r="D213" s="1">
        <f>75+115</f>
        <v>190</v>
      </c>
      <c r="E213" s="1">
        <v>0</v>
      </c>
      <c r="F213" s="1">
        <v>0</v>
      </c>
      <c r="G213" s="1">
        <v>0</v>
      </c>
      <c r="H213" s="1">
        <v>28542</v>
      </c>
      <c r="I213" s="1">
        <v>10409</v>
      </c>
      <c r="J213" s="1">
        <f>SUM(H213,I213)</f>
        <v>38951</v>
      </c>
      <c r="K213" s="1"/>
      <c r="M213">
        <v>114</v>
      </c>
      <c r="N213" t="s">
        <v>268</v>
      </c>
      <c r="O213" s="1">
        <v>8975</v>
      </c>
      <c r="P213" s="1">
        <v>237</v>
      </c>
      <c r="Q213" s="1">
        <v>0</v>
      </c>
      <c r="R213" s="1">
        <v>0</v>
      </c>
      <c r="S213" s="1">
        <v>0</v>
      </c>
      <c r="T213" s="1">
        <v>2825</v>
      </c>
      <c r="U213" s="1"/>
      <c r="V213" s="1">
        <f t="shared" si="15"/>
        <v>2825</v>
      </c>
    </row>
    <row r="214" spans="1:22" x14ac:dyDescent="0.25">
      <c r="A214" t="s">
        <v>797</v>
      </c>
      <c r="B214" s="5" t="s">
        <v>267</v>
      </c>
      <c r="C214" s="6"/>
      <c r="D214" s="6"/>
      <c r="E214" s="6"/>
      <c r="F214" s="6"/>
      <c r="G214" s="6"/>
      <c r="H214" s="6"/>
      <c r="I214" s="6"/>
      <c r="J214" s="6"/>
      <c r="K214" s="6" t="s">
        <v>867</v>
      </c>
      <c r="M214" t="s">
        <v>814</v>
      </c>
      <c r="N214" t="s">
        <v>269</v>
      </c>
      <c r="O214" s="1">
        <v>4054</v>
      </c>
      <c r="P214" s="1">
        <v>46</v>
      </c>
      <c r="Q214" s="1">
        <v>0</v>
      </c>
      <c r="R214" s="1">
        <v>0</v>
      </c>
      <c r="S214" s="1">
        <v>0</v>
      </c>
      <c r="T214" s="1">
        <v>469</v>
      </c>
      <c r="U214" s="1"/>
      <c r="V214" s="1">
        <f t="shared" si="15"/>
        <v>469</v>
      </c>
    </row>
    <row r="215" spans="1:22" x14ac:dyDescent="0.25">
      <c r="A215" t="s">
        <v>831</v>
      </c>
      <c r="B215" t="s">
        <v>268</v>
      </c>
      <c r="C215" s="1">
        <f>6619+2356</f>
        <v>8975</v>
      </c>
      <c r="D215" s="1">
        <f>188+49</f>
        <v>237</v>
      </c>
      <c r="E215" s="1">
        <v>0</v>
      </c>
      <c r="F215" s="1">
        <v>0</v>
      </c>
      <c r="G215" s="1">
        <v>0</v>
      </c>
      <c r="H215" s="1">
        <v>2825</v>
      </c>
      <c r="I215" s="1">
        <v>2171</v>
      </c>
      <c r="J215" s="1">
        <f t="shared" ref="J215:J221" si="16">SUM(H215,I215)</f>
        <v>4996</v>
      </c>
      <c r="K215" s="1"/>
      <c r="M215" t="s">
        <v>808</v>
      </c>
      <c r="N215" t="s">
        <v>270</v>
      </c>
      <c r="O215" s="1">
        <v>8956</v>
      </c>
      <c r="P215" s="1">
        <v>4</v>
      </c>
      <c r="Q215" s="1">
        <v>0</v>
      </c>
      <c r="R215" s="1">
        <v>0</v>
      </c>
      <c r="S215" s="1">
        <v>0</v>
      </c>
      <c r="T215" s="1">
        <v>7265</v>
      </c>
      <c r="U215" s="1"/>
      <c r="V215" s="1">
        <f t="shared" si="15"/>
        <v>7265</v>
      </c>
    </row>
    <row r="216" spans="1:22" x14ac:dyDescent="0.25">
      <c r="A216" t="s">
        <v>794</v>
      </c>
      <c r="B216" t="s">
        <v>269</v>
      </c>
      <c r="C216" s="1">
        <f>3576+3+9+46+420</f>
        <v>4054</v>
      </c>
      <c r="D216" s="1">
        <f>44+2</f>
        <v>46</v>
      </c>
      <c r="E216" s="1">
        <v>0</v>
      </c>
      <c r="F216" s="1">
        <v>0</v>
      </c>
      <c r="G216" s="1">
        <v>0</v>
      </c>
      <c r="H216" s="1">
        <v>469</v>
      </c>
      <c r="I216" s="1">
        <v>395</v>
      </c>
      <c r="J216" s="1">
        <f t="shared" si="16"/>
        <v>864</v>
      </c>
      <c r="K216" s="1"/>
      <c r="M216">
        <v>600</v>
      </c>
      <c r="N216" t="s">
        <v>271</v>
      </c>
      <c r="O216" s="1">
        <v>40407</v>
      </c>
      <c r="P216" s="1">
        <v>986</v>
      </c>
      <c r="Q216" s="1">
        <v>0</v>
      </c>
      <c r="R216" s="1">
        <v>0</v>
      </c>
      <c r="S216" s="1">
        <v>0</v>
      </c>
      <c r="T216" s="1">
        <v>57219</v>
      </c>
      <c r="U216" s="1"/>
      <c r="V216" s="1">
        <f t="shared" si="15"/>
        <v>57219</v>
      </c>
    </row>
    <row r="217" spans="1:22" x14ac:dyDescent="0.25">
      <c r="A217" s="9" t="s">
        <v>809</v>
      </c>
      <c r="B217" s="10" t="s">
        <v>270</v>
      </c>
      <c r="C217" s="1">
        <f>4571+1+30+4354</f>
        <v>8956</v>
      </c>
      <c r="D217" s="1">
        <v>4</v>
      </c>
      <c r="E217" s="1">
        <v>0</v>
      </c>
      <c r="F217" s="1">
        <v>0</v>
      </c>
      <c r="G217" s="1">
        <v>0</v>
      </c>
      <c r="H217" s="1">
        <v>7265</v>
      </c>
      <c r="I217" s="1">
        <v>1406</v>
      </c>
      <c r="J217" s="1">
        <f t="shared" si="16"/>
        <v>8671</v>
      </c>
      <c r="K217" s="1"/>
      <c r="M217" s="9">
        <v>113</v>
      </c>
      <c r="N217" s="10" t="s">
        <v>272</v>
      </c>
      <c r="O217" s="1">
        <v>10448</v>
      </c>
      <c r="P217" s="1">
        <v>20</v>
      </c>
      <c r="Q217" s="1">
        <v>0</v>
      </c>
      <c r="R217" s="1">
        <v>0</v>
      </c>
      <c r="S217" s="1">
        <v>0</v>
      </c>
      <c r="T217" s="1">
        <v>3092</v>
      </c>
      <c r="U217" s="1"/>
      <c r="V217" s="1">
        <f t="shared" si="15"/>
        <v>3092</v>
      </c>
    </row>
    <row r="218" spans="1:22" x14ac:dyDescent="0.25">
      <c r="A218" s="9" t="s">
        <v>248</v>
      </c>
      <c r="B218" s="10" t="s">
        <v>271</v>
      </c>
      <c r="C218" s="1">
        <f>30632+3+56+32+9684</f>
        <v>40407</v>
      </c>
      <c r="D218" s="1">
        <f>970+10+6</f>
        <v>986</v>
      </c>
      <c r="E218" s="1">
        <v>0</v>
      </c>
      <c r="F218" s="1">
        <v>0</v>
      </c>
      <c r="G218" s="1">
        <v>0</v>
      </c>
      <c r="H218" s="1">
        <v>57219</v>
      </c>
      <c r="I218" s="1">
        <v>7562</v>
      </c>
      <c r="J218" s="1">
        <f t="shared" si="16"/>
        <v>64781</v>
      </c>
      <c r="K218" s="1"/>
      <c r="M218" s="9">
        <v>611</v>
      </c>
      <c r="N218" s="10" t="s">
        <v>273</v>
      </c>
      <c r="O218" s="1">
        <v>8561</v>
      </c>
      <c r="P218" s="1">
        <v>167</v>
      </c>
      <c r="Q218" s="1">
        <v>0</v>
      </c>
      <c r="R218" s="1">
        <v>0</v>
      </c>
      <c r="S218" s="1">
        <v>0</v>
      </c>
      <c r="T218" s="1">
        <v>20985</v>
      </c>
      <c r="U218" s="1"/>
      <c r="V218" s="1">
        <f t="shared" si="15"/>
        <v>20985</v>
      </c>
    </row>
    <row r="219" spans="1:22" x14ac:dyDescent="0.25">
      <c r="A219" t="s">
        <v>823</v>
      </c>
      <c r="B219" t="s">
        <v>272</v>
      </c>
      <c r="C219" s="1">
        <f>6548+1+7+3892</f>
        <v>10448</v>
      </c>
      <c r="D219" s="1">
        <v>20</v>
      </c>
      <c r="E219" s="1">
        <v>0</v>
      </c>
      <c r="F219" s="1">
        <v>0</v>
      </c>
      <c r="G219" s="1">
        <v>0</v>
      </c>
      <c r="H219" s="1">
        <v>3092</v>
      </c>
      <c r="I219" s="1">
        <v>3083</v>
      </c>
      <c r="J219" s="1">
        <f t="shared" si="16"/>
        <v>6175</v>
      </c>
      <c r="K219" s="1"/>
      <c r="M219">
        <v>610</v>
      </c>
      <c r="N219" t="s">
        <v>274</v>
      </c>
      <c r="O219" s="1">
        <v>12296</v>
      </c>
      <c r="P219" s="1">
        <v>10</v>
      </c>
      <c r="Q219" s="1">
        <v>0</v>
      </c>
      <c r="R219" s="1">
        <v>0</v>
      </c>
      <c r="S219" s="1">
        <v>0</v>
      </c>
      <c r="T219" s="1">
        <v>13638</v>
      </c>
      <c r="U219" s="1"/>
      <c r="V219" s="1">
        <f t="shared" si="15"/>
        <v>13638</v>
      </c>
    </row>
    <row r="220" spans="1:22" x14ac:dyDescent="0.25">
      <c r="A220" t="s">
        <v>146</v>
      </c>
      <c r="B220" t="s">
        <v>273</v>
      </c>
      <c r="C220" s="1">
        <f>3670+1+343+8+4539</f>
        <v>8561</v>
      </c>
      <c r="D220" s="1">
        <f>2+156+2+7</f>
        <v>167</v>
      </c>
      <c r="E220" s="1">
        <v>0</v>
      </c>
      <c r="F220" s="1">
        <v>0</v>
      </c>
      <c r="G220" s="1">
        <v>0</v>
      </c>
      <c r="H220" s="1">
        <v>20985</v>
      </c>
      <c r="I220" s="1">
        <v>4366</v>
      </c>
      <c r="J220" s="1">
        <f t="shared" si="16"/>
        <v>25351</v>
      </c>
      <c r="K220" s="1"/>
      <c r="M220" t="s">
        <v>805</v>
      </c>
      <c r="N220" t="s">
        <v>275</v>
      </c>
      <c r="O220" s="1"/>
      <c r="P220" s="1"/>
      <c r="Q220" s="1"/>
      <c r="R220" s="1"/>
      <c r="S220" s="1"/>
      <c r="T220" s="1"/>
      <c r="U220" s="1"/>
      <c r="V220" s="1"/>
    </row>
    <row r="221" spans="1:22" x14ac:dyDescent="0.25">
      <c r="A221" t="s">
        <v>788</v>
      </c>
      <c r="B221" t="s">
        <v>274</v>
      </c>
      <c r="C221" s="1">
        <f>7943+316+4037</f>
        <v>12296</v>
      </c>
      <c r="D221" s="1">
        <f>9+1</f>
        <v>10</v>
      </c>
      <c r="E221" s="1">
        <v>0</v>
      </c>
      <c r="F221" s="1">
        <v>0</v>
      </c>
      <c r="G221" s="1">
        <v>0</v>
      </c>
      <c r="H221" s="1">
        <v>13638</v>
      </c>
      <c r="I221" s="1">
        <v>2939</v>
      </c>
      <c r="J221" s="1">
        <f t="shared" si="16"/>
        <v>16577</v>
      </c>
      <c r="K221" s="1"/>
      <c r="M221" t="s">
        <v>805</v>
      </c>
      <c r="N221" t="s">
        <v>276</v>
      </c>
      <c r="O221" s="1"/>
      <c r="P221" s="1"/>
      <c r="Q221" s="1"/>
      <c r="R221" s="1"/>
      <c r="S221" s="1"/>
      <c r="T221" s="1"/>
      <c r="U221" s="1"/>
      <c r="V221" s="1"/>
    </row>
    <row r="222" spans="1:22" x14ac:dyDescent="0.25">
      <c r="A222" t="s">
        <v>805</v>
      </c>
      <c r="B222" t="s">
        <v>275</v>
      </c>
      <c r="C222" s="1"/>
      <c r="D222" s="1"/>
      <c r="E222" s="1"/>
      <c r="F222" s="1"/>
      <c r="G222" s="1"/>
      <c r="H222" s="1"/>
      <c r="I222" s="1"/>
      <c r="J222" s="1"/>
      <c r="K222" s="1"/>
      <c r="M222">
        <v>712</v>
      </c>
      <c r="N222" t="s">
        <v>277</v>
      </c>
      <c r="O222" s="1">
        <v>52301</v>
      </c>
      <c r="P222" s="1">
        <v>465</v>
      </c>
      <c r="Q222" s="1">
        <v>0</v>
      </c>
      <c r="R222" s="1">
        <v>0</v>
      </c>
      <c r="S222" s="1">
        <v>0</v>
      </c>
      <c r="T222" s="1">
        <v>0</v>
      </c>
      <c r="U222" s="1"/>
      <c r="V222" s="1">
        <f t="shared" si="15"/>
        <v>0</v>
      </c>
    </row>
    <row r="223" spans="1:22" x14ac:dyDescent="0.25">
      <c r="A223" t="s">
        <v>805</v>
      </c>
      <c r="B223" t="s">
        <v>276</v>
      </c>
      <c r="C223" s="1"/>
      <c r="D223" s="1"/>
      <c r="E223" s="1"/>
      <c r="F223" s="1"/>
      <c r="G223" s="1"/>
      <c r="H223" s="1"/>
      <c r="I223" s="1"/>
      <c r="J223" s="1"/>
      <c r="K223" s="1"/>
      <c r="M223">
        <v>113</v>
      </c>
      <c r="N223" t="s">
        <v>278</v>
      </c>
      <c r="O223" s="1">
        <v>2186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/>
      <c r="V223" s="1">
        <f t="shared" si="15"/>
        <v>0</v>
      </c>
    </row>
    <row r="224" spans="1:22" x14ac:dyDescent="0.25">
      <c r="A224" t="s">
        <v>76</v>
      </c>
      <c r="B224" t="s">
        <v>277</v>
      </c>
      <c r="C224" s="1">
        <f>44775+1+1631+5894</f>
        <v>52301</v>
      </c>
      <c r="D224" s="1">
        <f>456+9</f>
        <v>465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f>SUM(H224,I224)</f>
        <v>0</v>
      </c>
      <c r="K224" s="1"/>
      <c r="M224">
        <v>311</v>
      </c>
      <c r="N224" t="s">
        <v>279</v>
      </c>
      <c r="O224" s="1"/>
      <c r="P224" s="1"/>
      <c r="Q224" s="1"/>
      <c r="R224" s="1"/>
      <c r="S224" s="1"/>
      <c r="T224" s="1"/>
      <c r="U224" s="1"/>
      <c r="V224" s="1"/>
    </row>
    <row r="225" spans="1:22" x14ac:dyDescent="0.25">
      <c r="A225" t="s">
        <v>823</v>
      </c>
      <c r="B225" t="s">
        <v>278</v>
      </c>
      <c r="C225" s="1">
        <v>2186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f>SUM(H225,I225)</f>
        <v>0</v>
      </c>
      <c r="K225" s="1"/>
      <c r="M225">
        <v>613</v>
      </c>
      <c r="N225" t="s">
        <v>280</v>
      </c>
      <c r="O225" s="1">
        <v>3147</v>
      </c>
      <c r="P225" s="1">
        <v>13</v>
      </c>
      <c r="Q225" s="1">
        <v>0</v>
      </c>
      <c r="R225" s="1">
        <v>0</v>
      </c>
      <c r="S225" s="1">
        <v>0</v>
      </c>
      <c r="T225" s="1">
        <v>0</v>
      </c>
      <c r="U225" s="1"/>
      <c r="V225" s="1">
        <f t="shared" si="15"/>
        <v>0</v>
      </c>
    </row>
    <row r="226" spans="1:22" x14ac:dyDescent="0.25">
      <c r="A226" t="s">
        <v>120</v>
      </c>
      <c r="B226" t="s">
        <v>279</v>
      </c>
      <c r="C226" s="1"/>
      <c r="D226" s="1"/>
      <c r="E226" s="1"/>
      <c r="F226" s="1"/>
      <c r="G226" s="1"/>
      <c r="H226" s="1"/>
      <c r="I226" s="1"/>
      <c r="J226" s="1"/>
      <c r="K226" s="1"/>
      <c r="M226">
        <v>100</v>
      </c>
      <c r="N226" t="s">
        <v>281</v>
      </c>
      <c r="O226" s="1">
        <v>995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/>
      <c r="V226" s="1">
        <f t="shared" si="15"/>
        <v>0</v>
      </c>
    </row>
    <row r="227" spans="1:22" x14ac:dyDescent="0.25">
      <c r="A227" t="s">
        <v>495</v>
      </c>
      <c r="B227" t="s">
        <v>280</v>
      </c>
      <c r="C227" s="1">
        <f>2888+19+240</f>
        <v>3147</v>
      </c>
      <c r="D227" s="1">
        <f>6+7</f>
        <v>13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f>SUM(H227,I227)</f>
        <v>0</v>
      </c>
      <c r="K227" s="1"/>
      <c r="M227">
        <v>711</v>
      </c>
      <c r="N227" t="s">
        <v>282</v>
      </c>
      <c r="O227" s="1"/>
      <c r="P227" s="1"/>
      <c r="Q227" s="1"/>
      <c r="R227" s="1"/>
      <c r="S227" s="1"/>
      <c r="T227" s="1"/>
      <c r="U227" s="1"/>
      <c r="V227" s="1"/>
    </row>
    <row r="228" spans="1:22" x14ac:dyDescent="0.25">
      <c r="A228" t="s">
        <v>791</v>
      </c>
      <c r="B228" t="s">
        <v>281</v>
      </c>
      <c r="C228" s="1">
        <v>995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f>SUM(H228,I228)</f>
        <v>0</v>
      </c>
      <c r="K228" s="1"/>
      <c r="M228">
        <v>116</v>
      </c>
      <c r="N228" t="s">
        <v>283</v>
      </c>
      <c r="O228" s="1">
        <v>105127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/>
      <c r="V228" s="1">
        <f t="shared" si="15"/>
        <v>0</v>
      </c>
    </row>
    <row r="229" spans="1:22" x14ac:dyDescent="0.25">
      <c r="A229" t="s">
        <v>801</v>
      </c>
      <c r="B229" t="s">
        <v>282</v>
      </c>
      <c r="C229" s="1"/>
      <c r="D229" s="1"/>
      <c r="E229" s="1"/>
      <c r="F229" s="1"/>
      <c r="G229" s="1"/>
      <c r="H229" s="1"/>
      <c r="I229" s="1"/>
      <c r="J229" s="1"/>
      <c r="K229" s="1"/>
      <c r="M229">
        <v>111</v>
      </c>
      <c r="N229" s="5" t="s">
        <v>284</v>
      </c>
      <c r="O229" s="6">
        <v>53182</v>
      </c>
      <c r="P229" s="6">
        <v>1838</v>
      </c>
      <c r="Q229" s="6">
        <v>0</v>
      </c>
      <c r="R229" s="6">
        <v>0</v>
      </c>
      <c r="S229" s="6">
        <v>0</v>
      </c>
      <c r="T229" s="6">
        <v>0</v>
      </c>
      <c r="U229" s="6"/>
      <c r="V229" s="6">
        <f t="shared" si="15"/>
        <v>0</v>
      </c>
    </row>
    <row r="230" spans="1:22" x14ac:dyDescent="0.25">
      <c r="A230" t="s">
        <v>795</v>
      </c>
      <c r="B230" t="s">
        <v>283</v>
      </c>
      <c r="C230" s="1">
        <f>105112+15</f>
        <v>105127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f>SUM(H230,I230)</f>
        <v>0</v>
      </c>
      <c r="K230" s="1"/>
      <c r="M230">
        <v>311</v>
      </c>
      <c r="N230" t="s">
        <v>285</v>
      </c>
      <c r="O230" s="1"/>
      <c r="P230" s="1"/>
      <c r="Q230" s="1"/>
      <c r="R230" s="1"/>
      <c r="S230" s="1"/>
      <c r="T230" s="1"/>
      <c r="U230" s="1"/>
      <c r="V230" s="1"/>
    </row>
    <row r="231" spans="1:22" x14ac:dyDescent="0.25">
      <c r="A231" t="s">
        <v>811</v>
      </c>
      <c r="B231" s="5" t="s">
        <v>284</v>
      </c>
      <c r="C231" s="6"/>
      <c r="D231" s="6"/>
      <c r="E231" s="6"/>
      <c r="F231" s="6"/>
      <c r="G231" s="6"/>
      <c r="H231" s="6"/>
      <c r="I231" s="6"/>
      <c r="J231" s="6"/>
      <c r="K231" s="6" t="s">
        <v>867</v>
      </c>
      <c r="M231">
        <v>511</v>
      </c>
      <c r="N231" t="s">
        <v>286</v>
      </c>
      <c r="O231" s="1">
        <v>12858</v>
      </c>
      <c r="P231" s="1">
        <v>86</v>
      </c>
      <c r="Q231" s="1">
        <v>0</v>
      </c>
      <c r="R231" s="1">
        <v>0</v>
      </c>
      <c r="S231" s="1">
        <v>0</v>
      </c>
      <c r="T231" s="1">
        <v>0</v>
      </c>
      <c r="U231" s="1"/>
      <c r="V231" s="1">
        <f t="shared" si="15"/>
        <v>0</v>
      </c>
    </row>
    <row r="232" spans="1:22" x14ac:dyDescent="0.25">
      <c r="A232" t="s">
        <v>120</v>
      </c>
      <c r="B232" t="s">
        <v>285</v>
      </c>
      <c r="C232" s="1"/>
      <c r="D232" s="1"/>
      <c r="E232" s="1"/>
      <c r="F232" s="1"/>
      <c r="G232" s="1"/>
      <c r="H232" s="1"/>
      <c r="I232" s="1"/>
      <c r="J232" s="1"/>
      <c r="K232" s="1"/>
      <c r="M232">
        <v>300</v>
      </c>
      <c r="N232" t="s">
        <v>287</v>
      </c>
      <c r="O232" s="1">
        <v>3108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/>
      <c r="V232" s="1">
        <f t="shared" si="15"/>
        <v>0</v>
      </c>
    </row>
    <row r="233" spans="1:22" x14ac:dyDescent="0.25">
      <c r="A233" t="s">
        <v>101</v>
      </c>
      <c r="B233" t="s">
        <v>286</v>
      </c>
      <c r="C233" s="1">
        <f>12846+10+2</f>
        <v>12858</v>
      </c>
      <c r="D233" s="1">
        <v>86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f>SUM(H233,I233)</f>
        <v>0</v>
      </c>
      <c r="K233" s="1"/>
      <c r="M233">
        <v>311</v>
      </c>
      <c r="N233" t="s">
        <v>288</v>
      </c>
      <c r="O233" s="1"/>
      <c r="P233" s="1"/>
      <c r="Q233" s="1"/>
      <c r="R233" s="1"/>
      <c r="S233" s="1"/>
      <c r="T233" s="1"/>
      <c r="U233" s="1"/>
      <c r="V233" s="1"/>
    </row>
    <row r="234" spans="1:22" x14ac:dyDescent="0.25">
      <c r="A234" t="s">
        <v>226</v>
      </c>
      <c r="B234" t="s">
        <v>287</v>
      </c>
      <c r="C234" s="1">
        <v>3108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f>SUM(H234,I234)</f>
        <v>0</v>
      </c>
      <c r="K234" s="1"/>
      <c r="M234">
        <v>120</v>
      </c>
      <c r="N234" t="s">
        <v>289</v>
      </c>
      <c r="O234" s="1">
        <v>1076</v>
      </c>
      <c r="P234" s="1">
        <v>69</v>
      </c>
      <c r="Q234" s="1">
        <v>0</v>
      </c>
      <c r="R234" s="1">
        <v>5113</v>
      </c>
      <c r="S234" s="1">
        <v>23</v>
      </c>
      <c r="T234" s="1">
        <v>0</v>
      </c>
      <c r="U234" s="1"/>
      <c r="V234" s="1">
        <f t="shared" si="15"/>
        <v>0</v>
      </c>
    </row>
    <row r="235" spans="1:22" x14ac:dyDescent="0.25">
      <c r="A235" t="s">
        <v>120</v>
      </c>
      <c r="B235" t="s">
        <v>288</v>
      </c>
      <c r="C235" s="1"/>
      <c r="D235" s="1"/>
      <c r="E235" s="1"/>
      <c r="F235" s="1"/>
      <c r="G235" s="1"/>
      <c r="H235" s="1"/>
      <c r="I235" s="1"/>
      <c r="J235" s="1"/>
      <c r="K235" s="1"/>
      <c r="M235">
        <v>100</v>
      </c>
      <c r="N235" t="s">
        <v>290</v>
      </c>
      <c r="O235" s="1">
        <v>2222</v>
      </c>
      <c r="P235" s="1">
        <v>4</v>
      </c>
      <c r="Q235" s="1">
        <v>0</v>
      </c>
      <c r="R235" s="1">
        <v>10553</v>
      </c>
      <c r="S235" s="1">
        <v>32</v>
      </c>
      <c r="T235" s="1">
        <v>0</v>
      </c>
      <c r="U235" s="1"/>
      <c r="V235" s="1">
        <f t="shared" si="15"/>
        <v>0</v>
      </c>
    </row>
    <row r="236" spans="1:22" x14ac:dyDescent="0.25">
      <c r="A236" t="s">
        <v>826</v>
      </c>
      <c r="B236" t="s">
        <v>289</v>
      </c>
      <c r="C236" s="1">
        <f>1027+47+2</f>
        <v>1076</v>
      </c>
      <c r="D236" s="1">
        <f>68+1</f>
        <v>69</v>
      </c>
      <c r="E236" s="1">
        <v>0</v>
      </c>
      <c r="F236" s="1">
        <f>5063+34+16</f>
        <v>5113</v>
      </c>
      <c r="G236" s="1">
        <f>22+1</f>
        <v>23</v>
      </c>
      <c r="H236" s="1">
        <v>0</v>
      </c>
      <c r="I236" s="1">
        <v>0</v>
      </c>
      <c r="J236" s="1">
        <f t="shared" ref="J236:J246" si="17">SUM(H236,I236)</f>
        <v>0</v>
      </c>
      <c r="K236" s="1"/>
      <c r="M236">
        <v>120</v>
      </c>
      <c r="N236" t="s">
        <v>291</v>
      </c>
      <c r="O236" s="1">
        <v>492</v>
      </c>
      <c r="P236" s="1">
        <v>0</v>
      </c>
      <c r="Q236" s="1">
        <v>0</v>
      </c>
      <c r="R236" s="1">
        <v>2419</v>
      </c>
      <c r="S236" s="1">
        <v>0</v>
      </c>
      <c r="T236" s="1">
        <v>0</v>
      </c>
      <c r="U236" s="1"/>
      <c r="V236" s="1">
        <f t="shared" si="15"/>
        <v>0</v>
      </c>
    </row>
    <row r="237" spans="1:22" x14ac:dyDescent="0.25">
      <c r="A237" t="s">
        <v>791</v>
      </c>
      <c r="B237" t="s">
        <v>290</v>
      </c>
      <c r="C237" s="1">
        <f>2197+13+2+10</f>
        <v>2222</v>
      </c>
      <c r="D237" s="1">
        <v>4</v>
      </c>
      <c r="E237" s="1">
        <v>0</v>
      </c>
      <c r="F237" s="1">
        <f>10196+7+31+15+142+1+7+154</f>
        <v>10553</v>
      </c>
      <c r="G237" s="1">
        <f>32</f>
        <v>32</v>
      </c>
      <c r="H237" s="1">
        <v>0</v>
      </c>
      <c r="I237" s="1">
        <v>0</v>
      </c>
      <c r="J237" s="1">
        <f t="shared" si="17"/>
        <v>0</v>
      </c>
      <c r="K237" s="1"/>
      <c r="M237">
        <v>300</v>
      </c>
      <c r="N237" t="s">
        <v>292</v>
      </c>
      <c r="O237" s="1">
        <v>352</v>
      </c>
      <c r="P237" s="1">
        <v>0</v>
      </c>
      <c r="Q237" s="1">
        <v>0</v>
      </c>
      <c r="R237" s="1">
        <v>3571</v>
      </c>
      <c r="S237" s="1">
        <v>2</v>
      </c>
      <c r="T237" s="1">
        <v>0</v>
      </c>
      <c r="U237" s="1"/>
      <c r="V237" s="1">
        <f t="shared" si="15"/>
        <v>0</v>
      </c>
    </row>
    <row r="238" spans="1:22" x14ac:dyDescent="0.25">
      <c r="A238" t="s">
        <v>826</v>
      </c>
      <c r="B238" t="s">
        <v>291</v>
      </c>
      <c r="C238" s="1">
        <f>490+2</f>
        <v>492</v>
      </c>
      <c r="D238" s="1">
        <v>0</v>
      </c>
      <c r="E238" s="1">
        <v>0</v>
      </c>
      <c r="F238" s="1">
        <f>2400+19</f>
        <v>2419</v>
      </c>
      <c r="G238" s="1">
        <v>0</v>
      </c>
      <c r="H238" s="1">
        <v>0</v>
      </c>
      <c r="I238" s="1">
        <v>0</v>
      </c>
      <c r="J238" s="1">
        <f t="shared" si="17"/>
        <v>0</v>
      </c>
      <c r="K238" s="1"/>
      <c r="M238">
        <v>613</v>
      </c>
      <c r="N238" t="s">
        <v>293</v>
      </c>
      <c r="O238" s="1">
        <v>1096</v>
      </c>
      <c r="P238" s="1">
        <v>20</v>
      </c>
      <c r="Q238" s="1">
        <v>0</v>
      </c>
      <c r="R238" s="1">
        <v>569</v>
      </c>
      <c r="S238" s="1">
        <v>3</v>
      </c>
      <c r="T238" s="1">
        <v>0</v>
      </c>
      <c r="U238" s="1"/>
      <c r="V238" s="1">
        <f t="shared" si="15"/>
        <v>0</v>
      </c>
    </row>
    <row r="239" spans="1:22" x14ac:dyDescent="0.25">
      <c r="A239" t="s">
        <v>226</v>
      </c>
      <c r="B239" t="s">
        <v>292</v>
      </c>
      <c r="C239" s="1">
        <f>350+2</f>
        <v>352</v>
      </c>
      <c r="D239" s="1">
        <v>0</v>
      </c>
      <c r="E239" s="1">
        <v>0</v>
      </c>
      <c r="F239" s="1">
        <f>3485+5+57+19+5</f>
        <v>3571</v>
      </c>
      <c r="G239" s="1">
        <v>2</v>
      </c>
      <c r="H239" s="1">
        <v>0</v>
      </c>
      <c r="I239" s="1">
        <v>0</v>
      </c>
      <c r="J239" s="1">
        <f t="shared" si="17"/>
        <v>0</v>
      </c>
      <c r="K239" s="1"/>
      <c r="M239">
        <v>600</v>
      </c>
      <c r="N239" t="s">
        <v>294</v>
      </c>
      <c r="O239" s="1">
        <v>211</v>
      </c>
      <c r="P239" s="1">
        <v>0</v>
      </c>
      <c r="Q239" s="1">
        <v>0</v>
      </c>
      <c r="R239" s="1">
        <v>4509</v>
      </c>
      <c r="S239" s="1">
        <v>0</v>
      </c>
      <c r="T239" s="1">
        <v>0</v>
      </c>
      <c r="U239" s="1"/>
      <c r="V239" s="1">
        <f t="shared" si="15"/>
        <v>0</v>
      </c>
    </row>
    <row r="240" spans="1:22" x14ac:dyDescent="0.25">
      <c r="A240" t="s">
        <v>495</v>
      </c>
      <c r="B240" t="s">
        <v>293</v>
      </c>
      <c r="C240" s="1">
        <f>1076+20</f>
        <v>1096</v>
      </c>
      <c r="D240" s="1">
        <f>3+2+15</f>
        <v>20</v>
      </c>
      <c r="E240" s="1">
        <v>0</v>
      </c>
      <c r="F240" s="1">
        <f>506+63</f>
        <v>569</v>
      </c>
      <c r="G240" s="1">
        <f>1+2</f>
        <v>3</v>
      </c>
      <c r="H240" s="1">
        <v>0</v>
      </c>
      <c r="I240" s="1">
        <v>0</v>
      </c>
      <c r="J240" s="1">
        <f t="shared" si="17"/>
        <v>0</v>
      </c>
      <c r="K240" s="1"/>
      <c r="M240">
        <v>210</v>
      </c>
      <c r="N240" t="s">
        <v>295</v>
      </c>
      <c r="O240" s="1">
        <v>129</v>
      </c>
      <c r="P240" s="1">
        <v>0</v>
      </c>
      <c r="Q240" s="1">
        <v>0</v>
      </c>
      <c r="R240" s="1">
        <v>5073</v>
      </c>
      <c r="S240" s="1">
        <v>0</v>
      </c>
      <c r="T240" s="1">
        <v>0</v>
      </c>
      <c r="U240" s="1"/>
      <c r="V240" s="1">
        <f t="shared" si="15"/>
        <v>0</v>
      </c>
    </row>
    <row r="241" spans="1:22" x14ac:dyDescent="0.25">
      <c r="A241" t="s">
        <v>248</v>
      </c>
      <c r="B241" t="s">
        <v>294</v>
      </c>
      <c r="C241" s="1">
        <v>211</v>
      </c>
      <c r="D241" s="1">
        <v>0</v>
      </c>
      <c r="E241" s="1">
        <v>0</v>
      </c>
      <c r="F241" s="1">
        <f>4415+7+2+85</f>
        <v>4509</v>
      </c>
      <c r="G241" s="1">
        <v>0</v>
      </c>
      <c r="H241" s="1">
        <v>0</v>
      </c>
      <c r="I241" s="1">
        <v>0</v>
      </c>
      <c r="J241" s="1">
        <f t="shared" si="17"/>
        <v>0</v>
      </c>
      <c r="K241" s="1"/>
      <c r="M241">
        <v>114</v>
      </c>
      <c r="N241" t="s">
        <v>296</v>
      </c>
      <c r="O241" s="1">
        <v>382</v>
      </c>
      <c r="P241" s="1">
        <v>0</v>
      </c>
      <c r="Q241" s="1">
        <v>0</v>
      </c>
      <c r="R241" s="1">
        <v>6787</v>
      </c>
      <c r="S241" s="1">
        <v>2</v>
      </c>
      <c r="T241" s="1">
        <v>0</v>
      </c>
      <c r="U241" s="1"/>
      <c r="V241" s="1">
        <f t="shared" si="15"/>
        <v>0</v>
      </c>
    </row>
    <row r="242" spans="1:22" x14ac:dyDescent="0.25">
      <c r="A242" t="s">
        <v>865</v>
      </c>
      <c r="B242" t="s">
        <v>295</v>
      </c>
      <c r="C242" s="1">
        <v>129</v>
      </c>
      <c r="D242" s="1">
        <v>0</v>
      </c>
      <c r="E242" s="1">
        <v>0</v>
      </c>
      <c r="F242" s="1">
        <f>5059+3+3+8</f>
        <v>5073</v>
      </c>
      <c r="G242" s="1">
        <v>0</v>
      </c>
      <c r="H242" s="1">
        <v>0</v>
      </c>
      <c r="I242" s="1">
        <v>0</v>
      </c>
      <c r="J242" s="1">
        <f t="shared" si="17"/>
        <v>0</v>
      </c>
      <c r="K242" s="1"/>
      <c r="M242">
        <v>715</v>
      </c>
      <c r="N242" t="s">
        <v>297</v>
      </c>
      <c r="O242" s="1">
        <v>2027</v>
      </c>
      <c r="P242" s="1">
        <v>0</v>
      </c>
      <c r="Q242" s="1">
        <v>0</v>
      </c>
      <c r="R242" s="1">
        <v>3855</v>
      </c>
      <c r="S242" s="1">
        <v>3</v>
      </c>
      <c r="T242" s="1">
        <v>0</v>
      </c>
      <c r="U242" s="1"/>
      <c r="V242" s="1">
        <f t="shared" si="15"/>
        <v>0</v>
      </c>
    </row>
    <row r="243" spans="1:22" x14ac:dyDescent="0.25">
      <c r="A243" t="s">
        <v>831</v>
      </c>
      <c r="B243" t="s">
        <v>296</v>
      </c>
      <c r="C243" s="1">
        <v>382</v>
      </c>
      <c r="D243" s="1">
        <v>0</v>
      </c>
      <c r="E243" s="1">
        <v>0</v>
      </c>
      <c r="F243" s="1">
        <f>6532+6+57+192</f>
        <v>6787</v>
      </c>
      <c r="G243" s="1">
        <v>2</v>
      </c>
      <c r="H243" s="1">
        <v>0</v>
      </c>
      <c r="I243" s="1">
        <v>0</v>
      </c>
      <c r="J243" s="1">
        <f t="shared" si="17"/>
        <v>0</v>
      </c>
      <c r="K243" s="1"/>
      <c r="M243">
        <v>111</v>
      </c>
      <c r="N243" t="s">
        <v>298</v>
      </c>
      <c r="O243" s="1">
        <v>2477</v>
      </c>
      <c r="P243" s="1">
        <v>40</v>
      </c>
      <c r="Q243" s="1">
        <v>0</v>
      </c>
      <c r="R243" s="1">
        <v>6579</v>
      </c>
      <c r="S243" s="1">
        <v>25</v>
      </c>
      <c r="T243" s="1">
        <v>0</v>
      </c>
      <c r="U243" s="1"/>
      <c r="V243" s="1">
        <f t="shared" si="15"/>
        <v>0</v>
      </c>
    </row>
    <row r="244" spans="1:22" x14ac:dyDescent="0.25">
      <c r="A244" t="s">
        <v>818</v>
      </c>
      <c r="B244" t="s">
        <v>297</v>
      </c>
      <c r="C244" s="1">
        <v>2027</v>
      </c>
      <c r="D244" s="1">
        <v>0</v>
      </c>
      <c r="E244" s="1">
        <v>0</v>
      </c>
      <c r="F244" s="1">
        <f>3814+30+11</f>
        <v>3855</v>
      </c>
      <c r="G244" s="1">
        <f>2+1</f>
        <v>3</v>
      </c>
      <c r="H244" s="1">
        <v>0</v>
      </c>
      <c r="I244" s="1">
        <v>0</v>
      </c>
      <c r="J244" s="1">
        <f t="shared" si="17"/>
        <v>0</v>
      </c>
      <c r="K244" s="1"/>
      <c r="M244">
        <v>312</v>
      </c>
      <c r="N244" t="s">
        <v>299</v>
      </c>
      <c r="O244" s="1">
        <v>1220</v>
      </c>
      <c r="P244" s="1">
        <v>0</v>
      </c>
      <c r="Q244" s="1">
        <v>0</v>
      </c>
      <c r="R244" s="1">
        <v>4157</v>
      </c>
      <c r="S244" s="1">
        <v>19</v>
      </c>
      <c r="T244" s="1">
        <v>0</v>
      </c>
      <c r="U244" s="1"/>
      <c r="V244" s="1">
        <f t="shared" si="15"/>
        <v>0</v>
      </c>
    </row>
    <row r="245" spans="1:22" x14ac:dyDescent="0.25">
      <c r="A245" t="s">
        <v>811</v>
      </c>
      <c r="B245" t="s">
        <v>298</v>
      </c>
      <c r="C245" s="1">
        <f>2404+2+1+1+1+1+67</f>
        <v>2477</v>
      </c>
      <c r="D245" s="1">
        <v>40</v>
      </c>
      <c r="E245" s="1">
        <v>0</v>
      </c>
      <c r="F245" s="1">
        <f>6476+4+3+96</f>
        <v>6579</v>
      </c>
      <c r="G245" s="1">
        <f>24+1</f>
        <v>25</v>
      </c>
      <c r="H245" s="1">
        <v>0</v>
      </c>
      <c r="I245" s="1">
        <v>0</v>
      </c>
      <c r="J245" s="1">
        <f t="shared" si="17"/>
        <v>0</v>
      </c>
      <c r="K245" s="1"/>
      <c r="M245">
        <v>310</v>
      </c>
      <c r="N245" t="s">
        <v>300</v>
      </c>
      <c r="O245" s="1"/>
      <c r="P245" s="1"/>
      <c r="Q245" s="1"/>
      <c r="R245" s="1"/>
      <c r="S245" s="1"/>
      <c r="T245" s="1"/>
      <c r="U245" s="1"/>
      <c r="V245" s="1"/>
    </row>
    <row r="246" spans="1:22" x14ac:dyDescent="0.25">
      <c r="A246" t="s">
        <v>72</v>
      </c>
      <c r="B246" t="s">
        <v>299</v>
      </c>
      <c r="C246" s="1">
        <f>902+318</f>
        <v>1220</v>
      </c>
      <c r="D246" s="1">
        <v>0</v>
      </c>
      <c r="E246" s="1">
        <v>0</v>
      </c>
      <c r="F246" s="1">
        <f>4001+4+147+5</f>
        <v>4157</v>
      </c>
      <c r="G246" s="1">
        <v>19</v>
      </c>
      <c r="H246" s="1">
        <v>0</v>
      </c>
      <c r="I246" s="1">
        <v>0</v>
      </c>
      <c r="J246" s="1">
        <f t="shared" si="17"/>
        <v>0</v>
      </c>
      <c r="K246" s="1"/>
      <c r="M246" t="s">
        <v>822</v>
      </c>
      <c r="N246" t="s">
        <v>301</v>
      </c>
      <c r="O246" s="1">
        <v>1020</v>
      </c>
      <c r="P246" s="1">
        <v>17</v>
      </c>
      <c r="Q246" s="1">
        <v>0</v>
      </c>
      <c r="R246" s="1">
        <v>6210</v>
      </c>
      <c r="S246" s="1">
        <v>41</v>
      </c>
      <c r="T246" s="1">
        <v>0</v>
      </c>
      <c r="U246" s="1"/>
      <c r="V246" s="1">
        <f t="shared" si="15"/>
        <v>0</v>
      </c>
    </row>
    <row r="247" spans="1:22" x14ac:dyDescent="0.25">
      <c r="A247" t="s">
        <v>67</v>
      </c>
      <c r="B247" t="s">
        <v>300</v>
      </c>
      <c r="C247" s="1"/>
      <c r="D247" s="1"/>
      <c r="E247" s="1"/>
      <c r="F247" s="1"/>
      <c r="G247" s="1"/>
      <c r="H247" s="1"/>
      <c r="I247" s="1"/>
      <c r="J247" s="1"/>
      <c r="K247" s="1"/>
      <c r="M247">
        <v>500</v>
      </c>
      <c r="N247" t="s">
        <v>302</v>
      </c>
      <c r="O247" s="1"/>
      <c r="P247" s="1"/>
      <c r="Q247" s="1"/>
      <c r="R247" s="1"/>
      <c r="S247" s="1"/>
      <c r="T247" s="1"/>
      <c r="U247" s="1"/>
      <c r="V247" s="1"/>
    </row>
    <row r="248" spans="1:22" x14ac:dyDescent="0.25">
      <c r="A248" t="s">
        <v>798</v>
      </c>
      <c r="B248" t="s">
        <v>301</v>
      </c>
      <c r="C248" s="1">
        <v>1020</v>
      </c>
      <c r="D248" s="1">
        <v>17</v>
      </c>
      <c r="E248" s="1">
        <v>0</v>
      </c>
      <c r="F248" s="1">
        <f>6209+1</f>
        <v>6210</v>
      </c>
      <c r="G248" s="1">
        <f>40+1</f>
        <v>41</v>
      </c>
      <c r="H248" s="1">
        <v>0</v>
      </c>
      <c r="I248" s="1">
        <v>0</v>
      </c>
      <c r="J248" s="1">
        <f>SUM(H248,I248)</f>
        <v>0</v>
      </c>
      <c r="K248" s="1"/>
      <c r="M248">
        <v>610</v>
      </c>
      <c r="N248" t="s">
        <v>303</v>
      </c>
      <c r="O248" s="1">
        <v>345</v>
      </c>
      <c r="P248" s="1">
        <v>0</v>
      </c>
      <c r="Q248" s="1">
        <v>0</v>
      </c>
      <c r="R248" s="1">
        <v>5111</v>
      </c>
      <c r="S248" s="1">
        <v>0</v>
      </c>
      <c r="T248" s="1">
        <v>0</v>
      </c>
      <c r="U248" s="1"/>
      <c r="V248" s="1">
        <f t="shared" si="15"/>
        <v>0</v>
      </c>
    </row>
    <row r="249" spans="1:22" x14ac:dyDescent="0.25">
      <c r="A249" t="s">
        <v>824</v>
      </c>
      <c r="B249" t="s">
        <v>302</v>
      </c>
      <c r="C249" s="1"/>
      <c r="D249" s="1"/>
      <c r="E249" s="1"/>
      <c r="F249" s="1"/>
      <c r="G249" s="1"/>
      <c r="H249" s="1"/>
      <c r="I249" s="1"/>
      <c r="J249" s="1"/>
      <c r="K249" s="1"/>
      <c r="M249">
        <v>311</v>
      </c>
      <c r="N249" t="s">
        <v>304</v>
      </c>
      <c r="O249" s="1"/>
      <c r="P249" s="1"/>
      <c r="Q249" s="1"/>
      <c r="R249" s="1"/>
      <c r="S249" s="1"/>
      <c r="T249" s="1"/>
      <c r="U249" s="1"/>
      <c r="V249" s="1"/>
    </row>
    <row r="250" spans="1:22" x14ac:dyDescent="0.25">
      <c r="A250" t="s">
        <v>788</v>
      </c>
      <c r="B250" t="s">
        <v>303</v>
      </c>
      <c r="C250" s="1">
        <v>345</v>
      </c>
      <c r="D250" s="1">
        <v>0</v>
      </c>
      <c r="E250" s="1">
        <v>0</v>
      </c>
      <c r="F250" s="1">
        <f>5111+1</f>
        <v>5112</v>
      </c>
      <c r="G250" s="1">
        <v>0</v>
      </c>
      <c r="H250" s="1">
        <v>0</v>
      </c>
      <c r="I250" s="1">
        <v>0</v>
      </c>
      <c r="J250" s="1">
        <f>SUM(H250,I250)</f>
        <v>0</v>
      </c>
      <c r="K250" s="1"/>
      <c r="M250">
        <v>173</v>
      </c>
      <c r="N250" t="s">
        <v>306</v>
      </c>
      <c r="O250" s="1">
        <v>813</v>
      </c>
      <c r="P250" s="1">
        <v>0</v>
      </c>
      <c r="Q250" s="1">
        <v>0</v>
      </c>
      <c r="R250" s="1">
        <v>1338</v>
      </c>
      <c r="S250" s="1">
        <v>59</v>
      </c>
      <c r="T250" s="1">
        <v>0</v>
      </c>
      <c r="U250" s="1"/>
      <c r="V250" s="1">
        <f t="shared" si="15"/>
        <v>0</v>
      </c>
    </row>
    <row r="251" spans="1:22" x14ac:dyDescent="0.25">
      <c r="A251" t="s">
        <v>120</v>
      </c>
      <c r="B251" t="s">
        <v>304</v>
      </c>
      <c r="C251" s="1"/>
      <c r="D251" s="1"/>
      <c r="E251" s="1"/>
      <c r="F251" s="1"/>
      <c r="G251" s="1"/>
      <c r="H251" s="1"/>
      <c r="I251" s="1"/>
      <c r="J251" s="1"/>
      <c r="K251" s="1"/>
      <c r="M251">
        <v>313</v>
      </c>
      <c r="N251" t="s">
        <v>307</v>
      </c>
      <c r="O251" s="1">
        <v>228</v>
      </c>
      <c r="P251" s="1">
        <v>1</v>
      </c>
      <c r="Q251" s="1">
        <v>0</v>
      </c>
      <c r="R251" s="1">
        <v>3364</v>
      </c>
      <c r="S251" s="1">
        <v>18</v>
      </c>
      <c r="T251" s="1">
        <v>0</v>
      </c>
      <c r="U251" s="1"/>
      <c r="V251" s="1">
        <f t="shared" si="15"/>
        <v>0</v>
      </c>
    </row>
    <row r="252" spans="1:22" x14ac:dyDescent="0.25">
      <c r="A252" t="s">
        <v>229</v>
      </c>
      <c r="B252" t="s">
        <v>306</v>
      </c>
      <c r="C252" s="1">
        <v>813</v>
      </c>
      <c r="D252" s="1">
        <v>0</v>
      </c>
      <c r="E252" s="1">
        <v>0</v>
      </c>
      <c r="F252" s="1">
        <f>1336+2</f>
        <v>1338</v>
      </c>
      <c r="G252" s="1">
        <v>59</v>
      </c>
      <c r="H252" s="1">
        <v>0</v>
      </c>
      <c r="I252" s="1">
        <v>0</v>
      </c>
      <c r="J252" s="1">
        <f t="shared" ref="J252:J263" si="18">SUM(H252,I252)</f>
        <v>0</v>
      </c>
      <c r="K252" s="1"/>
      <c r="M252">
        <v>100</v>
      </c>
      <c r="N252" t="s">
        <v>308</v>
      </c>
      <c r="O252" s="1">
        <v>484</v>
      </c>
      <c r="P252" s="1">
        <v>0</v>
      </c>
      <c r="Q252" s="1">
        <v>0</v>
      </c>
      <c r="R252" s="1">
        <v>3867</v>
      </c>
      <c r="S252" s="1">
        <v>0</v>
      </c>
      <c r="T252" s="1">
        <v>0</v>
      </c>
      <c r="U252" s="1"/>
      <c r="V252" s="1">
        <f t="shared" si="15"/>
        <v>0</v>
      </c>
    </row>
    <row r="253" spans="1:22" x14ac:dyDescent="0.25">
      <c r="A253" t="s">
        <v>512</v>
      </c>
      <c r="B253" t="s">
        <v>307</v>
      </c>
      <c r="C253" s="1">
        <v>228</v>
      </c>
      <c r="D253" s="1">
        <v>1</v>
      </c>
      <c r="E253" s="1">
        <v>0</v>
      </c>
      <c r="F253" s="1">
        <v>3364</v>
      </c>
      <c r="G253" s="1">
        <v>18</v>
      </c>
      <c r="H253" s="1">
        <v>0</v>
      </c>
      <c r="I253" s="1">
        <v>0</v>
      </c>
      <c r="J253" s="1">
        <f t="shared" si="18"/>
        <v>0</v>
      </c>
      <c r="K253" s="1"/>
      <c r="M253">
        <v>149</v>
      </c>
      <c r="N253" t="s">
        <v>309</v>
      </c>
      <c r="O253" s="1">
        <v>1778</v>
      </c>
      <c r="P253" s="1">
        <v>3</v>
      </c>
      <c r="Q253" s="1">
        <v>0</v>
      </c>
      <c r="R253" s="1">
        <v>19097</v>
      </c>
      <c r="S253" s="1">
        <v>0</v>
      </c>
      <c r="T253" s="1">
        <v>0</v>
      </c>
      <c r="U253" s="1"/>
      <c r="V253" s="1">
        <f t="shared" si="15"/>
        <v>0</v>
      </c>
    </row>
    <row r="254" spans="1:22" x14ac:dyDescent="0.25">
      <c r="A254" t="s">
        <v>791</v>
      </c>
      <c r="B254" t="s">
        <v>308</v>
      </c>
      <c r="C254" s="1">
        <f>471+1+6+1+6</f>
        <v>485</v>
      </c>
      <c r="D254" s="1">
        <v>0</v>
      </c>
      <c r="E254" s="1">
        <v>0</v>
      </c>
      <c r="F254" s="1">
        <f>3848+1+2+16</f>
        <v>3867</v>
      </c>
      <c r="G254" s="1">
        <v>0</v>
      </c>
      <c r="H254" s="1">
        <v>0</v>
      </c>
      <c r="I254" s="1">
        <v>0</v>
      </c>
      <c r="J254" s="1">
        <f t="shared" si="18"/>
        <v>0</v>
      </c>
      <c r="K254" s="1"/>
      <c r="M254">
        <v>114</v>
      </c>
      <c r="N254" t="s">
        <v>310</v>
      </c>
      <c r="O254" s="1">
        <v>90</v>
      </c>
      <c r="P254" s="1">
        <v>0</v>
      </c>
      <c r="Q254" s="1">
        <v>0</v>
      </c>
      <c r="R254" s="1">
        <v>710</v>
      </c>
      <c r="S254" s="1">
        <v>0</v>
      </c>
      <c r="T254" s="1">
        <v>0</v>
      </c>
      <c r="U254" s="1"/>
      <c r="V254" s="1">
        <f t="shared" si="15"/>
        <v>0</v>
      </c>
    </row>
    <row r="255" spans="1:22" x14ac:dyDescent="0.25">
      <c r="A255" t="s">
        <v>841</v>
      </c>
      <c r="B255" t="s">
        <v>309</v>
      </c>
      <c r="C255" s="1">
        <v>1778</v>
      </c>
      <c r="D255" s="1">
        <v>3</v>
      </c>
      <c r="E255" s="1">
        <v>0</v>
      </c>
      <c r="F255" s="1">
        <f>19093+4</f>
        <v>19097</v>
      </c>
      <c r="G255" s="1">
        <v>0</v>
      </c>
      <c r="H255" s="1">
        <v>0</v>
      </c>
      <c r="I255" s="1">
        <v>0</v>
      </c>
      <c r="J255" s="1">
        <f t="shared" si="18"/>
        <v>0</v>
      </c>
      <c r="K255" s="1"/>
      <c r="M255">
        <v>211</v>
      </c>
      <c r="N255" t="s">
        <v>311</v>
      </c>
      <c r="O255" s="1">
        <v>514</v>
      </c>
      <c r="P255" s="1">
        <v>0</v>
      </c>
      <c r="Q255" s="1">
        <v>0</v>
      </c>
      <c r="R255" s="1">
        <v>2510</v>
      </c>
      <c r="S255" s="1">
        <v>0</v>
      </c>
      <c r="T255" s="1">
        <v>0</v>
      </c>
      <c r="U255" s="1"/>
      <c r="V255" s="1">
        <f t="shared" si="15"/>
        <v>0</v>
      </c>
    </row>
    <row r="256" spans="1:22" x14ac:dyDescent="0.25">
      <c r="A256" t="s">
        <v>831</v>
      </c>
      <c r="B256" t="s">
        <v>310</v>
      </c>
      <c r="C256" s="1">
        <v>90</v>
      </c>
      <c r="D256" s="1">
        <v>0</v>
      </c>
      <c r="E256" s="1">
        <v>0</v>
      </c>
      <c r="F256" s="1">
        <v>710</v>
      </c>
      <c r="G256" s="1">
        <v>0</v>
      </c>
      <c r="H256" s="1">
        <v>0</v>
      </c>
      <c r="I256" s="1">
        <v>0</v>
      </c>
      <c r="J256" s="1">
        <f t="shared" si="18"/>
        <v>0</v>
      </c>
      <c r="K256" s="1"/>
      <c r="M256">
        <v>151</v>
      </c>
      <c r="N256" t="s">
        <v>312</v>
      </c>
      <c r="O256" s="1">
        <v>4453</v>
      </c>
      <c r="P256" s="1">
        <v>3</v>
      </c>
      <c r="Q256" s="1">
        <v>0</v>
      </c>
      <c r="R256" s="1">
        <v>501</v>
      </c>
      <c r="S256" s="1">
        <v>0</v>
      </c>
      <c r="T256" s="1">
        <v>0</v>
      </c>
      <c r="U256" s="1"/>
      <c r="V256" s="1">
        <f t="shared" si="15"/>
        <v>0</v>
      </c>
    </row>
    <row r="257" spans="1:22" x14ac:dyDescent="0.25">
      <c r="A257" t="s">
        <v>864</v>
      </c>
      <c r="B257" t="s">
        <v>311</v>
      </c>
      <c r="C257" s="1">
        <f>501+13</f>
        <v>514</v>
      </c>
      <c r="D257" s="1">
        <v>0</v>
      </c>
      <c r="E257" s="1">
        <v>0</v>
      </c>
      <c r="F257" s="1">
        <f>2435+2+42+31</f>
        <v>2510</v>
      </c>
      <c r="G257" s="1">
        <v>0</v>
      </c>
      <c r="H257" s="1">
        <v>0</v>
      </c>
      <c r="I257" s="1">
        <v>0</v>
      </c>
      <c r="J257" s="1">
        <f t="shared" si="18"/>
        <v>0</v>
      </c>
      <c r="K257" s="1"/>
      <c r="M257" t="s">
        <v>814</v>
      </c>
      <c r="N257" t="s">
        <v>313</v>
      </c>
      <c r="O257" s="1">
        <v>730</v>
      </c>
      <c r="P257" s="1">
        <v>0</v>
      </c>
      <c r="Q257" s="1">
        <v>0</v>
      </c>
      <c r="R257" s="1">
        <v>2038</v>
      </c>
      <c r="S257" s="1">
        <v>0</v>
      </c>
      <c r="T257" s="1">
        <v>0</v>
      </c>
      <c r="U257" s="1"/>
      <c r="V257" s="1">
        <f t="shared" si="15"/>
        <v>0</v>
      </c>
    </row>
    <row r="258" spans="1:22" x14ac:dyDescent="0.25">
      <c r="A258" t="s">
        <v>838</v>
      </c>
      <c r="B258" t="s">
        <v>312</v>
      </c>
      <c r="C258" s="1">
        <f>4431+22</f>
        <v>4453</v>
      </c>
      <c r="D258" s="1">
        <v>3</v>
      </c>
      <c r="E258" s="1">
        <v>0</v>
      </c>
      <c r="F258" s="1">
        <v>501</v>
      </c>
      <c r="G258" s="1">
        <v>0</v>
      </c>
      <c r="H258" s="1">
        <v>0</v>
      </c>
      <c r="I258" s="1">
        <v>0</v>
      </c>
      <c r="J258" s="1">
        <f t="shared" si="18"/>
        <v>0</v>
      </c>
      <c r="K258" s="1"/>
      <c r="M258">
        <v>148</v>
      </c>
      <c r="N258" t="s">
        <v>314</v>
      </c>
      <c r="O258" s="1">
        <v>20</v>
      </c>
      <c r="P258" s="1">
        <v>0</v>
      </c>
      <c r="Q258" s="1">
        <v>0</v>
      </c>
      <c r="R258" s="1">
        <v>169</v>
      </c>
      <c r="S258" s="1">
        <v>0</v>
      </c>
      <c r="T258" s="1">
        <v>0</v>
      </c>
      <c r="U258" s="1"/>
      <c r="V258" s="1">
        <f t="shared" si="15"/>
        <v>0</v>
      </c>
    </row>
    <row r="259" spans="1:22" x14ac:dyDescent="0.25">
      <c r="A259" t="s">
        <v>794</v>
      </c>
      <c r="B259" t="s">
        <v>313</v>
      </c>
      <c r="C259" s="1">
        <v>730</v>
      </c>
      <c r="D259" s="1">
        <v>0</v>
      </c>
      <c r="E259" s="1">
        <v>0</v>
      </c>
      <c r="F259" s="1">
        <f>2003+8+27</f>
        <v>2038</v>
      </c>
      <c r="G259" s="1">
        <v>0</v>
      </c>
      <c r="H259" s="1">
        <v>0</v>
      </c>
      <c r="I259" s="1">
        <v>0</v>
      </c>
      <c r="J259" s="1">
        <f t="shared" si="18"/>
        <v>0</v>
      </c>
      <c r="K259" s="1"/>
      <c r="M259">
        <v>143</v>
      </c>
      <c r="N259" t="s">
        <v>315</v>
      </c>
      <c r="O259" s="1">
        <v>140</v>
      </c>
      <c r="P259" s="1">
        <v>0</v>
      </c>
      <c r="Q259" s="1">
        <v>0</v>
      </c>
      <c r="R259" s="1">
        <v>1375</v>
      </c>
      <c r="S259" s="1">
        <v>0</v>
      </c>
      <c r="T259" s="1">
        <v>0</v>
      </c>
      <c r="U259" s="1"/>
      <c r="V259" s="1">
        <f t="shared" si="15"/>
        <v>0</v>
      </c>
    </row>
    <row r="260" spans="1:22" x14ac:dyDescent="0.25">
      <c r="A260" t="s">
        <v>830</v>
      </c>
      <c r="B260" t="s">
        <v>314</v>
      </c>
      <c r="C260" s="1">
        <v>20</v>
      </c>
      <c r="D260" s="1">
        <v>0</v>
      </c>
      <c r="E260" s="1">
        <v>0</v>
      </c>
      <c r="F260" s="1">
        <f>165+4</f>
        <v>169</v>
      </c>
      <c r="G260" s="1">
        <v>0</v>
      </c>
      <c r="H260" s="1">
        <v>0</v>
      </c>
      <c r="I260" s="1">
        <v>0</v>
      </c>
      <c r="J260" s="1">
        <f t="shared" si="18"/>
        <v>0</v>
      </c>
      <c r="K260" s="1"/>
      <c r="M260">
        <v>150</v>
      </c>
      <c r="N260" t="s">
        <v>316</v>
      </c>
      <c r="O260" s="1">
        <v>134</v>
      </c>
      <c r="P260" s="1">
        <v>0</v>
      </c>
      <c r="Q260" s="1">
        <v>0</v>
      </c>
      <c r="R260" s="1">
        <v>1145</v>
      </c>
      <c r="S260" s="1">
        <v>0</v>
      </c>
      <c r="T260" s="1">
        <v>0</v>
      </c>
      <c r="U260" s="1"/>
      <c r="V260" s="1">
        <f t="shared" si="15"/>
        <v>0</v>
      </c>
    </row>
    <row r="261" spans="1:22" x14ac:dyDescent="0.25">
      <c r="A261" t="s">
        <v>844</v>
      </c>
      <c r="B261" t="s">
        <v>315</v>
      </c>
      <c r="C261" s="1">
        <v>140</v>
      </c>
      <c r="D261" s="1">
        <v>0</v>
      </c>
      <c r="E261" s="1">
        <v>0</v>
      </c>
      <c r="F261" s="1">
        <v>1375</v>
      </c>
      <c r="G261" s="1">
        <v>0</v>
      </c>
      <c r="H261" s="1">
        <v>0</v>
      </c>
      <c r="I261" s="1">
        <v>0</v>
      </c>
      <c r="J261" s="1">
        <f t="shared" si="18"/>
        <v>0</v>
      </c>
      <c r="K261" s="1"/>
      <c r="M261">
        <v>147</v>
      </c>
      <c r="N261" t="s">
        <v>317</v>
      </c>
      <c r="O261" s="1">
        <v>2229</v>
      </c>
      <c r="P261" s="1">
        <v>0</v>
      </c>
      <c r="Q261" s="1">
        <v>0</v>
      </c>
      <c r="R261" s="1">
        <v>1724</v>
      </c>
      <c r="S261" s="1">
        <v>6</v>
      </c>
      <c r="T261" s="1">
        <v>0</v>
      </c>
      <c r="U261" s="1"/>
      <c r="V261" s="1">
        <f t="shared" si="15"/>
        <v>0</v>
      </c>
    </row>
    <row r="262" spans="1:22" x14ac:dyDescent="0.25">
      <c r="A262" t="s">
        <v>836</v>
      </c>
      <c r="B262" t="s">
        <v>316</v>
      </c>
      <c r="C262" s="1">
        <v>134</v>
      </c>
      <c r="D262" s="1">
        <v>0</v>
      </c>
      <c r="E262" s="1">
        <v>0</v>
      </c>
      <c r="F262" s="1">
        <v>1145</v>
      </c>
      <c r="G262" s="1">
        <v>0</v>
      </c>
      <c r="H262" s="1">
        <v>0</v>
      </c>
      <c r="I262" s="1">
        <v>0</v>
      </c>
      <c r="J262" s="1">
        <f t="shared" si="18"/>
        <v>0</v>
      </c>
      <c r="K262" s="1"/>
      <c r="M262">
        <v>152</v>
      </c>
      <c r="N262" t="s">
        <v>318</v>
      </c>
      <c r="O262" s="1"/>
      <c r="P262" s="1"/>
      <c r="Q262" s="1"/>
      <c r="R262" s="1"/>
      <c r="S262" s="1"/>
      <c r="T262" s="1"/>
      <c r="U262" s="1"/>
      <c r="V262" s="1"/>
    </row>
    <row r="263" spans="1:22" x14ac:dyDescent="0.25">
      <c r="A263" t="s">
        <v>845</v>
      </c>
      <c r="B263" t="s">
        <v>317</v>
      </c>
      <c r="C263" s="1">
        <f>2107+1+119+2</f>
        <v>2229</v>
      </c>
      <c r="D263" s="1">
        <v>0</v>
      </c>
      <c r="E263" s="1">
        <v>0</v>
      </c>
      <c r="F263" s="1">
        <f>1568+146+10</f>
        <v>1724</v>
      </c>
      <c r="G263" s="1">
        <f>2+4</f>
        <v>6</v>
      </c>
      <c r="H263" s="1">
        <v>0</v>
      </c>
      <c r="I263" s="1">
        <v>0</v>
      </c>
      <c r="J263" s="1">
        <f t="shared" si="18"/>
        <v>0</v>
      </c>
      <c r="K263" s="1"/>
      <c r="M263">
        <v>171</v>
      </c>
      <c r="N263" t="s">
        <v>319</v>
      </c>
      <c r="O263" s="1">
        <v>1573</v>
      </c>
      <c r="P263" s="1">
        <v>0</v>
      </c>
      <c r="Q263" s="1">
        <v>0</v>
      </c>
      <c r="R263" s="1">
        <v>1588</v>
      </c>
      <c r="S263" s="1">
        <v>0</v>
      </c>
      <c r="T263" s="1">
        <v>0</v>
      </c>
      <c r="U263" s="1"/>
      <c r="V263" s="1">
        <f t="shared" si="15"/>
        <v>0</v>
      </c>
    </row>
    <row r="264" spans="1:22" x14ac:dyDescent="0.25">
      <c r="A264" t="s">
        <v>846</v>
      </c>
      <c r="B264" t="s">
        <v>318</v>
      </c>
      <c r="C264" s="1"/>
      <c r="D264" s="1"/>
      <c r="E264" s="1"/>
      <c r="F264" s="1"/>
      <c r="G264" s="1"/>
      <c r="H264" s="1"/>
      <c r="I264" s="1"/>
      <c r="J264" s="1"/>
      <c r="K264" s="1"/>
      <c r="M264" t="s">
        <v>808</v>
      </c>
      <c r="N264" t="s">
        <v>320</v>
      </c>
      <c r="O264" s="1">
        <v>9375</v>
      </c>
      <c r="P264" s="1">
        <v>0</v>
      </c>
      <c r="Q264" s="1">
        <v>0</v>
      </c>
      <c r="R264" s="1">
        <v>2717</v>
      </c>
      <c r="S264" s="1">
        <v>0</v>
      </c>
      <c r="T264" s="1">
        <v>0</v>
      </c>
      <c r="U264" s="1"/>
      <c r="V264" s="1">
        <f t="shared" ref="V264:V327" si="19">SUM(T264:U264)</f>
        <v>0</v>
      </c>
    </row>
    <row r="265" spans="1:22" x14ac:dyDescent="0.25">
      <c r="A265" t="s">
        <v>804</v>
      </c>
      <c r="B265" t="s">
        <v>319</v>
      </c>
      <c r="C265" s="1">
        <f>1571+2</f>
        <v>1573</v>
      </c>
      <c r="D265" s="1">
        <v>0</v>
      </c>
      <c r="E265" s="1">
        <v>0</v>
      </c>
      <c r="F265" s="1">
        <f>1584+4</f>
        <v>1588</v>
      </c>
      <c r="G265" s="1">
        <v>0</v>
      </c>
      <c r="H265" s="1">
        <v>0</v>
      </c>
      <c r="I265" s="1">
        <v>0</v>
      </c>
      <c r="J265" s="1">
        <f>SUM(H265,I265)</f>
        <v>0</v>
      </c>
      <c r="K265" s="1"/>
      <c r="M265">
        <v>711</v>
      </c>
      <c r="N265" t="s">
        <v>321</v>
      </c>
      <c r="O265" s="1"/>
      <c r="P265" s="1"/>
      <c r="Q265" s="1"/>
      <c r="R265" s="1"/>
      <c r="S265" s="1"/>
      <c r="T265" s="1"/>
      <c r="U265" s="1"/>
      <c r="V265" s="1"/>
    </row>
    <row r="266" spans="1:22" x14ac:dyDescent="0.25">
      <c r="A266" t="s">
        <v>809</v>
      </c>
      <c r="B266" t="s">
        <v>320</v>
      </c>
      <c r="C266" s="1">
        <v>9375</v>
      </c>
      <c r="D266" s="1">
        <v>0</v>
      </c>
      <c r="E266" s="1">
        <v>0</v>
      </c>
      <c r="F266" s="1">
        <f>2716+1</f>
        <v>2717</v>
      </c>
      <c r="G266" s="1">
        <v>0</v>
      </c>
      <c r="H266" s="1">
        <v>0</v>
      </c>
      <c r="I266" s="1">
        <v>0</v>
      </c>
      <c r="J266" s="1">
        <f>SUM(H266,I266)</f>
        <v>0</v>
      </c>
      <c r="K266" s="1"/>
      <c r="M266" t="s">
        <v>815</v>
      </c>
      <c r="N266" t="s">
        <v>322</v>
      </c>
      <c r="O266" s="1">
        <v>5511</v>
      </c>
      <c r="P266" s="1">
        <v>35</v>
      </c>
      <c r="Q266" s="1">
        <v>0</v>
      </c>
      <c r="R266" s="1">
        <v>36414</v>
      </c>
      <c r="S266" s="1">
        <v>295</v>
      </c>
      <c r="T266" s="1">
        <v>0</v>
      </c>
      <c r="U266" s="1"/>
      <c r="V266" s="1">
        <f t="shared" si="19"/>
        <v>0</v>
      </c>
    </row>
    <row r="267" spans="1:22" x14ac:dyDescent="0.25">
      <c r="A267" t="s">
        <v>801</v>
      </c>
      <c r="B267" t="s">
        <v>321</v>
      </c>
      <c r="C267" s="1"/>
      <c r="D267" s="1"/>
      <c r="E267" s="1"/>
      <c r="F267" s="1"/>
      <c r="G267" s="1"/>
      <c r="H267" s="1"/>
      <c r="I267" s="1"/>
      <c r="J267" s="1"/>
      <c r="K267" s="1"/>
      <c r="M267">
        <v>713</v>
      </c>
      <c r="N267" t="s">
        <v>323</v>
      </c>
      <c r="O267" s="1">
        <v>2303</v>
      </c>
      <c r="P267" s="1">
        <v>28</v>
      </c>
      <c r="Q267" s="1">
        <v>0</v>
      </c>
      <c r="R267" s="1">
        <v>4224</v>
      </c>
      <c r="S267" s="1">
        <v>48</v>
      </c>
      <c r="T267" s="1">
        <v>0</v>
      </c>
      <c r="U267" s="1"/>
      <c r="V267" s="1">
        <f t="shared" si="19"/>
        <v>0</v>
      </c>
    </row>
    <row r="268" spans="1:22" x14ac:dyDescent="0.25">
      <c r="A268" t="s">
        <v>138</v>
      </c>
      <c r="B268" t="s">
        <v>322</v>
      </c>
      <c r="C268" s="1">
        <v>5511</v>
      </c>
      <c r="D268" s="1">
        <v>35</v>
      </c>
      <c r="E268" s="1">
        <v>0</v>
      </c>
      <c r="F268" s="1">
        <f>36398+3+5+2+1+1+4</f>
        <v>36414</v>
      </c>
      <c r="G268" s="1">
        <v>295</v>
      </c>
      <c r="H268" s="1">
        <v>0</v>
      </c>
      <c r="I268" s="1">
        <v>0</v>
      </c>
      <c r="J268" s="1">
        <f>SUM(H268,I268)</f>
        <v>0</v>
      </c>
      <c r="K268" s="1"/>
      <c r="M268">
        <v>412</v>
      </c>
      <c r="N268" t="s">
        <v>324</v>
      </c>
      <c r="O268" s="1">
        <v>1588</v>
      </c>
      <c r="P268" s="1">
        <v>1</v>
      </c>
      <c r="Q268" s="1">
        <v>0</v>
      </c>
      <c r="R268" s="1">
        <v>4033</v>
      </c>
      <c r="S268" s="1">
        <v>46</v>
      </c>
      <c r="T268" s="1">
        <v>0</v>
      </c>
      <c r="U268" s="1"/>
      <c r="V268" s="1">
        <f t="shared" si="19"/>
        <v>0</v>
      </c>
    </row>
    <row r="269" spans="1:22" x14ac:dyDescent="0.25">
      <c r="A269" t="s">
        <v>83</v>
      </c>
      <c r="B269" t="s">
        <v>323</v>
      </c>
      <c r="C269" s="1">
        <f>2301+2</f>
        <v>2303</v>
      </c>
      <c r="D269" s="1">
        <f>28</f>
        <v>28</v>
      </c>
      <c r="E269" s="1">
        <v>0</v>
      </c>
      <c r="F269" s="1">
        <f>3998+42+184</f>
        <v>4224</v>
      </c>
      <c r="G269" s="1">
        <f>43+3+2</f>
        <v>48</v>
      </c>
      <c r="H269" s="1">
        <v>0</v>
      </c>
      <c r="I269" s="1">
        <v>0</v>
      </c>
      <c r="J269" s="1">
        <f>SUM(H269,I269)</f>
        <v>0</v>
      </c>
      <c r="K269" s="1"/>
      <c r="M269">
        <v>600</v>
      </c>
      <c r="N269" t="s">
        <v>325</v>
      </c>
      <c r="O269" s="1">
        <v>476</v>
      </c>
      <c r="P269" s="1">
        <v>0</v>
      </c>
      <c r="Q269" s="1">
        <v>0</v>
      </c>
      <c r="R269" s="1">
        <v>313</v>
      </c>
      <c r="S269" s="1">
        <v>0</v>
      </c>
      <c r="T269" s="1">
        <v>0</v>
      </c>
      <c r="U269" s="1"/>
      <c r="V269" s="1">
        <f t="shared" si="19"/>
        <v>0</v>
      </c>
    </row>
    <row r="270" spans="1:22" x14ac:dyDescent="0.25">
      <c r="A270" t="s">
        <v>825</v>
      </c>
      <c r="B270" t="s">
        <v>324</v>
      </c>
      <c r="C270" s="1">
        <f>1582+6</f>
        <v>1588</v>
      </c>
      <c r="D270" s="1">
        <v>1</v>
      </c>
      <c r="E270" s="1">
        <v>0</v>
      </c>
      <c r="F270" s="1">
        <f>3984+3+1+35+10</f>
        <v>4033</v>
      </c>
      <c r="G270" s="1">
        <v>46</v>
      </c>
      <c r="H270" s="1">
        <v>0</v>
      </c>
      <c r="I270" s="1">
        <v>0</v>
      </c>
      <c r="J270" s="1">
        <f>SUM(H270,I270)</f>
        <v>0</v>
      </c>
      <c r="K270" s="1"/>
      <c r="M270">
        <v>700</v>
      </c>
      <c r="N270" t="s">
        <v>326</v>
      </c>
      <c r="O270" s="1"/>
      <c r="P270" s="1"/>
      <c r="Q270" s="1"/>
      <c r="R270" s="1"/>
      <c r="S270" s="1"/>
      <c r="T270" s="1"/>
      <c r="U270" s="1"/>
      <c r="V270" s="1"/>
    </row>
    <row r="271" spans="1:22" x14ac:dyDescent="0.25">
      <c r="A271" t="s">
        <v>248</v>
      </c>
      <c r="B271" t="s">
        <v>325</v>
      </c>
      <c r="C271" s="1">
        <v>476</v>
      </c>
      <c r="D271" s="1">
        <v>0</v>
      </c>
      <c r="E271" s="1">
        <v>0</v>
      </c>
      <c r="F271" s="1">
        <v>313</v>
      </c>
      <c r="G271" s="1">
        <v>0</v>
      </c>
      <c r="H271" s="1">
        <v>0</v>
      </c>
      <c r="I271" s="1">
        <v>0</v>
      </c>
      <c r="J271" s="1">
        <f>SUM(H271,I271)</f>
        <v>0</v>
      </c>
      <c r="K271" s="1"/>
      <c r="M271">
        <v>116</v>
      </c>
      <c r="N271" t="s">
        <v>327</v>
      </c>
      <c r="O271" s="1">
        <v>188</v>
      </c>
      <c r="P271" s="1">
        <v>0</v>
      </c>
      <c r="Q271" s="1">
        <v>0</v>
      </c>
      <c r="R271" s="1">
        <v>837</v>
      </c>
      <c r="S271" s="1">
        <v>43</v>
      </c>
      <c r="T271" s="1">
        <v>0</v>
      </c>
      <c r="U271" s="1"/>
      <c r="V271" s="1">
        <f t="shared" si="19"/>
        <v>0</v>
      </c>
    </row>
    <row r="272" spans="1:22" x14ac:dyDescent="0.25">
      <c r="A272" t="s">
        <v>83</v>
      </c>
      <c r="B272" t="s">
        <v>326</v>
      </c>
      <c r="C272" s="1"/>
      <c r="D272" s="1"/>
      <c r="E272" s="1"/>
      <c r="F272" s="1"/>
      <c r="G272" s="1"/>
      <c r="H272" s="1"/>
      <c r="I272" s="1"/>
      <c r="J272" s="1"/>
      <c r="K272" s="1"/>
      <c r="M272">
        <v>712</v>
      </c>
      <c r="N272" t="s">
        <v>329</v>
      </c>
      <c r="O272" s="1">
        <v>2975</v>
      </c>
      <c r="P272" s="1">
        <v>35</v>
      </c>
      <c r="Q272" s="1">
        <v>0</v>
      </c>
      <c r="R272" s="1">
        <v>11853</v>
      </c>
      <c r="S272" s="1">
        <v>48</v>
      </c>
      <c r="T272" s="1">
        <v>0</v>
      </c>
      <c r="U272" s="1"/>
      <c r="V272" s="1">
        <f t="shared" si="19"/>
        <v>0</v>
      </c>
    </row>
    <row r="273" spans="1:22" x14ac:dyDescent="0.25">
      <c r="A273" t="s">
        <v>795</v>
      </c>
      <c r="B273" t="s">
        <v>327</v>
      </c>
      <c r="C273" s="1">
        <v>188</v>
      </c>
      <c r="D273" s="1">
        <v>0</v>
      </c>
      <c r="E273" s="1">
        <v>0</v>
      </c>
      <c r="F273" s="1">
        <v>837</v>
      </c>
      <c r="G273" s="1">
        <v>43</v>
      </c>
      <c r="H273" s="1">
        <v>0</v>
      </c>
      <c r="I273" s="1">
        <v>0</v>
      </c>
      <c r="J273" s="1">
        <f>SUM(H273,I273)</f>
        <v>0</v>
      </c>
      <c r="K273" s="1"/>
      <c r="M273" t="s">
        <v>808</v>
      </c>
      <c r="N273" t="s">
        <v>330</v>
      </c>
      <c r="O273" s="1">
        <v>3269</v>
      </c>
      <c r="P273" s="1">
        <v>79</v>
      </c>
      <c r="Q273" s="1">
        <v>0</v>
      </c>
      <c r="R273" s="1">
        <v>9329</v>
      </c>
      <c r="S273" s="1">
        <v>4</v>
      </c>
      <c r="T273" s="1">
        <v>0</v>
      </c>
      <c r="U273" s="1"/>
      <c r="V273" s="1">
        <f t="shared" si="19"/>
        <v>0</v>
      </c>
    </row>
    <row r="274" spans="1:22" x14ac:dyDescent="0.25">
      <c r="A274" t="s">
        <v>76</v>
      </c>
      <c r="B274" t="s">
        <v>329</v>
      </c>
      <c r="C274" s="1">
        <f>2971+4</f>
        <v>2975</v>
      </c>
      <c r="D274" s="1">
        <f>19+16</f>
        <v>35</v>
      </c>
      <c r="E274" s="1">
        <v>0</v>
      </c>
      <c r="F274" s="1">
        <f>11532+1+2+1+317</f>
        <v>11853</v>
      </c>
      <c r="G274" s="1">
        <f>30+18</f>
        <v>48</v>
      </c>
      <c r="H274" s="1">
        <v>0</v>
      </c>
      <c r="I274" s="1">
        <v>0</v>
      </c>
      <c r="J274" s="1">
        <f>SUM(H274,I274)</f>
        <v>0</v>
      </c>
      <c r="K274" s="1"/>
      <c r="M274">
        <v>300</v>
      </c>
      <c r="N274" t="s">
        <v>331</v>
      </c>
      <c r="O274" s="1"/>
      <c r="P274" s="1"/>
      <c r="Q274" s="1"/>
      <c r="R274" s="1"/>
      <c r="S274" s="1"/>
      <c r="T274" s="1"/>
      <c r="U274" s="1"/>
      <c r="V274" s="1"/>
    </row>
    <row r="275" spans="1:22" x14ac:dyDescent="0.25">
      <c r="A275" t="s">
        <v>809</v>
      </c>
      <c r="B275" t="s">
        <v>330</v>
      </c>
      <c r="C275" s="1">
        <f>3267+2</f>
        <v>3269</v>
      </c>
      <c r="D275" s="1">
        <f>7+72</f>
        <v>79</v>
      </c>
      <c r="E275" s="1">
        <v>0</v>
      </c>
      <c r="F275" s="1">
        <f>9326+1+2</f>
        <v>9329</v>
      </c>
      <c r="G275" s="1">
        <f>2+2</f>
        <v>4</v>
      </c>
      <c r="H275" s="1">
        <v>0</v>
      </c>
      <c r="I275" s="1">
        <v>0</v>
      </c>
      <c r="J275" s="1">
        <f>SUM(H275,I275)</f>
        <v>0</v>
      </c>
      <c r="K275" s="1"/>
      <c r="M275">
        <v>600</v>
      </c>
      <c r="N275" t="s">
        <v>332</v>
      </c>
      <c r="O275" s="1">
        <v>33</v>
      </c>
      <c r="P275" s="1">
        <v>0</v>
      </c>
      <c r="Q275" s="1">
        <v>0</v>
      </c>
      <c r="R275" s="1">
        <v>21</v>
      </c>
      <c r="S275" s="1">
        <v>0</v>
      </c>
      <c r="T275" s="1">
        <v>0</v>
      </c>
      <c r="U275" s="1"/>
      <c r="V275" s="1">
        <f t="shared" si="19"/>
        <v>0</v>
      </c>
    </row>
    <row r="276" spans="1:22" x14ac:dyDescent="0.25">
      <c r="A276" t="s">
        <v>839</v>
      </c>
      <c r="B276" t="s">
        <v>331</v>
      </c>
      <c r="C276" s="1"/>
      <c r="D276" s="1"/>
      <c r="E276" s="1"/>
      <c r="F276" s="1"/>
      <c r="G276" s="1"/>
      <c r="H276" s="1"/>
      <c r="I276" s="1"/>
      <c r="J276" s="1"/>
      <c r="K276" s="1"/>
      <c r="M276">
        <v>128</v>
      </c>
      <c r="N276" t="s">
        <v>333</v>
      </c>
      <c r="O276" s="1">
        <v>129</v>
      </c>
      <c r="P276" s="1">
        <v>0</v>
      </c>
      <c r="Q276" s="1">
        <v>0</v>
      </c>
      <c r="R276" s="1">
        <v>657</v>
      </c>
      <c r="S276" s="1">
        <v>0</v>
      </c>
      <c r="T276" s="1">
        <v>0</v>
      </c>
      <c r="U276" s="1"/>
      <c r="V276" s="1">
        <f t="shared" si="19"/>
        <v>0</v>
      </c>
    </row>
    <row r="277" spans="1:22" x14ac:dyDescent="0.25">
      <c r="A277" t="s">
        <v>248</v>
      </c>
      <c r="B277" t="s">
        <v>332</v>
      </c>
      <c r="C277" s="1">
        <v>33</v>
      </c>
      <c r="D277" s="1">
        <v>0</v>
      </c>
      <c r="E277" s="1">
        <v>0</v>
      </c>
      <c r="F277" s="1">
        <v>21</v>
      </c>
      <c r="G277" s="1">
        <v>0</v>
      </c>
      <c r="H277" s="1">
        <v>0</v>
      </c>
      <c r="I277" s="1">
        <v>0</v>
      </c>
      <c r="J277" s="1">
        <f>SUM(H277,I277)</f>
        <v>0</v>
      </c>
      <c r="K277" s="1"/>
      <c r="M277">
        <v>122</v>
      </c>
      <c r="N277" t="s">
        <v>334</v>
      </c>
      <c r="O277" s="1">
        <v>1148</v>
      </c>
      <c r="P277" s="1">
        <v>0</v>
      </c>
      <c r="Q277" s="1">
        <v>0</v>
      </c>
      <c r="R277" s="1">
        <v>679</v>
      </c>
      <c r="S277" s="1">
        <v>0</v>
      </c>
      <c r="T277" s="1">
        <v>0</v>
      </c>
      <c r="U277" s="1"/>
      <c r="V277" s="1">
        <f t="shared" si="19"/>
        <v>0</v>
      </c>
    </row>
    <row r="278" spans="1:22" x14ac:dyDescent="0.25">
      <c r="A278" t="s">
        <v>862</v>
      </c>
      <c r="B278" t="s">
        <v>333</v>
      </c>
      <c r="C278" s="1">
        <v>129</v>
      </c>
      <c r="D278" s="1">
        <v>0</v>
      </c>
      <c r="E278" s="1">
        <v>0</v>
      </c>
      <c r="F278" s="1">
        <v>657</v>
      </c>
      <c r="G278" s="1">
        <v>0</v>
      </c>
      <c r="H278" s="1">
        <v>0</v>
      </c>
      <c r="I278" s="1">
        <v>0</v>
      </c>
      <c r="J278" s="1">
        <f>SUM(H278,I278)</f>
        <v>0</v>
      </c>
      <c r="K278" s="1"/>
      <c r="M278" t="s">
        <v>820</v>
      </c>
      <c r="N278" t="s">
        <v>335</v>
      </c>
      <c r="O278" s="1">
        <v>948</v>
      </c>
      <c r="P278" s="1">
        <v>0</v>
      </c>
      <c r="Q278" s="1">
        <v>0</v>
      </c>
      <c r="R278" s="1">
        <v>3766</v>
      </c>
      <c r="S278" s="1">
        <v>0</v>
      </c>
      <c r="T278" s="1">
        <v>0</v>
      </c>
      <c r="U278" s="1"/>
      <c r="V278" s="1">
        <f t="shared" si="19"/>
        <v>0</v>
      </c>
    </row>
    <row r="279" spans="1:22" x14ac:dyDescent="0.25">
      <c r="A279" t="s">
        <v>857</v>
      </c>
      <c r="B279" t="s">
        <v>334</v>
      </c>
      <c r="C279" s="1"/>
      <c r="D279" s="1"/>
      <c r="E279" s="1"/>
      <c r="F279" s="1"/>
      <c r="G279" s="1"/>
      <c r="H279" s="1"/>
      <c r="I279" s="1"/>
      <c r="J279" s="1"/>
      <c r="K279" s="1"/>
      <c r="M279">
        <v>123</v>
      </c>
      <c r="N279" t="s">
        <v>336</v>
      </c>
      <c r="O279" s="1">
        <v>1166</v>
      </c>
      <c r="P279" s="1">
        <v>18</v>
      </c>
      <c r="Q279" s="1">
        <v>0</v>
      </c>
      <c r="R279" s="1">
        <v>3594</v>
      </c>
      <c r="S279" s="1">
        <v>12</v>
      </c>
      <c r="T279" s="1">
        <v>0</v>
      </c>
      <c r="U279" s="1"/>
      <c r="V279" s="1">
        <f t="shared" si="19"/>
        <v>0</v>
      </c>
    </row>
    <row r="280" spans="1:22" x14ac:dyDescent="0.25">
      <c r="A280" t="s">
        <v>265</v>
      </c>
      <c r="B280" t="s">
        <v>335</v>
      </c>
      <c r="C280" s="1">
        <v>948</v>
      </c>
      <c r="D280" s="1">
        <v>0</v>
      </c>
      <c r="E280" s="1">
        <v>0</v>
      </c>
      <c r="F280" s="1">
        <v>3766</v>
      </c>
      <c r="G280" s="1">
        <v>0</v>
      </c>
      <c r="H280" s="1">
        <v>0</v>
      </c>
      <c r="I280" s="1">
        <v>0</v>
      </c>
      <c r="J280" s="1">
        <f t="shared" ref="J280:J287" si="20">SUM(H280,I280)</f>
        <v>0</v>
      </c>
      <c r="K280" s="1"/>
      <c r="M280">
        <v>200</v>
      </c>
      <c r="N280" t="s">
        <v>337</v>
      </c>
      <c r="O280" s="1">
        <v>2700</v>
      </c>
      <c r="P280" s="1">
        <v>50</v>
      </c>
      <c r="Q280" s="1">
        <v>0</v>
      </c>
      <c r="R280" s="1">
        <v>11737</v>
      </c>
      <c r="S280" s="1">
        <v>80</v>
      </c>
      <c r="T280" s="1">
        <v>0</v>
      </c>
      <c r="U280" s="1"/>
      <c r="V280" s="1">
        <f t="shared" si="19"/>
        <v>0</v>
      </c>
    </row>
    <row r="281" spans="1:22" x14ac:dyDescent="0.25">
      <c r="A281" t="s">
        <v>855</v>
      </c>
      <c r="B281" t="s">
        <v>336</v>
      </c>
      <c r="C281" s="1">
        <f>1116+50</f>
        <v>1166</v>
      </c>
      <c r="D281" s="1">
        <v>18</v>
      </c>
      <c r="E281" s="1">
        <v>0</v>
      </c>
      <c r="F281" s="1">
        <f>3536+58</f>
        <v>3594</v>
      </c>
      <c r="G281" s="1">
        <v>12</v>
      </c>
      <c r="H281" s="1">
        <v>0</v>
      </c>
      <c r="I281" s="1">
        <v>0</v>
      </c>
      <c r="J281" s="1">
        <f t="shared" si="20"/>
        <v>0</v>
      </c>
      <c r="K281" s="1"/>
      <c r="M281">
        <v>121</v>
      </c>
      <c r="N281" t="s">
        <v>338</v>
      </c>
      <c r="O281" s="1">
        <v>284</v>
      </c>
      <c r="P281" s="1">
        <v>0</v>
      </c>
      <c r="Q281" s="1">
        <v>0</v>
      </c>
      <c r="R281" s="1">
        <v>2298</v>
      </c>
      <c r="S281" s="1">
        <v>10</v>
      </c>
      <c r="T281" s="1">
        <v>0</v>
      </c>
      <c r="U281" s="1"/>
      <c r="V281" s="1">
        <f t="shared" si="19"/>
        <v>0</v>
      </c>
    </row>
    <row r="282" spans="1:22" x14ac:dyDescent="0.25">
      <c r="A282" t="s">
        <v>806</v>
      </c>
      <c r="B282" t="s">
        <v>337</v>
      </c>
      <c r="C282" s="1">
        <f>2657+3+21+19</f>
        <v>2700</v>
      </c>
      <c r="D282" s="1">
        <v>50</v>
      </c>
      <c r="E282" s="1">
        <v>0</v>
      </c>
      <c r="F282" s="1">
        <f>11599+2+126+3+2+2+1</f>
        <v>11735</v>
      </c>
      <c r="G282" s="1">
        <f>79+1</f>
        <v>80</v>
      </c>
      <c r="H282" s="1">
        <v>0</v>
      </c>
      <c r="I282" s="1">
        <v>0</v>
      </c>
      <c r="J282" s="1">
        <f t="shared" si="20"/>
        <v>0</v>
      </c>
      <c r="K282" s="1"/>
      <c r="M282">
        <v>130</v>
      </c>
      <c r="N282" t="s">
        <v>339</v>
      </c>
      <c r="O282" s="1">
        <v>910</v>
      </c>
      <c r="P282" s="1">
        <v>0</v>
      </c>
      <c r="Q282" s="1">
        <v>0</v>
      </c>
      <c r="R282" s="1">
        <v>1532</v>
      </c>
      <c r="S282" s="1">
        <v>0</v>
      </c>
      <c r="T282" s="1">
        <v>0</v>
      </c>
      <c r="U282" s="1"/>
      <c r="V282" s="1">
        <f t="shared" si="19"/>
        <v>0</v>
      </c>
    </row>
    <row r="283" spans="1:22" x14ac:dyDescent="0.25">
      <c r="A283" t="s">
        <v>852</v>
      </c>
      <c r="B283" t="s">
        <v>338</v>
      </c>
      <c r="C283" s="1">
        <v>284</v>
      </c>
      <c r="D283" s="1">
        <v>0</v>
      </c>
      <c r="E283" s="1">
        <v>0</v>
      </c>
      <c r="F283" s="1">
        <v>2298</v>
      </c>
      <c r="G283" s="1">
        <v>10</v>
      </c>
      <c r="H283" s="1">
        <v>0</v>
      </c>
      <c r="I283" s="1">
        <v>0</v>
      </c>
      <c r="J283" s="1">
        <f t="shared" si="20"/>
        <v>0</v>
      </c>
      <c r="K283" s="1"/>
      <c r="M283">
        <v>124</v>
      </c>
      <c r="N283" t="s">
        <v>340</v>
      </c>
      <c r="O283" s="1">
        <v>74</v>
      </c>
      <c r="P283" s="1">
        <v>0</v>
      </c>
      <c r="Q283" s="1">
        <v>0</v>
      </c>
      <c r="R283" s="1">
        <v>552</v>
      </c>
      <c r="S283" s="1">
        <v>1</v>
      </c>
      <c r="T283" s="1">
        <v>0</v>
      </c>
      <c r="U283" s="1"/>
      <c r="V283" s="1">
        <f t="shared" si="19"/>
        <v>0</v>
      </c>
    </row>
    <row r="284" spans="1:22" x14ac:dyDescent="0.25">
      <c r="A284" t="s">
        <v>860</v>
      </c>
      <c r="B284" t="s">
        <v>339</v>
      </c>
      <c r="C284" s="1">
        <f>901+9</f>
        <v>910</v>
      </c>
      <c r="D284" s="1">
        <v>0</v>
      </c>
      <c r="E284" s="1">
        <v>0</v>
      </c>
      <c r="F284" s="1">
        <f>1527+2+3</f>
        <v>1532</v>
      </c>
      <c r="G284" s="1">
        <v>0</v>
      </c>
      <c r="H284" s="1">
        <v>0</v>
      </c>
      <c r="I284" s="1">
        <v>0</v>
      </c>
      <c r="J284" s="1">
        <f t="shared" si="20"/>
        <v>0</v>
      </c>
      <c r="K284" s="1"/>
      <c r="M284">
        <v>125</v>
      </c>
      <c r="N284" t="s">
        <v>341</v>
      </c>
      <c r="O284" s="1">
        <v>317</v>
      </c>
      <c r="P284" s="1">
        <v>0</v>
      </c>
      <c r="Q284" s="1">
        <v>0</v>
      </c>
      <c r="R284" s="1">
        <v>3261</v>
      </c>
      <c r="S284" s="1">
        <v>0</v>
      </c>
      <c r="T284" s="1">
        <v>0</v>
      </c>
      <c r="U284" s="1"/>
      <c r="V284" s="1">
        <f t="shared" si="19"/>
        <v>0</v>
      </c>
    </row>
    <row r="285" spans="1:22" x14ac:dyDescent="0.25">
      <c r="A285" t="s">
        <v>861</v>
      </c>
      <c r="B285" t="s">
        <v>340</v>
      </c>
      <c r="C285" s="1">
        <v>74</v>
      </c>
      <c r="D285" s="1">
        <v>0</v>
      </c>
      <c r="E285" s="1">
        <v>0</v>
      </c>
      <c r="F285" s="1">
        <f>546+6</f>
        <v>552</v>
      </c>
      <c r="G285" s="1">
        <v>1</v>
      </c>
      <c r="H285" s="1">
        <v>0</v>
      </c>
      <c r="I285" s="1">
        <v>0</v>
      </c>
      <c r="J285" s="1">
        <f t="shared" si="20"/>
        <v>0</v>
      </c>
      <c r="K285" s="1"/>
      <c r="M285">
        <v>126</v>
      </c>
      <c r="N285" t="s">
        <v>342</v>
      </c>
      <c r="O285" s="1">
        <v>299</v>
      </c>
      <c r="P285" s="1">
        <v>7</v>
      </c>
      <c r="Q285" s="1">
        <v>0</v>
      </c>
      <c r="R285" s="1">
        <v>707</v>
      </c>
      <c r="S285" s="1">
        <v>0</v>
      </c>
      <c r="T285" s="1">
        <v>0</v>
      </c>
      <c r="U285" s="1"/>
      <c r="V285" s="1">
        <f t="shared" si="19"/>
        <v>0</v>
      </c>
    </row>
    <row r="286" spans="1:22" x14ac:dyDescent="0.25">
      <c r="A286" t="s">
        <v>834</v>
      </c>
      <c r="B286" t="s">
        <v>341</v>
      </c>
      <c r="C286" s="1">
        <v>317</v>
      </c>
      <c r="D286" s="1">
        <v>0</v>
      </c>
      <c r="E286" s="1">
        <v>0</v>
      </c>
      <c r="F286" s="1">
        <v>3261</v>
      </c>
      <c r="G286" s="1">
        <v>0</v>
      </c>
      <c r="H286" s="1">
        <v>0</v>
      </c>
      <c r="I286" s="1">
        <v>0</v>
      </c>
      <c r="J286" s="1">
        <f t="shared" si="20"/>
        <v>0</v>
      </c>
      <c r="K286" s="1"/>
      <c r="M286">
        <v>711</v>
      </c>
      <c r="N286" t="s">
        <v>343</v>
      </c>
      <c r="O286" s="1"/>
      <c r="P286" s="1"/>
      <c r="Q286" s="1"/>
      <c r="R286" s="1"/>
      <c r="S286" s="1"/>
      <c r="T286" s="1"/>
      <c r="U286" s="1"/>
      <c r="V286" s="1"/>
    </row>
    <row r="287" spans="1:22" x14ac:dyDescent="0.25">
      <c r="A287" t="s">
        <v>850</v>
      </c>
      <c r="B287" t="s">
        <v>342</v>
      </c>
      <c r="C287" s="1">
        <v>299</v>
      </c>
      <c r="D287" s="1">
        <v>7</v>
      </c>
      <c r="E287" s="1">
        <v>0</v>
      </c>
      <c r="F287" s="1">
        <f>691+16</f>
        <v>707</v>
      </c>
      <c r="G287" s="1">
        <v>0</v>
      </c>
      <c r="H287" s="1">
        <v>0</v>
      </c>
      <c r="I287" s="1">
        <v>0</v>
      </c>
      <c r="J287" s="1">
        <f t="shared" si="20"/>
        <v>0</v>
      </c>
      <c r="K287" s="1"/>
      <c r="M287" t="s">
        <v>815</v>
      </c>
      <c r="N287" t="s">
        <v>344</v>
      </c>
      <c r="O287" s="1">
        <v>804</v>
      </c>
      <c r="P287" s="1">
        <v>0</v>
      </c>
      <c r="Q287" s="1">
        <v>0</v>
      </c>
      <c r="R287" s="1">
        <v>8617</v>
      </c>
      <c r="S287" s="1">
        <v>0</v>
      </c>
      <c r="T287" s="1">
        <v>0</v>
      </c>
      <c r="U287" s="1"/>
      <c r="V287" s="1">
        <f t="shared" si="19"/>
        <v>0</v>
      </c>
    </row>
    <row r="288" spans="1:22" x14ac:dyDescent="0.25">
      <c r="A288" t="s">
        <v>801</v>
      </c>
      <c r="B288" t="s">
        <v>343</v>
      </c>
      <c r="C288" s="1"/>
      <c r="D288" s="1"/>
      <c r="E288" s="1"/>
      <c r="F288" s="1"/>
      <c r="G288" s="1"/>
      <c r="H288" s="1"/>
      <c r="I288" s="1"/>
      <c r="J288" s="1"/>
      <c r="K288" s="1"/>
      <c r="M288">
        <v>200</v>
      </c>
      <c r="N288" t="s">
        <v>345</v>
      </c>
      <c r="O288" s="1">
        <v>244</v>
      </c>
      <c r="P288" s="1">
        <v>0</v>
      </c>
      <c r="Q288" s="1">
        <v>0</v>
      </c>
      <c r="R288" s="1">
        <v>2094</v>
      </c>
      <c r="S288" s="1">
        <v>0</v>
      </c>
      <c r="T288" s="1">
        <v>0</v>
      </c>
      <c r="U288" s="1"/>
      <c r="V288" s="1">
        <f t="shared" si="19"/>
        <v>0</v>
      </c>
    </row>
    <row r="289" spans="1:22" x14ac:dyDescent="0.25">
      <c r="A289" t="s">
        <v>138</v>
      </c>
      <c r="B289" t="s">
        <v>344</v>
      </c>
      <c r="C289" s="1">
        <f>801+3</f>
        <v>804</v>
      </c>
      <c r="D289" s="1">
        <v>0</v>
      </c>
      <c r="E289" s="1">
        <v>0</v>
      </c>
      <c r="F289" s="1">
        <f>8539+66+12</f>
        <v>8617</v>
      </c>
      <c r="G289" s="1">
        <v>0</v>
      </c>
      <c r="H289" s="1">
        <v>0</v>
      </c>
      <c r="I289" s="1">
        <v>0</v>
      </c>
      <c r="J289" s="1">
        <f t="shared" ref="J289:J296" si="21">SUM(H289,I289)</f>
        <v>0</v>
      </c>
      <c r="K289" s="1"/>
      <c r="M289">
        <v>710</v>
      </c>
      <c r="N289" t="s">
        <v>346</v>
      </c>
      <c r="O289" s="1">
        <v>2691</v>
      </c>
      <c r="P289" s="1">
        <v>0</v>
      </c>
      <c r="Q289" s="1">
        <v>0</v>
      </c>
      <c r="R289" s="1">
        <v>20240</v>
      </c>
      <c r="S289" s="1">
        <v>150</v>
      </c>
      <c r="T289" s="1">
        <v>0</v>
      </c>
      <c r="U289" s="1"/>
      <c r="V289" s="1">
        <f t="shared" si="19"/>
        <v>0</v>
      </c>
    </row>
    <row r="290" spans="1:22" x14ac:dyDescent="0.25">
      <c r="A290" t="s">
        <v>806</v>
      </c>
      <c r="B290" t="s">
        <v>345</v>
      </c>
      <c r="C290" s="1">
        <v>244</v>
      </c>
      <c r="D290" s="1">
        <v>0</v>
      </c>
      <c r="E290" s="1">
        <v>0</v>
      </c>
      <c r="F290" s="1">
        <f>2087+3+4</f>
        <v>2094</v>
      </c>
      <c r="G290" s="1">
        <v>0</v>
      </c>
      <c r="H290" s="1">
        <v>0</v>
      </c>
      <c r="I290" s="1">
        <v>0</v>
      </c>
      <c r="J290" s="1">
        <f t="shared" si="21"/>
        <v>0</v>
      </c>
      <c r="K290" s="1"/>
      <c r="M290">
        <v>700</v>
      </c>
      <c r="N290" t="s">
        <v>347</v>
      </c>
      <c r="O290" s="1">
        <v>19</v>
      </c>
      <c r="P290" s="1">
        <v>0</v>
      </c>
      <c r="Q290" s="1">
        <v>0</v>
      </c>
      <c r="R290" s="1">
        <v>6</v>
      </c>
      <c r="S290" s="1">
        <v>0</v>
      </c>
      <c r="T290" s="1">
        <v>0</v>
      </c>
      <c r="U290" s="1"/>
      <c r="V290" s="1">
        <f t="shared" si="19"/>
        <v>0</v>
      </c>
    </row>
    <row r="291" spans="1:22" x14ac:dyDescent="0.25">
      <c r="A291" t="s">
        <v>69</v>
      </c>
      <c r="B291" t="s">
        <v>346</v>
      </c>
      <c r="C291" s="1">
        <f>2649+42</f>
        <v>2691</v>
      </c>
      <c r="D291" s="1">
        <v>0</v>
      </c>
      <c r="E291" s="1">
        <v>0</v>
      </c>
      <c r="F291" s="1">
        <f>20207+1+2+4+4+22</f>
        <v>20240</v>
      </c>
      <c r="G291" s="1">
        <f>137+13</f>
        <v>150</v>
      </c>
      <c r="H291" s="1">
        <v>0</v>
      </c>
      <c r="I291" s="1">
        <v>0</v>
      </c>
      <c r="J291" s="1">
        <f t="shared" si="21"/>
        <v>0</v>
      </c>
      <c r="K291" s="1"/>
      <c r="M291">
        <v>511</v>
      </c>
      <c r="N291" t="s">
        <v>348</v>
      </c>
      <c r="O291" s="1">
        <v>968</v>
      </c>
      <c r="P291" s="1">
        <v>22</v>
      </c>
      <c r="Q291" s="1">
        <v>0</v>
      </c>
      <c r="R291" s="1">
        <v>8232</v>
      </c>
      <c r="S291" s="1">
        <v>32</v>
      </c>
      <c r="T291" s="1">
        <v>0</v>
      </c>
      <c r="U291" s="1"/>
      <c r="V291" s="1">
        <f t="shared" si="19"/>
        <v>0</v>
      </c>
    </row>
    <row r="292" spans="1:22" x14ac:dyDescent="0.25">
      <c r="A292" t="s">
        <v>83</v>
      </c>
      <c r="B292" t="s">
        <v>347</v>
      </c>
      <c r="C292" s="1">
        <v>19</v>
      </c>
      <c r="D292" s="1">
        <v>0</v>
      </c>
      <c r="E292" s="1">
        <v>0</v>
      </c>
      <c r="F292" s="1">
        <v>6</v>
      </c>
      <c r="G292" s="1">
        <v>0</v>
      </c>
      <c r="H292" s="1">
        <v>0</v>
      </c>
      <c r="I292" s="1">
        <v>0</v>
      </c>
      <c r="J292" s="1">
        <f t="shared" si="21"/>
        <v>0</v>
      </c>
      <c r="K292" s="1"/>
      <c r="M292">
        <v>110</v>
      </c>
      <c r="N292" t="s">
        <v>349</v>
      </c>
      <c r="O292" s="1">
        <v>465</v>
      </c>
      <c r="P292" s="1">
        <v>0</v>
      </c>
      <c r="Q292" s="1">
        <v>0</v>
      </c>
      <c r="R292" s="1">
        <v>3275</v>
      </c>
      <c r="S292" s="1">
        <v>0</v>
      </c>
      <c r="T292" s="1">
        <v>0</v>
      </c>
      <c r="U292" s="1"/>
      <c r="V292" s="1">
        <f t="shared" si="19"/>
        <v>0</v>
      </c>
    </row>
    <row r="293" spans="1:22" x14ac:dyDescent="0.25">
      <c r="A293" t="s">
        <v>101</v>
      </c>
      <c r="B293" t="s">
        <v>348</v>
      </c>
      <c r="C293" s="1">
        <v>968</v>
      </c>
      <c r="D293" s="1">
        <v>22</v>
      </c>
      <c r="E293" s="1">
        <v>0</v>
      </c>
      <c r="F293" s="1">
        <f>8215+1+9+7</f>
        <v>8232</v>
      </c>
      <c r="G293" s="1">
        <v>10</v>
      </c>
      <c r="H293" s="1">
        <v>0</v>
      </c>
      <c r="I293" s="1">
        <v>0</v>
      </c>
      <c r="J293" s="1">
        <f t="shared" si="21"/>
        <v>0</v>
      </c>
      <c r="K293" s="1"/>
      <c r="M293">
        <v>111</v>
      </c>
      <c r="N293" t="s">
        <v>350</v>
      </c>
      <c r="O293" s="1">
        <v>747</v>
      </c>
      <c r="P293" s="1">
        <v>3</v>
      </c>
      <c r="Q293" s="1">
        <v>0</v>
      </c>
      <c r="R293" s="1">
        <v>9196</v>
      </c>
      <c r="S293" s="1">
        <v>21</v>
      </c>
      <c r="T293" s="1">
        <v>0</v>
      </c>
      <c r="U293" s="1"/>
      <c r="V293" s="1">
        <f t="shared" si="19"/>
        <v>0</v>
      </c>
    </row>
    <row r="294" spans="1:22" x14ac:dyDescent="0.25">
      <c r="A294" t="s">
        <v>797</v>
      </c>
      <c r="B294" t="s">
        <v>349</v>
      </c>
      <c r="C294" s="1">
        <v>465</v>
      </c>
      <c r="D294" s="1">
        <v>0</v>
      </c>
      <c r="E294" s="1">
        <v>0</v>
      </c>
      <c r="F294" s="1">
        <v>3275</v>
      </c>
      <c r="G294" s="1">
        <v>0</v>
      </c>
      <c r="H294" s="1">
        <v>0</v>
      </c>
      <c r="I294" s="1">
        <v>0</v>
      </c>
      <c r="J294" s="1">
        <f t="shared" si="21"/>
        <v>0</v>
      </c>
      <c r="K294" s="1"/>
      <c r="M294">
        <v>140</v>
      </c>
      <c r="N294" t="s">
        <v>351</v>
      </c>
      <c r="O294" s="1">
        <v>568</v>
      </c>
      <c r="P294" s="1">
        <v>0</v>
      </c>
      <c r="Q294" s="1">
        <v>0</v>
      </c>
      <c r="R294" s="1">
        <v>1830</v>
      </c>
      <c r="S294" s="1">
        <v>0</v>
      </c>
      <c r="T294" s="1">
        <v>0</v>
      </c>
      <c r="U294" s="1"/>
      <c r="V294" s="1">
        <f t="shared" si="19"/>
        <v>0</v>
      </c>
    </row>
    <row r="295" spans="1:22" x14ac:dyDescent="0.25">
      <c r="A295" t="s">
        <v>811</v>
      </c>
      <c r="B295" t="s">
        <v>350</v>
      </c>
      <c r="C295" s="1">
        <f>732+15</f>
        <v>747</v>
      </c>
      <c r="D295" s="1">
        <v>3</v>
      </c>
      <c r="E295" s="1">
        <v>0</v>
      </c>
      <c r="F295" s="1">
        <f>9164+2+30</f>
        <v>9196</v>
      </c>
      <c r="G295" s="1">
        <v>21</v>
      </c>
      <c r="H295" s="1">
        <v>0</v>
      </c>
      <c r="I295" s="1">
        <v>0</v>
      </c>
      <c r="J295" s="1">
        <f t="shared" si="21"/>
        <v>0</v>
      </c>
      <c r="K295" s="1"/>
      <c r="M295">
        <v>500</v>
      </c>
      <c r="N295" t="s">
        <v>352</v>
      </c>
      <c r="O295" s="1"/>
      <c r="P295" s="1"/>
      <c r="Q295" s="1"/>
      <c r="R295" s="1"/>
      <c r="S295" s="1"/>
      <c r="T295" s="1"/>
      <c r="U295" s="1"/>
      <c r="V295" s="1"/>
    </row>
    <row r="296" spans="1:22" x14ac:dyDescent="0.25">
      <c r="A296" t="s">
        <v>837</v>
      </c>
      <c r="B296" t="s">
        <v>351</v>
      </c>
      <c r="C296" s="1">
        <v>568</v>
      </c>
      <c r="D296" s="1">
        <v>0</v>
      </c>
      <c r="E296" s="1">
        <v>0</v>
      </c>
      <c r="F296" s="1">
        <f>1827+3</f>
        <v>1830</v>
      </c>
      <c r="G296" s="1">
        <v>0</v>
      </c>
      <c r="H296" s="1">
        <v>0</v>
      </c>
      <c r="I296" s="1">
        <v>0</v>
      </c>
      <c r="J296" s="1">
        <f t="shared" si="21"/>
        <v>0</v>
      </c>
      <c r="K296" s="1"/>
      <c r="M296">
        <v>141</v>
      </c>
      <c r="N296" t="s">
        <v>353</v>
      </c>
      <c r="O296" s="1">
        <v>6881</v>
      </c>
      <c r="P296" s="1">
        <v>0</v>
      </c>
      <c r="Q296" s="1">
        <v>0</v>
      </c>
      <c r="R296" s="1">
        <v>3577</v>
      </c>
      <c r="S296" s="1">
        <v>1</v>
      </c>
      <c r="T296" s="1">
        <v>0</v>
      </c>
      <c r="U296" s="1"/>
      <c r="V296" s="1">
        <f t="shared" si="19"/>
        <v>0</v>
      </c>
    </row>
    <row r="297" spans="1:22" x14ac:dyDescent="0.25">
      <c r="A297" t="s">
        <v>824</v>
      </c>
      <c r="B297" t="s">
        <v>352</v>
      </c>
      <c r="C297" s="1"/>
      <c r="D297" s="1"/>
      <c r="E297" s="1"/>
      <c r="F297" s="1"/>
      <c r="G297" s="1"/>
      <c r="H297" s="1"/>
      <c r="I297" s="1"/>
      <c r="J297" s="1"/>
      <c r="K297" s="1"/>
      <c r="M297">
        <v>146</v>
      </c>
      <c r="N297" t="s">
        <v>354</v>
      </c>
      <c r="O297" s="1">
        <v>219</v>
      </c>
      <c r="P297" s="1">
        <v>0</v>
      </c>
      <c r="Q297" s="1">
        <v>0</v>
      </c>
      <c r="R297" s="1">
        <v>554</v>
      </c>
      <c r="S297" s="1">
        <v>4</v>
      </c>
      <c r="T297" s="1">
        <v>0</v>
      </c>
      <c r="U297" s="1"/>
      <c r="V297" s="1">
        <f t="shared" si="19"/>
        <v>0</v>
      </c>
    </row>
    <row r="298" spans="1:22" x14ac:dyDescent="0.25">
      <c r="A298" t="s">
        <v>829</v>
      </c>
      <c r="B298" t="s">
        <v>353</v>
      </c>
      <c r="C298" s="1">
        <f>6868+13</f>
        <v>6881</v>
      </c>
      <c r="D298" s="1">
        <v>0</v>
      </c>
      <c r="E298" s="1">
        <v>0</v>
      </c>
      <c r="F298" s="1">
        <f>3551+24+2</f>
        <v>3577</v>
      </c>
      <c r="G298" s="1">
        <v>1</v>
      </c>
      <c r="H298" s="1">
        <v>0</v>
      </c>
      <c r="I298" s="1">
        <v>0</v>
      </c>
      <c r="J298" s="1">
        <f t="shared" ref="J298:J306" si="22">SUM(H298,I298)</f>
        <v>0</v>
      </c>
      <c r="K298" s="1"/>
      <c r="M298">
        <v>145</v>
      </c>
      <c r="N298" t="s">
        <v>355</v>
      </c>
      <c r="O298" s="1">
        <v>149</v>
      </c>
      <c r="P298" s="1">
        <v>0</v>
      </c>
      <c r="Q298" s="1">
        <v>0</v>
      </c>
      <c r="R298" s="1">
        <v>600</v>
      </c>
      <c r="S298" s="1">
        <v>0</v>
      </c>
      <c r="T298" s="1">
        <v>0</v>
      </c>
      <c r="U298" s="1"/>
      <c r="V298" s="1">
        <f t="shared" si="19"/>
        <v>0</v>
      </c>
    </row>
    <row r="299" spans="1:22" x14ac:dyDescent="0.25">
      <c r="A299" t="s">
        <v>832</v>
      </c>
      <c r="B299" t="s">
        <v>354</v>
      </c>
      <c r="C299" s="1">
        <v>219</v>
      </c>
      <c r="D299" s="1">
        <v>0</v>
      </c>
      <c r="E299" s="1">
        <v>0</v>
      </c>
      <c r="F299" s="1">
        <v>554</v>
      </c>
      <c r="G299" s="1">
        <f>2+2</f>
        <v>4</v>
      </c>
      <c r="H299" s="1">
        <v>0</v>
      </c>
      <c r="I299" s="1">
        <v>0</v>
      </c>
      <c r="J299" s="1">
        <f t="shared" si="22"/>
        <v>0</v>
      </c>
      <c r="K299" s="1"/>
      <c r="M299">
        <v>138</v>
      </c>
      <c r="N299" t="s">
        <v>356</v>
      </c>
      <c r="O299" s="1">
        <v>896</v>
      </c>
      <c r="P299" s="1">
        <v>0</v>
      </c>
      <c r="Q299" s="1">
        <v>0</v>
      </c>
      <c r="R299" s="1">
        <v>5208</v>
      </c>
      <c r="S299" s="1">
        <v>32</v>
      </c>
      <c r="T299" s="1">
        <v>0</v>
      </c>
      <c r="U299" s="1"/>
      <c r="V299" s="1">
        <f t="shared" si="19"/>
        <v>0</v>
      </c>
    </row>
    <row r="300" spans="1:22" x14ac:dyDescent="0.25">
      <c r="A300" t="s">
        <v>833</v>
      </c>
      <c r="B300" t="s">
        <v>355</v>
      </c>
      <c r="C300" s="1">
        <v>149</v>
      </c>
      <c r="D300" s="1">
        <v>0</v>
      </c>
      <c r="E300" s="1">
        <v>0</v>
      </c>
      <c r="F300" s="1">
        <v>600</v>
      </c>
      <c r="G300" s="1">
        <v>0</v>
      </c>
      <c r="H300" s="1">
        <v>0</v>
      </c>
      <c r="I300" s="1">
        <v>0</v>
      </c>
      <c r="J300" s="1">
        <f t="shared" si="22"/>
        <v>0</v>
      </c>
      <c r="K300" s="1"/>
      <c r="M300">
        <v>139</v>
      </c>
      <c r="N300" t="s">
        <v>357</v>
      </c>
      <c r="O300" s="1">
        <v>494</v>
      </c>
      <c r="P300" s="1">
        <v>0</v>
      </c>
      <c r="Q300" s="1">
        <v>0</v>
      </c>
      <c r="R300" s="1">
        <v>4067</v>
      </c>
      <c r="S300" s="1">
        <v>0</v>
      </c>
      <c r="T300" s="1">
        <v>0</v>
      </c>
      <c r="U300" s="1"/>
      <c r="V300" s="1">
        <f t="shared" si="19"/>
        <v>0</v>
      </c>
    </row>
    <row r="301" spans="1:22" x14ac:dyDescent="0.25">
      <c r="A301" t="s">
        <v>840</v>
      </c>
      <c r="B301" t="s">
        <v>356</v>
      </c>
      <c r="C301" s="1">
        <v>896</v>
      </c>
      <c r="D301" s="1">
        <v>0</v>
      </c>
      <c r="E301" s="1">
        <v>0</v>
      </c>
      <c r="F301" s="1">
        <v>5208</v>
      </c>
      <c r="G301" s="1">
        <v>32</v>
      </c>
      <c r="H301" s="1">
        <v>0</v>
      </c>
      <c r="I301" s="1">
        <v>0</v>
      </c>
      <c r="J301" s="1">
        <f t="shared" si="22"/>
        <v>0</v>
      </c>
      <c r="K301" s="1"/>
      <c r="M301">
        <v>100</v>
      </c>
      <c r="N301" t="s">
        <v>358</v>
      </c>
      <c r="O301" s="1">
        <v>6012</v>
      </c>
      <c r="P301" s="1">
        <v>1</v>
      </c>
      <c r="Q301" s="1">
        <v>0</v>
      </c>
      <c r="R301" s="1">
        <v>9716</v>
      </c>
      <c r="S301" s="1">
        <v>36</v>
      </c>
      <c r="T301" s="1">
        <v>0</v>
      </c>
      <c r="U301" s="1"/>
      <c r="V301" s="1">
        <f t="shared" si="19"/>
        <v>0</v>
      </c>
    </row>
    <row r="302" spans="1:22" x14ac:dyDescent="0.25">
      <c r="A302" t="s">
        <v>843</v>
      </c>
      <c r="B302" t="s">
        <v>357</v>
      </c>
      <c r="C302" s="1">
        <v>494</v>
      </c>
      <c r="D302" s="1">
        <v>0</v>
      </c>
      <c r="E302" s="1">
        <v>0</v>
      </c>
      <c r="F302" s="1">
        <f>3861+15+191</f>
        <v>4067</v>
      </c>
      <c r="G302" s="1">
        <v>0</v>
      </c>
      <c r="H302" s="1">
        <v>0</v>
      </c>
      <c r="I302" s="1">
        <v>0</v>
      </c>
      <c r="J302" s="1">
        <f t="shared" si="22"/>
        <v>0</v>
      </c>
      <c r="K302" s="1"/>
      <c r="M302">
        <v>142</v>
      </c>
      <c r="N302" t="s">
        <v>359</v>
      </c>
      <c r="O302" s="1">
        <v>1516</v>
      </c>
      <c r="P302" s="1">
        <v>0</v>
      </c>
      <c r="Q302" s="1">
        <v>0</v>
      </c>
      <c r="R302" s="1">
        <v>4481</v>
      </c>
      <c r="S302" s="1">
        <v>1</v>
      </c>
      <c r="T302" s="1">
        <v>0</v>
      </c>
      <c r="U302" s="1"/>
      <c r="V302" s="1">
        <f t="shared" si="19"/>
        <v>0</v>
      </c>
    </row>
    <row r="303" spans="1:22" x14ac:dyDescent="0.25">
      <c r="A303" t="s">
        <v>791</v>
      </c>
      <c r="B303" t="s">
        <v>358</v>
      </c>
      <c r="C303" s="1">
        <f>5723+2+38+125+1+2+6+115</f>
        <v>6012</v>
      </c>
      <c r="D303" s="1">
        <v>1</v>
      </c>
      <c r="E303" s="1">
        <v>0</v>
      </c>
      <c r="F303" s="1">
        <f>9269+96+23+1+12+17+3+1+1+293</f>
        <v>9716</v>
      </c>
      <c r="G303" s="1">
        <f>14+22</f>
        <v>36</v>
      </c>
      <c r="H303" s="1">
        <v>0</v>
      </c>
      <c r="I303" s="1">
        <v>0</v>
      </c>
      <c r="J303" s="1">
        <f t="shared" si="22"/>
        <v>0</v>
      </c>
      <c r="K303" s="1"/>
      <c r="M303">
        <v>144</v>
      </c>
      <c r="N303" t="s">
        <v>360</v>
      </c>
      <c r="O303" s="1">
        <v>493</v>
      </c>
      <c r="P303" s="1">
        <v>0</v>
      </c>
      <c r="Q303" s="1">
        <v>0</v>
      </c>
      <c r="R303" s="1">
        <v>3457</v>
      </c>
      <c r="S303" s="1">
        <v>15</v>
      </c>
      <c r="T303" s="1">
        <v>0</v>
      </c>
      <c r="U303" s="1"/>
      <c r="V303" s="1">
        <f t="shared" si="19"/>
        <v>0</v>
      </c>
    </row>
    <row r="304" spans="1:22" x14ac:dyDescent="0.25">
      <c r="A304" t="s">
        <v>842</v>
      </c>
      <c r="B304" t="s">
        <v>359</v>
      </c>
      <c r="C304" s="1">
        <v>1516</v>
      </c>
      <c r="D304" s="1">
        <v>0</v>
      </c>
      <c r="E304" s="1">
        <v>0</v>
      </c>
      <c r="F304" s="1">
        <f>4445+2+34</f>
        <v>4481</v>
      </c>
      <c r="G304" s="1">
        <v>1</v>
      </c>
      <c r="H304" s="1">
        <v>0</v>
      </c>
      <c r="I304" s="1">
        <v>0</v>
      </c>
      <c r="J304" s="1">
        <f t="shared" si="22"/>
        <v>0</v>
      </c>
      <c r="K304" s="1"/>
      <c r="M304">
        <v>120</v>
      </c>
      <c r="N304" t="s">
        <v>361</v>
      </c>
      <c r="O304" s="1">
        <v>5407</v>
      </c>
      <c r="P304" s="1">
        <v>55</v>
      </c>
      <c r="Q304" s="1">
        <v>0</v>
      </c>
      <c r="R304" s="1">
        <v>15826</v>
      </c>
      <c r="S304" s="1">
        <v>227</v>
      </c>
      <c r="T304" s="1">
        <v>0</v>
      </c>
      <c r="U304" s="1"/>
      <c r="V304" s="1">
        <f t="shared" si="19"/>
        <v>0</v>
      </c>
    </row>
    <row r="305" spans="1:22" x14ac:dyDescent="0.25">
      <c r="A305" t="s">
        <v>835</v>
      </c>
      <c r="B305" t="s">
        <v>360</v>
      </c>
      <c r="C305" s="1">
        <v>493</v>
      </c>
      <c r="D305" s="1">
        <v>0</v>
      </c>
      <c r="E305" s="1">
        <v>0</v>
      </c>
      <c r="F305" s="1">
        <f>3455+2</f>
        <v>3457</v>
      </c>
      <c r="G305" s="1">
        <v>15</v>
      </c>
      <c r="H305" s="1">
        <v>0</v>
      </c>
      <c r="I305" s="1">
        <v>0</v>
      </c>
      <c r="J305" s="1">
        <f t="shared" si="22"/>
        <v>0</v>
      </c>
      <c r="K305" s="1"/>
      <c r="M305">
        <v>310</v>
      </c>
      <c r="N305" t="s">
        <v>362</v>
      </c>
      <c r="O305" s="1"/>
      <c r="P305" s="1"/>
      <c r="Q305" s="1"/>
      <c r="R305" s="1"/>
      <c r="S305" s="1"/>
      <c r="T305" s="1"/>
      <c r="U305" s="1"/>
      <c r="V305" s="1"/>
    </row>
    <row r="306" spans="1:22" x14ac:dyDescent="0.25">
      <c r="A306" t="s">
        <v>826</v>
      </c>
      <c r="B306" t="s">
        <v>361</v>
      </c>
      <c r="C306" s="1">
        <f>5192+8+2+139+36+30</f>
        <v>5407</v>
      </c>
      <c r="D306" s="1">
        <v>55</v>
      </c>
      <c r="E306" s="1">
        <v>0</v>
      </c>
      <c r="F306" s="1">
        <f>15569+2+201+1+6+47</f>
        <v>15826</v>
      </c>
      <c r="G306" s="1">
        <f>224+3</f>
        <v>227</v>
      </c>
      <c r="H306" s="1">
        <v>0</v>
      </c>
      <c r="I306" s="1">
        <v>0</v>
      </c>
      <c r="J306" s="1">
        <f t="shared" si="22"/>
        <v>0</v>
      </c>
      <c r="K306" s="1"/>
      <c r="M306">
        <v>114</v>
      </c>
      <c r="N306" t="s">
        <v>363</v>
      </c>
      <c r="O306" s="1">
        <v>125</v>
      </c>
      <c r="P306" s="1">
        <v>0</v>
      </c>
      <c r="Q306" s="1">
        <v>0</v>
      </c>
      <c r="R306" s="1">
        <v>1683</v>
      </c>
      <c r="S306" s="1">
        <v>2</v>
      </c>
      <c r="T306" s="1">
        <v>0</v>
      </c>
      <c r="U306" s="1"/>
      <c r="V306" s="1">
        <f t="shared" si="19"/>
        <v>0</v>
      </c>
    </row>
    <row r="307" spans="1:22" x14ac:dyDescent="0.25">
      <c r="A307" t="s">
        <v>67</v>
      </c>
      <c r="B307" t="s">
        <v>362</v>
      </c>
      <c r="C307" s="1"/>
      <c r="D307" s="1"/>
      <c r="E307" s="1"/>
      <c r="F307" s="1"/>
      <c r="G307" s="1"/>
      <c r="H307" s="1"/>
      <c r="I307" s="1"/>
      <c r="J307" s="1"/>
      <c r="K307" s="1"/>
      <c r="M307">
        <v>600</v>
      </c>
      <c r="N307" t="s">
        <v>364</v>
      </c>
      <c r="O307" s="1">
        <v>404</v>
      </c>
      <c r="P307" s="1">
        <v>0</v>
      </c>
      <c r="Q307" s="1">
        <v>0</v>
      </c>
      <c r="R307" s="1">
        <v>3275</v>
      </c>
      <c r="S307" s="1">
        <v>0</v>
      </c>
      <c r="T307" s="1">
        <v>0</v>
      </c>
      <c r="U307" s="1"/>
      <c r="V307" s="1">
        <f t="shared" si="19"/>
        <v>0</v>
      </c>
    </row>
    <row r="308" spans="1:22" x14ac:dyDescent="0.25">
      <c r="A308" t="s">
        <v>831</v>
      </c>
      <c r="B308" t="s">
        <v>363</v>
      </c>
      <c r="C308" s="1">
        <v>125</v>
      </c>
      <c r="D308" s="1">
        <v>0</v>
      </c>
      <c r="E308" s="1">
        <v>0</v>
      </c>
      <c r="F308" s="1">
        <f>1613+49+1+8+1+1+4+6</f>
        <v>1683</v>
      </c>
      <c r="G308" s="1">
        <v>2</v>
      </c>
      <c r="H308" s="1">
        <v>0</v>
      </c>
      <c r="I308" s="1">
        <v>0</v>
      </c>
      <c r="J308" s="1">
        <f>SUM(H308,I308)</f>
        <v>0</v>
      </c>
      <c r="K308" s="1"/>
      <c r="M308">
        <v>100</v>
      </c>
      <c r="N308" t="s">
        <v>365</v>
      </c>
      <c r="O308" s="1">
        <v>3105</v>
      </c>
      <c r="P308" s="1">
        <v>197</v>
      </c>
      <c r="Q308" s="1">
        <v>0</v>
      </c>
      <c r="R308" s="1">
        <v>4999</v>
      </c>
      <c r="S308" s="1">
        <v>306</v>
      </c>
      <c r="T308" s="1">
        <v>0</v>
      </c>
      <c r="U308" s="1"/>
      <c r="V308" s="1">
        <f t="shared" si="19"/>
        <v>0</v>
      </c>
    </row>
    <row r="309" spans="1:22" x14ac:dyDescent="0.25">
      <c r="A309" t="s">
        <v>248</v>
      </c>
      <c r="B309" t="s">
        <v>364</v>
      </c>
      <c r="C309" s="1">
        <v>404</v>
      </c>
      <c r="D309" s="1">
        <v>0</v>
      </c>
      <c r="E309" s="1">
        <v>0</v>
      </c>
      <c r="F309" s="1">
        <v>3275</v>
      </c>
      <c r="G309" s="1">
        <v>0</v>
      </c>
      <c r="H309" s="1">
        <v>0</v>
      </c>
      <c r="I309" s="1">
        <v>0</v>
      </c>
      <c r="J309" s="1">
        <f>SUM(H309,I309)</f>
        <v>0</v>
      </c>
      <c r="K309" s="1"/>
      <c r="M309">
        <v>110</v>
      </c>
      <c r="N309" t="s">
        <v>366</v>
      </c>
      <c r="O309" s="1">
        <v>197</v>
      </c>
      <c r="P309" s="1">
        <v>0</v>
      </c>
      <c r="Q309" s="1">
        <v>0</v>
      </c>
      <c r="R309" s="1">
        <v>944</v>
      </c>
      <c r="S309" s="1">
        <v>38</v>
      </c>
      <c r="T309" s="1">
        <v>0</v>
      </c>
      <c r="U309" s="1"/>
      <c r="V309" s="1">
        <f t="shared" si="19"/>
        <v>0</v>
      </c>
    </row>
    <row r="310" spans="1:22" x14ac:dyDescent="0.25">
      <c r="A310" t="s">
        <v>791</v>
      </c>
      <c r="B310" t="s">
        <v>365</v>
      </c>
      <c r="C310" s="1">
        <f>3016+25+64</f>
        <v>3105</v>
      </c>
      <c r="D310" s="1">
        <f>151+46</f>
        <v>197</v>
      </c>
      <c r="E310" s="1">
        <v>0</v>
      </c>
      <c r="F310" s="1">
        <f>4945+6+1+47</f>
        <v>4999</v>
      </c>
      <c r="G310" s="1">
        <v>306</v>
      </c>
      <c r="H310" s="1">
        <v>0</v>
      </c>
      <c r="I310" s="1">
        <v>0</v>
      </c>
      <c r="J310" s="1">
        <f>SUM(H310,I310)</f>
        <v>0</v>
      </c>
      <c r="K310" s="1"/>
      <c r="M310">
        <v>311</v>
      </c>
      <c r="N310" t="s">
        <v>367</v>
      </c>
      <c r="O310" s="1"/>
      <c r="P310" s="1"/>
      <c r="Q310" s="1"/>
      <c r="R310" s="1"/>
      <c r="S310" s="1"/>
      <c r="T310" s="1"/>
      <c r="U310" s="1"/>
      <c r="V310" s="1"/>
    </row>
    <row r="311" spans="1:22" x14ac:dyDescent="0.25">
      <c r="A311" t="s">
        <v>797</v>
      </c>
      <c r="B311" t="s">
        <v>366</v>
      </c>
      <c r="C311" s="1">
        <f>187+7+3</f>
        <v>197</v>
      </c>
      <c r="D311" s="1">
        <v>0</v>
      </c>
      <c r="E311" s="1">
        <v>0</v>
      </c>
      <c r="F311" s="1">
        <f>911+2+31</f>
        <v>944</v>
      </c>
      <c r="G311" s="1">
        <f>32+4+2</f>
        <v>38</v>
      </c>
      <c r="H311" s="1">
        <v>0</v>
      </c>
      <c r="I311" s="1">
        <v>0</v>
      </c>
      <c r="J311" s="1">
        <f>SUM(H311,I311)</f>
        <v>0</v>
      </c>
      <c r="K311" s="1"/>
      <c r="M311">
        <v>118</v>
      </c>
      <c r="N311" t="s">
        <v>368</v>
      </c>
      <c r="O311" s="1">
        <v>2091</v>
      </c>
      <c r="P311" s="1">
        <v>0</v>
      </c>
      <c r="Q311" s="1">
        <v>0</v>
      </c>
      <c r="R311" s="1">
        <v>7119</v>
      </c>
      <c r="S311" s="1">
        <v>0</v>
      </c>
      <c r="T311" s="1">
        <v>0</v>
      </c>
      <c r="U311" s="1"/>
      <c r="V311" s="1">
        <f t="shared" si="19"/>
        <v>0</v>
      </c>
    </row>
    <row r="312" spans="1:22" x14ac:dyDescent="0.25">
      <c r="A312" t="s">
        <v>120</v>
      </c>
      <c r="B312" t="s">
        <v>367</v>
      </c>
      <c r="C312" s="1"/>
      <c r="D312" s="1"/>
      <c r="E312" s="1"/>
      <c r="F312" s="1"/>
      <c r="G312" s="1"/>
      <c r="H312" s="1"/>
      <c r="I312" s="1"/>
      <c r="J312" s="1"/>
      <c r="K312" s="1"/>
      <c r="M312" t="s">
        <v>808</v>
      </c>
      <c r="N312" t="s">
        <v>369</v>
      </c>
      <c r="O312" s="1">
        <v>2951</v>
      </c>
      <c r="P312" s="1">
        <v>0</v>
      </c>
      <c r="Q312" s="1">
        <v>0</v>
      </c>
      <c r="R312" s="1">
        <v>17353</v>
      </c>
      <c r="S312" s="1">
        <v>65</v>
      </c>
      <c r="T312" s="1">
        <v>0</v>
      </c>
      <c r="U312" s="1"/>
      <c r="V312" s="1">
        <f t="shared" si="19"/>
        <v>0</v>
      </c>
    </row>
    <row r="313" spans="1:22" x14ac:dyDescent="0.25">
      <c r="A313" t="s">
        <v>231</v>
      </c>
      <c r="B313" t="s">
        <v>368</v>
      </c>
      <c r="C313" s="1">
        <f>2082+4+5</f>
        <v>2091</v>
      </c>
      <c r="D313" s="1">
        <v>0</v>
      </c>
      <c r="E313" s="1">
        <v>0</v>
      </c>
      <c r="F313" s="1">
        <f>6903+4+2+97+13+1+99</f>
        <v>7119</v>
      </c>
      <c r="G313" s="1">
        <v>0</v>
      </c>
      <c r="H313" s="1">
        <v>0</v>
      </c>
      <c r="I313" s="1">
        <v>0</v>
      </c>
      <c r="J313" s="1">
        <f>SUM(H313,I313)</f>
        <v>0</v>
      </c>
      <c r="K313" s="1"/>
      <c r="M313">
        <v>161</v>
      </c>
      <c r="N313" t="s">
        <v>370</v>
      </c>
      <c r="O313" s="1">
        <v>619</v>
      </c>
      <c r="P313" s="1">
        <v>47</v>
      </c>
      <c r="Q313" s="1">
        <v>0</v>
      </c>
      <c r="R313" s="1">
        <v>4131</v>
      </c>
      <c r="S313" s="1">
        <v>7</v>
      </c>
      <c r="T313" s="1">
        <v>0</v>
      </c>
      <c r="U313" s="1"/>
      <c r="V313" s="1">
        <f t="shared" si="19"/>
        <v>0</v>
      </c>
    </row>
    <row r="314" spans="1:22" x14ac:dyDescent="0.25">
      <c r="A314" t="s">
        <v>809</v>
      </c>
      <c r="B314" t="s">
        <v>369</v>
      </c>
      <c r="C314" s="1">
        <f>2773+4+1+2+171</f>
        <v>2951</v>
      </c>
      <c r="D314" s="1">
        <v>0</v>
      </c>
      <c r="E314" s="1">
        <v>0</v>
      </c>
      <c r="F314" s="1">
        <f>17300+12+2+1+4+2+32</f>
        <v>17353</v>
      </c>
      <c r="G314" s="1">
        <f>53+12</f>
        <v>65</v>
      </c>
      <c r="H314" s="1">
        <v>0</v>
      </c>
      <c r="I314" s="1">
        <v>0</v>
      </c>
      <c r="J314" s="1">
        <f>SUM(H314,I314)</f>
        <v>0</v>
      </c>
      <c r="K314" s="1"/>
      <c r="M314">
        <v>300</v>
      </c>
      <c r="N314" s="5" t="s">
        <v>371</v>
      </c>
      <c r="O314" s="6">
        <v>919</v>
      </c>
      <c r="P314" s="6">
        <v>2</v>
      </c>
      <c r="Q314" s="6">
        <v>0</v>
      </c>
      <c r="R314" s="6">
        <v>7816</v>
      </c>
      <c r="S314" s="6">
        <v>14</v>
      </c>
      <c r="T314" s="6">
        <v>0</v>
      </c>
      <c r="U314" s="6"/>
      <c r="V314" s="6">
        <f t="shared" si="19"/>
        <v>0</v>
      </c>
    </row>
    <row r="315" spans="1:22" x14ac:dyDescent="0.25">
      <c r="A315" t="s">
        <v>848</v>
      </c>
      <c r="B315" t="s">
        <v>370</v>
      </c>
      <c r="C315" s="1">
        <v>619</v>
      </c>
      <c r="D315" s="1">
        <v>47</v>
      </c>
      <c r="E315" s="1">
        <v>0</v>
      </c>
      <c r="F315" s="1">
        <f>4042+89</f>
        <v>4131</v>
      </c>
      <c r="G315" s="1">
        <f>1+6</f>
        <v>7</v>
      </c>
      <c r="H315" s="1">
        <v>0</v>
      </c>
      <c r="I315" s="1">
        <v>0</v>
      </c>
      <c r="J315" s="1">
        <f>SUM(H315,I315)</f>
        <v>0</v>
      </c>
      <c r="K315" s="1"/>
      <c r="M315">
        <v>110</v>
      </c>
      <c r="N315" t="s">
        <v>372</v>
      </c>
      <c r="O315" s="1">
        <v>534</v>
      </c>
      <c r="P315" s="1">
        <v>8</v>
      </c>
      <c r="Q315" s="1">
        <v>0</v>
      </c>
      <c r="R315" s="1">
        <v>4324</v>
      </c>
      <c r="S315" s="1">
        <v>138</v>
      </c>
      <c r="T315" s="1">
        <v>0</v>
      </c>
      <c r="U315" s="1"/>
      <c r="V315" s="1">
        <f t="shared" si="19"/>
        <v>0</v>
      </c>
    </row>
    <row r="316" spans="1:22" x14ac:dyDescent="0.25">
      <c r="A316" t="s">
        <v>226</v>
      </c>
      <c r="B316" s="5" t="s">
        <v>371</v>
      </c>
      <c r="C316" s="6"/>
      <c r="D316" s="6"/>
      <c r="E316" s="6"/>
      <c r="F316" s="6"/>
      <c r="G316" s="6"/>
      <c r="H316" s="6"/>
      <c r="I316" s="6"/>
      <c r="J316" s="6"/>
      <c r="K316" s="6" t="s">
        <v>867</v>
      </c>
      <c r="M316">
        <v>100</v>
      </c>
      <c r="N316" t="s">
        <v>373</v>
      </c>
      <c r="O316" s="1">
        <v>1606</v>
      </c>
      <c r="P316" s="1">
        <v>0</v>
      </c>
      <c r="Q316" s="1">
        <v>0</v>
      </c>
      <c r="R316" s="1">
        <v>6020</v>
      </c>
      <c r="S316" s="1">
        <v>4</v>
      </c>
      <c r="T316" s="1">
        <v>0</v>
      </c>
      <c r="U316" s="1"/>
      <c r="V316" s="1">
        <f t="shared" si="19"/>
        <v>0</v>
      </c>
    </row>
    <row r="317" spans="1:22" x14ac:dyDescent="0.25">
      <c r="A317" t="s">
        <v>797</v>
      </c>
      <c r="B317" t="s">
        <v>372</v>
      </c>
      <c r="C317" s="1">
        <f>478+5+31+20</f>
        <v>534</v>
      </c>
      <c r="D317" s="1">
        <v>8</v>
      </c>
      <c r="E317" s="1">
        <v>0</v>
      </c>
      <c r="F317" s="1">
        <f>4212+8+6+98</f>
        <v>4324</v>
      </c>
      <c r="G317" s="1">
        <v>138</v>
      </c>
      <c r="H317" s="1">
        <v>0</v>
      </c>
      <c r="I317" s="1">
        <v>0</v>
      </c>
      <c r="J317" s="1">
        <f t="shared" ref="J317:J332" si="23">SUM(H317,I317)</f>
        <v>0</v>
      </c>
      <c r="K317" s="1"/>
      <c r="M317">
        <v>120</v>
      </c>
      <c r="N317" t="s">
        <v>374</v>
      </c>
      <c r="O317" s="1">
        <v>1332</v>
      </c>
      <c r="P317" s="1">
        <v>8</v>
      </c>
      <c r="Q317" s="1">
        <v>0</v>
      </c>
      <c r="R317" s="1">
        <v>6484</v>
      </c>
      <c r="S317" s="1">
        <v>65</v>
      </c>
      <c r="T317" s="1">
        <v>0</v>
      </c>
      <c r="U317" s="1"/>
      <c r="V317" s="1">
        <f t="shared" si="19"/>
        <v>0</v>
      </c>
    </row>
    <row r="318" spans="1:22" x14ac:dyDescent="0.25">
      <c r="A318" t="s">
        <v>791</v>
      </c>
      <c r="B318" t="s">
        <v>373</v>
      </c>
      <c r="C318" s="1">
        <f>1531+72+3</f>
        <v>1606</v>
      </c>
      <c r="D318" s="1">
        <v>0</v>
      </c>
      <c r="E318" s="1">
        <v>0</v>
      </c>
      <c r="F318" s="1">
        <f>5387+1+4+628</f>
        <v>6020</v>
      </c>
      <c r="G318" s="1">
        <v>4</v>
      </c>
      <c r="H318" s="1">
        <v>0</v>
      </c>
      <c r="I318" s="1">
        <v>0</v>
      </c>
      <c r="J318" s="1">
        <f t="shared" si="23"/>
        <v>0</v>
      </c>
      <c r="K318" s="1"/>
      <c r="M318">
        <v>313</v>
      </c>
      <c r="N318" t="s">
        <v>375</v>
      </c>
      <c r="O318" s="1">
        <v>212</v>
      </c>
      <c r="P318" s="1">
        <v>0</v>
      </c>
      <c r="Q318" s="1">
        <v>0</v>
      </c>
      <c r="R318" s="1">
        <v>3769</v>
      </c>
      <c r="S318" s="1">
        <v>53</v>
      </c>
      <c r="T318" s="1">
        <v>0</v>
      </c>
      <c r="U318" s="1"/>
      <c r="V318" s="1">
        <f t="shared" si="19"/>
        <v>0</v>
      </c>
    </row>
    <row r="319" spans="1:22" x14ac:dyDescent="0.25">
      <c r="A319" t="s">
        <v>826</v>
      </c>
      <c r="B319" t="s">
        <v>374</v>
      </c>
      <c r="C319" s="1">
        <f>1168+164</f>
        <v>1332</v>
      </c>
      <c r="D319" s="1">
        <v>8</v>
      </c>
      <c r="E319" s="1">
        <v>0</v>
      </c>
      <c r="F319" s="1">
        <f>5706+774+4</f>
        <v>6484</v>
      </c>
      <c r="G319" s="1">
        <f>11+54</f>
        <v>65</v>
      </c>
      <c r="H319" s="1">
        <v>0</v>
      </c>
      <c r="I319" s="1">
        <v>0</v>
      </c>
      <c r="J319" s="1">
        <f t="shared" si="23"/>
        <v>0</v>
      </c>
      <c r="K319" s="1"/>
      <c r="M319">
        <v>616</v>
      </c>
      <c r="N319" t="s">
        <v>376</v>
      </c>
      <c r="O319" s="1">
        <v>1264</v>
      </c>
      <c r="P319" s="1">
        <v>0</v>
      </c>
      <c r="Q319" s="1">
        <v>0</v>
      </c>
      <c r="R319" s="1">
        <v>1102</v>
      </c>
      <c r="S319" s="1">
        <v>0</v>
      </c>
      <c r="T319" s="1">
        <v>0</v>
      </c>
      <c r="U319" s="1"/>
      <c r="V319" s="1">
        <f t="shared" si="19"/>
        <v>0</v>
      </c>
    </row>
    <row r="320" spans="1:22" x14ac:dyDescent="0.25">
      <c r="A320" t="s">
        <v>512</v>
      </c>
      <c r="B320" t="s">
        <v>375</v>
      </c>
      <c r="C320" s="1">
        <v>212</v>
      </c>
      <c r="D320" s="1">
        <v>0</v>
      </c>
      <c r="E320" s="1">
        <v>0</v>
      </c>
      <c r="F320" s="1">
        <f>3768+1</f>
        <v>3769</v>
      </c>
      <c r="G320" s="1">
        <v>53</v>
      </c>
      <c r="H320" s="1">
        <v>0</v>
      </c>
      <c r="I320" s="1">
        <v>0</v>
      </c>
      <c r="J320" s="1">
        <f t="shared" si="23"/>
        <v>0</v>
      </c>
      <c r="K320" s="1"/>
      <c r="M320">
        <v>700</v>
      </c>
      <c r="N320" t="s">
        <v>377</v>
      </c>
      <c r="O320" s="1">
        <v>1775</v>
      </c>
      <c r="P320" s="1">
        <v>175</v>
      </c>
      <c r="Q320" s="1">
        <v>0</v>
      </c>
      <c r="R320" s="1">
        <v>9253</v>
      </c>
      <c r="S320" s="1">
        <v>100</v>
      </c>
      <c r="T320" s="1">
        <v>0</v>
      </c>
      <c r="U320" s="1"/>
      <c r="V320" s="1">
        <f t="shared" si="19"/>
        <v>0</v>
      </c>
    </row>
    <row r="321" spans="1:22" x14ac:dyDescent="0.25">
      <c r="A321" t="s">
        <v>817</v>
      </c>
      <c r="B321" t="s">
        <v>376</v>
      </c>
      <c r="C321" s="1">
        <v>1264</v>
      </c>
      <c r="D321" s="1">
        <v>0</v>
      </c>
      <c r="E321" s="1">
        <v>0</v>
      </c>
      <c r="F321" s="1">
        <f>1097+5</f>
        <v>1102</v>
      </c>
      <c r="G321" s="1">
        <v>0</v>
      </c>
      <c r="H321" s="1">
        <v>0</v>
      </c>
      <c r="I321" s="1">
        <v>0</v>
      </c>
      <c r="J321" s="1">
        <f t="shared" si="23"/>
        <v>0</v>
      </c>
      <c r="K321" s="1"/>
      <c r="M321">
        <v>116</v>
      </c>
      <c r="N321" t="s">
        <v>378</v>
      </c>
      <c r="O321" s="1">
        <v>1199</v>
      </c>
      <c r="P321" s="1">
        <v>0</v>
      </c>
      <c r="Q321" s="1">
        <v>0</v>
      </c>
      <c r="R321" s="1">
        <v>4747</v>
      </c>
      <c r="S321" s="1">
        <v>5</v>
      </c>
      <c r="T321" s="1">
        <v>0</v>
      </c>
      <c r="U321" s="1"/>
      <c r="V321" s="1">
        <f t="shared" si="19"/>
        <v>0</v>
      </c>
    </row>
    <row r="322" spans="1:22" x14ac:dyDescent="0.25">
      <c r="A322" t="s">
        <v>83</v>
      </c>
      <c r="B322" t="s">
        <v>377</v>
      </c>
      <c r="C322" s="1">
        <f>1747+1+27</f>
        <v>1775</v>
      </c>
      <c r="D322" s="1">
        <v>175</v>
      </c>
      <c r="E322" s="1">
        <v>0</v>
      </c>
      <c r="F322" s="1">
        <f>8887+6+2+5+353</f>
        <v>9253</v>
      </c>
      <c r="G322" s="1">
        <v>100</v>
      </c>
      <c r="H322" s="1">
        <v>0</v>
      </c>
      <c r="I322" s="1">
        <v>0</v>
      </c>
      <c r="J322" s="1">
        <f t="shared" si="23"/>
        <v>0</v>
      </c>
      <c r="K322" s="1"/>
      <c r="M322">
        <v>137</v>
      </c>
      <c r="N322" t="s">
        <v>379</v>
      </c>
      <c r="O322" s="1">
        <v>548</v>
      </c>
      <c r="P322" s="1">
        <v>0</v>
      </c>
      <c r="Q322" s="1">
        <v>0</v>
      </c>
      <c r="R322" s="1">
        <v>1102</v>
      </c>
      <c r="S322" s="1">
        <v>0</v>
      </c>
      <c r="T322" s="1">
        <v>0</v>
      </c>
      <c r="U322" s="1"/>
      <c r="V322" s="1">
        <f t="shared" si="19"/>
        <v>0</v>
      </c>
    </row>
    <row r="323" spans="1:22" x14ac:dyDescent="0.25">
      <c r="A323" t="s">
        <v>795</v>
      </c>
      <c r="B323" t="s">
        <v>378</v>
      </c>
      <c r="C323" s="1">
        <v>1199</v>
      </c>
      <c r="D323" s="1">
        <v>0</v>
      </c>
      <c r="E323" s="1">
        <v>0</v>
      </c>
      <c r="F323" s="1">
        <f>4743+1+1+1+1</f>
        <v>4747</v>
      </c>
      <c r="G323" s="1">
        <f>1+4</f>
        <v>5</v>
      </c>
      <c r="H323" s="1">
        <v>0</v>
      </c>
      <c r="I323" s="1">
        <v>0</v>
      </c>
      <c r="J323" s="1">
        <f t="shared" si="23"/>
        <v>0</v>
      </c>
      <c r="K323" s="1"/>
      <c r="M323">
        <v>161</v>
      </c>
      <c r="N323" t="s">
        <v>380</v>
      </c>
      <c r="O323" s="1">
        <v>471</v>
      </c>
      <c r="P323" s="1">
        <v>0</v>
      </c>
      <c r="Q323" s="1">
        <v>0</v>
      </c>
      <c r="R323" s="1">
        <v>3674</v>
      </c>
      <c r="S323" s="1">
        <v>0</v>
      </c>
      <c r="T323" s="1">
        <v>0</v>
      </c>
      <c r="U323" s="1"/>
      <c r="V323" s="1">
        <f t="shared" si="19"/>
        <v>0</v>
      </c>
    </row>
    <row r="324" spans="1:22" x14ac:dyDescent="0.25">
      <c r="A324" t="s">
        <v>858</v>
      </c>
      <c r="B324" t="s">
        <v>379</v>
      </c>
      <c r="C324" s="1">
        <v>548</v>
      </c>
      <c r="D324" s="1">
        <v>0</v>
      </c>
      <c r="E324" s="1">
        <v>0</v>
      </c>
      <c r="F324" s="1">
        <f>1046+56</f>
        <v>1102</v>
      </c>
      <c r="G324" s="1">
        <v>0</v>
      </c>
      <c r="H324" s="1">
        <v>0</v>
      </c>
      <c r="I324" s="1">
        <v>0</v>
      </c>
      <c r="J324" s="1">
        <f t="shared" si="23"/>
        <v>0</v>
      </c>
      <c r="K324" s="1"/>
      <c r="M324">
        <v>136</v>
      </c>
      <c r="N324" t="s">
        <v>381</v>
      </c>
      <c r="O324" s="1">
        <v>1616</v>
      </c>
      <c r="P324" s="1">
        <v>0</v>
      </c>
      <c r="Q324" s="1">
        <v>0</v>
      </c>
      <c r="R324" s="1">
        <v>4455</v>
      </c>
      <c r="S324" s="1">
        <v>0</v>
      </c>
      <c r="T324" s="1">
        <v>0</v>
      </c>
      <c r="U324" s="1"/>
      <c r="V324" s="1">
        <f t="shared" si="19"/>
        <v>0</v>
      </c>
    </row>
    <row r="325" spans="1:22" x14ac:dyDescent="0.25">
      <c r="A325" t="s">
        <v>848</v>
      </c>
      <c r="B325" t="s">
        <v>380</v>
      </c>
      <c r="C325" s="1">
        <v>471</v>
      </c>
      <c r="D325" s="1">
        <v>0</v>
      </c>
      <c r="E325" s="1">
        <v>0</v>
      </c>
      <c r="F325" s="1">
        <f>3627+47</f>
        <v>3674</v>
      </c>
      <c r="G325" s="1">
        <v>0</v>
      </c>
      <c r="H325" s="1">
        <v>0</v>
      </c>
      <c r="I325" s="1">
        <v>0</v>
      </c>
      <c r="J325" s="1">
        <f t="shared" si="23"/>
        <v>0</v>
      </c>
      <c r="K325" s="1"/>
      <c r="M325">
        <v>127</v>
      </c>
      <c r="N325" t="s">
        <v>382</v>
      </c>
      <c r="O325" s="1">
        <v>3550</v>
      </c>
      <c r="P325" s="1">
        <v>74</v>
      </c>
      <c r="Q325" s="1">
        <v>0</v>
      </c>
      <c r="R325" s="1">
        <v>3318</v>
      </c>
      <c r="S325" s="1">
        <v>22</v>
      </c>
      <c r="T325" s="1">
        <v>0</v>
      </c>
      <c r="U325" s="1"/>
      <c r="V325" s="1">
        <f t="shared" si="19"/>
        <v>0</v>
      </c>
    </row>
    <row r="326" spans="1:22" x14ac:dyDescent="0.25">
      <c r="A326" t="s">
        <v>863</v>
      </c>
      <c r="B326" t="s">
        <v>381</v>
      </c>
      <c r="C326" s="1">
        <v>1616</v>
      </c>
      <c r="D326" s="1">
        <v>0</v>
      </c>
      <c r="E326" s="1">
        <v>0</v>
      </c>
      <c r="F326" s="1">
        <v>4455</v>
      </c>
      <c r="G326" s="1">
        <v>0</v>
      </c>
      <c r="H326" s="1">
        <v>0</v>
      </c>
      <c r="I326" s="1">
        <v>0</v>
      </c>
      <c r="J326" s="1">
        <f t="shared" si="23"/>
        <v>0</v>
      </c>
      <c r="K326" s="1"/>
      <c r="M326">
        <v>133</v>
      </c>
      <c r="N326" t="s">
        <v>383</v>
      </c>
      <c r="O326" s="1">
        <v>2778</v>
      </c>
      <c r="P326" s="1">
        <v>28</v>
      </c>
      <c r="Q326" s="1">
        <v>0</v>
      </c>
      <c r="R326" s="1">
        <v>14932</v>
      </c>
      <c r="S326" s="1">
        <v>206</v>
      </c>
      <c r="T326" s="1">
        <v>0</v>
      </c>
      <c r="U326" s="1"/>
      <c r="V326" s="1">
        <f t="shared" si="19"/>
        <v>0</v>
      </c>
    </row>
    <row r="327" spans="1:22" x14ac:dyDescent="0.25">
      <c r="A327" t="s">
        <v>854</v>
      </c>
      <c r="B327" t="s">
        <v>382</v>
      </c>
      <c r="C327" s="1">
        <f>3543+7</f>
        <v>3550</v>
      </c>
      <c r="D327" s="1">
        <v>74</v>
      </c>
      <c r="E327" s="1">
        <v>0</v>
      </c>
      <c r="F327" s="1">
        <f>3120+87+111</f>
        <v>3318</v>
      </c>
      <c r="G327" s="1">
        <f>18+4</f>
        <v>22</v>
      </c>
      <c r="H327" s="1">
        <v>0</v>
      </c>
      <c r="I327" s="1">
        <v>0</v>
      </c>
      <c r="J327" s="1">
        <f t="shared" si="23"/>
        <v>0</v>
      </c>
      <c r="K327" s="1"/>
      <c r="M327">
        <v>134</v>
      </c>
      <c r="N327" t="s">
        <v>384</v>
      </c>
      <c r="O327" s="1">
        <v>572</v>
      </c>
      <c r="P327" s="1">
        <v>1</v>
      </c>
      <c r="Q327" s="1">
        <v>0</v>
      </c>
      <c r="R327" s="1">
        <v>69</v>
      </c>
      <c r="S327" s="1">
        <v>0</v>
      </c>
      <c r="T327" s="1">
        <v>0</v>
      </c>
      <c r="U327" s="1"/>
      <c r="V327" s="1">
        <f t="shared" si="19"/>
        <v>0</v>
      </c>
    </row>
    <row r="328" spans="1:22" x14ac:dyDescent="0.25">
      <c r="A328" t="s">
        <v>853</v>
      </c>
      <c r="B328" t="s">
        <v>383</v>
      </c>
      <c r="C328" s="1">
        <f>2751+8+14+5</f>
        <v>2778</v>
      </c>
      <c r="D328" s="1">
        <v>28</v>
      </c>
      <c r="E328" s="1">
        <v>0</v>
      </c>
      <c r="F328" s="1">
        <f>14499+1+325+1+106</f>
        <v>14932</v>
      </c>
      <c r="G328" s="1">
        <f>165+2+1+38</f>
        <v>206</v>
      </c>
      <c r="H328" s="1">
        <v>0</v>
      </c>
      <c r="I328" s="1">
        <v>0</v>
      </c>
      <c r="J328" s="1">
        <f t="shared" si="23"/>
        <v>0</v>
      </c>
      <c r="K328" s="1"/>
      <c r="M328">
        <v>135</v>
      </c>
      <c r="N328" t="s">
        <v>385</v>
      </c>
      <c r="O328" s="1">
        <v>2025</v>
      </c>
      <c r="P328" s="1">
        <v>0</v>
      </c>
      <c r="Q328" s="1">
        <v>0</v>
      </c>
      <c r="R328" s="1">
        <v>2643</v>
      </c>
      <c r="S328" s="1">
        <v>20</v>
      </c>
      <c r="T328" s="1">
        <v>0</v>
      </c>
      <c r="U328" s="1"/>
      <c r="V328" s="1">
        <f t="shared" ref="V328:V405" si="24">SUM(T328:U328)</f>
        <v>0</v>
      </c>
    </row>
    <row r="329" spans="1:22" x14ac:dyDescent="0.25">
      <c r="A329" t="s">
        <v>851</v>
      </c>
      <c r="B329" t="s">
        <v>384</v>
      </c>
      <c r="C329" s="1">
        <v>572</v>
      </c>
      <c r="D329" s="1">
        <v>1</v>
      </c>
      <c r="E329" s="1">
        <v>0</v>
      </c>
      <c r="F329" s="1">
        <v>69</v>
      </c>
      <c r="G329" s="1">
        <v>0</v>
      </c>
      <c r="H329" s="1">
        <v>0</v>
      </c>
      <c r="I329" s="1">
        <v>0</v>
      </c>
      <c r="J329" s="1">
        <f t="shared" si="23"/>
        <v>0</v>
      </c>
      <c r="K329" s="1"/>
      <c r="M329">
        <v>131</v>
      </c>
      <c r="N329" t="s">
        <v>386</v>
      </c>
      <c r="O329" s="1">
        <v>514</v>
      </c>
      <c r="P329" s="1">
        <v>0</v>
      </c>
      <c r="Q329" s="1">
        <v>0</v>
      </c>
      <c r="R329" s="1">
        <v>1302</v>
      </c>
      <c r="S329" s="1">
        <v>0</v>
      </c>
      <c r="T329" s="1">
        <v>0</v>
      </c>
      <c r="U329" s="1"/>
      <c r="V329" s="1">
        <f t="shared" si="24"/>
        <v>0</v>
      </c>
    </row>
    <row r="330" spans="1:22" x14ac:dyDescent="0.25">
      <c r="A330" t="s">
        <v>856</v>
      </c>
      <c r="B330" t="s">
        <v>385</v>
      </c>
      <c r="C330" s="1">
        <f>2021+4</f>
        <v>2025</v>
      </c>
      <c r="D330" s="1">
        <v>0</v>
      </c>
      <c r="E330" s="1">
        <v>0</v>
      </c>
      <c r="F330" s="1">
        <v>2643</v>
      </c>
      <c r="G330" s="1">
        <v>20</v>
      </c>
      <c r="H330" s="1">
        <v>0</v>
      </c>
      <c r="I330" s="1">
        <v>0</v>
      </c>
      <c r="J330" s="1">
        <f t="shared" si="23"/>
        <v>0</v>
      </c>
      <c r="K330" s="1"/>
      <c r="M330">
        <v>132</v>
      </c>
      <c r="N330" t="s">
        <v>387</v>
      </c>
      <c r="O330" s="1">
        <v>1186</v>
      </c>
      <c r="P330" s="1">
        <v>0</v>
      </c>
      <c r="Q330" s="1">
        <v>0</v>
      </c>
      <c r="R330" s="1">
        <v>1966</v>
      </c>
      <c r="S330" s="1">
        <v>0</v>
      </c>
      <c r="T330" s="1">
        <v>0</v>
      </c>
      <c r="U330" s="1"/>
      <c r="V330" s="1">
        <f t="shared" si="24"/>
        <v>0</v>
      </c>
    </row>
    <row r="331" spans="1:22" x14ac:dyDescent="0.25">
      <c r="A331" t="s">
        <v>847</v>
      </c>
      <c r="B331" t="s">
        <v>386</v>
      </c>
      <c r="C331" s="1">
        <v>514</v>
      </c>
      <c r="D331" s="1">
        <v>0</v>
      </c>
      <c r="E331" s="1">
        <v>0</v>
      </c>
      <c r="F331" s="1">
        <f>1292+10</f>
        <v>1302</v>
      </c>
      <c r="G331" s="1">
        <v>0</v>
      </c>
      <c r="H331" s="1">
        <v>0</v>
      </c>
      <c r="I331" s="1">
        <v>0</v>
      </c>
      <c r="J331" s="1">
        <f t="shared" si="23"/>
        <v>0</v>
      </c>
      <c r="K331" s="1"/>
      <c r="M331" t="s">
        <v>794</v>
      </c>
      <c r="N331" t="s">
        <v>388</v>
      </c>
      <c r="O331" s="1"/>
      <c r="P331" s="1"/>
      <c r="Q331" s="1"/>
      <c r="R331" s="1"/>
      <c r="S331" s="1"/>
      <c r="T331" s="1"/>
      <c r="U331" s="1"/>
      <c r="V331" s="1"/>
    </row>
    <row r="332" spans="1:22" x14ac:dyDescent="0.25">
      <c r="A332" t="s">
        <v>849</v>
      </c>
      <c r="B332" t="s">
        <v>387</v>
      </c>
      <c r="C332" s="1">
        <v>1186</v>
      </c>
      <c r="D332" s="1">
        <v>0</v>
      </c>
      <c r="E332" s="1">
        <v>0</v>
      </c>
      <c r="F332" s="1">
        <v>1966</v>
      </c>
      <c r="G332" s="1">
        <v>0</v>
      </c>
      <c r="H332" s="1">
        <v>0</v>
      </c>
      <c r="I332" s="1">
        <v>0</v>
      </c>
      <c r="J332" s="1">
        <f t="shared" si="23"/>
        <v>0</v>
      </c>
      <c r="K332" s="1"/>
      <c r="M332" t="s">
        <v>805</v>
      </c>
      <c r="N332" t="s">
        <v>389</v>
      </c>
      <c r="O332" s="1"/>
      <c r="P332" s="1"/>
      <c r="Q332" s="1"/>
      <c r="R332" s="1"/>
      <c r="S332" s="1"/>
      <c r="T332" s="1"/>
      <c r="U332" s="1"/>
      <c r="V332" s="1"/>
    </row>
    <row r="333" spans="1:22" x14ac:dyDescent="0.25">
      <c r="A333" s="9" t="s">
        <v>794</v>
      </c>
      <c r="B333" s="10" t="s">
        <v>388</v>
      </c>
      <c r="C333" s="1"/>
      <c r="D333" s="1"/>
      <c r="E333" s="1"/>
      <c r="F333" s="1"/>
      <c r="G333" s="1"/>
      <c r="H333" s="1"/>
      <c r="I333" s="1"/>
      <c r="J333" s="1"/>
      <c r="K333" s="1"/>
      <c r="M333" s="9" t="s">
        <v>226</v>
      </c>
      <c r="N333" s="10" t="s">
        <v>391</v>
      </c>
      <c r="O333" s="1"/>
      <c r="P333" s="1"/>
      <c r="Q333" s="1"/>
      <c r="R333" s="1"/>
      <c r="S333" s="1"/>
      <c r="T333" s="1"/>
      <c r="U333" s="1"/>
      <c r="V333" s="1"/>
    </row>
    <row r="334" spans="1:22" x14ac:dyDescent="0.25">
      <c r="A334" s="9" t="s">
        <v>805</v>
      </c>
      <c r="B334" s="10" t="s">
        <v>389</v>
      </c>
      <c r="C334" s="1"/>
      <c r="D334" s="1"/>
      <c r="E334" s="1"/>
      <c r="F334" s="1"/>
      <c r="G334" s="1"/>
      <c r="H334" s="1"/>
      <c r="I334" s="1"/>
      <c r="J334" s="1"/>
      <c r="K334" s="1"/>
      <c r="M334" s="9" t="s">
        <v>798</v>
      </c>
      <c r="N334" s="10" t="s">
        <v>392</v>
      </c>
      <c r="O334" s="1"/>
      <c r="P334" s="1"/>
      <c r="Q334" s="1"/>
      <c r="R334" s="1"/>
      <c r="S334" s="1"/>
      <c r="T334" s="1"/>
      <c r="U334" s="1"/>
      <c r="V334" s="1"/>
    </row>
    <row r="335" spans="1:22" x14ac:dyDescent="0.25">
      <c r="A335" t="s">
        <v>10</v>
      </c>
      <c r="B335" s="1" t="s">
        <v>390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/>
      <c r="K335" s="1"/>
      <c r="M335" t="s">
        <v>69</v>
      </c>
      <c r="N335" t="s">
        <v>395</v>
      </c>
      <c r="O335" s="1"/>
      <c r="P335" s="1"/>
      <c r="Q335" s="1"/>
      <c r="R335" s="1"/>
      <c r="S335" s="1"/>
      <c r="T335" s="1"/>
      <c r="U335" s="1"/>
      <c r="V335" s="1"/>
    </row>
    <row r="336" spans="1:22" x14ac:dyDescent="0.25">
      <c r="A336" t="s">
        <v>226</v>
      </c>
      <c r="B336" t="s">
        <v>391</v>
      </c>
      <c r="C336" s="1"/>
      <c r="D336" s="1"/>
      <c r="E336" s="1"/>
      <c r="F336" s="1"/>
      <c r="G336" s="1"/>
      <c r="H336" s="1"/>
      <c r="I336" s="1"/>
      <c r="J336" s="1"/>
      <c r="K336" s="1"/>
      <c r="M336" t="s">
        <v>512</v>
      </c>
      <c r="N336" t="s">
        <v>397</v>
      </c>
      <c r="O336" s="1"/>
      <c r="P336" s="1"/>
      <c r="Q336" s="1"/>
      <c r="R336" s="1"/>
      <c r="S336" s="1"/>
      <c r="T336" s="1"/>
      <c r="U336" s="1"/>
      <c r="V336" s="1"/>
    </row>
    <row r="337" spans="1:22" x14ac:dyDescent="0.25">
      <c r="A337" t="s">
        <v>798</v>
      </c>
      <c r="B337" t="s">
        <v>392</v>
      </c>
      <c r="C337" s="1"/>
      <c r="D337" s="1"/>
      <c r="E337" s="1"/>
      <c r="F337" s="1"/>
      <c r="G337" s="1"/>
      <c r="H337" s="1"/>
      <c r="I337" s="1"/>
      <c r="J337" s="1"/>
      <c r="K337" s="1"/>
      <c r="M337" t="s">
        <v>805</v>
      </c>
      <c r="N337" t="s">
        <v>398</v>
      </c>
      <c r="O337" s="1"/>
      <c r="P337" s="1"/>
      <c r="Q337" s="1"/>
      <c r="R337" s="1"/>
      <c r="S337" s="1"/>
      <c r="T337" s="1"/>
      <c r="U337" s="1"/>
      <c r="V337" s="1"/>
    </row>
    <row r="338" spans="1:22" x14ac:dyDescent="0.25">
      <c r="A338" t="s">
        <v>10</v>
      </c>
      <c r="B338" s="1" t="s">
        <v>393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/>
      <c r="K338" s="1"/>
      <c r="M338" t="s">
        <v>805</v>
      </c>
      <c r="N338" t="s">
        <v>400</v>
      </c>
      <c r="O338" s="1"/>
      <c r="P338" s="1"/>
      <c r="Q338" s="1"/>
      <c r="R338" s="1"/>
      <c r="S338" s="1"/>
      <c r="T338" s="1"/>
      <c r="U338" s="1"/>
      <c r="V338" s="1"/>
    </row>
    <row r="339" spans="1:22" x14ac:dyDescent="0.25">
      <c r="A339" t="s">
        <v>10</v>
      </c>
      <c r="B339" s="1" t="s">
        <v>394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/>
      <c r="K339" s="1"/>
      <c r="M339" t="s">
        <v>805</v>
      </c>
      <c r="N339" t="s">
        <v>402</v>
      </c>
      <c r="O339" s="1"/>
      <c r="P339" s="1"/>
      <c r="Q339" s="1"/>
      <c r="R339" s="1"/>
      <c r="S339" s="1"/>
      <c r="T339" s="1"/>
      <c r="U339" s="1"/>
      <c r="V339" s="1"/>
    </row>
    <row r="340" spans="1:22" x14ac:dyDescent="0.25">
      <c r="A340" s="27" t="s">
        <v>10</v>
      </c>
      <c r="B340" s="32" t="s">
        <v>778</v>
      </c>
      <c r="C340" s="1"/>
      <c r="D340" s="1"/>
      <c r="E340" s="1"/>
      <c r="F340" s="1"/>
      <c r="G340" s="1"/>
      <c r="H340" s="1"/>
      <c r="I340" s="1"/>
      <c r="J340" s="1"/>
      <c r="K340" s="1"/>
      <c r="M340" t="s">
        <v>797</v>
      </c>
      <c r="N340" t="s">
        <v>404</v>
      </c>
      <c r="O340" s="1"/>
      <c r="P340" s="1"/>
      <c r="Q340" s="1"/>
      <c r="R340" s="1"/>
      <c r="S340" s="1"/>
      <c r="T340" s="1"/>
      <c r="U340" s="1"/>
      <c r="V340" s="1"/>
    </row>
    <row r="341" spans="1:22" x14ac:dyDescent="0.25">
      <c r="A341" t="s">
        <v>69</v>
      </c>
      <c r="B341" t="s">
        <v>395</v>
      </c>
      <c r="C341" s="1"/>
      <c r="D341" s="1"/>
      <c r="E341" s="1"/>
      <c r="F341" s="1"/>
      <c r="G341" s="1"/>
      <c r="H341" s="1"/>
      <c r="I341" s="1"/>
      <c r="J341" s="1"/>
      <c r="K341" s="1"/>
      <c r="M341">
        <v>700</v>
      </c>
      <c r="N341" t="s">
        <v>405</v>
      </c>
      <c r="O341" s="1"/>
      <c r="P341" s="1"/>
      <c r="Q341" s="1"/>
      <c r="R341" s="1"/>
      <c r="S341" s="1"/>
      <c r="T341" s="1"/>
      <c r="U341" s="1"/>
      <c r="V341" s="1"/>
    </row>
    <row r="342" spans="1:22" x14ac:dyDescent="0.25">
      <c r="A342" t="s">
        <v>796</v>
      </c>
      <c r="B342" s="1" t="s">
        <v>396</v>
      </c>
      <c r="C342" s="1"/>
      <c r="D342" s="1"/>
      <c r="E342" s="1"/>
      <c r="F342" s="1"/>
      <c r="G342" s="1"/>
      <c r="H342" s="1"/>
      <c r="I342" s="1"/>
      <c r="J342" s="1"/>
      <c r="K342" s="1"/>
      <c r="M342">
        <v>600</v>
      </c>
      <c r="N342" t="s">
        <v>406</v>
      </c>
      <c r="O342" s="1">
        <v>24193</v>
      </c>
      <c r="P342" s="1">
        <v>547</v>
      </c>
      <c r="Q342" s="1">
        <v>0</v>
      </c>
      <c r="R342" s="1">
        <v>0</v>
      </c>
      <c r="S342" s="1">
        <v>0</v>
      </c>
      <c r="T342" s="1">
        <v>32934</v>
      </c>
      <c r="U342" s="1"/>
      <c r="V342" s="1">
        <f t="shared" si="24"/>
        <v>32934</v>
      </c>
    </row>
    <row r="343" spans="1:22" x14ac:dyDescent="0.25">
      <c r="A343" t="s">
        <v>512</v>
      </c>
      <c r="B343" t="s">
        <v>397</v>
      </c>
      <c r="C343" s="1"/>
      <c r="D343" s="1"/>
      <c r="E343" s="1"/>
      <c r="F343" s="1"/>
      <c r="G343" s="1"/>
      <c r="H343" s="1"/>
      <c r="I343" s="1"/>
      <c r="J343" s="1"/>
      <c r="K343" s="1"/>
      <c r="M343">
        <v>161</v>
      </c>
      <c r="N343" t="s">
        <v>407</v>
      </c>
      <c r="O343" s="1">
        <v>10338</v>
      </c>
      <c r="P343" s="1">
        <v>62</v>
      </c>
      <c r="Q343" s="1">
        <v>0</v>
      </c>
      <c r="R343" s="1">
        <v>0</v>
      </c>
      <c r="S343" s="1">
        <v>0</v>
      </c>
      <c r="T343" s="1">
        <v>1729</v>
      </c>
      <c r="U343" s="1"/>
      <c r="V343" s="1">
        <f t="shared" si="24"/>
        <v>1729</v>
      </c>
    </row>
    <row r="344" spans="1:22" x14ac:dyDescent="0.25">
      <c r="A344" t="s">
        <v>805</v>
      </c>
      <c r="B344" t="s">
        <v>398</v>
      </c>
      <c r="C344" s="1"/>
      <c r="D344" s="1"/>
      <c r="E344" s="1"/>
      <c r="F344" s="1"/>
      <c r="G344" s="1"/>
      <c r="H344" s="1"/>
      <c r="I344" s="1"/>
      <c r="J344" s="1"/>
      <c r="K344" s="1"/>
      <c r="M344">
        <v>711</v>
      </c>
      <c r="N344" t="s">
        <v>408</v>
      </c>
      <c r="O344" s="1"/>
      <c r="P344" s="1"/>
      <c r="Q344" s="1"/>
      <c r="R344" s="1"/>
      <c r="S344" s="1"/>
      <c r="T344" s="1"/>
      <c r="U344" s="1"/>
      <c r="V344" s="1"/>
    </row>
    <row r="345" spans="1:22" x14ac:dyDescent="0.25">
      <c r="A345" t="s">
        <v>10</v>
      </c>
      <c r="B345" s="1" t="s">
        <v>399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/>
      <c r="K345" s="1"/>
      <c r="M345">
        <v>111</v>
      </c>
      <c r="N345" t="s">
        <v>409</v>
      </c>
      <c r="O345" s="1">
        <v>50163</v>
      </c>
      <c r="P345" s="1">
        <v>250</v>
      </c>
      <c r="Q345" s="1">
        <v>0</v>
      </c>
      <c r="R345" s="1">
        <v>0</v>
      </c>
      <c r="S345" s="1">
        <v>0</v>
      </c>
      <c r="T345" s="1">
        <v>21375</v>
      </c>
      <c r="U345" s="1"/>
      <c r="V345" s="1">
        <f t="shared" si="24"/>
        <v>21375</v>
      </c>
    </row>
    <row r="346" spans="1:22" x14ac:dyDescent="0.25">
      <c r="A346" t="s">
        <v>805</v>
      </c>
      <c r="B346" t="s">
        <v>400</v>
      </c>
      <c r="C346" s="1"/>
      <c r="D346" s="1"/>
      <c r="E346" s="1"/>
      <c r="F346" s="1"/>
      <c r="G346" s="1"/>
      <c r="H346" s="1"/>
      <c r="I346" s="1"/>
      <c r="J346" s="1"/>
      <c r="K346" s="1"/>
      <c r="M346">
        <v>700</v>
      </c>
      <c r="N346" t="s">
        <v>410</v>
      </c>
      <c r="O346" s="1">
        <v>2033</v>
      </c>
      <c r="P346" s="1">
        <v>22</v>
      </c>
      <c r="Q346" s="1">
        <v>0</v>
      </c>
      <c r="R346" s="1">
        <v>0</v>
      </c>
      <c r="S346" s="1">
        <v>0</v>
      </c>
      <c r="T346" s="1">
        <v>8371</v>
      </c>
      <c r="U346" s="1"/>
      <c r="V346" s="1">
        <f t="shared" si="24"/>
        <v>8371</v>
      </c>
    </row>
    <row r="347" spans="1:22" x14ac:dyDescent="0.25">
      <c r="A347" t="s">
        <v>10</v>
      </c>
      <c r="B347" s="1" t="s">
        <v>401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/>
      <c r="K347" s="1"/>
      <c r="M347">
        <v>311</v>
      </c>
      <c r="N347" t="s">
        <v>411</v>
      </c>
      <c r="O347" s="1"/>
      <c r="P347" s="1"/>
      <c r="Q347" s="1"/>
      <c r="R347" s="1"/>
      <c r="S347" s="1"/>
      <c r="T347" s="1"/>
      <c r="U347" s="1"/>
      <c r="V347" s="1"/>
    </row>
    <row r="348" spans="1:22" x14ac:dyDescent="0.25">
      <c r="A348" t="s">
        <v>805</v>
      </c>
      <c r="B348" t="s">
        <v>402</v>
      </c>
      <c r="C348" s="1"/>
      <c r="D348" s="1"/>
      <c r="E348" s="1"/>
      <c r="F348" s="1"/>
      <c r="G348" s="1"/>
      <c r="H348" s="1"/>
      <c r="I348" s="1"/>
      <c r="J348" s="1"/>
      <c r="K348" s="1"/>
      <c r="M348">
        <v>514</v>
      </c>
      <c r="N348" t="s">
        <v>412</v>
      </c>
      <c r="O348" s="1"/>
      <c r="P348" s="1"/>
      <c r="Q348" s="1"/>
      <c r="R348" s="1"/>
      <c r="S348" s="1"/>
      <c r="T348" s="1"/>
      <c r="U348" s="1"/>
      <c r="V348" s="1"/>
    </row>
    <row r="349" spans="1:22" x14ac:dyDescent="0.25">
      <c r="A349" t="s">
        <v>10</v>
      </c>
      <c r="B349" s="1" t="s">
        <v>403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/>
      <c r="K349" s="1"/>
      <c r="M349">
        <v>311</v>
      </c>
      <c r="N349" t="s">
        <v>413</v>
      </c>
      <c r="O349" s="1"/>
      <c r="P349" s="1"/>
      <c r="Q349" s="1"/>
      <c r="R349" s="1"/>
      <c r="S349" s="1"/>
      <c r="T349" s="1"/>
      <c r="U349" s="1"/>
      <c r="V349" s="1"/>
    </row>
    <row r="350" spans="1:22" x14ac:dyDescent="0.25">
      <c r="A350" t="s">
        <v>797</v>
      </c>
      <c r="B350" t="s">
        <v>404</v>
      </c>
      <c r="C350" s="1"/>
      <c r="D350" s="1"/>
      <c r="E350" s="1"/>
      <c r="F350" s="1"/>
      <c r="G350" s="1"/>
      <c r="H350" s="1"/>
      <c r="I350" s="1"/>
      <c r="J350" s="1"/>
      <c r="K350" s="1"/>
      <c r="M350" t="s">
        <v>815</v>
      </c>
      <c r="N350" t="s">
        <v>414</v>
      </c>
      <c r="O350" s="1">
        <v>26059</v>
      </c>
      <c r="P350" s="1">
        <v>136</v>
      </c>
      <c r="Q350" s="1">
        <v>0</v>
      </c>
      <c r="R350" s="1">
        <v>0</v>
      </c>
      <c r="S350" s="1">
        <v>0</v>
      </c>
      <c r="T350" s="1">
        <v>21688</v>
      </c>
      <c r="U350" s="1"/>
      <c r="V350" s="1">
        <f t="shared" si="24"/>
        <v>21688</v>
      </c>
    </row>
    <row r="351" spans="1:22" x14ac:dyDescent="0.25">
      <c r="A351" t="s">
        <v>83</v>
      </c>
      <c r="B351" t="s">
        <v>405</v>
      </c>
      <c r="C351" s="1"/>
      <c r="D351" s="1"/>
      <c r="E351" s="1"/>
      <c r="F351" s="1"/>
      <c r="G351" s="1"/>
      <c r="H351" s="1"/>
      <c r="I351" s="1"/>
      <c r="J351" s="1"/>
      <c r="K351" s="1"/>
      <c r="M351">
        <v>713</v>
      </c>
      <c r="N351" t="s">
        <v>415</v>
      </c>
      <c r="O351" s="1">
        <v>8538</v>
      </c>
      <c r="P351" s="1">
        <v>144</v>
      </c>
      <c r="Q351" s="1">
        <v>0</v>
      </c>
      <c r="R351" s="1">
        <v>0</v>
      </c>
      <c r="S351" s="1">
        <v>0</v>
      </c>
      <c r="T351" s="1">
        <v>7121</v>
      </c>
      <c r="U351" s="1"/>
      <c r="V351" s="1">
        <f t="shared" si="24"/>
        <v>7121</v>
      </c>
    </row>
    <row r="352" spans="1:22" x14ac:dyDescent="0.25">
      <c r="A352" t="s">
        <v>248</v>
      </c>
      <c r="B352" t="s">
        <v>406</v>
      </c>
      <c r="C352" s="1">
        <f>18412+10+37+123+8+7+1+81+5514</f>
        <v>24193</v>
      </c>
      <c r="D352" s="1">
        <f>351+77+2+91+26</f>
        <v>547</v>
      </c>
      <c r="E352" s="1">
        <v>0</v>
      </c>
      <c r="F352" s="1">
        <v>0</v>
      </c>
      <c r="G352" s="1">
        <v>0</v>
      </c>
      <c r="H352" s="1">
        <v>32934</v>
      </c>
      <c r="I352" s="1">
        <v>3859</v>
      </c>
      <c r="J352" s="1">
        <f>SUM(H352,I352)</f>
        <v>36793</v>
      </c>
      <c r="K352" s="1"/>
      <c r="M352">
        <v>300</v>
      </c>
      <c r="N352" t="s">
        <v>416</v>
      </c>
      <c r="O352" s="1">
        <v>5649</v>
      </c>
      <c r="P352" s="1">
        <v>1</v>
      </c>
      <c r="Q352" s="1">
        <v>0</v>
      </c>
      <c r="R352" s="1">
        <v>0</v>
      </c>
      <c r="S352" s="1">
        <v>0</v>
      </c>
      <c r="T352" s="1">
        <v>24878</v>
      </c>
      <c r="U352" s="1"/>
      <c r="V352" s="1">
        <f t="shared" si="24"/>
        <v>24878</v>
      </c>
    </row>
    <row r="353" spans="1:22" x14ac:dyDescent="0.25">
      <c r="A353" s="27" t="s">
        <v>10</v>
      </c>
      <c r="B353" s="32" t="s">
        <v>779</v>
      </c>
      <c r="C353" s="1"/>
      <c r="D353" s="1"/>
      <c r="E353" s="1"/>
      <c r="F353" s="1"/>
      <c r="G353" s="1"/>
      <c r="H353" s="1"/>
      <c r="I353" s="1"/>
      <c r="J353" s="1"/>
      <c r="K353" s="1"/>
      <c r="M353" t="s">
        <v>815</v>
      </c>
      <c r="N353" t="s">
        <v>417</v>
      </c>
      <c r="O353" s="1">
        <v>43649</v>
      </c>
      <c r="P353" s="1">
        <v>369</v>
      </c>
      <c r="Q353" s="1">
        <v>0</v>
      </c>
      <c r="R353" s="1">
        <v>0</v>
      </c>
      <c r="S353" s="1">
        <v>0</v>
      </c>
      <c r="T353" s="1">
        <v>24101</v>
      </c>
      <c r="U353" s="1"/>
      <c r="V353" s="1">
        <f t="shared" si="24"/>
        <v>24101</v>
      </c>
    </row>
    <row r="354" spans="1:22" x14ac:dyDescent="0.25">
      <c r="A354" t="s">
        <v>848</v>
      </c>
      <c r="B354" t="s">
        <v>407</v>
      </c>
      <c r="C354" s="1">
        <f>9003+4+8+1320+3</f>
        <v>10338</v>
      </c>
      <c r="D354" s="1">
        <f>50+12</f>
        <v>62</v>
      </c>
      <c r="E354" s="1">
        <v>0</v>
      </c>
      <c r="F354" s="1">
        <v>0</v>
      </c>
      <c r="G354" s="1">
        <v>0</v>
      </c>
      <c r="H354" s="1">
        <v>1729</v>
      </c>
      <c r="I354" s="1">
        <v>1294</v>
      </c>
      <c r="J354" s="1">
        <f>SUM(H354,I354)</f>
        <v>3023</v>
      </c>
      <c r="K354" s="1"/>
      <c r="M354" t="s">
        <v>815</v>
      </c>
      <c r="N354" t="s">
        <v>418</v>
      </c>
      <c r="O354" s="1">
        <v>28841</v>
      </c>
      <c r="P354" s="1">
        <v>380</v>
      </c>
      <c r="Q354" s="1">
        <v>0</v>
      </c>
      <c r="R354" s="1">
        <v>0</v>
      </c>
      <c r="S354" s="1">
        <v>0</v>
      </c>
      <c r="T354" s="1">
        <v>14384</v>
      </c>
      <c r="U354" s="1"/>
      <c r="V354" s="1">
        <f t="shared" si="24"/>
        <v>14384</v>
      </c>
    </row>
    <row r="355" spans="1:22" x14ac:dyDescent="0.25">
      <c r="A355" t="s">
        <v>801</v>
      </c>
      <c r="B355" t="s">
        <v>408</v>
      </c>
      <c r="C355" s="1"/>
      <c r="D355" s="1"/>
      <c r="E355" s="1"/>
      <c r="F355" s="1"/>
      <c r="G355" s="1"/>
      <c r="H355" s="1"/>
      <c r="I355" s="1"/>
      <c r="J355" s="1"/>
      <c r="K355" s="1"/>
      <c r="M355">
        <v>713</v>
      </c>
      <c r="N355" t="s">
        <v>419</v>
      </c>
      <c r="O355" s="1">
        <v>32044</v>
      </c>
      <c r="P355" s="1">
        <v>718</v>
      </c>
      <c r="Q355" s="1">
        <v>0</v>
      </c>
      <c r="R355" s="1">
        <v>0</v>
      </c>
      <c r="S355" s="1">
        <v>0</v>
      </c>
      <c r="T355" s="1">
        <v>81328</v>
      </c>
      <c r="U355" s="1"/>
      <c r="V355" s="1">
        <f t="shared" si="24"/>
        <v>81328</v>
      </c>
    </row>
    <row r="356" spans="1:22" x14ac:dyDescent="0.25">
      <c r="A356" t="s">
        <v>811</v>
      </c>
      <c r="B356" t="s">
        <v>409</v>
      </c>
      <c r="C356" s="1">
        <f>29859+5+347+2+19948+2</f>
        <v>50163</v>
      </c>
      <c r="D356" s="1">
        <f>83+73+49+45</f>
        <v>250</v>
      </c>
      <c r="E356" s="1">
        <v>0</v>
      </c>
      <c r="F356" s="1">
        <v>0</v>
      </c>
      <c r="G356" s="1">
        <v>0</v>
      </c>
      <c r="H356" s="1">
        <v>21375</v>
      </c>
      <c r="I356" s="1">
        <v>17426</v>
      </c>
      <c r="J356" s="1">
        <f>SUM(H356,I356)</f>
        <v>38801</v>
      </c>
      <c r="K356" s="1"/>
      <c r="M356">
        <v>114</v>
      </c>
      <c r="N356" t="s">
        <v>420</v>
      </c>
      <c r="O356" s="1">
        <v>18169</v>
      </c>
      <c r="P356" s="1">
        <v>46</v>
      </c>
      <c r="Q356" s="1">
        <v>0</v>
      </c>
      <c r="R356" s="1">
        <v>0</v>
      </c>
      <c r="S356" s="1">
        <v>0</v>
      </c>
      <c r="T356" s="1">
        <v>21669</v>
      </c>
      <c r="U356" s="1"/>
      <c r="V356" s="1">
        <f t="shared" si="24"/>
        <v>21669</v>
      </c>
    </row>
    <row r="357" spans="1:22" x14ac:dyDescent="0.25">
      <c r="A357" t="s">
        <v>83</v>
      </c>
      <c r="B357" t="s">
        <v>410</v>
      </c>
      <c r="C357" s="1">
        <f>1455+578</f>
        <v>2033</v>
      </c>
      <c r="D357" s="1">
        <f>6+16</f>
        <v>22</v>
      </c>
      <c r="E357" s="1">
        <v>0</v>
      </c>
      <c r="F357" s="1">
        <v>0</v>
      </c>
      <c r="G357" s="1">
        <v>0</v>
      </c>
      <c r="H357" s="1">
        <v>8371</v>
      </c>
      <c r="I357" s="1">
        <v>563</v>
      </c>
      <c r="J357" s="1">
        <f>SUM(H357,I357)</f>
        <v>8934</v>
      </c>
      <c r="K357" s="1"/>
      <c r="M357">
        <v>710</v>
      </c>
      <c r="N357" t="s">
        <v>421</v>
      </c>
      <c r="O357" s="1">
        <v>14801</v>
      </c>
      <c r="P357" s="1">
        <v>165</v>
      </c>
      <c r="Q357" s="1">
        <v>0</v>
      </c>
      <c r="R357" s="1">
        <v>0</v>
      </c>
      <c r="S357" s="1">
        <v>0</v>
      </c>
      <c r="T357" s="1">
        <v>5375</v>
      </c>
      <c r="U357" s="1"/>
      <c r="V357" s="1">
        <f t="shared" si="24"/>
        <v>5375</v>
      </c>
    </row>
    <row r="358" spans="1:22" x14ac:dyDescent="0.25">
      <c r="A358" t="s">
        <v>120</v>
      </c>
      <c r="B358" t="s">
        <v>411</v>
      </c>
      <c r="C358" s="1"/>
      <c r="D358" s="1"/>
      <c r="E358" s="1"/>
      <c r="F358" s="1"/>
      <c r="G358" s="1"/>
      <c r="H358" s="1"/>
      <c r="I358" s="1"/>
      <c r="J358" s="1"/>
      <c r="K358" s="1"/>
      <c r="M358">
        <v>611</v>
      </c>
      <c r="N358" t="s">
        <v>422</v>
      </c>
      <c r="O358" s="1">
        <v>10774</v>
      </c>
      <c r="P358" s="1">
        <v>254</v>
      </c>
      <c r="Q358" s="1">
        <v>0</v>
      </c>
      <c r="R358" s="1">
        <v>0</v>
      </c>
      <c r="S358" s="1">
        <v>0</v>
      </c>
      <c r="T358" s="1">
        <v>15428</v>
      </c>
      <c r="U358" s="1"/>
      <c r="V358" s="1">
        <f t="shared" si="24"/>
        <v>15428</v>
      </c>
    </row>
    <row r="359" spans="1:22" x14ac:dyDescent="0.25">
      <c r="A359" t="s">
        <v>134</v>
      </c>
      <c r="B359" t="s">
        <v>412</v>
      </c>
      <c r="C359" s="1"/>
      <c r="D359" s="1"/>
      <c r="E359" s="1"/>
      <c r="F359" s="1"/>
      <c r="G359" s="1"/>
      <c r="H359" s="1"/>
      <c r="I359" s="1"/>
      <c r="J359" s="1"/>
      <c r="K359" s="1"/>
      <c r="M359">
        <v>611</v>
      </c>
      <c r="N359" t="s">
        <v>423</v>
      </c>
      <c r="O359" s="1">
        <v>7192</v>
      </c>
      <c r="P359" s="1">
        <v>23</v>
      </c>
      <c r="Q359" s="1">
        <v>0</v>
      </c>
      <c r="R359" s="1">
        <v>0</v>
      </c>
      <c r="S359" s="1">
        <v>0</v>
      </c>
      <c r="T359" s="1">
        <v>4486</v>
      </c>
      <c r="U359" s="1"/>
      <c r="V359" s="1">
        <f t="shared" si="24"/>
        <v>4486</v>
      </c>
    </row>
    <row r="360" spans="1:22" x14ac:dyDescent="0.25">
      <c r="A360" t="s">
        <v>120</v>
      </c>
      <c r="B360" t="s">
        <v>413</v>
      </c>
      <c r="C360" s="1"/>
      <c r="D360" s="1"/>
      <c r="E360" s="1"/>
      <c r="F360" s="1"/>
      <c r="G360" s="1"/>
      <c r="H360" s="1"/>
      <c r="I360" s="1"/>
      <c r="J360" s="1"/>
      <c r="K360" s="1"/>
      <c r="M360">
        <v>712</v>
      </c>
      <c r="N360" t="s">
        <v>424</v>
      </c>
      <c r="O360" s="1">
        <v>41754</v>
      </c>
      <c r="P360" s="1">
        <v>41</v>
      </c>
      <c r="Q360" s="1">
        <v>0</v>
      </c>
      <c r="R360" s="1">
        <v>0</v>
      </c>
      <c r="S360" s="1">
        <v>0</v>
      </c>
      <c r="T360" s="1">
        <v>65486</v>
      </c>
      <c r="U360" s="1"/>
      <c r="V360" s="1">
        <f t="shared" si="24"/>
        <v>65486</v>
      </c>
    </row>
    <row r="361" spans="1:22" x14ac:dyDescent="0.25">
      <c r="A361" t="s">
        <v>138</v>
      </c>
      <c r="B361" t="s">
        <v>414</v>
      </c>
      <c r="C361" s="1">
        <f>17962+1+5+10+4+7963+114</f>
        <v>26059</v>
      </c>
      <c r="D361" s="1">
        <f>57+79</f>
        <v>136</v>
      </c>
      <c r="E361" s="1">
        <v>0</v>
      </c>
      <c r="F361" s="1">
        <v>0</v>
      </c>
      <c r="G361" s="1">
        <v>0</v>
      </c>
      <c r="H361" s="1">
        <v>21688</v>
      </c>
      <c r="I361" s="1">
        <v>7267</v>
      </c>
      <c r="J361" s="1">
        <f t="shared" ref="J361:J372" si="25">SUM(H361,I361)</f>
        <v>28955</v>
      </c>
      <c r="K361" s="1"/>
      <c r="M361">
        <v>116</v>
      </c>
      <c r="N361" t="s">
        <v>425</v>
      </c>
      <c r="O361" s="1">
        <v>84153</v>
      </c>
      <c r="P361" s="1">
        <v>57</v>
      </c>
      <c r="Q361" s="1">
        <v>0</v>
      </c>
      <c r="R361" s="1">
        <v>0</v>
      </c>
      <c r="S361" s="1">
        <v>0</v>
      </c>
      <c r="T361" s="1">
        <v>54930</v>
      </c>
      <c r="U361" s="1"/>
      <c r="V361" s="1">
        <f t="shared" si="24"/>
        <v>54930</v>
      </c>
    </row>
    <row r="362" spans="1:22" x14ac:dyDescent="0.25">
      <c r="A362" t="s">
        <v>796</v>
      </c>
      <c r="B362" t="s">
        <v>415</v>
      </c>
      <c r="C362" s="1">
        <f>4581+40+3811+6</f>
        <v>8438</v>
      </c>
      <c r="D362" s="1">
        <f>3+97+43+1</f>
        <v>144</v>
      </c>
      <c r="E362" s="1">
        <v>0</v>
      </c>
      <c r="F362" s="1">
        <v>0</v>
      </c>
      <c r="G362" s="1">
        <v>0</v>
      </c>
      <c r="H362" s="1">
        <v>7121</v>
      </c>
      <c r="I362" s="1">
        <v>2963</v>
      </c>
      <c r="J362" s="1">
        <f t="shared" si="25"/>
        <v>10084</v>
      </c>
      <c r="K362" s="1"/>
      <c r="M362">
        <v>500</v>
      </c>
      <c r="N362" t="s">
        <v>426</v>
      </c>
      <c r="O362" s="1">
        <v>22023</v>
      </c>
      <c r="P362" s="1">
        <v>123</v>
      </c>
      <c r="Q362" s="1">
        <v>0</v>
      </c>
      <c r="R362" s="1">
        <v>0</v>
      </c>
      <c r="S362" s="1">
        <v>0</v>
      </c>
      <c r="T362" s="1">
        <v>14430</v>
      </c>
      <c r="U362" s="1"/>
      <c r="V362" s="1">
        <f t="shared" si="24"/>
        <v>14430</v>
      </c>
    </row>
    <row r="363" spans="1:22" x14ac:dyDescent="0.25">
      <c r="A363" t="s">
        <v>226</v>
      </c>
      <c r="B363" t="s">
        <v>416</v>
      </c>
      <c r="C363" s="1">
        <f>4434+4+10+2+15+1183+1</f>
        <v>5649</v>
      </c>
      <c r="D363" s="1">
        <v>1</v>
      </c>
      <c r="E363" s="1">
        <v>0</v>
      </c>
      <c r="F363" s="1">
        <v>0</v>
      </c>
      <c r="G363" s="1">
        <v>0</v>
      </c>
      <c r="H363" s="1">
        <v>24878</v>
      </c>
      <c r="I363" s="1">
        <v>1175</v>
      </c>
      <c r="J363" s="1">
        <f t="shared" si="25"/>
        <v>26053</v>
      </c>
      <c r="K363" s="1"/>
      <c r="M363">
        <v>610</v>
      </c>
      <c r="N363" t="s">
        <v>427</v>
      </c>
      <c r="O363" s="1">
        <v>50468</v>
      </c>
      <c r="P363" s="1">
        <v>104</v>
      </c>
      <c r="Q363" s="1">
        <v>0</v>
      </c>
      <c r="R363" s="1">
        <v>0</v>
      </c>
      <c r="S363" s="1">
        <v>0</v>
      </c>
      <c r="T363" s="1">
        <v>56133</v>
      </c>
      <c r="U363" s="1"/>
      <c r="V363" s="1">
        <f t="shared" si="24"/>
        <v>56133</v>
      </c>
    </row>
    <row r="364" spans="1:22" x14ac:dyDescent="0.25">
      <c r="A364" t="s">
        <v>138</v>
      </c>
      <c r="B364" t="s">
        <v>417</v>
      </c>
      <c r="C364" s="1">
        <f>23503+147+1+8+19990</f>
        <v>43649</v>
      </c>
      <c r="D364" s="1">
        <f>322+44+3</f>
        <v>369</v>
      </c>
      <c r="E364" s="1">
        <v>0</v>
      </c>
      <c r="F364" s="1">
        <v>0</v>
      </c>
      <c r="G364" s="1">
        <v>0</v>
      </c>
      <c r="H364" s="1">
        <v>24101</v>
      </c>
      <c r="I364" s="1">
        <v>14638</v>
      </c>
      <c r="J364" s="1">
        <f t="shared" si="25"/>
        <v>38739</v>
      </c>
      <c r="K364" s="1"/>
      <c r="M364">
        <v>300</v>
      </c>
      <c r="N364" s="5" t="s">
        <v>428</v>
      </c>
      <c r="O364" s="6">
        <v>8645</v>
      </c>
      <c r="P364" s="6">
        <v>1</v>
      </c>
      <c r="Q364" s="6">
        <v>0</v>
      </c>
      <c r="R364" s="6">
        <v>0</v>
      </c>
      <c r="S364" s="6">
        <v>0</v>
      </c>
      <c r="T364" s="6">
        <v>9445</v>
      </c>
      <c r="U364" s="6"/>
      <c r="V364" s="6">
        <f t="shared" si="24"/>
        <v>9445</v>
      </c>
    </row>
    <row r="365" spans="1:22" x14ac:dyDescent="0.25">
      <c r="A365" t="s">
        <v>138</v>
      </c>
      <c r="B365" t="s">
        <v>418</v>
      </c>
      <c r="C365" s="1">
        <f>21206+65+3+7531+36</f>
        <v>28841</v>
      </c>
      <c r="D365" s="1">
        <f>293+1+86</f>
        <v>380</v>
      </c>
      <c r="E365" s="1">
        <v>0</v>
      </c>
      <c r="F365" s="1">
        <v>0</v>
      </c>
      <c r="G365" s="1">
        <v>0</v>
      </c>
      <c r="H365" s="1">
        <v>14384</v>
      </c>
      <c r="I365" s="1">
        <v>7313</v>
      </c>
      <c r="J365" s="1">
        <f t="shared" si="25"/>
        <v>21697</v>
      </c>
      <c r="K365" s="1"/>
      <c r="M365">
        <v>100</v>
      </c>
      <c r="N365" t="s">
        <v>429</v>
      </c>
      <c r="O365" s="1">
        <v>2069</v>
      </c>
      <c r="P365" s="1">
        <v>0</v>
      </c>
      <c r="Q365" s="1">
        <v>0</v>
      </c>
      <c r="R365" s="1">
        <v>0</v>
      </c>
      <c r="S365" s="1">
        <v>0</v>
      </c>
      <c r="T365" s="1">
        <v>126</v>
      </c>
      <c r="U365" s="1"/>
      <c r="V365" s="1">
        <f t="shared" si="24"/>
        <v>126</v>
      </c>
    </row>
    <row r="366" spans="1:22" x14ac:dyDescent="0.25">
      <c r="A366" t="s">
        <v>796</v>
      </c>
      <c r="B366" t="s">
        <v>419</v>
      </c>
      <c r="C366" s="1">
        <f>22011+8+8+553+4+1+16+9440+1+1+1</f>
        <v>32044</v>
      </c>
      <c r="D366" s="1">
        <f>657+31+9+21</f>
        <v>718</v>
      </c>
      <c r="E366" s="1">
        <v>0</v>
      </c>
      <c r="F366" s="1">
        <v>0</v>
      </c>
      <c r="G366" s="1">
        <v>0</v>
      </c>
      <c r="H366" s="1">
        <v>81328</v>
      </c>
      <c r="I366" s="1">
        <v>7816</v>
      </c>
      <c r="J366" s="1">
        <f t="shared" si="25"/>
        <v>89144</v>
      </c>
      <c r="K366" s="1"/>
      <c r="M366">
        <v>610</v>
      </c>
      <c r="N366" t="s">
        <v>430</v>
      </c>
      <c r="O366" s="1">
        <v>19322</v>
      </c>
      <c r="P366" s="1">
        <v>0</v>
      </c>
      <c r="Q366" s="1">
        <v>0</v>
      </c>
      <c r="R366" s="1">
        <v>0</v>
      </c>
      <c r="S366" s="1">
        <v>0</v>
      </c>
      <c r="T366" s="1">
        <v>6008</v>
      </c>
      <c r="U366" s="1"/>
      <c r="V366" s="1">
        <f t="shared" si="24"/>
        <v>6008</v>
      </c>
    </row>
    <row r="367" spans="1:22" x14ac:dyDescent="0.25">
      <c r="A367" t="s">
        <v>831</v>
      </c>
      <c r="B367" t="s">
        <v>420</v>
      </c>
      <c r="C367" s="1">
        <f>6225+26+12+2+5+8510+62+1+10+3314+1+1</f>
        <v>18169</v>
      </c>
      <c r="D367" s="1">
        <f>1+19+2+24</f>
        <v>46</v>
      </c>
      <c r="E367" s="1">
        <v>0</v>
      </c>
      <c r="F367" s="1">
        <v>0</v>
      </c>
      <c r="G367" s="1">
        <v>0</v>
      </c>
      <c r="H367" s="1">
        <v>21669</v>
      </c>
      <c r="I367" s="1">
        <v>9650</v>
      </c>
      <c r="J367" s="1">
        <f t="shared" si="25"/>
        <v>31319</v>
      </c>
      <c r="K367" s="1"/>
      <c r="M367">
        <v>412</v>
      </c>
      <c r="N367" t="s">
        <v>432</v>
      </c>
      <c r="O367" s="1"/>
      <c r="P367" s="1"/>
      <c r="Q367" s="1"/>
      <c r="R367" s="1"/>
      <c r="S367" s="1"/>
      <c r="T367" s="1"/>
      <c r="U367" s="1"/>
      <c r="V367" s="1"/>
    </row>
    <row r="368" spans="1:22" x14ac:dyDescent="0.25">
      <c r="A368" t="s">
        <v>69</v>
      </c>
      <c r="B368" t="s">
        <v>421</v>
      </c>
      <c r="C368" s="1">
        <f>8585+6209+7</f>
        <v>14801</v>
      </c>
      <c r="D368" s="1">
        <f>2+96+54+13</f>
        <v>165</v>
      </c>
      <c r="E368" s="1">
        <v>0</v>
      </c>
      <c r="F368" s="1">
        <v>0</v>
      </c>
      <c r="G368" s="1">
        <v>0</v>
      </c>
      <c r="H368" s="1">
        <v>5375</v>
      </c>
      <c r="I368" s="1">
        <v>4699</v>
      </c>
      <c r="J368" s="1">
        <f t="shared" si="25"/>
        <v>10074</v>
      </c>
      <c r="K368" s="1"/>
      <c r="M368">
        <v>300</v>
      </c>
      <c r="N368" t="s">
        <v>433</v>
      </c>
      <c r="O368" s="1">
        <v>24274</v>
      </c>
      <c r="P368" s="1">
        <v>17</v>
      </c>
      <c r="Q368" s="1">
        <v>0</v>
      </c>
      <c r="R368" s="1">
        <v>0</v>
      </c>
      <c r="S368" s="1">
        <v>0</v>
      </c>
      <c r="T368" s="1">
        <v>5538</v>
      </c>
      <c r="U368" s="1"/>
      <c r="V368" s="1">
        <f t="shared" si="24"/>
        <v>5538</v>
      </c>
    </row>
    <row r="369" spans="1:22" x14ac:dyDescent="0.25">
      <c r="A369" t="s">
        <v>146</v>
      </c>
      <c r="B369" t="s">
        <v>422</v>
      </c>
      <c r="C369" s="1">
        <f>2611+37+156+7970</f>
        <v>10774</v>
      </c>
      <c r="D369" s="1">
        <f>4+15+235</f>
        <v>254</v>
      </c>
      <c r="E369" s="1">
        <v>0</v>
      </c>
      <c r="F369" s="1">
        <v>0</v>
      </c>
      <c r="G369" s="1">
        <v>0</v>
      </c>
      <c r="H369" s="1">
        <v>15428</v>
      </c>
      <c r="I369" s="1">
        <v>6489</v>
      </c>
      <c r="J369" s="1">
        <f t="shared" si="25"/>
        <v>21917</v>
      </c>
      <c r="K369" s="1"/>
      <c r="M369">
        <v>211</v>
      </c>
      <c r="N369" t="s">
        <v>434</v>
      </c>
      <c r="O369" s="1">
        <v>12471</v>
      </c>
      <c r="P369" s="1">
        <v>55</v>
      </c>
      <c r="Q369" s="1">
        <v>0</v>
      </c>
      <c r="R369" s="1">
        <v>0</v>
      </c>
      <c r="S369" s="1">
        <v>0</v>
      </c>
      <c r="T369" s="1">
        <v>9104</v>
      </c>
      <c r="U369" s="1"/>
      <c r="V369" s="1">
        <f t="shared" si="24"/>
        <v>9104</v>
      </c>
    </row>
    <row r="370" spans="1:22" x14ac:dyDescent="0.25">
      <c r="A370" t="s">
        <v>146</v>
      </c>
      <c r="B370" t="s">
        <v>423</v>
      </c>
      <c r="C370" s="1">
        <f>2925+29+4238</f>
        <v>7192</v>
      </c>
      <c r="D370" s="1">
        <f>19+4</f>
        <v>23</v>
      </c>
      <c r="E370" s="1">
        <v>0</v>
      </c>
      <c r="F370" s="1">
        <v>0</v>
      </c>
      <c r="G370" s="1">
        <v>0</v>
      </c>
      <c r="H370" s="1">
        <v>4486</v>
      </c>
      <c r="I370" s="1">
        <v>3185</v>
      </c>
      <c r="J370" s="1">
        <f t="shared" si="25"/>
        <v>7671</v>
      </c>
      <c r="K370" s="1"/>
      <c r="M370" t="s">
        <v>808</v>
      </c>
      <c r="N370" t="s">
        <v>435</v>
      </c>
      <c r="O370" s="1">
        <v>35007</v>
      </c>
      <c r="P370" s="1">
        <v>114</v>
      </c>
      <c r="Q370" s="1">
        <v>0</v>
      </c>
      <c r="R370" s="1">
        <v>0</v>
      </c>
      <c r="S370" s="1">
        <v>0</v>
      </c>
      <c r="T370" s="1">
        <v>50379</v>
      </c>
      <c r="U370" s="1"/>
      <c r="V370" s="1">
        <f t="shared" si="24"/>
        <v>50379</v>
      </c>
    </row>
    <row r="371" spans="1:22" x14ac:dyDescent="0.25">
      <c r="A371" t="s">
        <v>76</v>
      </c>
      <c r="B371" t="s">
        <v>424</v>
      </c>
      <c r="C371" s="1">
        <f>28188+1+1+212+3+13317+27+1+4</f>
        <v>41754</v>
      </c>
      <c r="D371" s="1">
        <f>9+32</f>
        <v>41</v>
      </c>
      <c r="E371" s="1">
        <v>0</v>
      </c>
      <c r="F371" s="1">
        <v>0</v>
      </c>
      <c r="G371" s="1">
        <v>0</v>
      </c>
      <c r="H371" s="1">
        <v>65486</v>
      </c>
      <c r="I371" s="1">
        <v>10567</v>
      </c>
      <c r="J371" s="1">
        <f t="shared" si="25"/>
        <v>76053</v>
      </c>
      <c r="K371" s="1"/>
      <c r="M371" t="s">
        <v>815</v>
      </c>
      <c r="N371" t="s">
        <v>436</v>
      </c>
      <c r="O371" s="1">
        <v>51303</v>
      </c>
      <c r="P371" s="1">
        <v>493</v>
      </c>
      <c r="Q371" s="1">
        <v>0</v>
      </c>
      <c r="R371" s="1">
        <v>0</v>
      </c>
      <c r="S371" s="1">
        <v>0</v>
      </c>
      <c r="T371" s="1">
        <v>30710</v>
      </c>
      <c r="U371" s="1"/>
      <c r="V371" s="1">
        <f t="shared" si="24"/>
        <v>30710</v>
      </c>
    </row>
    <row r="372" spans="1:22" x14ac:dyDescent="0.25">
      <c r="A372" t="s">
        <v>795</v>
      </c>
      <c r="B372" t="s">
        <v>425</v>
      </c>
      <c r="C372" s="1">
        <f>61336+1+1+3+22440+370+2</f>
        <v>84153</v>
      </c>
      <c r="D372" s="1">
        <f>9+26+15+7</f>
        <v>57</v>
      </c>
      <c r="E372" s="1">
        <v>0</v>
      </c>
      <c r="F372" s="1">
        <v>0</v>
      </c>
      <c r="G372" s="1">
        <v>0</v>
      </c>
      <c r="H372" s="1">
        <v>54930</v>
      </c>
      <c r="I372" s="1">
        <v>21065</v>
      </c>
      <c r="J372" s="1">
        <f t="shared" si="25"/>
        <v>75995</v>
      </c>
      <c r="K372" s="1"/>
      <c r="M372">
        <v>173</v>
      </c>
      <c r="N372" t="s">
        <v>437</v>
      </c>
      <c r="O372" s="1">
        <v>20436</v>
      </c>
      <c r="P372" s="1">
        <v>34</v>
      </c>
      <c r="Q372" s="1">
        <v>0</v>
      </c>
      <c r="R372" s="1">
        <v>0</v>
      </c>
      <c r="S372" s="1">
        <v>0</v>
      </c>
      <c r="T372" s="1">
        <v>37304</v>
      </c>
      <c r="U372" s="1"/>
      <c r="V372" s="1">
        <f t="shared" si="24"/>
        <v>37304</v>
      </c>
    </row>
    <row r="373" spans="1:22" x14ac:dyDescent="0.25">
      <c r="A373" t="s">
        <v>824</v>
      </c>
      <c r="B373" t="s">
        <v>426</v>
      </c>
      <c r="C373" s="1"/>
      <c r="D373" s="1"/>
      <c r="E373" s="1"/>
      <c r="F373" s="1"/>
      <c r="G373" s="1"/>
      <c r="H373" s="1"/>
      <c r="I373" s="1"/>
      <c r="J373" s="1"/>
      <c r="K373" s="1"/>
      <c r="M373">
        <v>711</v>
      </c>
      <c r="N373" t="s">
        <v>438</v>
      </c>
      <c r="O373" s="1"/>
      <c r="P373" s="1"/>
      <c r="Q373" s="1"/>
      <c r="R373" s="1"/>
      <c r="S373" s="1"/>
      <c r="T373" s="1"/>
      <c r="U373" s="1"/>
      <c r="V373" s="1"/>
    </row>
    <row r="374" spans="1:22" x14ac:dyDescent="0.25">
      <c r="A374" t="s">
        <v>788</v>
      </c>
      <c r="B374" t="s">
        <v>427</v>
      </c>
      <c r="C374" s="1">
        <f>31897+20+18551</f>
        <v>50468</v>
      </c>
      <c r="D374" s="1">
        <f>39+63+2</f>
        <v>104</v>
      </c>
      <c r="E374" s="1">
        <v>0</v>
      </c>
      <c r="F374" s="1">
        <v>0</v>
      </c>
      <c r="G374" s="1">
        <v>0</v>
      </c>
      <c r="H374" s="1">
        <v>56133</v>
      </c>
      <c r="I374" s="1">
        <v>18064</v>
      </c>
      <c r="J374" s="1">
        <f>SUM(H374,I374)</f>
        <v>74197</v>
      </c>
      <c r="K374" s="1"/>
      <c r="M374" t="s">
        <v>69</v>
      </c>
      <c r="N374" t="s">
        <v>439</v>
      </c>
      <c r="O374" s="1"/>
      <c r="P374" s="1"/>
      <c r="Q374" s="1"/>
      <c r="R374" s="1"/>
      <c r="S374" s="1"/>
      <c r="T374" s="1"/>
      <c r="U374" s="1"/>
      <c r="V374" s="1"/>
    </row>
    <row r="375" spans="1:22" x14ac:dyDescent="0.25">
      <c r="A375" t="s">
        <v>226</v>
      </c>
      <c r="B375" s="5" t="s">
        <v>428</v>
      </c>
      <c r="C375" s="6"/>
      <c r="D375" s="6"/>
      <c r="E375" s="6"/>
      <c r="F375" s="6"/>
      <c r="G375" s="6"/>
      <c r="H375" s="6"/>
      <c r="I375" s="6"/>
      <c r="J375" s="6"/>
      <c r="K375" s="6" t="s">
        <v>867</v>
      </c>
      <c r="M375">
        <v>700</v>
      </c>
      <c r="N375" t="s">
        <v>440</v>
      </c>
      <c r="O375" s="1">
        <v>5274</v>
      </c>
      <c r="P375" s="1">
        <v>24</v>
      </c>
      <c r="Q375" s="1">
        <v>0</v>
      </c>
      <c r="R375" s="1">
        <v>0</v>
      </c>
      <c r="S375" s="1">
        <v>0</v>
      </c>
      <c r="T375" s="1">
        <v>11004</v>
      </c>
      <c r="U375" s="1"/>
      <c r="V375" s="1">
        <f t="shared" si="24"/>
        <v>11004</v>
      </c>
    </row>
    <row r="376" spans="1:22" x14ac:dyDescent="0.25">
      <c r="A376" t="s">
        <v>791</v>
      </c>
      <c r="B376" t="s">
        <v>429</v>
      </c>
      <c r="C376" s="1">
        <f>1218+2+1+848</f>
        <v>2069</v>
      </c>
      <c r="D376" s="1">
        <v>0</v>
      </c>
      <c r="E376" s="1">
        <v>0</v>
      </c>
      <c r="F376" s="1">
        <v>0</v>
      </c>
      <c r="G376" s="1">
        <v>0</v>
      </c>
      <c r="H376" s="1">
        <v>126</v>
      </c>
      <c r="I376" s="1">
        <v>760</v>
      </c>
      <c r="J376" s="1">
        <f>SUM(H376,I376)</f>
        <v>886</v>
      </c>
      <c r="K376" s="1"/>
      <c r="M376" t="s">
        <v>808</v>
      </c>
      <c r="N376" t="s">
        <v>441</v>
      </c>
      <c r="O376" s="1">
        <v>17348</v>
      </c>
      <c r="P376" s="1">
        <v>161</v>
      </c>
      <c r="Q376" s="1">
        <v>0</v>
      </c>
      <c r="R376" s="1">
        <v>0</v>
      </c>
      <c r="S376" s="1">
        <v>0</v>
      </c>
      <c r="T376" s="1">
        <v>9017</v>
      </c>
      <c r="U376" s="1"/>
      <c r="V376" s="1">
        <f t="shared" si="24"/>
        <v>9017</v>
      </c>
    </row>
    <row r="377" spans="1:22" x14ac:dyDescent="0.25">
      <c r="A377" t="s">
        <v>788</v>
      </c>
      <c r="B377" t="s">
        <v>430</v>
      </c>
      <c r="C377" s="1">
        <f>8738+10584</f>
        <v>19322</v>
      </c>
      <c r="D377" s="1">
        <v>0</v>
      </c>
      <c r="E377" s="1">
        <v>0</v>
      </c>
      <c r="F377" s="1">
        <v>0</v>
      </c>
      <c r="G377" s="1">
        <v>0</v>
      </c>
      <c r="H377" s="1">
        <v>6008</v>
      </c>
      <c r="I377" s="1">
        <v>2996</v>
      </c>
      <c r="J377" s="1">
        <f>SUM(H377,I377)</f>
        <v>9004</v>
      </c>
      <c r="K377" s="1"/>
      <c r="M377" t="s">
        <v>814</v>
      </c>
      <c r="N377" t="s">
        <v>442</v>
      </c>
      <c r="O377" s="1">
        <v>33038</v>
      </c>
      <c r="P377" s="1">
        <v>104</v>
      </c>
      <c r="Q377" s="1">
        <v>0</v>
      </c>
      <c r="R377" s="1">
        <v>0</v>
      </c>
      <c r="S377" s="1">
        <v>0</v>
      </c>
      <c r="T377" s="1">
        <v>31222</v>
      </c>
      <c r="U377" s="1"/>
      <c r="V377" s="1">
        <f t="shared" si="24"/>
        <v>31222</v>
      </c>
    </row>
    <row r="378" spans="1:22" x14ac:dyDescent="0.25">
      <c r="A378" t="s">
        <v>10</v>
      </c>
      <c r="B378" s="1" t="s">
        <v>431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/>
      <c r="K378" s="1"/>
      <c r="M378">
        <v>713</v>
      </c>
      <c r="N378" t="s">
        <v>443</v>
      </c>
      <c r="O378" s="1">
        <v>40305</v>
      </c>
      <c r="P378" s="1">
        <v>33</v>
      </c>
      <c r="Q378" s="1">
        <v>0</v>
      </c>
      <c r="R378" s="1">
        <v>0</v>
      </c>
      <c r="S378" s="1">
        <v>0</v>
      </c>
      <c r="T378" s="1">
        <v>55553</v>
      </c>
      <c r="U378" s="1"/>
      <c r="V378" s="1">
        <f t="shared" si="24"/>
        <v>55553</v>
      </c>
    </row>
    <row r="379" spans="1:22" x14ac:dyDescent="0.25">
      <c r="A379" t="s">
        <v>69</v>
      </c>
      <c r="B379" t="s">
        <v>432</v>
      </c>
      <c r="C379" s="1"/>
      <c r="D379" s="1"/>
      <c r="E379" s="1"/>
      <c r="F379" s="1"/>
      <c r="G379" s="1"/>
      <c r="H379" s="1"/>
      <c r="I379" s="1"/>
      <c r="J379" s="1"/>
      <c r="K379" s="1"/>
      <c r="M379" t="s">
        <v>814</v>
      </c>
      <c r="N379" t="s">
        <v>444</v>
      </c>
      <c r="O379" s="1">
        <v>55862</v>
      </c>
      <c r="P379" s="1">
        <v>476</v>
      </c>
      <c r="Q379" s="1">
        <v>0</v>
      </c>
      <c r="R379" s="1">
        <v>0</v>
      </c>
      <c r="S379" s="1">
        <v>0</v>
      </c>
      <c r="T379" s="1">
        <v>18145</v>
      </c>
      <c r="U379" s="1"/>
      <c r="V379" s="1">
        <f t="shared" si="24"/>
        <v>18145</v>
      </c>
    </row>
    <row r="380" spans="1:22" x14ac:dyDescent="0.25">
      <c r="A380" t="s">
        <v>226</v>
      </c>
      <c r="B380" t="s">
        <v>433</v>
      </c>
      <c r="C380" s="1">
        <f>17710+78+17+1+1+6467</f>
        <v>24274</v>
      </c>
      <c r="D380" s="1">
        <f>15+2</f>
        <v>17</v>
      </c>
      <c r="E380" s="1">
        <v>0</v>
      </c>
      <c r="F380" s="1">
        <v>0</v>
      </c>
      <c r="G380" s="1">
        <v>0</v>
      </c>
      <c r="H380" s="1">
        <v>5538</v>
      </c>
      <c r="I380" s="1">
        <v>6041</v>
      </c>
      <c r="J380" s="1">
        <f>SUM(H380,I380)</f>
        <v>11579</v>
      </c>
      <c r="K380" s="1"/>
      <c r="M380" t="s">
        <v>811</v>
      </c>
      <c r="N380" t="s">
        <v>445</v>
      </c>
      <c r="O380" s="1"/>
      <c r="P380" s="1"/>
      <c r="Q380" s="1"/>
      <c r="R380" s="1"/>
      <c r="S380" s="1"/>
      <c r="T380" s="1"/>
      <c r="U380" s="1"/>
      <c r="V380" s="1"/>
    </row>
    <row r="381" spans="1:22" x14ac:dyDescent="0.25">
      <c r="A381" t="s">
        <v>864</v>
      </c>
      <c r="B381" t="s">
        <v>434</v>
      </c>
      <c r="C381" s="1">
        <f>6290+6181</f>
        <v>12471</v>
      </c>
      <c r="D381" s="1">
        <f>1+54</f>
        <v>55</v>
      </c>
      <c r="E381" s="1">
        <v>0</v>
      </c>
      <c r="F381" s="1">
        <v>0</v>
      </c>
      <c r="G381" s="1">
        <v>0</v>
      </c>
      <c r="H381" s="1">
        <v>9104</v>
      </c>
      <c r="I381" s="1">
        <v>5629</v>
      </c>
      <c r="J381" s="1">
        <f>SUM(H381,I381)</f>
        <v>14733</v>
      </c>
      <c r="K381" s="1"/>
      <c r="M381">
        <v>161</v>
      </c>
      <c r="N381" t="s">
        <v>446</v>
      </c>
      <c r="O381" s="1">
        <v>13918</v>
      </c>
      <c r="P381" s="1">
        <v>10</v>
      </c>
      <c r="Q381" s="1">
        <v>0</v>
      </c>
      <c r="R381" s="1">
        <v>0</v>
      </c>
      <c r="S381" s="1">
        <v>0</v>
      </c>
      <c r="T381" s="1">
        <v>4165</v>
      </c>
      <c r="U381" s="1"/>
      <c r="V381" s="1">
        <f t="shared" si="24"/>
        <v>4165</v>
      </c>
    </row>
    <row r="382" spans="1:22" x14ac:dyDescent="0.25">
      <c r="A382" t="s">
        <v>809</v>
      </c>
      <c r="B382" t="s">
        <v>435</v>
      </c>
      <c r="C382" s="1">
        <f>27382+41+3+4+1+8+7568</f>
        <v>35007</v>
      </c>
      <c r="D382" s="1">
        <f>23+89+2</f>
        <v>114</v>
      </c>
      <c r="E382" s="1">
        <v>0</v>
      </c>
      <c r="F382" s="1">
        <v>0</v>
      </c>
      <c r="G382" s="1">
        <v>0</v>
      </c>
      <c r="H382" s="1">
        <v>50379</v>
      </c>
      <c r="I382" s="1">
        <v>6438</v>
      </c>
      <c r="J382" s="1">
        <f>SUM(H382,I382)</f>
        <v>56817</v>
      </c>
      <c r="K382" s="1"/>
      <c r="M382" t="s">
        <v>134</v>
      </c>
      <c r="N382" t="s">
        <v>447</v>
      </c>
      <c r="O382" s="1"/>
      <c r="P382" s="1"/>
      <c r="Q382" s="1"/>
      <c r="R382" s="1"/>
      <c r="S382" s="1"/>
      <c r="T382" s="1"/>
      <c r="U382" s="1"/>
      <c r="V382" s="1"/>
    </row>
    <row r="383" spans="1:22" x14ac:dyDescent="0.25">
      <c r="A383" t="s">
        <v>138</v>
      </c>
      <c r="B383" t="s">
        <v>436</v>
      </c>
      <c r="C383" s="1">
        <f>31174+43+78+1+19900+107</f>
        <v>51303</v>
      </c>
      <c r="D383" s="1">
        <f>44+1+91+50+307</f>
        <v>493</v>
      </c>
      <c r="E383" s="1">
        <v>0</v>
      </c>
      <c r="F383" s="1">
        <v>0</v>
      </c>
      <c r="G383" s="1">
        <v>0</v>
      </c>
      <c r="H383" s="1">
        <v>30710</v>
      </c>
      <c r="I383" s="1">
        <v>10837</v>
      </c>
      <c r="J383" s="1">
        <f>SUM(H383,I383)</f>
        <v>41547</v>
      </c>
      <c r="K383" s="1"/>
      <c r="M383">
        <v>712</v>
      </c>
      <c r="N383" t="s">
        <v>448</v>
      </c>
      <c r="O383" s="1">
        <v>81666</v>
      </c>
      <c r="P383" s="1">
        <v>22</v>
      </c>
      <c r="Q383" s="1">
        <v>0</v>
      </c>
      <c r="R383" s="1">
        <v>0</v>
      </c>
      <c r="S383" s="1">
        <v>0</v>
      </c>
      <c r="T383" s="1">
        <v>38328</v>
      </c>
      <c r="U383" s="1"/>
      <c r="V383" s="1">
        <f t="shared" si="24"/>
        <v>38328</v>
      </c>
    </row>
    <row r="384" spans="1:22" x14ac:dyDescent="0.25">
      <c r="A384" t="s">
        <v>229</v>
      </c>
      <c r="B384" t="s">
        <v>437</v>
      </c>
      <c r="C384" s="1">
        <f>14993+1+116+4+18+5304</f>
        <v>20436</v>
      </c>
      <c r="D384" s="1">
        <f>4+21+6+3</f>
        <v>34</v>
      </c>
      <c r="E384" s="1">
        <v>0</v>
      </c>
      <c r="F384" s="1">
        <v>0</v>
      </c>
      <c r="G384" s="1">
        <v>0</v>
      </c>
      <c r="H384" s="1">
        <v>37304</v>
      </c>
      <c r="I384" s="1">
        <v>4716</v>
      </c>
      <c r="J384" s="1">
        <f>SUM(H384,I384)</f>
        <v>42020</v>
      </c>
      <c r="K384" s="1"/>
      <c r="M384">
        <v>711</v>
      </c>
      <c r="N384" t="s">
        <v>449</v>
      </c>
      <c r="O384" s="1"/>
      <c r="P384" s="1"/>
      <c r="Q384" s="1"/>
      <c r="R384" s="1"/>
      <c r="S384" s="1"/>
      <c r="T384" s="1"/>
      <c r="U384" s="1"/>
      <c r="V384" s="1"/>
    </row>
    <row r="385" spans="1:22" x14ac:dyDescent="0.25">
      <c r="A385" t="s">
        <v>801</v>
      </c>
      <c r="B385" t="s">
        <v>438</v>
      </c>
      <c r="C385" s="1"/>
      <c r="D385" s="1"/>
      <c r="E385" s="1"/>
      <c r="F385" s="1"/>
      <c r="G385" s="1"/>
      <c r="H385" s="1"/>
      <c r="I385" s="1"/>
      <c r="J385" s="1"/>
      <c r="K385" s="1"/>
      <c r="M385">
        <v>610</v>
      </c>
      <c r="N385" t="s">
        <v>450</v>
      </c>
      <c r="O385" s="1">
        <v>23833</v>
      </c>
      <c r="P385" s="1">
        <v>235</v>
      </c>
      <c r="Q385" s="1">
        <v>0</v>
      </c>
      <c r="R385" s="1">
        <v>0</v>
      </c>
      <c r="S385" s="1">
        <v>0</v>
      </c>
      <c r="T385" s="1">
        <v>18022</v>
      </c>
      <c r="U385" s="1"/>
      <c r="V385" s="1">
        <f t="shared" si="24"/>
        <v>18022</v>
      </c>
    </row>
    <row r="386" spans="1:22" x14ac:dyDescent="0.25">
      <c r="A386" s="27" t="s">
        <v>10</v>
      </c>
      <c r="B386" s="32" t="s">
        <v>780</v>
      </c>
      <c r="C386" s="1"/>
      <c r="D386" s="1"/>
      <c r="E386" s="1"/>
      <c r="F386" s="1"/>
      <c r="G386" s="1"/>
      <c r="H386" s="1"/>
      <c r="I386" s="1"/>
      <c r="J386" s="1"/>
      <c r="K386" s="1"/>
      <c r="M386">
        <v>116</v>
      </c>
      <c r="N386" t="s">
        <v>451</v>
      </c>
      <c r="O386" s="1">
        <v>110688</v>
      </c>
      <c r="P386" s="1">
        <v>1457</v>
      </c>
      <c r="Q386" s="1">
        <v>0</v>
      </c>
      <c r="R386" s="1">
        <v>0</v>
      </c>
      <c r="S386" s="1">
        <v>0</v>
      </c>
      <c r="T386" s="1">
        <v>50619</v>
      </c>
      <c r="U386" s="1"/>
      <c r="V386" s="1">
        <f t="shared" si="24"/>
        <v>50619</v>
      </c>
    </row>
    <row r="387" spans="1:22" x14ac:dyDescent="0.25">
      <c r="A387" t="s">
        <v>69</v>
      </c>
      <c r="B387" t="s">
        <v>439</v>
      </c>
      <c r="C387" s="1"/>
      <c r="D387" s="1"/>
      <c r="E387" s="1"/>
      <c r="F387" s="1"/>
      <c r="G387" s="1"/>
      <c r="H387" s="1"/>
      <c r="I387" s="1"/>
      <c r="J387" s="1"/>
      <c r="K387" s="1"/>
      <c r="M387" t="s">
        <v>825</v>
      </c>
      <c r="N387" t="s">
        <v>452</v>
      </c>
      <c r="O387" s="1"/>
      <c r="P387" s="1"/>
      <c r="Q387" s="1"/>
      <c r="R387" s="1"/>
      <c r="S387" s="1"/>
      <c r="T387" s="1"/>
      <c r="U387" s="1"/>
      <c r="V387" s="1"/>
    </row>
    <row r="388" spans="1:22" x14ac:dyDescent="0.25">
      <c r="A388" t="s">
        <v>83</v>
      </c>
      <c r="B388" t="s">
        <v>440</v>
      </c>
      <c r="C388" s="1">
        <f>4316+3+954+1</f>
        <v>5274</v>
      </c>
      <c r="D388" s="1">
        <f>2+22</f>
        <v>24</v>
      </c>
      <c r="E388" s="1">
        <v>0</v>
      </c>
      <c r="F388" s="1">
        <v>0</v>
      </c>
      <c r="G388" s="1">
        <v>0</v>
      </c>
      <c r="H388" s="1">
        <v>11004</v>
      </c>
      <c r="I388" s="1">
        <v>951</v>
      </c>
      <c r="J388" s="1">
        <f>SUM(H388,I388)</f>
        <v>11955</v>
      </c>
      <c r="K388" s="1"/>
      <c r="M388">
        <v>511</v>
      </c>
      <c r="N388" t="s">
        <v>453</v>
      </c>
      <c r="O388" s="1">
        <v>26426</v>
      </c>
      <c r="P388" s="1">
        <v>112</v>
      </c>
      <c r="Q388" s="1">
        <v>0</v>
      </c>
      <c r="R388" s="1">
        <v>0</v>
      </c>
      <c r="S388" s="1">
        <v>0</v>
      </c>
      <c r="T388" s="1">
        <v>15636</v>
      </c>
      <c r="U388" s="1"/>
      <c r="V388" s="1">
        <f t="shared" si="24"/>
        <v>15636</v>
      </c>
    </row>
    <row r="389" spans="1:22" x14ac:dyDescent="0.25">
      <c r="A389" t="s">
        <v>809</v>
      </c>
      <c r="B389" t="s">
        <v>441</v>
      </c>
      <c r="C389" s="1">
        <f>14905+4+2426</f>
        <v>17335</v>
      </c>
      <c r="D389" s="1">
        <f>22+13+126</f>
        <v>161</v>
      </c>
      <c r="E389" s="1">
        <v>0</v>
      </c>
      <c r="F389" s="1">
        <v>0</v>
      </c>
      <c r="G389" s="1">
        <v>0</v>
      </c>
      <c r="H389" s="1">
        <v>9017</v>
      </c>
      <c r="I389" s="1">
        <v>2054</v>
      </c>
      <c r="J389" s="1">
        <f>SUM(H389,I389)</f>
        <v>11071</v>
      </c>
      <c r="K389" s="1"/>
      <c r="M389" t="s">
        <v>820</v>
      </c>
      <c r="N389" t="s">
        <v>454</v>
      </c>
      <c r="O389" s="1">
        <v>50822</v>
      </c>
      <c r="P389" s="1">
        <v>20</v>
      </c>
      <c r="Q389" s="1">
        <v>0</v>
      </c>
      <c r="R389" s="1">
        <v>0</v>
      </c>
      <c r="S389" s="1">
        <v>0</v>
      </c>
      <c r="T389" s="1">
        <v>76271</v>
      </c>
      <c r="U389" s="1"/>
      <c r="V389" s="1">
        <f t="shared" si="24"/>
        <v>76271</v>
      </c>
    </row>
    <row r="390" spans="1:22" x14ac:dyDescent="0.25">
      <c r="A390" t="s">
        <v>794</v>
      </c>
      <c r="B390" t="s">
        <v>442</v>
      </c>
      <c r="C390" s="1">
        <f>20653+334+1+12047+2+1</f>
        <v>33038</v>
      </c>
      <c r="D390" s="1">
        <f>56+40+4+4</f>
        <v>104</v>
      </c>
      <c r="E390" s="1">
        <v>0</v>
      </c>
      <c r="F390" s="1">
        <v>0</v>
      </c>
      <c r="G390" s="1">
        <v>0</v>
      </c>
      <c r="H390" s="1">
        <v>31222</v>
      </c>
      <c r="I390" s="1">
        <v>10367</v>
      </c>
      <c r="J390" s="1">
        <f>SUM(H390,I390)</f>
        <v>41589</v>
      </c>
      <c r="K390" s="1"/>
      <c r="M390">
        <v>600</v>
      </c>
      <c r="N390" t="s">
        <v>455</v>
      </c>
      <c r="O390" s="1">
        <v>9800</v>
      </c>
      <c r="P390" s="1">
        <v>410</v>
      </c>
      <c r="Q390" s="1">
        <v>0</v>
      </c>
      <c r="R390" s="1">
        <v>0</v>
      </c>
      <c r="S390" s="1">
        <v>0</v>
      </c>
      <c r="T390" s="1">
        <v>13303</v>
      </c>
      <c r="U390" s="1"/>
      <c r="V390" s="1">
        <f t="shared" si="24"/>
        <v>13303</v>
      </c>
    </row>
    <row r="391" spans="1:22" x14ac:dyDescent="0.25">
      <c r="A391" t="s">
        <v>796</v>
      </c>
      <c r="B391" t="s">
        <v>443</v>
      </c>
      <c r="C391" s="1">
        <f>23948+2+6156+1+70+10116+12</f>
        <v>40305</v>
      </c>
      <c r="D391" s="1">
        <f>3+3+8+19</f>
        <v>33</v>
      </c>
      <c r="E391" s="1">
        <v>0</v>
      </c>
      <c r="F391" s="1">
        <v>0</v>
      </c>
      <c r="G391" s="1">
        <v>0</v>
      </c>
      <c r="H391" s="1">
        <v>55553</v>
      </c>
      <c r="I391" s="1">
        <v>8574</v>
      </c>
      <c r="J391" s="1">
        <f>SUM(H391,I391)</f>
        <v>64127</v>
      </c>
      <c r="K391" s="1"/>
      <c r="M391">
        <v>712</v>
      </c>
      <c r="N391" t="s">
        <v>456</v>
      </c>
      <c r="O391" s="1">
        <v>61130</v>
      </c>
      <c r="P391" s="1">
        <v>86</v>
      </c>
      <c r="Q391" s="1">
        <v>0</v>
      </c>
      <c r="R391" s="1">
        <v>0</v>
      </c>
      <c r="S391" s="1">
        <v>0</v>
      </c>
      <c r="T391" s="1">
        <v>105177</v>
      </c>
      <c r="U391" s="1"/>
      <c r="V391" s="1">
        <f t="shared" si="24"/>
        <v>105177</v>
      </c>
    </row>
    <row r="392" spans="1:22" x14ac:dyDescent="0.25">
      <c r="A392" t="s">
        <v>794</v>
      </c>
      <c r="B392" t="s">
        <v>444</v>
      </c>
      <c r="C392" s="1">
        <f>35906+4+1+2+744+19205</f>
        <v>55862</v>
      </c>
      <c r="D392" s="1">
        <f>73+15+344+44</f>
        <v>476</v>
      </c>
      <c r="E392" s="1">
        <v>0</v>
      </c>
      <c r="F392" s="1">
        <v>0</v>
      </c>
      <c r="G392" s="1">
        <v>0</v>
      </c>
      <c r="H392" s="1">
        <v>18145</v>
      </c>
      <c r="I392" s="1">
        <v>17316</v>
      </c>
      <c r="J392" s="1">
        <f>SUM(H392,I392)</f>
        <v>35461</v>
      </c>
      <c r="K392" s="1"/>
      <c r="M392">
        <v>712</v>
      </c>
      <c r="N392" t="s">
        <v>457</v>
      </c>
      <c r="O392" s="1">
        <v>36781</v>
      </c>
      <c r="P392" s="1">
        <v>145</v>
      </c>
      <c r="Q392" s="1">
        <v>0</v>
      </c>
      <c r="R392" s="1">
        <v>0</v>
      </c>
      <c r="S392" s="1">
        <v>0</v>
      </c>
      <c r="T392" s="1">
        <v>21971</v>
      </c>
      <c r="U392" s="1"/>
      <c r="V392" s="1">
        <f t="shared" si="24"/>
        <v>21971</v>
      </c>
    </row>
    <row r="393" spans="1:22" x14ac:dyDescent="0.25">
      <c r="A393" t="s">
        <v>811</v>
      </c>
      <c r="B393" t="s">
        <v>445</v>
      </c>
      <c r="C393" s="1"/>
      <c r="D393" s="1"/>
      <c r="E393" s="1"/>
      <c r="F393" s="1"/>
      <c r="G393" s="1"/>
      <c r="H393" s="1"/>
      <c r="I393" s="1"/>
      <c r="J393" s="1"/>
      <c r="K393" s="1"/>
      <c r="M393">
        <v>611</v>
      </c>
      <c r="N393" t="s">
        <v>458</v>
      </c>
      <c r="O393" s="1">
        <v>8858</v>
      </c>
      <c r="P393" s="1">
        <v>945</v>
      </c>
      <c r="Q393" s="1">
        <v>0</v>
      </c>
      <c r="R393" s="1">
        <v>0</v>
      </c>
      <c r="S393" s="1">
        <v>0</v>
      </c>
      <c r="T393" s="1">
        <v>29335</v>
      </c>
      <c r="U393" s="1"/>
      <c r="V393" s="1">
        <f t="shared" si="24"/>
        <v>29335</v>
      </c>
    </row>
    <row r="394" spans="1:22" x14ac:dyDescent="0.25">
      <c r="A394" t="s">
        <v>848</v>
      </c>
      <c r="B394" t="s">
        <v>446</v>
      </c>
      <c r="C394" s="1">
        <f>11079+5+2834</f>
        <v>13918</v>
      </c>
      <c r="D394" s="1">
        <f>7+3</f>
        <v>10</v>
      </c>
      <c r="E394" s="1">
        <v>0</v>
      </c>
      <c r="F394" s="1">
        <v>0</v>
      </c>
      <c r="G394" s="1">
        <v>0</v>
      </c>
      <c r="H394" s="1">
        <v>4165</v>
      </c>
      <c r="I394" s="1">
        <v>2439</v>
      </c>
      <c r="J394" s="1">
        <f>SUM(H394,I394)</f>
        <v>6604</v>
      </c>
      <c r="K394" s="1"/>
      <c r="M394">
        <v>700</v>
      </c>
      <c r="N394" t="s">
        <v>459</v>
      </c>
      <c r="O394" s="1">
        <v>4907</v>
      </c>
      <c r="P394" s="1">
        <v>44</v>
      </c>
      <c r="Q394" s="1">
        <v>0</v>
      </c>
      <c r="R394" s="1">
        <v>0</v>
      </c>
      <c r="S394" s="1">
        <v>0</v>
      </c>
      <c r="T394" s="1">
        <v>5942</v>
      </c>
      <c r="U394" s="1"/>
      <c r="V394" s="1">
        <f t="shared" si="24"/>
        <v>5942</v>
      </c>
    </row>
    <row r="395" spans="1:22" x14ac:dyDescent="0.25">
      <c r="A395" t="s">
        <v>134</v>
      </c>
      <c r="B395" t="s">
        <v>447</v>
      </c>
      <c r="C395" s="1"/>
      <c r="D395" s="1"/>
      <c r="E395" s="1"/>
      <c r="F395" s="1"/>
      <c r="G395" s="1"/>
      <c r="H395" s="1"/>
      <c r="I395" s="1"/>
      <c r="J395" s="1"/>
      <c r="K395" s="1"/>
      <c r="M395">
        <v>600</v>
      </c>
      <c r="N395" t="s">
        <v>460</v>
      </c>
      <c r="O395" s="1">
        <v>35607</v>
      </c>
      <c r="P395" s="1">
        <v>461</v>
      </c>
      <c r="Q395" s="1">
        <v>0</v>
      </c>
      <c r="R395" s="1">
        <v>0</v>
      </c>
      <c r="S395" s="1">
        <v>0</v>
      </c>
      <c r="T395" s="1">
        <v>124712</v>
      </c>
      <c r="U395" s="1"/>
      <c r="V395" s="1">
        <f t="shared" si="24"/>
        <v>124712</v>
      </c>
    </row>
    <row r="396" spans="1:22" x14ac:dyDescent="0.25">
      <c r="A396" t="s">
        <v>76</v>
      </c>
      <c r="B396" t="s">
        <v>448</v>
      </c>
      <c r="C396" s="1">
        <f>72627+23+9016</f>
        <v>81666</v>
      </c>
      <c r="D396" s="1">
        <f>5+17</f>
        <v>22</v>
      </c>
      <c r="E396" s="1">
        <v>0</v>
      </c>
      <c r="F396" s="1">
        <v>0</v>
      </c>
      <c r="G396" s="1">
        <v>0</v>
      </c>
      <c r="H396" s="1">
        <v>38328</v>
      </c>
      <c r="I396" s="1">
        <v>7613</v>
      </c>
      <c r="J396" s="1">
        <f>SUM(H396,I396)</f>
        <v>45941</v>
      </c>
      <c r="K396" s="1"/>
      <c r="M396">
        <v>600</v>
      </c>
      <c r="N396" t="s">
        <v>461</v>
      </c>
      <c r="O396" s="1">
        <v>45918</v>
      </c>
      <c r="P396" s="1">
        <v>75</v>
      </c>
      <c r="Q396" s="1">
        <v>0</v>
      </c>
      <c r="R396" s="1">
        <v>0</v>
      </c>
      <c r="S396" s="1">
        <v>0</v>
      </c>
      <c r="T396" s="1">
        <v>54845</v>
      </c>
      <c r="U396" s="1"/>
      <c r="V396" s="1">
        <f t="shared" si="24"/>
        <v>54845</v>
      </c>
    </row>
    <row r="397" spans="1:22" x14ac:dyDescent="0.25">
      <c r="A397" t="s">
        <v>801</v>
      </c>
      <c r="B397" t="s">
        <v>449</v>
      </c>
      <c r="C397" s="1"/>
      <c r="D397" s="1"/>
      <c r="E397" s="1"/>
      <c r="F397" s="1"/>
      <c r="G397" s="1"/>
      <c r="H397" s="1"/>
      <c r="I397" s="1"/>
      <c r="J397" s="1"/>
      <c r="K397" s="1"/>
      <c r="M397">
        <v>300</v>
      </c>
      <c r="N397" s="5" t="s">
        <v>462</v>
      </c>
      <c r="O397" s="6">
        <v>10756</v>
      </c>
      <c r="P397" s="6">
        <v>40</v>
      </c>
      <c r="Q397" s="6">
        <v>0</v>
      </c>
      <c r="R397" s="6">
        <v>0</v>
      </c>
      <c r="S397" s="6">
        <v>0</v>
      </c>
      <c r="T397" s="6">
        <v>597</v>
      </c>
      <c r="U397" s="6"/>
      <c r="V397" s="6">
        <f t="shared" si="24"/>
        <v>597</v>
      </c>
    </row>
    <row r="398" spans="1:22" x14ac:dyDescent="0.25">
      <c r="A398" t="s">
        <v>788</v>
      </c>
      <c r="B398" t="s">
        <v>450</v>
      </c>
      <c r="C398" s="1">
        <f>12732+9+4+11088</f>
        <v>23833</v>
      </c>
      <c r="D398" s="1">
        <f>10+81+144</f>
        <v>235</v>
      </c>
      <c r="E398" s="1">
        <v>0</v>
      </c>
      <c r="F398" s="1">
        <v>0</v>
      </c>
      <c r="G398" s="1">
        <v>0</v>
      </c>
      <c r="H398" s="1">
        <v>18022</v>
      </c>
      <c r="I398" s="1">
        <v>4970</v>
      </c>
      <c r="J398" s="1">
        <f>SUM(H398,I398)</f>
        <v>22992</v>
      </c>
      <c r="K398" s="1"/>
      <c r="M398">
        <v>120</v>
      </c>
      <c r="N398" t="s">
        <v>463</v>
      </c>
      <c r="O398" s="1">
        <v>9967</v>
      </c>
      <c r="P398" s="1">
        <v>32</v>
      </c>
      <c r="Q398" s="1">
        <v>0</v>
      </c>
      <c r="R398" s="1">
        <v>0</v>
      </c>
      <c r="S398" s="1">
        <v>0</v>
      </c>
      <c r="T398" s="1">
        <v>9974</v>
      </c>
      <c r="U398" s="1"/>
      <c r="V398" s="1">
        <f t="shared" si="24"/>
        <v>9974</v>
      </c>
    </row>
    <row r="399" spans="1:22" x14ac:dyDescent="0.25">
      <c r="A399" t="s">
        <v>795</v>
      </c>
      <c r="B399" t="s">
        <v>451</v>
      </c>
      <c r="C399" s="1">
        <f>34007+11+104+76376+177+13</f>
        <v>110688</v>
      </c>
      <c r="D399" s="1">
        <f>244+303+8+397+464+41</f>
        <v>1457</v>
      </c>
      <c r="E399" s="1">
        <v>0</v>
      </c>
      <c r="F399" s="1">
        <v>0</v>
      </c>
      <c r="G399" s="1">
        <v>0</v>
      </c>
      <c r="H399" s="1">
        <v>50619</v>
      </c>
      <c r="I399" s="1">
        <v>40372</v>
      </c>
      <c r="J399" s="1">
        <f>SUM(H399,I399)</f>
        <v>90991</v>
      </c>
      <c r="K399" s="1"/>
      <c r="M399">
        <v>600</v>
      </c>
      <c r="N399" t="s">
        <v>464</v>
      </c>
      <c r="O399" s="1">
        <v>16369</v>
      </c>
      <c r="P399" s="1">
        <v>7</v>
      </c>
      <c r="Q399" s="1">
        <v>0</v>
      </c>
      <c r="R399" s="1">
        <v>0</v>
      </c>
      <c r="S399" s="1">
        <v>0</v>
      </c>
      <c r="T399" s="1">
        <v>12242</v>
      </c>
      <c r="U399" s="1"/>
      <c r="V399" s="1">
        <f t="shared" si="24"/>
        <v>12242</v>
      </c>
    </row>
    <row r="400" spans="1:22" x14ac:dyDescent="0.25">
      <c r="A400" t="s">
        <v>825</v>
      </c>
      <c r="B400" t="s">
        <v>452</v>
      </c>
      <c r="C400" s="1"/>
      <c r="D400" s="1"/>
      <c r="E400" s="1"/>
      <c r="F400" s="1"/>
      <c r="G400" s="1"/>
      <c r="H400" s="1"/>
      <c r="I400" s="1"/>
      <c r="J400" s="1"/>
      <c r="K400" s="1"/>
      <c r="M400">
        <v>511</v>
      </c>
      <c r="N400" t="s">
        <v>465</v>
      </c>
      <c r="O400" s="1">
        <v>16584</v>
      </c>
      <c r="P400" s="1">
        <v>7</v>
      </c>
      <c r="Q400" s="1">
        <v>0</v>
      </c>
      <c r="R400" s="1">
        <v>0</v>
      </c>
      <c r="S400" s="1">
        <v>0</v>
      </c>
      <c r="T400" s="1">
        <v>37274</v>
      </c>
      <c r="U400" s="1"/>
      <c r="V400" s="1">
        <f t="shared" si="24"/>
        <v>37274</v>
      </c>
    </row>
    <row r="401" spans="1:22" x14ac:dyDescent="0.25">
      <c r="A401" t="s">
        <v>101</v>
      </c>
      <c r="B401" t="s">
        <v>453</v>
      </c>
      <c r="C401" s="1">
        <f>20257+10+1+14+6143+1</f>
        <v>26426</v>
      </c>
      <c r="D401" s="1">
        <f>25+5+66+16</f>
        <v>112</v>
      </c>
      <c r="E401" s="1">
        <v>0</v>
      </c>
      <c r="F401" s="1">
        <v>0</v>
      </c>
      <c r="G401" s="1">
        <v>0</v>
      </c>
      <c r="H401" s="1">
        <v>15636</v>
      </c>
      <c r="I401" s="1">
        <v>5249</v>
      </c>
      <c r="J401" s="1">
        <f t="shared" ref="J401:J409" si="26">SUM(H401,I401)</f>
        <v>20885</v>
      </c>
      <c r="K401" s="1"/>
      <c r="M401">
        <v>210</v>
      </c>
      <c r="N401" t="s">
        <v>466</v>
      </c>
      <c r="O401" s="1">
        <v>20605</v>
      </c>
      <c r="P401" s="1">
        <v>45</v>
      </c>
      <c r="Q401" s="1">
        <v>0</v>
      </c>
      <c r="R401" s="1">
        <v>0</v>
      </c>
      <c r="S401" s="1">
        <v>0</v>
      </c>
      <c r="T401" s="1">
        <v>4987</v>
      </c>
      <c r="U401" s="1"/>
      <c r="V401" s="1">
        <f t="shared" si="24"/>
        <v>4987</v>
      </c>
    </row>
    <row r="402" spans="1:22" x14ac:dyDescent="0.25">
      <c r="A402" t="s">
        <v>265</v>
      </c>
      <c r="B402" t="s">
        <v>454</v>
      </c>
      <c r="C402" s="1">
        <f>43143+2+7302+375</f>
        <v>50822</v>
      </c>
      <c r="D402" s="1">
        <f>18+2</f>
        <v>20</v>
      </c>
      <c r="E402" s="1">
        <v>0</v>
      </c>
      <c r="F402" s="1">
        <v>0</v>
      </c>
      <c r="G402" s="1">
        <v>0</v>
      </c>
      <c r="H402" s="1">
        <v>76271</v>
      </c>
      <c r="I402" s="1">
        <v>5557</v>
      </c>
      <c r="J402" s="1">
        <f t="shared" si="26"/>
        <v>81828</v>
      </c>
      <c r="K402" s="1"/>
      <c r="M402">
        <v>313</v>
      </c>
      <c r="N402" t="s">
        <v>467</v>
      </c>
      <c r="O402" s="1">
        <v>18622</v>
      </c>
      <c r="P402" s="1">
        <v>61</v>
      </c>
      <c r="Q402" s="1">
        <v>0</v>
      </c>
      <c r="R402" s="1">
        <v>0</v>
      </c>
      <c r="S402" s="1">
        <v>0</v>
      </c>
      <c r="T402" s="1">
        <v>17550</v>
      </c>
      <c r="U402" s="1"/>
      <c r="V402" s="1">
        <f t="shared" si="24"/>
        <v>17550</v>
      </c>
    </row>
    <row r="403" spans="1:22" x14ac:dyDescent="0.25">
      <c r="A403" t="s">
        <v>248</v>
      </c>
      <c r="B403" t="s">
        <v>455</v>
      </c>
      <c r="C403" s="1">
        <f>9164+636</f>
        <v>9800</v>
      </c>
      <c r="D403" s="1">
        <f>1+8+395+6</f>
        <v>410</v>
      </c>
      <c r="E403" s="1">
        <v>0</v>
      </c>
      <c r="F403" s="1">
        <v>0</v>
      </c>
      <c r="G403" s="1">
        <v>0</v>
      </c>
      <c r="H403" s="1">
        <v>13303</v>
      </c>
      <c r="I403" s="1">
        <v>1106</v>
      </c>
      <c r="J403" s="1">
        <f t="shared" si="26"/>
        <v>14409</v>
      </c>
      <c r="K403" s="1"/>
      <c r="M403">
        <v>200</v>
      </c>
      <c r="N403" t="s">
        <v>468</v>
      </c>
      <c r="O403" s="1">
        <v>10464</v>
      </c>
      <c r="P403" s="1">
        <v>88</v>
      </c>
      <c r="Q403" s="1">
        <v>0</v>
      </c>
      <c r="R403" s="1">
        <v>0</v>
      </c>
      <c r="S403" s="1">
        <v>0</v>
      </c>
      <c r="T403" s="1">
        <v>3524</v>
      </c>
      <c r="U403" s="1"/>
      <c r="V403" s="1">
        <f t="shared" si="24"/>
        <v>3524</v>
      </c>
    </row>
    <row r="404" spans="1:22" x14ac:dyDescent="0.25">
      <c r="A404" t="s">
        <v>76</v>
      </c>
      <c r="B404" t="s">
        <v>456</v>
      </c>
      <c r="C404" s="1">
        <f>52822+1109+55+7144</f>
        <v>61130</v>
      </c>
      <c r="D404" s="1">
        <f>56+8+22</f>
        <v>86</v>
      </c>
      <c r="E404" s="1">
        <v>0</v>
      </c>
      <c r="F404" s="1">
        <v>0</v>
      </c>
      <c r="G404" s="1">
        <v>0</v>
      </c>
      <c r="H404" s="1">
        <v>105177</v>
      </c>
      <c r="I404" s="1">
        <v>6374</v>
      </c>
      <c r="J404" s="1">
        <f t="shared" si="26"/>
        <v>111551</v>
      </c>
      <c r="K404" s="1"/>
      <c r="M404">
        <v>616</v>
      </c>
      <c r="N404" t="s">
        <v>469</v>
      </c>
      <c r="O404" s="1">
        <v>194505</v>
      </c>
      <c r="P404" s="1">
        <v>302</v>
      </c>
      <c r="Q404" s="1">
        <v>0</v>
      </c>
      <c r="R404" s="1">
        <v>0</v>
      </c>
      <c r="S404" s="1">
        <v>0</v>
      </c>
      <c r="T404" s="1">
        <v>39642</v>
      </c>
      <c r="U404" s="1"/>
      <c r="V404" s="1">
        <f t="shared" si="24"/>
        <v>39642</v>
      </c>
    </row>
    <row r="405" spans="1:22" x14ac:dyDescent="0.25">
      <c r="A405" t="s">
        <v>76</v>
      </c>
      <c r="B405" t="s">
        <v>457</v>
      </c>
      <c r="C405" s="1">
        <f>21203+23+15553+2</f>
        <v>36781</v>
      </c>
      <c r="D405" s="1">
        <f>19+102+24</f>
        <v>145</v>
      </c>
      <c r="E405" s="1">
        <v>0</v>
      </c>
      <c r="F405" s="1">
        <v>0</v>
      </c>
      <c r="G405" s="1">
        <v>0</v>
      </c>
      <c r="H405" s="1">
        <v>21971</v>
      </c>
      <c r="I405" s="1">
        <v>13604</v>
      </c>
      <c r="J405" s="1">
        <f t="shared" si="26"/>
        <v>35575</v>
      </c>
      <c r="K405" s="1"/>
      <c r="M405">
        <v>100</v>
      </c>
      <c r="N405" t="s">
        <v>470</v>
      </c>
      <c r="O405" s="1">
        <v>5977</v>
      </c>
      <c r="P405" s="1">
        <v>713</v>
      </c>
      <c r="Q405" s="1">
        <v>0</v>
      </c>
      <c r="R405" s="1">
        <v>0</v>
      </c>
      <c r="S405" s="1">
        <v>0</v>
      </c>
      <c r="T405" s="1">
        <v>4987</v>
      </c>
      <c r="U405" s="1"/>
      <c r="V405" s="1">
        <f t="shared" si="24"/>
        <v>4987</v>
      </c>
    </row>
    <row r="406" spans="1:22" x14ac:dyDescent="0.25">
      <c r="A406" t="s">
        <v>146</v>
      </c>
      <c r="B406" t="s">
        <v>458</v>
      </c>
      <c r="C406" s="1">
        <f>3880+673+4+4296+1+3</f>
        <v>8857</v>
      </c>
      <c r="D406" s="1">
        <f>285+1+395+126+1+137</f>
        <v>945</v>
      </c>
      <c r="E406" s="1">
        <v>0</v>
      </c>
      <c r="F406" s="1">
        <v>0</v>
      </c>
      <c r="G406" s="1">
        <v>0</v>
      </c>
      <c r="H406" s="1">
        <v>29335</v>
      </c>
      <c r="I406" s="1">
        <v>4546</v>
      </c>
      <c r="J406" s="1">
        <f t="shared" si="26"/>
        <v>33881</v>
      </c>
      <c r="K406" s="1"/>
      <c r="M406">
        <v>610</v>
      </c>
      <c r="N406" t="s">
        <v>471</v>
      </c>
      <c r="O406" s="1"/>
      <c r="P406" s="1"/>
      <c r="Q406" s="1"/>
      <c r="R406" s="1"/>
      <c r="S406" s="1"/>
      <c r="T406" s="1"/>
      <c r="U406" s="1"/>
      <c r="V406" s="1"/>
    </row>
    <row r="407" spans="1:22" x14ac:dyDescent="0.25">
      <c r="A407" t="s">
        <v>83</v>
      </c>
      <c r="B407" t="s">
        <v>459</v>
      </c>
      <c r="C407" s="1">
        <f>3103+2+24+1778</f>
        <v>4907</v>
      </c>
      <c r="D407" s="1">
        <f>11+33</f>
        <v>44</v>
      </c>
      <c r="E407" s="1">
        <v>0</v>
      </c>
      <c r="F407" s="1">
        <v>0</v>
      </c>
      <c r="G407" s="1">
        <v>0</v>
      </c>
      <c r="H407" s="1">
        <v>5942</v>
      </c>
      <c r="I407" s="1">
        <v>1608</v>
      </c>
      <c r="J407" s="1">
        <f t="shared" si="26"/>
        <v>7550</v>
      </c>
      <c r="K407" s="1"/>
      <c r="M407">
        <v>116</v>
      </c>
      <c r="N407" t="s">
        <v>472</v>
      </c>
      <c r="O407" s="1">
        <v>26415</v>
      </c>
      <c r="P407" s="1">
        <v>797</v>
      </c>
      <c r="Q407" s="1">
        <v>0</v>
      </c>
      <c r="R407" s="1">
        <v>0</v>
      </c>
      <c r="S407" s="1">
        <v>0</v>
      </c>
      <c r="T407" s="1">
        <v>9645</v>
      </c>
      <c r="U407" s="1"/>
      <c r="V407" s="1">
        <f t="shared" ref="V407:V469" si="27">SUM(T407:U407)</f>
        <v>9645</v>
      </c>
    </row>
    <row r="408" spans="1:22" x14ac:dyDescent="0.25">
      <c r="A408" t="s">
        <v>248</v>
      </c>
      <c r="B408" t="s">
        <v>460</v>
      </c>
      <c r="C408" s="1">
        <f>15360+9+102+1+50+2+2+68+20010+2+1</f>
        <v>35607</v>
      </c>
      <c r="D408" s="1">
        <f>11+142+308</f>
        <v>461</v>
      </c>
      <c r="E408" s="1">
        <v>0</v>
      </c>
      <c r="F408" s="1">
        <v>0</v>
      </c>
      <c r="G408" s="1">
        <v>0</v>
      </c>
      <c r="H408" s="1">
        <v>124712</v>
      </c>
      <c r="I408" s="1">
        <v>16569</v>
      </c>
      <c r="J408" s="1">
        <f t="shared" si="26"/>
        <v>141281</v>
      </c>
      <c r="K408" s="1"/>
      <c r="M408">
        <v>610</v>
      </c>
      <c r="N408" t="s">
        <v>473</v>
      </c>
      <c r="O408" s="1">
        <v>43377</v>
      </c>
      <c r="P408" s="1">
        <v>971</v>
      </c>
      <c r="Q408" s="1">
        <v>0</v>
      </c>
      <c r="R408" s="1">
        <v>0</v>
      </c>
      <c r="S408" s="1">
        <v>0</v>
      </c>
      <c r="T408" s="1">
        <v>12083</v>
      </c>
      <c r="U408" s="1"/>
      <c r="V408" s="1">
        <f t="shared" si="27"/>
        <v>12083</v>
      </c>
    </row>
    <row r="409" spans="1:22" x14ac:dyDescent="0.25">
      <c r="A409" t="s">
        <v>248</v>
      </c>
      <c r="B409" t="s">
        <v>461</v>
      </c>
      <c r="C409" s="1">
        <f>34781+5+1+11131</f>
        <v>45918</v>
      </c>
      <c r="D409" s="1">
        <f>9+10+56</f>
        <v>75</v>
      </c>
      <c r="E409" s="1">
        <v>0</v>
      </c>
      <c r="F409" s="1">
        <v>0</v>
      </c>
      <c r="G409" s="1">
        <v>0</v>
      </c>
      <c r="H409" s="1">
        <v>54845</v>
      </c>
      <c r="I409" s="1">
        <v>8333</v>
      </c>
      <c r="J409" s="1">
        <f t="shared" si="26"/>
        <v>63178</v>
      </c>
      <c r="K409" s="1"/>
      <c r="M409">
        <v>616</v>
      </c>
      <c r="N409" t="s">
        <v>474</v>
      </c>
      <c r="O409" s="1">
        <v>47037</v>
      </c>
      <c r="P409" s="1">
        <v>255</v>
      </c>
      <c r="Q409" s="1">
        <v>0</v>
      </c>
      <c r="R409" s="1">
        <v>0</v>
      </c>
      <c r="S409" s="1">
        <v>0</v>
      </c>
      <c r="T409" s="1">
        <v>169741</v>
      </c>
      <c r="U409" s="1"/>
      <c r="V409" s="1">
        <f t="shared" si="27"/>
        <v>169741</v>
      </c>
    </row>
    <row r="410" spans="1:22" x14ac:dyDescent="0.25">
      <c r="A410" t="s">
        <v>226</v>
      </c>
      <c r="B410" s="5" t="s">
        <v>462</v>
      </c>
      <c r="C410" s="6"/>
      <c r="D410" s="6"/>
      <c r="E410" s="6"/>
      <c r="F410" s="6"/>
      <c r="G410" s="6"/>
      <c r="H410" s="6"/>
      <c r="I410" s="6"/>
      <c r="J410" s="6"/>
      <c r="K410" s="6" t="s">
        <v>867</v>
      </c>
      <c r="M410">
        <v>313</v>
      </c>
      <c r="N410" t="s">
        <v>475</v>
      </c>
      <c r="O410" s="1">
        <v>7661</v>
      </c>
      <c r="P410" s="1">
        <v>29</v>
      </c>
      <c r="Q410" s="1">
        <v>0</v>
      </c>
      <c r="R410" s="1">
        <v>0</v>
      </c>
      <c r="S410" s="1">
        <v>0</v>
      </c>
      <c r="T410" s="1">
        <v>24606</v>
      </c>
      <c r="U410" s="1"/>
      <c r="V410" s="1">
        <f t="shared" si="27"/>
        <v>24606</v>
      </c>
    </row>
    <row r="411" spans="1:22" x14ac:dyDescent="0.25">
      <c r="A411" t="s">
        <v>826</v>
      </c>
      <c r="B411" t="s">
        <v>463</v>
      </c>
      <c r="C411" s="1">
        <f>2867+112+6986+2</f>
        <v>9967</v>
      </c>
      <c r="D411" s="1">
        <f>19+4+9</f>
        <v>32</v>
      </c>
      <c r="E411" s="1">
        <v>0</v>
      </c>
      <c r="F411" s="1">
        <v>0</v>
      </c>
      <c r="G411" s="1">
        <v>0</v>
      </c>
      <c r="H411" s="1">
        <v>9974</v>
      </c>
      <c r="I411" s="1">
        <v>6570</v>
      </c>
      <c r="J411" s="1">
        <f>SUM(H411,I411)</f>
        <v>16544</v>
      </c>
      <c r="K411" s="1"/>
      <c r="M411">
        <v>611</v>
      </c>
      <c r="N411" t="s">
        <v>476</v>
      </c>
      <c r="O411" s="1">
        <v>31105</v>
      </c>
      <c r="P411" s="1">
        <v>47</v>
      </c>
      <c r="Q411" s="1">
        <v>0</v>
      </c>
      <c r="R411" s="1">
        <v>0</v>
      </c>
      <c r="S411" s="1">
        <v>0</v>
      </c>
      <c r="T411" s="1">
        <v>10807</v>
      </c>
      <c r="U411" s="1"/>
      <c r="V411" s="1">
        <f t="shared" si="27"/>
        <v>10807</v>
      </c>
    </row>
    <row r="412" spans="1:22" x14ac:dyDescent="0.25">
      <c r="A412" t="s">
        <v>248</v>
      </c>
      <c r="B412" t="s">
        <v>464</v>
      </c>
      <c r="C412" s="1">
        <f>12781+5+3583</f>
        <v>16369</v>
      </c>
      <c r="D412" s="1">
        <v>7</v>
      </c>
      <c r="E412" s="1">
        <v>0</v>
      </c>
      <c r="F412" s="1">
        <v>0</v>
      </c>
      <c r="G412" s="1">
        <v>0</v>
      </c>
      <c r="H412" s="1">
        <v>12242</v>
      </c>
      <c r="I412" s="1">
        <v>3506</v>
      </c>
      <c r="J412" s="1">
        <f>SUM(H412,I412)</f>
        <v>15748</v>
      </c>
      <c r="K412" s="1"/>
      <c r="M412">
        <v>712</v>
      </c>
      <c r="N412" t="s">
        <v>477</v>
      </c>
      <c r="O412" s="1">
        <v>47949</v>
      </c>
      <c r="P412" s="1">
        <v>134</v>
      </c>
      <c r="Q412" s="1">
        <v>0</v>
      </c>
      <c r="R412" s="1">
        <v>0</v>
      </c>
      <c r="S412" s="1">
        <v>0</v>
      </c>
      <c r="T412" s="1">
        <v>28763</v>
      </c>
      <c r="U412" s="1"/>
      <c r="V412" s="1">
        <f t="shared" si="27"/>
        <v>28763</v>
      </c>
    </row>
    <row r="413" spans="1:22" x14ac:dyDescent="0.25">
      <c r="A413" t="s">
        <v>101</v>
      </c>
      <c r="B413" t="s">
        <v>465</v>
      </c>
      <c r="C413" s="1">
        <f>10914+3+2+5663+2</f>
        <v>16584</v>
      </c>
      <c r="D413" s="1">
        <v>7</v>
      </c>
      <c r="E413" s="1">
        <v>0</v>
      </c>
      <c r="F413" s="1">
        <v>0</v>
      </c>
      <c r="G413" s="1">
        <v>0</v>
      </c>
      <c r="H413" s="1">
        <v>37274</v>
      </c>
      <c r="I413" s="1">
        <v>5725</v>
      </c>
      <c r="J413" s="1">
        <f>SUM(H413,I413)</f>
        <v>42999</v>
      </c>
      <c r="K413" s="1"/>
      <c r="M413">
        <v>712</v>
      </c>
      <c r="N413" t="s">
        <v>478</v>
      </c>
      <c r="O413" s="1">
        <v>39749</v>
      </c>
      <c r="P413" s="1">
        <v>236</v>
      </c>
      <c r="Q413" s="1">
        <v>0</v>
      </c>
      <c r="R413" s="1">
        <v>0</v>
      </c>
      <c r="S413" s="1">
        <v>0</v>
      </c>
      <c r="T413" s="1">
        <v>19479</v>
      </c>
      <c r="U413" s="1"/>
      <c r="V413" s="1">
        <f t="shared" si="27"/>
        <v>19479</v>
      </c>
    </row>
    <row r="414" spans="1:22" x14ac:dyDescent="0.25">
      <c r="A414" t="s">
        <v>865</v>
      </c>
      <c r="B414" t="s">
        <v>466</v>
      </c>
      <c r="C414" s="1">
        <f>16817+11+111+6+18+12+4+54+214+42+3278+38</f>
        <v>20605</v>
      </c>
      <c r="D414" s="1">
        <f>11+34</f>
        <v>45</v>
      </c>
      <c r="E414" s="1">
        <v>0</v>
      </c>
      <c r="F414" s="1">
        <v>0</v>
      </c>
      <c r="G414" s="1">
        <v>0</v>
      </c>
      <c r="H414" s="1">
        <v>4987</v>
      </c>
      <c r="I414" s="1">
        <v>3025</v>
      </c>
      <c r="J414" s="1">
        <f>SUM(H414,I414)</f>
        <v>8012</v>
      </c>
      <c r="K414" s="1"/>
      <c r="M414">
        <v>113</v>
      </c>
      <c r="N414" t="s">
        <v>479</v>
      </c>
      <c r="O414" s="1">
        <v>21378</v>
      </c>
      <c r="P414" s="1">
        <v>0</v>
      </c>
      <c r="Q414" s="1">
        <v>0</v>
      </c>
      <c r="R414" s="1">
        <v>0</v>
      </c>
      <c r="S414" s="1">
        <v>0</v>
      </c>
      <c r="T414" s="1">
        <v>1313</v>
      </c>
      <c r="U414" s="1"/>
      <c r="V414" s="1">
        <f t="shared" si="27"/>
        <v>1313</v>
      </c>
    </row>
    <row r="415" spans="1:22" x14ac:dyDescent="0.25">
      <c r="A415" t="s">
        <v>512</v>
      </c>
      <c r="B415" t="s">
        <v>467</v>
      </c>
      <c r="C415" s="1">
        <f>11534+16+2+3+7067</f>
        <v>18622</v>
      </c>
      <c r="D415" s="1">
        <f>8+20+33</f>
        <v>61</v>
      </c>
      <c r="E415" s="1">
        <v>0</v>
      </c>
      <c r="F415" s="1">
        <v>0</v>
      </c>
      <c r="G415" s="1">
        <v>0</v>
      </c>
      <c r="H415" s="1">
        <v>17550</v>
      </c>
      <c r="I415" s="1">
        <v>5306</v>
      </c>
      <c r="J415" s="1">
        <f>SUM(H415,I415)</f>
        <v>22856</v>
      </c>
      <c r="K415" s="1"/>
      <c r="M415">
        <v>700</v>
      </c>
      <c r="N415" t="s">
        <v>480</v>
      </c>
      <c r="O415" s="1">
        <v>26257</v>
      </c>
      <c r="P415" s="1">
        <v>16</v>
      </c>
      <c r="Q415" s="1">
        <v>0</v>
      </c>
      <c r="R415" s="1">
        <v>0</v>
      </c>
      <c r="S415" s="1">
        <v>0</v>
      </c>
      <c r="T415" s="1">
        <v>16889</v>
      </c>
      <c r="U415" s="1"/>
      <c r="V415" s="1">
        <f t="shared" si="27"/>
        <v>16889</v>
      </c>
    </row>
    <row r="416" spans="1:22" x14ac:dyDescent="0.25">
      <c r="A416" s="27" t="s">
        <v>10</v>
      </c>
      <c r="B416" s="32" t="s">
        <v>781</v>
      </c>
      <c r="C416" s="1"/>
      <c r="D416" s="1"/>
      <c r="E416" s="1"/>
      <c r="F416" s="1"/>
      <c r="G416" s="1"/>
      <c r="H416" s="1"/>
      <c r="I416" s="1"/>
      <c r="J416" s="1"/>
      <c r="K416" s="1"/>
      <c r="M416">
        <v>313</v>
      </c>
      <c r="N416" t="s">
        <v>481</v>
      </c>
      <c r="O416" s="1">
        <v>17183</v>
      </c>
      <c r="P416" s="1">
        <v>78</v>
      </c>
      <c r="Q416" s="1">
        <v>0</v>
      </c>
      <c r="R416" s="1">
        <v>0</v>
      </c>
      <c r="S416" s="1">
        <v>0</v>
      </c>
      <c r="T416" s="1">
        <v>1941</v>
      </c>
      <c r="U416" s="1"/>
      <c r="V416" s="1">
        <f t="shared" si="27"/>
        <v>1941</v>
      </c>
    </row>
    <row r="417" spans="1:22" x14ac:dyDescent="0.25">
      <c r="A417" t="s">
        <v>806</v>
      </c>
      <c r="B417" t="s">
        <v>468</v>
      </c>
      <c r="C417" s="1">
        <f>5343+2+38+1+10+5051+17+1+1</f>
        <v>10464</v>
      </c>
      <c r="D417" s="1">
        <f>17+23+3+45</f>
        <v>88</v>
      </c>
      <c r="E417" s="1">
        <v>0</v>
      </c>
      <c r="F417" s="1">
        <v>0</v>
      </c>
      <c r="G417" s="1">
        <v>0</v>
      </c>
      <c r="H417" s="1">
        <v>3524</v>
      </c>
      <c r="I417" s="1">
        <v>4703</v>
      </c>
      <c r="J417" s="1">
        <f>SUM(H417,I417)</f>
        <v>8227</v>
      </c>
      <c r="K417" s="1"/>
      <c r="M417">
        <v>500</v>
      </c>
      <c r="N417" t="s">
        <v>482</v>
      </c>
      <c r="O417" s="1"/>
      <c r="P417" s="1"/>
      <c r="Q417" s="1"/>
      <c r="R417" s="1"/>
      <c r="S417" s="1"/>
      <c r="T417" s="1"/>
      <c r="U417" s="1"/>
      <c r="V417" s="1"/>
    </row>
    <row r="418" spans="1:22" x14ac:dyDescent="0.25">
      <c r="A418" t="s">
        <v>817</v>
      </c>
      <c r="B418" t="s">
        <v>469</v>
      </c>
      <c r="C418" s="1">
        <f>192586+2+1919</f>
        <v>194507</v>
      </c>
      <c r="D418" s="1">
        <f>95+191+1+15</f>
        <v>302</v>
      </c>
      <c r="E418" s="1">
        <v>0</v>
      </c>
      <c r="F418" s="1">
        <v>0</v>
      </c>
      <c r="G418" s="1">
        <v>0</v>
      </c>
      <c r="H418" s="1">
        <v>39642</v>
      </c>
      <c r="I418" s="1">
        <v>1508</v>
      </c>
      <c r="J418" s="1">
        <f>SUM(H418,I418)</f>
        <v>41150</v>
      </c>
      <c r="K418" s="1"/>
      <c r="M418">
        <v>312</v>
      </c>
      <c r="N418" t="s">
        <v>483</v>
      </c>
      <c r="O418" s="1">
        <v>30079</v>
      </c>
      <c r="P418" s="1">
        <v>77</v>
      </c>
      <c r="Q418" s="1">
        <v>0</v>
      </c>
      <c r="R418" s="1">
        <v>0</v>
      </c>
      <c r="S418" s="1">
        <v>0</v>
      </c>
      <c r="T418" s="1">
        <v>81444</v>
      </c>
      <c r="U418" s="1"/>
      <c r="V418" s="1">
        <f t="shared" si="27"/>
        <v>81444</v>
      </c>
    </row>
    <row r="419" spans="1:22" x14ac:dyDescent="0.25">
      <c r="A419" t="s">
        <v>791</v>
      </c>
      <c r="B419" t="s">
        <v>470</v>
      </c>
      <c r="C419" s="1">
        <f>1367+1+4+4442+4</f>
        <v>5818</v>
      </c>
      <c r="D419" s="1">
        <f>553+159+1</f>
        <v>713</v>
      </c>
      <c r="E419" s="1">
        <v>0</v>
      </c>
      <c r="F419" s="1">
        <v>0</v>
      </c>
      <c r="G419" s="1">
        <v>0</v>
      </c>
      <c r="H419" s="1">
        <v>4987</v>
      </c>
      <c r="I419" s="1">
        <v>5125</v>
      </c>
      <c r="J419" s="1">
        <f>SUM(H419,I419)</f>
        <v>10112</v>
      </c>
      <c r="K419" s="1"/>
      <c r="M419">
        <v>711</v>
      </c>
      <c r="N419" t="s">
        <v>484</v>
      </c>
      <c r="O419" s="1"/>
      <c r="P419" s="1"/>
      <c r="Q419" s="1"/>
      <c r="R419" s="1"/>
      <c r="S419" s="1"/>
      <c r="T419" s="1"/>
      <c r="U419" s="1"/>
      <c r="V419" s="1"/>
    </row>
    <row r="420" spans="1:22" x14ac:dyDescent="0.25">
      <c r="A420" t="s">
        <v>788</v>
      </c>
      <c r="B420" t="s">
        <v>471</v>
      </c>
      <c r="C420" s="1"/>
      <c r="D420" s="1"/>
      <c r="E420" s="1"/>
      <c r="F420" s="1"/>
      <c r="G420" s="1"/>
      <c r="H420" s="1"/>
      <c r="I420" s="1"/>
      <c r="J420" s="1"/>
      <c r="K420" s="1"/>
      <c r="M420">
        <v>715</v>
      </c>
      <c r="N420" t="s">
        <v>485</v>
      </c>
      <c r="O420" s="1">
        <v>18737</v>
      </c>
      <c r="P420" s="1">
        <v>1</v>
      </c>
      <c r="Q420" s="1">
        <v>0</v>
      </c>
      <c r="R420" s="1">
        <v>0</v>
      </c>
      <c r="S420" s="1">
        <v>0</v>
      </c>
      <c r="T420" s="1">
        <v>12581</v>
      </c>
      <c r="U420" s="1"/>
      <c r="V420" s="1">
        <f t="shared" si="27"/>
        <v>12581</v>
      </c>
    </row>
    <row r="421" spans="1:22" x14ac:dyDescent="0.25">
      <c r="A421" t="s">
        <v>795</v>
      </c>
      <c r="B421" t="s">
        <v>472</v>
      </c>
      <c r="C421" s="1">
        <f>16570+2+160+9408+275</f>
        <v>26415</v>
      </c>
      <c r="D421" s="1">
        <f>549+121+127</f>
        <v>797</v>
      </c>
      <c r="E421" s="1">
        <v>0</v>
      </c>
      <c r="F421" s="1">
        <v>0</v>
      </c>
      <c r="G421" s="1">
        <v>0</v>
      </c>
      <c r="H421" s="1">
        <v>9645</v>
      </c>
      <c r="I421" s="1">
        <v>5801</v>
      </c>
      <c r="J421" s="1">
        <f t="shared" ref="J421:J430" si="28">SUM(H421,I421)</f>
        <v>15446</v>
      </c>
      <c r="K421" s="1"/>
      <c r="M421">
        <v>110</v>
      </c>
      <c r="N421" t="s">
        <v>486</v>
      </c>
      <c r="O421" s="1">
        <v>39939</v>
      </c>
      <c r="P421" s="1">
        <v>70</v>
      </c>
      <c r="Q421" s="1">
        <v>0</v>
      </c>
      <c r="R421" s="1">
        <v>0</v>
      </c>
      <c r="S421" s="1">
        <v>0</v>
      </c>
      <c r="T421" s="1">
        <v>10466</v>
      </c>
      <c r="U421" s="1"/>
      <c r="V421" s="1">
        <f t="shared" si="27"/>
        <v>10466</v>
      </c>
    </row>
    <row r="422" spans="1:22" x14ac:dyDescent="0.25">
      <c r="A422" t="s">
        <v>788</v>
      </c>
      <c r="B422" t="s">
        <v>473</v>
      </c>
      <c r="C422" s="1">
        <f>28417+11+3+1+2+14942</f>
        <v>43376</v>
      </c>
      <c r="D422" s="1">
        <f>297+22+40+609+1+2</f>
        <v>971</v>
      </c>
      <c r="E422" s="1">
        <v>0</v>
      </c>
      <c r="F422" s="1">
        <v>0</v>
      </c>
      <c r="G422" s="1">
        <v>0</v>
      </c>
      <c r="H422" s="1">
        <v>12083</v>
      </c>
      <c r="I422" s="1">
        <v>14090</v>
      </c>
      <c r="J422" s="1">
        <f t="shared" si="28"/>
        <v>26173</v>
      </c>
      <c r="K422" s="1"/>
      <c r="M422">
        <v>171</v>
      </c>
      <c r="N422" t="s">
        <v>487</v>
      </c>
      <c r="O422" s="1">
        <v>18405</v>
      </c>
      <c r="P422" s="1">
        <v>19</v>
      </c>
      <c r="Q422" s="1">
        <v>0</v>
      </c>
      <c r="R422" s="1">
        <v>0</v>
      </c>
      <c r="S422" s="1">
        <v>0</v>
      </c>
      <c r="T422" s="1">
        <v>9431</v>
      </c>
      <c r="U422" s="1"/>
      <c r="V422" s="1">
        <f t="shared" si="27"/>
        <v>9431</v>
      </c>
    </row>
    <row r="423" spans="1:22" x14ac:dyDescent="0.25">
      <c r="A423" t="s">
        <v>817</v>
      </c>
      <c r="B423" t="s">
        <v>474</v>
      </c>
      <c r="C423" s="1">
        <f>12363+2+2+34672</f>
        <v>47039</v>
      </c>
      <c r="D423" s="1">
        <f>103+1+150+1</f>
        <v>255</v>
      </c>
      <c r="E423" s="1">
        <v>0</v>
      </c>
      <c r="F423" s="1">
        <v>0</v>
      </c>
      <c r="G423" s="1">
        <v>0</v>
      </c>
      <c r="H423" s="1">
        <v>169741</v>
      </c>
      <c r="I423" s="1">
        <v>25192</v>
      </c>
      <c r="J423" s="1">
        <f t="shared" si="28"/>
        <v>194933</v>
      </c>
      <c r="K423" s="1"/>
      <c r="M423">
        <v>300</v>
      </c>
      <c r="N423" t="s">
        <v>488</v>
      </c>
      <c r="O423" s="1">
        <v>33951</v>
      </c>
      <c r="P423" s="1">
        <v>92</v>
      </c>
      <c r="Q423" s="1">
        <v>0</v>
      </c>
      <c r="R423" s="1">
        <v>0</v>
      </c>
      <c r="S423" s="1">
        <v>0</v>
      </c>
      <c r="T423" s="1">
        <v>12725</v>
      </c>
      <c r="U423" s="1"/>
      <c r="V423" s="1">
        <f t="shared" si="27"/>
        <v>12725</v>
      </c>
    </row>
    <row r="424" spans="1:22" x14ac:dyDescent="0.25">
      <c r="A424" t="s">
        <v>512</v>
      </c>
      <c r="B424" t="s">
        <v>475</v>
      </c>
      <c r="C424" s="1">
        <f>5710+105+1+4+2+1839</f>
        <v>7661</v>
      </c>
      <c r="D424" s="1">
        <f>8+8+13</f>
        <v>29</v>
      </c>
      <c r="E424" s="1">
        <v>0</v>
      </c>
      <c r="F424" s="1">
        <v>0</v>
      </c>
      <c r="G424" s="1">
        <v>0</v>
      </c>
      <c r="H424" s="1">
        <v>24606</v>
      </c>
      <c r="I424" s="1">
        <v>1595</v>
      </c>
      <c r="J424" s="1">
        <f t="shared" si="28"/>
        <v>26201</v>
      </c>
      <c r="K424" s="1"/>
      <c r="M424" t="s">
        <v>820</v>
      </c>
      <c r="N424" t="s">
        <v>489</v>
      </c>
      <c r="O424" s="1">
        <v>18733</v>
      </c>
      <c r="P424" s="1">
        <v>47</v>
      </c>
      <c r="Q424" s="1">
        <v>0</v>
      </c>
      <c r="R424" s="1">
        <v>0</v>
      </c>
      <c r="S424" s="1">
        <v>0</v>
      </c>
      <c r="T424" s="1">
        <v>17779</v>
      </c>
      <c r="U424" s="1"/>
      <c r="V424" s="1">
        <f t="shared" si="27"/>
        <v>17779</v>
      </c>
    </row>
    <row r="425" spans="1:22" x14ac:dyDescent="0.25">
      <c r="A425" t="s">
        <v>146</v>
      </c>
      <c r="B425" t="s">
        <v>476</v>
      </c>
      <c r="C425" s="1">
        <f>23710+6+6+70+1+2+1+3+7303+1+1+1</f>
        <v>31105</v>
      </c>
      <c r="D425" s="1">
        <f>15+32</f>
        <v>47</v>
      </c>
      <c r="E425" s="1">
        <v>0</v>
      </c>
      <c r="F425" s="1">
        <v>0</v>
      </c>
      <c r="G425" s="1">
        <v>0</v>
      </c>
      <c r="H425" s="1">
        <v>10807</v>
      </c>
      <c r="I425" s="1">
        <v>7030</v>
      </c>
      <c r="J425" s="1">
        <f t="shared" si="28"/>
        <v>17837</v>
      </c>
      <c r="K425" s="1"/>
      <c r="M425">
        <v>711</v>
      </c>
      <c r="N425" t="s">
        <v>491</v>
      </c>
      <c r="O425" s="1"/>
      <c r="P425" s="1"/>
      <c r="Q425" s="1"/>
      <c r="R425" s="1"/>
      <c r="S425" s="1"/>
      <c r="T425" s="1"/>
      <c r="U425" s="1"/>
      <c r="V425" s="1"/>
    </row>
    <row r="426" spans="1:22" x14ac:dyDescent="0.25">
      <c r="A426" t="s">
        <v>76</v>
      </c>
      <c r="B426" t="s">
        <v>477</v>
      </c>
      <c r="C426" s="1">
        <f>26929+63+20881+76</f>
        <v>47949</v>
      </c>
      <c r="D426" s="1">
        <f>77+40+17</f>
        <v>134</v>
      </c>
      <c r="E426" s="1">
        <v>0</v>
      </c>
      <c r="F426" s="1">
        <v>0</v>
      </c>
      <c r="G426" s="1">
        <v>0</v>
      </c>
      <c r="H426" s="1">
        <v>28763</v>
      </c>
      <c r="I426" s="1">
        <v>16183</v>
      </c>
      <c r="J426" s="1">
        <f t="shared" si="28"/>
        <v>44946</v>
      </c>
      <c r="K426" s="1"/>
      <c r="M426">
        <v>715</v>
      </c>
      <c r="N426" t="s">
        <v>492</v>
      </c>
      <c r="O426" s="1">
        <v>11204</v>
      </c>
      <c r="P426" s="1">
        <v>50</v>
      </c>
      <c r="Q426" s="1">
        <v>0</v>
      </c>
      <c r="R426" s="1">
        <v>0</v>
      </c>
      <c r="S426" s="1">
        <v>0</v>
      </c>
      <c r="T426" s="1">
        <v>15211</v>
      </c>
      <c r="U426" s="1"/>
      <c r="V426" s="1">
        <f t="shared" si="27"/>
        <v>15211</v>
      </c>
    </row>
    <row r="427" spans="1:22" x14ac:dyDescent="0.25">
      <c r="A427" t="s">
        <v>76</v>
      </c>
      <c r="B427" t="s">
        <v>478</v>
      </c>
      <c r="C427" s="1">
        <f>26942+174+3+12218+412</f>
        <v>39749</v>
      </c>
      <c r="D427" s="1">
        <f>230+6</f>
        <v>236</v>
      </c>
      <c r="E427" s="1">
        <v>0</v>
      </c>
      <c r="F427" s="1">
        <v>0</v>
      </c>
      <c r="G427" s="1">
        <v>0</v>
      </c>
      <c r="H427" s="1">
        <v>19479</v>
      </c>
      <c r="I427" s="1">
        <v>10682</v>
      </c>
      <c r="J427" s="1">
        <f t="shared" si="28"/>
        <v>30161</v>
      </c>
      <c r="K427" s="1"/>
      <c r="M427">
        <v>100</v>
      </c>
      <c r="N427" t="s">
        <v>493</v>
      </c>
      <c r="O427" s="1">
        <v>11226</v>
      </c>
      <c r="P427" s="1">
        <v>269</v>
      </c>
      <c r="Q427" s="1">
        <v>0</v>
      </c>
      <c r="R427" s="1">
        <v>0</v>
      </c>
      <c r="S427" s="1">
        <v>0</v>
      </c>
      <c r="T427" s="1">
        <v>25736</v>
      </c>
      <c r="U427" s="1"/>
      <c r="V427" s="1">
        <f t="shared" si="27"/>
        <v>25736</v>
      </c>
    </row>
    <row r="428" spans="1:22" x14ac:dyDescent="0.25">
      <c r="A428" t="s">
        <v>823</v>
      </c>
      <c r="B428" t="s">
        <v>479</v>
      </c>
      <c r="C428" s="1">
        <f>19279+394+1705</f>
        <v>21378</v>
      </c>
      <c r="D428" s="1">
        <v>0</v>
      </c>
      <c r="E428" s="1">
        <v>0</v>
      </c>
      <c r="F428" s="1">
        <v>0</v>
      </c>
      <c r="G428" s="1">
        <v>0</v>
      </c>
      <c r="H428" s="1">
        <v>1313</v>
      </c>
      <c r="I428" s="1">
        <v>1250</v>
      </c>
      <c r="J428" s="1">
        <f t="shared" si="28"/>
        <v>2563</v>
      </c>
      <c r="K428" s="1"/>
      <c r="M428" t="s">
        <v>815</v>
      </c>
      <c r="N428" t="s">
        <v>494</v>
      </c>
      <c r="O428" s="1">
        <v>10000</v>
      </c>
      <c r="P428" s="1">
        <v>6</v>
      </c>
      <c r="Q428" s="1">
        <v>0</v>
      </c>
      <c r="R428" s="1">
        <v>0</v>
      </c>
      <c r="S428" s="1">
        <v>0</v>
      </c>
      <c r="T428" s="1">
        <v>20767</v>
      </c>
      <c r="U428" s="1"/>
      <c r="V428" s="1">
        <f t="shared" si="27"/>
        <v>20767</v>
      </c>
    </row>
    <row r="429" spans="1:22" x14ac:dyDescent="0.25">
      <c r="A429" t="s">
        <v>83</v>
      </c>
      <c r="B429" t="s">
        <v>480</v>
      </c>
      <c r="C429" s="1">
        <f>16364+2+8+9880+2+1</f>
        <v>26257</v>
      </c>
      <c r="D429" s="1">
        <v>16</v>
      </c>
      <c r="E429" s="1">
        <v>0</v>
      </c>
      <c r="F429" s="1">
        <v>0</v>
      </c>
      <c r="G429" s="1">
        <v>0</v>
      </c>
      <c r="H429" s="1">
        <v>16889</v>
      </c>
      <c r="I429" s="1">
        <v>9456</v>
      </c>
      <c r="J429" s="1">
        <f t="shared" si="28"/>
        <v>26345</v>
      </c>
      <c r="K429" s="1"/>
      <c r="M429">
        <v>613</v>
      </c>
      <c r="N429" t="s">
        <v>496</v>
      </c>
      <c r="O429" s="1">
        <v>120562</v>
      </c>
      <c r="P429" s="1">
        <v>306</v>
      </c>
      <c r="Q429" s="1">
        <v>0</v>
      </c>
      <c r="R429" s="1">
        <v>0</v>
      </c>
      <c r="S429" s="1">
        <v>0</v>
      </c>
      <c r="T429" s="1">
        <v>24710</v>
      </c>
      <c r="U429" s="1"/>
      <c r="V429" s="1">
        <f t="shared" si="27"/>
        <v>24710</v>
      </c>
    </row>
    <row r="430" spans="1:22" x14ac:dyDescent="0.25">
      <c r="A430" t="s">
        <v>512</v>
      </c>
      <c r="B430" t="s">
        <v>481</v>
      </c>
      <c r="C430" s="1">
        <f>14183+1+7+21+2971</f>
        <v>17183</v>
      </c>
      <c r="D430" s="1">
        <f>3+67+8</f>
        <v>78</v>
      </c>
      <c r="E430" s="1">
        <v>0</v>
      </c>
      <c r="F430" s="1">
        <v>0</v>
      </c>
      <c r="G430" s="1">
        <v>0</v>
      </c>
      <c r="H430" s="1">
        <v>1941</v>
      </c>
      <c r="I430" s="1">
        <v>2424</v>
      </c>
      <c r="J430" s="1">
        <f t="shared" si="28"/>
        <v>4365</v>
      </c>
      <c r="K430" s="1"/>
      <c r="M430">
        <v>100</v>
      </c>
      <c r="N430" t="s">
        <v>497</v>
      </c>
      <c r="O430" s="1">
        <v>10450</v>
      </c>
      <c r="P430" s="1">
        <v>39</v>
      </c>
      <c r="Q430" s="1">
        <v>0</v>
      </c>
      <c r="R430" s="1">
        <v>0</v>
      </c>
      <c r="S430" s="1">
        <v>0</v>
      </c>
      <c r="T430" s="1">
        <v>8917</v>
      </c>
      <c r="U430" s="1"/>
      <c r="V430" s="1">
        <f t="shared" si="27"/>
        <v>8917</v>
      </c>
    </row>
    <row r="431" spans="1:22" x14ac:dyDescent="0.25">
      <c r="A431" t="s">
        <v>824</v>
      </c>
      <c r="B431" t="s">
        <v>482</v>
      </c>
      <c r="C431" s="1"/>
      <c r="D431" s="1"/>
      <c r="E431" s="1"/>
      <c r="F431" s="1"/>
      <c r="G431" s="1"/>
      <c r="H431" s="1"/>
      <c r="I431" s="1"/>
      <c r="J431" s="1"/>
      <c r="K431" s="1"/>
      <c r="M431">
        <v>712</v>
      </c>
      <c r="N431" t="s">
        <v>501</v>
      </c>
      <c r="O431" s="1">
        <v>5542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/>
      <c r="V431" s="1">
        <f t="shared" si="27"/>
        <v>0</v>
      </c>
    </row>
    <row r="432" spans="1:22" x14ac:dyDescent="0.25">
      <c r="A432" t="s">
        <v>72</v>
      </c>
      <c r="B432" t="s">
        <v>483</v>
      </c>
      <c r="C432" s="1">
        <f>26571+5+3499+4</f>
        <v>30079</v>
      </c>
      <c r="D432" s="1">
        <f>3+8+5+61</f>
        <v>77</v>
      </c>
      <c r="E432" s="1">
        <v>0</v>
      </c>
      <c r="F432" s="1">
        <v>0</v>
      </c>
      <c r="G432" s="1">
        <v>0</v>
      </c>
      <c r="H432" s="1">
        <v>81444</v>
      </c>
      <c r="I432" s="1">
        <v>3329</v>
      </c>
      <c r="J432" s="1">
        <f>SUM(H432,I432)</f>
        <v>84773</v>
      </c>
      <c r="K432" s="1"/>
      <c r="M432">
        <v>616</v>
      </c>
      <c r="N432" t="s">
        <v>502</v>
      </c>
      <c r="O432" s="1">
        <v>351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/>
      <c r="V432" s="1">
        <f t="shared" si="27"/>
        <v>0</v>
      </c>
    </row>
    <row r="433" spans="1:22" x14ac:dyDescent="0.25">
      <c r="A433" t="s">
        <v>801</v>
      </c>
      <c r="B433" t="s">
        <v>484</v>
      </c>
      <c r="C433" s="1"/>
      <c r="D433" s="1"/>
      <c r="E433" s="1"/>
      <c r="F433" s="1"/>
      <c r="G433" s="1"/>
      <c r="H433" s="1"/>
      <c r="I433" s="1"/>
      <c r="J433" s="1"/>
      <c r="K433" s="1"/>
      <c r="M433">
        <v>114</v>
      </c>
      <c r="N433" t="s">
        <v>503</v>
      </c>
      <c r="O433" s="1"/>
      <c r="P433" s="1"/>
      <c r="Q433" s="1"/>
      <c r="R433" s="1"/>
      <c r="S433" s="1"/>
      <c r="T433" s="1"/>
      <c r="U433" s="1"/>
      <c r="V433" s="1"/>
    </row>
    <row r="434" spans="1:22" x14ac:dyDescent="0.25">
      <c r="A434" t="s">
        <v>818</v>
      </c>
      <c r="B434" t="s">
        <v>485</v>
      </c>
      <c r="C434" s="1">
        <f>9476+2+6+131+9122</f>
        <v>18737</v>
      </c>
      <c r="D434" s="1">
        <v>1</v>
      </c>
      <c r="E434" s="1">
        <v>0</v>
      </c>
      <c r="F434" s="1">
        <v>0</v>
      </c>
      <c r="G434" s="1">
        <v>0</v>
      </c>
      <c r="H434" s="1">
        <v>12581</v>
      </c>
      <c r="I434" s="1">
        <v>4958</v>
      </c>
      <c r="J434" s="1">
        <f>SUM(H434,I434)</f>
        <v>17539</v>
      </c>
      <c r="K434" s="1"/>
      <c r="M434">
        <v>712</v>
      </c>
      <c r="N434" t="s">
        <v>504</v>
      </c>
      <c r="O434" s="1">
        <v>7320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/>
      <c r="V434" s="1">
        <f t="shared" si="27"/>
        <v>0</v>
      </c>
    </row>
    <row r="435" spans="1:22" x14ac:dyDescent="0.25">
      <c r="A435" t="s">
        <v>797</v>
      </c>
      <c r="B435" t="s">
        <v>486</v>
      </c>
      <c r="C435" s="1">
        <f>34517+2+1+153+1+1+3+4+5252+5</f>
        <v>39939</v>
      </c>
      <c r="D435" s="1">
        <f>68+2</f>
        <v>70</v>
      </c>
      <c r="E435" s="1">
        <v>0</v>
      </c>
      <c r="F435" s="1">
        <v>0</v>
      </c>
      <c r="G435" s="1">
        <v>0</v>
      </c>
      <c r="H435" s="1">
        <v>10466</v>
      </c>
      <c r="I435" s="1">
        <v>4872</v>
      </c>
      <c r="J435" s="1">
        <f>SUM(H435,I435)</f>
        <v>15338</v>
      </c>
      <c r="K435" s="1"/>
      <c r="M435">
        <v>616</v>
      </c>
      <c r="N435" t="s">
        <v>505</v>
      </c>
      <c r="O435" s="1">
        <v>3421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/>
      <c r="V435" s="1">
        <f t="shared" si="27"/>
        <v>0</v>
      </c>
    </row>
    <row r="436" spans="1:22" x14ac:dyDescent="0.25">
      <c r="A436" t="s">
        <v>804</v>
      </c>
      <c r="B436" t="s">
        <v>487</v>
      </c>
      <c r="C436" s="1">
        <f>11734+5973+698</f>
        <v>18405</v>
      </c>
      <c r="D436" s="1">
        <f>5+14</f>
        <v>19</v>
      </c>
      <c r="E436" s="1">
        <v>0</v>
      </c>
      <c r="F436" s="1">
        <v>0</v>
      </c>
      <c r="G436" s="1">
        <v>0</v>
      </c>
      <c r="H436" s="1">
        <v>9341</v>
      </c>
      <c r="I436" s="1">
        <v>6104</v>
      </c>
      <c r="J436" s="1">
        <f>SUM(H436,I436)</f>
        <v>15445</v>
      </c>
      <c r="K436" s="1"/>
      <c r="M436">
        <v>500</v>
      </c>
      <c r="N436" t="s">
        <v>506</v>
      </c>
      <c r="O436" s="1"/>
      <c r="P436" s="1"/>
      <c r="Q436" s="1"/>
      <c r="R436" s="1"/>
      <c r="S436" s="1"/>
      <c r="T436" s="1"/>
      <c r="U436" s="1"/>
      <c r="V436" s="1"/>
    </row>
    <row r="437" spans="1:22" x14ac:dyDescent="0.25">
      <c r="A437" t="s">
        <v>226</v>
      </c>
      <c r="B437" t="s">
        <v>488</v>
      </c>
      <c r="C437" s="1">
        <f>25603+84+14+8+14+8228</f>
        <v>33951</v>
      </c>
      <c r="D437" s="1">
        <f>4+60+28</f>
        <v>92</v>
      </c>
      <c r="E437" s="1">
        <v>0</v>
      </c>
      <c r="F437" s="1">
        <v>0</v>
      </c>
      <c r="G437" s="1">
        <v>0</v>
      </c>
      <c r="H437" s="1">
        <v>12725</v>
      </c>
      <c r="I437" s="1">
        <v>7605</v>
      </c>
      <c r="J437" s="1">
        <f>SUM(H437,I437)</f>
        <v>20330</v>
      </c>
      <c r="K437" s="1"/>
      <c r="M437">
        <v>616</v>
      </c>
      <c r="N437" t="s">
        <v>507</v>
      </c>
      <c r="O437" s="1">
        <v>2953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/>
      <c r="V437" s="1">
        <f t="shared" si="27"/>
        <v>0</v>
      </c>
    </row>
    <row r="438" spans="1:22" x14ac:dyDescent="0.25">
      <c r="A438" t="s">
        <v>265</v>
      </c>
      <c r="B438" t="s">
        <v>489</v>
      </c>
      <c r="C438" s="1">
        <f>15408+7+126+24+8+3160</f>
        <v>18733</v>
      </c>
      <c r="D438" s="1">
        <f>21+1+1+24</f>
        <v>47</v>
      </c>
      <c r="E438" s="1">
        <v>0</v>
      </c>
      <c r="F438" s="1">
        <v>0</v>
      </c>
      <c r="G438" s="1">
        <v>0</v>
      </c>
      <c r="H438" s="1">
        <v>17779</v>
      </c>
      <c r="I438" s="1">
        <v>2813</v>
      </c>
      <c r="J438" s="1">
        <f>SUM(H438,I438)</f>
        <v>20592</v>
      </c>
      <c r="K438" s="1"/>
      <c r="M438">
        <v>616</v>
      </c>
      <c r="N438" t="s">
        <v>508</v>
      </c>
      <c r="O438" s="1">
        <v>1327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/>
      <c r="V438" s="1">
        <f t="shared" si="27"/>
        <v>0</v>
      </c>
    </row>
    <row r="439" spans="1:22" x14ac:dyDescent="0.25">
      <c r="A439" t="s">
        <v>10</v>
      </c>
      <c r="B439" s="1" t="s">
        <v>490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/>
      <c r="K439" s="1"/>
      <c r="M439">
        <v>711</v>
      </c>
      <c r="N439" t="s">
        <v>509</v>
      </c>
      <c r="O439" s="1"/>
      <c r="P439" s="1"/>
      <c r="Q439" s="1"/>
      <c r="R439" s="1"/>
      <c r="S439" s="1"/>
      <c r="T439" s="1"/>
      <c r="U439" s="1"/>
      <c r="V439" s="1"/>
    </row>
    <row r="440" spans="1:22" x14ac:dyDescent="0.25">
      <c r="A440" t="s">
        <v>801</v>
      </c>
      <c r="B440" t="s">
        <v>491</v>
      </c>
      <c r="C440" s="1"/>
      <c r="D440" s="1"/>
      <c r="E440" s="1"/>
      <c r="F440" s="1"/>
      <c r="G440" s="1"/>
      <c r="H440" s="1"/>
      <c r="I440" s="1"/>
      <c r="J440" s="1"/>
      <c r="K440" s="1"/>
      <c r="M440">
        <v>711</v>
      </c>
      <c r="N440" t="s">
        <v>510</v>
      </c>
      <c r="O440" s="1"/>
      <c r="P440" s="1"/>
      <c r="Q440" s="1"/>
      <c r="R440" s="1"/>
      <c r="S440" s="1"/>
      <c r="T440" s="1"/>
      <c r="U440" s="1"/>
      <c r="V440" s="1"/>
    </row>
    <row r="441" spans="1:22" x14ac:dyDescent="0.25">
      <c r="A441" t="s">
        <v>818</v>
      </c>
      <c r="B441" t="s">
        <v>492</v>
      </c>
      <c r="C441" s="1">
        <f>8233+4+13+2954</f>
        <v>11204</v>
      </c>
      <c r="D441" s="1">
        <f>42+8</f>
        <v>50</v>
      </c>
      <c r="E441" s="1">
        <v>0</v>
      </c>
      <c r="F441" s="1">
        <v>0</v>
      </c>
      <c r="G441" s="1">
        <v>0</v>
      </c>
      <c r="H441" s="1">
        <v>15211</v>
      </c>
      <c r="I441" s="1">
        <v>2822</v>
      </c>
      <c r="J441" s="1">
        <f>SUM(H441,I441)</f>
        <v>18033</v>
      </c>
      <c r="K441" s="1"/>
      <c r="M441">
        <v>114</v>
      </c>
      <c r="N441" t="s">
        <v>511</v>
      </c>
      <c r="O441" s="1">
        <v>596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/>
      <c r="V441" s="1">
        <f t="shared" si="27"/>
        <v>0</v>
      </c>
    </row>
    <row r="442" spans="1:22" x14ac:dyDescent="0.25">
      <c r="A442" t="s">
        <v>791</v>
      </c>
      <c r="B442" t="s">
        <v>493</v>
      </c>
      <c r="C442" s="1">
        <f>8970+9+1+13+2233</f>
        <v>11226</v>
      </c>
      <c r="D442" s="1">
        <f>10+227+32</f>
        <v>269</v>
      </c>
      <c r="E442" s="1">
        <v>0</v>
      </c>
      <c r="F442" s="1">
        <v>0</v>
      </c>
      <c r="G442" s="1">
        <v>0</v>
      </c>
      <c r="H442" s="1">
        <v>25736</v>
      </c>
      <c r="I442" s="1">
        <v>2320</v>
      </c>
      <c r="J442" s="1">
        <f>SUM(H442,I442)</f>
        <v>28056</v>
      </c>
      <c r="K442" s="1"/>
      <c r="M442">
        <v>313</v>
      </c>
      <c r="N442" t="s">
        <v>513</v>
      </c>
      <c r="O442" s="1"/>
      <c r="P442" s="1"/>
      <c r="Q442" s="1"/>
      <c r="R442" s="1"/>
      <c r="S442" s="1"/>
      <c r="T442" s="1"/>
      <c r="U442" s="1"/>
      <c r="V442" s="1"/>
    </row>
    <row r="443" spans="1:22" x14ac:dyDescent="0.25">
      <c r="A443" t="s">
        <v>138</v>
      </c>
      <c r="B443" t="s">
        <v>494</v>
      </c>
      <c r="C443" s="1">
        <f>7107+1+2892</f>
        <v>10000</v>
      </c>
      <c r="D443" s="1">
        <v>6</v>
      </c>
      <c r="E443" s="1">
        <v>0</v>
      </c>
      <c r="F443" s="1">
        <v>0</v>
      </c>
      <c r="G443" s="1">
        <v>0</v>
      </c>
      <c r="H443" s="1">
        <v>20767</v>
      </c>
      <c r="I443" s="1">
        <v>2772</v>
      </c>
      <c r="J443" s="1">
        <f>SUM(H443,I443)</f>
        <v>23539</v>
      </c>
      <c r="K443" s="1"/>
      <c r="M443">
        <v>616</v>
      </c>
      <c r="N443" t="s">
        <v>514</v>
      </c>
      <c r="O443" s="1">
        <v>3144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/>
      <c r="V443" s="1">
        <f t="shared" si="27"/>
        <v>0</v>
      </c>
    </row>
    <row r="444" spans="1:22" x14ac:dyDescent="0.25">
      <c r="A444" t="s">
        <v>495</v>
      </c>
      <c r="B444" t="s">
        <v>496</v>
      </c>
      <c r="C444" s="1">
        <f>79562+1+935+44+1+2+285+39731+1</f>
        <v>120562</v>
      </c>
      <c r="D444" s="1">
        <f>131+6+144+17+8</f>
        <v>306</v>
      </c>
      <c r="E444" s="1">
        <v>0</v>
      </c>
      <c r="F444" s="1">
        <v>0</v>
      </c>
      <c r="G444" s="1">
        <v>0</v>
      </c>
      <c r="H444" s="1">
        <v>24710</v>
      </c>
      <c r="I444" s="1">
        <v>30155</v>
      </c>
      <c r="J444" s="1">
        <f>SUM(H444,I444)</f>
        <v>54865</v>
      </c>
      <c r="K444" s="1"/>
      <c r="M444">
        <v>711</v>
      </c>
      <c r="N444" t="s">
        <v>515</v>
      </c>
      <c r="O444" s="1"/>
      <c r="P444" s="1"/>
      <c r="Q444" s="1"/>
      <c r="R444" s="1"/>
      <c r="S444" s="1"/>
      <c r="T444" s="1"/>
      <c r="U444" s="1"/>
      <c r="V444" s="1"/>
    </row>
    <row r="445" spans="1:22" x14ac:dyDescent="0.25">
      <c r="A445" t="s">
        <v>791</v>
      </c>
      <c r="B445" t="s">
        <v>497</v>
      </c>
      <c r="C445" s="1">
        <f>5797+3+7+2+46+4593</f>
        <v>10448</v>
      </c>
      <c r="D445" s="1">
        <f>4+2+35</f>
        <v>41</v>
      </c>
      <c r="E445" s="1">
        <v>0</v>
      </c>
      <c r="F445" s="1">
        <v>0</v>
      </c>
      <c r="G445" s="1">
        <v>0</v>
      </c>
      <c r="H445" s="1">
        <v>8917</v>
      </c>
      <c r="I445" s="1">
        <v>4133</v>
      </c>
      <c r="J445" s="1">
        <f>SUM(H445,I445)</f>
        <v>13050</v>
      </c>
      <c r="K445" s="1"/>
      <c r="M445">
        <v>161</v>
      </c>
      <c r="N445" t="s">
        <v>516</v>
      </c>
      <c r="O445" s="1">
        <v>1309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/>
      <c r="V445" s="1">
        <f t="shared" si="27"/>
        <v>0</v>
      </c>
    </row>
    <row r="446" spans="1:22" x14ac:dyDescent="0.25">
      <c r="A446" s="27" t="s">
        <v>10</v>
      </c>
      <c r="B446" s="32" t="s">
        <v>782</v>
      </c>
      <c r="C446" s="1"/>
      <c r="D446" s="1"/>
      <c r="E446" s="1"/>
      <c r="F446" s="1"/>
      <c r="G446" s="1"/>
      <c r="H446" s="1"/>
      <c r="I446" s="1"/>
      <c r="J446" s="1"/>
      <c r="K446" s="1"/>
      <c r="M446">
        <v>110</v>
      </c>
      <c r="N446" t="s">
        <v>517</v>
      </c>
      <c r="O446" s="1">
        <v>1670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/>
      <c r="V446" s="1">
        <f t="shared" si="27"/>
        <v>0</v>
      </c>
    </row>
    <row r="447" spans="1:22" x14ac:dyDescent="0.25">
      <c r="A447" s="27" t="s">
        <v>10</v>
      </c>
      <c r="B447" s="32" t="s">
        <v>783</v>
      </c>
      <c r="C447" s="1"/>
      <c r="D447" s="1"/>
      <c r="E447" s="1"/>
      <c r="F447" s="1"/>
      <c r="G447" s="1"/>
      <c r="H447" s="1"/>
      <c r="I447" s="1"/>
      <c r="J447" s="1"/>
      <c r="K447" s="1"/>
      <c r="M447">
        <v>111</v>
      </c>
      <c r="N447" t="s">
        <v>518</v>
      </c>
      <c r="O447" s="1">
        <v>11680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/>
      <c r="V447" s="1">
        <f t="shared" si="27"/>
        <v>0</v>
      </c>
    </row>
    <row r="448" spans="1:22" x14ac:dyDescent="0.25">
      <c r="A448" s="27" t="s">
        <v>10</v>
      </c>
      <c r="B448" s="32" t="s">
        <v>784</v>
      </c>
      <c r="C448" s="1"/>
      <c r="D448" s="1"/>
      <c r="E448" s="1"/>
      <c r="F448" s="1"/>
      <c r="G448" s="1"/>
      <c r="H448" s="1"/>
      <c r="I448" s="1"/>
      <c r="J448" s="1"/>
      <c r="K448" s="1"/>
      <c r="M448">
        <v>300</v>
      </c>
      <c r="N448" s="5" t="s">
        <v>519</v>
      </c>
      <c r="O448" s="6">
        <v>385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/>
      <c r="V448" s="6">
        <f t="shared" si="27"/>
        <v>0</v>
      </c>
    </row>
    <row r="449" spans="1:22" x14ac:dyDescent="0.25">
      <c r="A449" s="27" t="s">
        <v>10</v>
      </c>
      <c r="B449" s="32" t="s">
        <v>785</v>
      </c>
      <c r="C449" s="1"/>
      <c r="D449" s="1"/>
      <c r="E449" s="1"/>
      <c r="F449" s="1"/>
      <c r="G449" s="1"/>
      <c r="H449" s="1"/>
      <c r="I449" s="1"/>
      <c r="J449" s="1"/>
      <c r="K449" s="1"/>
      <c r="M449">
        <v>712</v>
      </c>
      <c r="N449" t="s">
        <v>520</v>
      </c>
      <c r="O449" s="1">
        <v>3691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/>
      <c r="V449" s="1">
        <f t="shared" si="27"/>
        <v>0</v>
      </c>
    </row>
    <row r="450" spans="1:22" x14ac:dyDescent="0.25">
      <c r="A450" t="s">
        <v>10</v>
      </c>
      <c r="B450" s="1" t="s">
        <v>498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/>
      <c r="K450" s="1"/>
      <c r="M450">
        <v>114</v>
      </c>
      <c r="N450" t="s">
        <v>521</v>
      </c>
      <c r="O450" s="1">
        <v>15572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/>
      <c r="V450" s="1">
        <f t="shared" si="27"/>
        <v>0</v>
      </c>
    </row>
    <row r="451" spans="1:22" x14ac:dyDescent="0.25">
      <c r="A451" s="27" t="s">
        <v>10</v>
      </c>
      <c r="B451" s="32" t="s">
        <v>786</v>
      </c>
      <c r="C451" s="1"/>
      <c r="D451" s="1"/>
      <c r="E451" s="1"/>
      <c r="F451" s="1"/>
      <c r="G451" s="1"/>
      <c r="H451" s="1"/>
      <c r="I451" s="1"/>
      <c r="J451" s="1"/>
      <c r="K451" s="1"/>
      <c r="M451">
        <v>312</v>
      </c>
      <c r="N451" t="s">
        <v>522</v>
      </c>
      <c r="O451" s="1">
        <v>639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/>
      <c r="V451" s="1">
        <f t="shared" si="27"/>
        <v>0</v>
      </c>
    </row>
    <row r="452" spans="1:22" x14ac:dyDescent="0.25">
      <c r="A452" t="s">
        <v>10</v>
      </c>
      <c r="B452" s="1" t="s">
        <v>499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/>
      <c r="K452" s="1"/>
      <c r="M452">
        <v>616</v>
      </c>
      <c r="N452" s="5" t="s">
        <v>523</v>
      </c>
      <c r="O452" s="6">
        <v>8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/>
      <c r="V452" s="6">
        <f t="shared" si="27"/>
        <v>0</v>
      </c>
    </row>
    <row r="453" spans="1:22" x14ac:dyDescent="0.25">
      <c r="A453" t="s">
        <v>10</v>
      </c>
      <c r="B453" s="1" t="s">
        <v>500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/>
      <c r="K453" s="1"/>
      <c r="M453">
        <v>600</v>
      </c>
      <c r="N453" s="5" t="s">
        <v>524</v>
      </c>
      <c r="O453" s="6">
        <v>1339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/>
      <c r="V453" s="6">
        <f t="shared" si="27"/>
        <v>0</v>
      </c>
    </row>
    <row r="454" spans="1:22" x14ac:dyDescent="0.25">
      <c r="A454" t="s">
        <v>76</v>
      </c>
      <c r="B454" t="s">
        <v>501</v>
      </c>
      <c r="C454" s="1">
        <v>5542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f>SUM(H454,I454)</f>
        <v>0</v>
      </c>
      <c r="K454" s="1"/>
      <c r="M454">
        <v>118</v>
      </c>
      <c r="N454" t="s">
        <v>525</v>
      </c>
      <c r="O454" s="1">
        <v>1244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/>
      <c r="V454" s="1">
        <f t="shared" si="27"/>
        <v>0</v>
      </c>
    </row>
    <row r="455" spans="1:22" x14ac:dyDescent="0.25">
      <c r="A455" t="s">
        <v>817</v>
      </c>
      <c r="B455" t="s">
        <v>502</v>
      </c>
      <c r="C455" s="1">
        <v>351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f>SUM(H455,I455)</f>
        <v>0</v>
      </c>
      <c r="K455" s="1"/>
      <c r="M455">
        <v>712</v>
      </c>
      <c r="N455" t="s">
        <v>526</v>
      </c>
      <c r="O455" s="1"/>
      <c r="P455" s="1"/>
      <c r="Q455" s="1"/>
      <c r="R455" s="1"/>
      <c r="S455" s="1"/>
      <c r="T455" s="1"/>
      <c r="U455" s="1"/>
      <c r="V455" s="1"/>
    </row>
    <row r="456" spans="1:22" x14ac:dyDescent="0.25">
      <c r="A456" t="s">
        <v>831</v>
      </c>
      <c r="B456" t="s">
        <v>503</v>
      </c>
      <c r="C456" s="1"/>
      <c r="D456" s="1"/>
      <c r="E456" s="1"/>
      <c r="F456" s="1"/>
      <c r="G456" s="1"/>
      <c r="H456" s="1"/>
      <c r="I456" s="1"/>
      <c r="J456" s="1"/>
      <c r="K456" s="1"/>
      <c r="M456">
        <v>171</v>
      </c>
      <c r="N456" t="s">
        <v>527</v>
      </c>
      <c r="O456" s="1">
        <v>1544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/>
      <c r="V456" s="1">
        <f t="shared" si="27"/>
        <v>0</v>
      </c>
    </row>
    <row r="457" spans="1:22" x14ac:dyDescent="0.25">
      <c r="A457" t="s">
        <v>76</v>
      </c>
      <c r="B457" t="s">
        <v>504</v>
      </c>
      <c r="C457" s="1">
        <v>7320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f>SUM(H457,I457)</f>
        <v>0</v>
      </c>
      <c r="K457" s="1"/>
      <c r="M457">
        <v>712</v>
      </c>
      <c r="N457" t="s">
        <v>528</v>
      </c>
      <c r="O457" s="1">
        <v>555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/>
      <c r="V457" s="1">
        <f t="shared" si="27"/>
        <v>0</v>
      </c>
    </row>
    <row r="458" spans="1:22" x14ac:dyDescent="0.25">
      <c r="A458" t="s">
        <v>817</v>
      </c>
      <c r="B458" t="s">
        <v>505</v>
      </c>
      <c r="C458" s="1">
        <v>3421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f>SUM(H458,I458)</f>
        <v>0</v>
      </c>
      <c r="K458" s="1"/>
      <c r="M458">
        <v>711</v>
      </c>
      <c r="N458" t="s">
        <v>529</v>
      </c>
      <c r="O458" s="1"/>
      <c r="P458" s="1"/>
      <c r="Q458" s="1"/>
      <c r="R458" s="1"/>
      <c r="S458" s="1"/>
      <c r="T458" s="1"/>
      <c r="U458" s="1"/>
      <c r="V458" s="1"/>
    </row>
    <row r="459" spans="1:22" x14ac:dyDescent="0.25">
      <c r="A459" s="9" t="s">
        <v>824</v>
      </c>
      <c r="B459" s="10" t="s">
        <v>506</v>
      </c>
      <c r="C459" s="1"/>
      <c r="D459" s="1"/>
      <c r="E459" s="1"/>
      <c r="F459" s="1"/>
      <c r="G459" s="1"/>
      <c r="H459" s="1"/>
      <c r="I459" s="1"/>
      <c r="J459" s="1"/>
      <c r="K459" s="1"/>
      <c r="M459" s="9">
        <v>116</v>
      </c>
      <c r="N459" s="10" t="s">
        <v>530</v>
      </c>
      <c r="O459" s="1">
        <v>50093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/>
      <c r="V459" s="1">
        <f t="shared" si="27"/>
        <v>0</v>
      </c>
    </row>
    <row r="460" spans="1:22" x14ac:dyDescent="0.25">
      <c r="A460" t="s">
        <v>817</v>
      </c>
      <c r="B460" t="s">
        <v>507</v>
      </c>
      <c r="C460" s="1">
        <v>2953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f>SUM(H460,I460)</f>
        <v>0</v>
      </c>
      <c r="K460" s="1"/>
      <c r="M460">
        <v>161</v>
      </c>
      <c r="N460" t="s">
        <v>531</v>
      </c>
      <c r="O460" s="1">
        <v>711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/>
      <c r="V460" s="1">
        <f t="shared" si="27"/>
        <v>0</v>
      </c>
    </row>
    <row r="461" spans="1:22" x14ac:dyDescent="0.25">
      <c r="A461" t="s">
        <v>817</v>
      </c>
      <c r="B461" t="s">
        <v>508</v>
      </c>
      <c r="C461" s="1">
        <v>1327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f>SUM(H461,I461)</f>
        <v>0</v>
      </c>
      <c r="K461" s="1"/>
      <c r="M461">
        <v>500</v>
      </c>
      <c r="N461" t="s">
        <v>532</v>
      </c>
      <c r="O461" s="1">
        <v>5024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/>
      <c r="V461" s="1">
        <f t="shared" si="27"/>
        <v>0</v>
      </c>
    </row>
    <row r="462" spans="1:22" x14ac:dyDescent="0.25">
      <c r="A462" t="s">
        <v>801</v>
      </c>
      <c r="B462" t="s">
        <v>509</v>
      </c>
      <c r="C462" s="1"/>
      <c r="D462" s="1"/>
      <c r="E462" s="1"/>
      <c r="F462" s="1"/>
      <c r="G462" s="1"/>
      <c r="H462" s="1"/>
      <c r="I462" s="1"/>
      <c r="J462" s="1"/>
      <c r="K462" s="1"/>
      <c r="M462">
        <v>712</v>
      </c>
      <c r="N462" t="s">
        <v>533</v>
      </c>
      <c r="O462" s="1">
        <v>535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/>
      <c r="V462" s="1">
        <f t="shared" si="27"/>
        <v>0</v>
      </c>
    </row>
    <row r="463" spans="1:22" x14ac:dyDescent="0.25">
      <c r="A463" t="s">
        <v>801</v>
      </c>
      <c r="B463" t="s">
        <v>510</v>
      </c>
      <c r="C463" s="1"/>
      <c r="D463" s="1"/>
      <c r="E463" s="1"/>
      <c r="F463" s="1"/>
      <c r="G463" s="1"/>
      <c r="H463" s="1"/>
      <c r="I463" s="1"/>
      <c r="J463" s="1"/>
      <c r="K463" s="1"/>
      <c r="M463">
        <v>511</v>
      </c>
      <c r="N463" t="s">
        <v>534</v>
      </c>
      <c r="O463" s="1">
        <v>3119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/>
      <c r="V463" s="1">
        <f t="shared" si="27"/>
        <v>0</v>
      </c>
    </row>
    <row r="464" spans="1:22" x14ac:dyDescent="0.25">
      <c r="A464" t="s">
        <v>831</v>
      </c>
      <c r="B464" t="s">
        <v>511</v>
      </c>
      <c r="C464" s="1">
        <v>596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f>SUM(H464,I464)</f>
        <v>0</v>
      </c>
      <c r="K464" s="1"/>
      <c r="M464">
        <v>110</v>
      </c>
      <c r="N464" t="s">
        <v>535</v>
      </c>
      <c r="O464" s="1"/>
      <c r="P464" s="1"/>
      <c r="Q464" s="1"/>
      <c r="R464" s="1"/>
      <c r="S464" s="1"/>
      <c r="T464" s="1"/>
      <c r="U464" s="1"/>
      <c r="V464" s="1"/>
    </row>
    <row r="465" spans="1:22" x14ac:dyDescent="0.25">
      <c r="A465" t="s">
        <v>512</v>
      </c>
      <c r="B465" t="s">
        <v>513</v>
      </c>
      <c r="C465" s="1"/>
      <c r="D465" s="1"/>
      <c r="E465" s="1"/>
      <c r="F465" s="1"/>
      <c r="G465" s="1"/>
      <c r="H465" s="1"/>
      <c r="I465" s="1"/>
      <c r="J465" s="1"/>
      <c r="K465" s="1"/>
      <c r="M465">
        <v>311</v>
      </c>
      <c r="N465" t="s">
        <v>536</v>
      </c>
      <c r="O465" s="1"/>
      <c r="P465" s="1"/>
      <c r="Q465" s="1"/>
      <c r="R465" s="1"/>
      <c r="S465" s="1"/>
      <c r="T465" s="1"/>
      <c r="U465" s="1"/>
      <c r="V465" s="1"/>
    </row>
    <row r="466" spans="1:22" x14ac:dyDescent="0.25">
      <c r="A466" t="s">
        <v>817</v>
      </c>
      <c r="B466" t="s">
        <v>514</v>
      </c>
      <c r="C466" s="1">
        <v>3144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f>SUM(H466,I466)</f>
        <v>0</v>
      </c>
      <c r="K466" s="1"/>
      <c r="M466">
        <v>616</v>
      </c>
      <c r="N466" t="s">
        <v>537</v>
      </c>
      <c r="O466" s="1">
        <v>19333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/>
      <c r="V466" s="1">
        <f t="shared" si="27"/>
        <v>0</v>
      </c>
    </row>
    <row r="467" spans="1:22" x14ac:dyDescent="0.25">
      <c r="A467" t="s">
        <v>801</v>
      </c>
      <c r="B467" t="s">
        <v>515</v>
      </c>
      <c r="C467" s="1"/>
      <c r="D467" s="1"/>
      <c r="E467" s="1"/>
      <c r="F467" s="1"/>
      <c r="G467" s="1"/>
      <c r="H467" s="1"/>
      <c r="I467" s="1"/>
      <c r="J467" s="1"/>
      <c r="K467" s="1"/>
      <c r="M467">
        <v>111</v>
      </c>
      <c r="N467" t="s">
        <v>538</v>
      </c>
      <c r="O467" s="1">
        <v>48025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/>
      <c r="V467" s="1">
        <f t="shared" si="27"/>
        <v>0</v>
      </c>
    </row>
    <row r="468" spans="1:22" x14ac:dyDescent="0.25">
      <c r="A468" t="s">
        <v>848</v>
      </c>
      <c r="B468" t="s">
        <v>516</v>
      </c>
      <c r="C468" s="1">
        <v>1309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f>SUM(H468,I468)</f>
        <v>0</v>
      </c>
      <c r="K468" s="1"/>
      <c r="M468">
        <v>616</v>
      </c>
      <c r="N468" t="s">
        <v>539</v>
      </c>
      <c r="O468" s="1">
        <v>3059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/>
      <c r="V468" s="1">
        <f t="shared" si="27"/>
        <v>0</v>
      </c>
    </row>
    <row r="469" spans="1:22" x14ac:dyDescent="0.25">
      <c r="A469" t="s">
        <v>797</v>
      </c>
      <c r="B469" t="s">
        <v>517</v>
      </c>
      <c r="C469" s="1">
        <v>1670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f>SUM(H469,I469)</f>
        <v>0</v>
      </c>
      <c r="K469" s="1"/>
      <c r="M469">
        <v>611</v>
      </c>
      <c r="N469" t="s">
        <v>540</v>
      </c>
      <c r="O469" s="1">
        <v>1605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/>
      <c r="V469" s="1">
        <f t="shared" si="27"/>
        <v>0</v>
      </c>
    </row>
    <row r="470" spans="1:22" x14ac:dyDescent="0.25">
      <c r="A470" t="s">
        <v>811</v>
      </c>
      <c r="B470" t="s">
        <v>518</v>
      </c>
      <c r="C470" s="1">
        <v>11680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f>SUM(H470,I470)</f>
        <v>0</v>
      </c>
      <c r="K470" s="1"/>
      <c r="M470">
        <v>616</v>
      </c>
      <c r="N470" t="s">
        <v>541</v>
      </c>
      <c r="O470" s="1">
        <v>9308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/>
      <c r="V470" s="1">
        <f t="shared" ref="V470:V533" si="29">SUM(T470:U470)</f>
        <v>0</v>
      </c>
    </row>
    <row r="471" spans="1:22" x14ac:dyDescent="0.25">
      <c r="A471" t="s">
        <v>226</v>
      </c>
      <c r="B471" s="5" t="s">
        <v>519</v>
      </c>
      <c r="C471" s="6"/>
      <c r="D471" s="6"/>
      <c r="E471" s="6"/>
      <c r="F471" s="6"/>
      <c r="G471" s="6"/>
      <c r="H471" s="6"/>
      <c r="I471" s="6"/>
      <c r="J471" s="6"/>
      <c r="K471" s="6" t="s">
        <v>867</v>
      </c>
      <c r="M471">
        <v>312</v>
      </c>
      <c r="N471" t="s">
        <v>542</v>
      </c>
      <c r="O471" s="1">
        <v>12111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/>
      <c r="V471" s="1">
        <f t="shared" si="29"/>
        <v>0</v>
      </c>
    </row>
    <row r="472" spans="1:22" x14ac:dyDescent="0.25">
      <c r="A472" t="s">
        <v>76</v>
      </c>
      <c r="B472" t="s">
        <v>520</v>
      </c>
      <c r="C472" s="1">
        <v>3691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f>SUM(H472,I472)</f>
        <v>0</v>
      </c>
      <c r="K472" s="1"/>
      <c r="M472">
        <v>116</v>
      </c>
      <c r="N472" t="s">
        <v>543</v>
      </c>
      <c r="O472" s="1">
        <v>8626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/>
      <c r="V472" s="1">
        <f t="shared" si="29"/>
        <v>0</v>
      </c>
    </row>
    <row r="473" spans="1:22" x14ac:dyDescent="0.25">
      <c r="A473" t="s">
        <v>831</v>
      </c>
      <c r="B473" t="s">
        <v>521</v>
      </c>
      <c r="C473" s="1">
        <v>15572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f>SUM(H473,I473)</f>
        <v>0</v>
      </c>
      <c r="K473" s="1"/>
      <c r="M473">
        <v>700</v>
      </c>
      <c r="N473" t="s">
        <v>544</v>
      </c>
      <c r="O473" s="1">
        <v>348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/>
      <c r="V473" s="1">
        <f t="shared" si="29"/>
        <v>0</v>
      </c>
    </row>
    <row r="474" spans="1:22" x14ac:dyDescent="0.25">
      <c r="A474" t="s">
        <v>72</v>
      </c>
      <c r="B474" t="s">
        <v>522</v>
      </c>
      <c r="C474" s="1">
        <v>639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f>SUM(H474,I474)</f>
        <v>0</v>
      </c>
      <c r="K474" s="1"/>
      <c r="M474">
        <v>514</v>
      </c>
      <c r="N474" t="s">
        <v>545</v>
      </c>
      <c r="O474" s="1">
        <v>2754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/>
      <c r="V474" s="1">
        <f t="shared" si="29"/>
        <v>0</v>
      </c>
    </row>
    <row r="475" spans="1:22" x14ac:dyDescent="0.25">
      <c r="A475" t="s">
        <v>823</v>
      </c>
      <c r="B475" s="5" t="s">
        <v>523</v>
      </c>
      <c r="C475" s="6"/>
      <c r="D475" s="6"/>
      <c r="E475" s="6"/>
      <c r="F475" s="6"/>
      <c r="G475" s="6"/>
      <c r="H475" s="6"/>
      <c r="I475" s="6"/>
      <c r="J475" s="6"/>
      <c r="K475" s="6" t="s">
        <v>867</v>
      </c>
      <c r="M475">
        <v>712</v>
      </c>
      <c r="N475" t="s">
        <v>546</v>
      </c>
      <c r="O475" s="1">
        <v>501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/>
      <c r="V475" s="1">
        <f t="shared" si="29"/>
        <v>0</v>
      </c>
    </row>
    <row r="476" spans="1:22" x14ac:dyDescent="0.25">
      <c r="A476" t="s">
        <v>248</v>
      </c>
      <c r="B476" s="5" t="s">
        <v>524</v>
      </c>
      <c r="C476" s="6"/>
      <c r="D476" s="6"/>
      <c r="E476" s="6"/>
      <c r="F476" s="6"/>
      <c r="G476" s="6"/>
      <c r="H476" s="6"/>
      <c r="I476" s="6"/>
      <c r="J476" s="6"/>
      <c r="K476" s="6" t="s">
        <v>867</v>
      </c>
      <c r="M476">
        <v>613</v>
      </c>
      <c r="N476" t="s">
        <v>547</v>
      </c>
      <c r="O476" s="1"/>
      <c r="P476" s="1"/>
      <c r="Q476" s="1"/>
      <c r="R476" s="1"/>
      <c r="S476" s="1"/>
      <c r="T476" s="1"/>
      <c r="U476" s="1"/>
      <c r="V476" s="1"/>
    </row>
    <row r="477" spans="1:22" x14ac:dyDescent="0.25">
      <c r="A477" t="s">
        <v>231</v>
      </c>
      <c r="B477" t="s">
        <v>525</v>
      </c>
      <c r="C477" s="1">
        <v>1244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f>SUM(H477,I477)</f>
        <v>0</v>
      </c>
      <c r="K477" s="1"/>
      <c r="M477">
        <v>412</v>
      </c>
      <c r="N477" t="s">
        <v>548</v>
      </c>
      <c r="O477" s="1">
        <v>4566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/>
      <c r="V477" s="1">
        <f t="shared" si="29"/>
        <v>0</v>
      </c>
    </row>
    <row r="478" spans="1:22" x14ac:dyDescent="0.25">
      <c r="A478" t="s">
        <v>76</v>
      </c>
      <c r="B478" t="s">
        <v>526</v>
      </c>
      <c r="C478" s="1"/>
      <c r="D478" s="1"/>
      <c r="E478" s="1"/>
      <c r="F478" s="1"/>
      <c r="G478" s="1"/>
      <c r="H478" s="1"/>
      <c r="I478" s="1"/>
      <c r="J478" s="1"/>
      <c r="K478" s="1"/>
      <c r="M478">
        <v>312</v>
      </c>
      <c r="N478" t="s">
        <v>549</v>
      </c>
      <c r="O478" s="1">
        <v>15961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/>
      <c r="V478" s="1">
        <f t="shared" si="29"/>
        <v>0</v>
      </c>
    </row>
    <row r="479" spans="1:22" x14ac:dyDescent="0.25">
      <c r="A479" t="s">
        <v>804</v>
      </c>
      <c r="B479" t="s">
        <v>527</v>
      </c>
      <c r="C479" s="1">
        <v>1544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f>SUM(H479,I479)</f>
        <v>0</v>
      </c>
      <c r="K479" s="1"/>
      <c r="M479">
        <v>514</v>
      </c>
      <c r="N479" t="s">
        <v>550</v>
      </c>
      <c r="O479" s="1">
        <v>6608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/>
      <c r="V479" s="1">
        <f t="shared" si="29"/>
        <v>0</v>
      </c>
    </row>
    <row r="480" spans="1:22" x14ac:dyDescent="0.25">
      <c r="A480" t="s">
        <v>76</v>
      </c>
      <c r="B480" t="s">
        <v>528</v>
      </c>
      <c r="C480" s="1">
        <v>555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f>SUM(H480,I480)</f>
        <v>0</v>
      </c>
      <c r="K480" s="1"/>
      <c r="M480">
        <v>116</v>
      </c>
      <c r="N480" t="s">
        <v>551</v>
      </c>
      <c r="O480" s="1">
        <v>1944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/>
      <c r="V480" s="1">
        <f t="shared" si="29"/>
        <v>0</v>
      </c>
    </row>
    <row r="481" spans="1:22" x14ac:dyDescent="0.25">
      <c r="A481" t="s">
        <v>801</v>
      </c>
      <c r="B481" t="s">
        <v>529</v>
      </c>
      <c r="C481" s="1"/>
      <c r="D481" s="1"/>
      <c r="E481" s="1"/>
      <c r="F481" s="1"/>
      <c r="G481" s="1"/>
      <c r="H481" s="1"/>
      <c r="I481" s="1"/>
      <c r="J481" s="1"/>
      <c r="K481" s="1"/>
      <c r="M481">
        <v>712</v>
      </c>
      <c r="N481" t="s">
        <v>552</v>
      </c>
      <c r="O481" s="1">
        <v>1048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/>
      <c r="V481" s="1">
        <f t="shared" si="29"/>
        <v>0</v>
      </c>
    </row>
    <row r="482" spans="1:22" x14ac:dyDescent="0.25">
      <c r="A482" t="s">
        <v>795</v>
      </c>
      <c r="B482" t="s">
        <v>530</v>
      </c>
      <c r="C482" s="1">
        <v>50093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f>SUM(H482,I482)</f>
        <v>0</v>
      </c>
      <c r="K482" s="1"/>
      <c r="M482">
        <v>500</v>
      </c>
      <c r="N482" t="s">
        <v>553</v>
      </c>
      <c r="O482" s="1"/>
      <c r="P482" s="1"/>
      <c r="Q482" s="1"/>
      <c r="R482" s="1"/>
      <c r="S482" s="1"/>
      <c r="T482" s="1"/>
      <c r="U482" s="1"/>
      <c r="V482" s="1"/>
    </row>
    <row r="483" spans="1:22" x14ac:dyDescent="0.25">
      <c r="A483" t="s">
        <v>848</v>
      </c>
      <c r="B483" t="s">
        <v>531</v>
      </c>
      <c r="C483" s="1">
        <v>711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f>SUM(H483,I483)</f>
        <v>0</v>
      </c>
      <c r="K483" s="1"/>
      <c r="M483">
        <v>313</v>
      </c>
      <c r="N483" t="s">
        <v>554</v>
      </c>
      <c r="O483" s="1">
        <v>7055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/>
      <c r="V483" s="1">
        <f t="shared" si="29"/>
        <v>0</v>
      </c>
    </row>
    <row r="484" spans="1:22" x14ac:dyDescent="0.25">
      <c r="A484" t="s">
        <v>824</v>
      </c>
      <c r="B484" t="s">
        <v>532</v>
      </c>
      <c r="C484" s="1"/>
      <c r="D484" s="1"/>
      <c r="E484" s="1"/>
      <c r="F484" s="1"/>
      <c r="G484" s="1"/>
      <c r="H484" s="1"/>
      <c r="I484" s="1"/>
      <c r="J484" s="1"/>
      <c r="K484" s="1"/>
      <c r="M484">
        <v>610</v>
      </c>
      <c r="N484" t="s">
        <v>555</v>
      </c>
      <c r="O484" s="1">
        <v>45537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/>
      <c r="V484" s="1">
        <f t="shared" si="29"/>
        <v>0</v>
      </c>
    </row>
    <row r="485" spans="1:22" x14ac:dyDescent="0.25">
      <c r="A485" t="s">
        <v>76</v>
      </c>
      <c r="B485" t="s">
        <v>533</v>
      </c>
      <c r="C485" s="1">
        <v>535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f>SUM(H485,I485)</f>
        <v>0</v>
      </c>
      <c r="K485" s="1"/>
      <c r="M485">
        <v>511</v>
      </c>
      <c r="N485" t="s">
        <v>556</v>
      </c>
      <c r="O485" s="1">
        <v>11583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/>
      <c r="V485" s="1">
        <f t="shared" si="29"/>
        <v>0</v>
      </c>
    </row>
    <row r="486" spans="1:22" x14ac:dyDescent="0.25">
      <c r="A486" t="s">
        <v>101</v>
      </c>
      <c r="B486" t="s">
        <v>534</v>
      </c>
      <c r="C486" s="1">
        <v>3119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f>SUM(H486,I486)</f>
        <v>0</v>
      </c>
      <c r="K486" s="1"/>
      <c r="M486">
        <v>713</v>
      </c>
      <c r="N486" t="s">
        <v>557</v>
      </c>
      <c r="O486" s="1">
        <v>1058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/>
      <c r="V486" s="1">
        <f t="shared" si="29"/>
        <v>0</v>
      </c>
    </row>
    <row r="487" spans="1:22" x14ac:dyDescent="0.25">
      <c r="A487" t="s">
        <v>797</v>
      </c>
      <c r="B487" t="s">
        <v>535</v>
      </c>
      <c r="C487" s="1"/>
      <c r="D487" s="1"/>
      <c r="E487" s="1"/>
      <c r="F487" s="1"/>
      <c r="G487" s="1"/>
      <c r="H487" s="1"/>
      <c r="I487" s="1"/>
      <c r="J487" s="1"/>
      <c r="K487" s="1"/>
      <c r="M487">
        <v>616</v>
      </c>
      <c r="N487" t="s">
        <v>558</v>
      </c>
      <c r="O487" s="1">
        <v>1963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/>
      <c r="V487" s="1">
        <f t="shared" si="29"/>
        <v>0</v>
      </c>
    </row>
    <row r="488" spans="1:22" x14ac:dyDescent="0.25">
      <c r="A488" t="s">
        <v>120</v>
      </c>
      <c r="B488" t="s">
        <v>536</v>
      </c>
      <c r="C488" s="1"/>
      <c r="D488" s="1"/>
      <c r="E488" s="1"/>
      <c r="F488" s="1"/>
      <c r="G488" s="1"/>
      <c r="H488" s="1"/>
      <c r="I488" s="1"/>
      <c r="J488" s="1"/>
      <c r="K488" s="1"/>
      <c r="M488">
        <v>712</v>
      </c>
      <c r="N488" t="s">
        <v>559</v>
      </c>
      <c r="O488" s="1">
        <v>1734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/>
      <c r="V488" s="1">
        <f t="shared" si="29"/>
        <v>0</v>
      </c>
    </row>
    <row r="489" spans="1:22" x14ac:dyDescent="0.25">
      <c r="A489" t="s">
        <v>817</v>
      </c>
      <c r="B489" t="s">
        <v>537</v>
      </c>
      <c r="C489" s="1">
        <v>19333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f t="shared" ref="J489:J498" si="30">SUM(H489,I489)</f>
        <v>0</v>
      </c>
      <c r="K489" s="1"/>
      <c r="M489">
        <v>711</v>
      </c>
      <c r="N489" t="s">
        <v>560</v>
      </c>
      <c r="O489" s="1"/>
      <c r="P489" s="1"/>
      <c r="Q489" s="1"/>
      <c r="R489" s="1"/>
      <c r="S489" s="1"/>
      <c r="T489" s="1"/>
      <c r="U489" s="1"/>
      <c r="V489" s="1"/>
    </row>
    <row r="490" spans="1:22" x14ac:dyDescent="0.25">
      <c r="A490" t="s">
        <v>811</v>
      </c>
      <c r="B490" t="s">
        <v>538</v>
      </c>
      <c r="C490" s="1">
        <v>48025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f t="shared" si="30"/>
        <v>0</v>
      </c>
      <c r="K490" s="1"/>
      <c r="M490">
        <v>713</v>
      </c>
      <c r="N490" t="s">
        <v>561</v>
      </c>
      <c r="O490" s="1">
        <v>5582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/>
      <c r="V490" s="1">
        <f t="shared" si="29"/>
        <v>0</v>
      </c>
    </row>
    <row r="491" spans="1:22" x14ac:dyDescent="0.25">
      <c r="A491" t="s">
        <v>817</v>
      </c>
      <c r="B491" t="s">
        <v>539</v>
      </c>
      <c r="C491" s="1">
        <v>3059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f t="shared" si="30"/>
        <v>0</v>
      </c>
      <c r="K491" s="1"/>
      <c r="M491">
        <v>616</v>
      </c>
      <c r="N491" t="s">
        <v>562</v>
      </c>
      <c r="O491" s="1">
        <v>3328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/>
      <c r="V491" s="1">
        <f t="shared" si="29"/>
        <v>0</v>
      </c>
    </row>
    <row r="492" spans="1:22" x14ac:dyDescent="0.25">
      <c r="A492" t="s">
        <v>146</v>
      </c>
      <c r="B492" t="s">
        <v>540</v>
      </c>
      <c r="C492" s="1">
        <v>1605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f t="shared" si="30"/>
        <v>0</v>
      </c>
      <c r="K492" s="1"/>
      <c r="M492">
        <v>600</v>
      </c>
      <c r="N492" t="s">
        <v>563</v>
      </c>
      <c r="O492" s="1">
        <v>9297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/>
      <c r="V492" s="1">
        <f t="shared" si="29"/>
        <v>0</v>
      </c>
    </row>
    <row r="493" spans="1:22" x14ac:dyDescent="0.25">
      <c r="A493" t="s">
        <v>817</v>
      </c>
      <c r="B493" t="s">
        <v>541</v>
      </c>
      <c r="C493" s="1">
        <v>9308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f t="shared" si="30"/>
        <v>0</v>
      </c>
      <c r="K493" s="1"/>
      <c r="M493">
        <v>100</v>
      </c>
      <c r="N493" t="s">
        <v>564</v>
      </c>
      <c r="O493" s="1">
        <v>3922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/>
      <c r="V493" s="1">
        <v>0</v>
      </c>
    </row>
    <row r="494" spans="1:22" x14ac:dyDescent="0.25">
      <c r="A494" t="s">
        <v>72</v>
      </c>
      <c r="B494" t="s">
        <v>542</v>
      </c>
      <c r="C494" s="1">
        <v>12111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f t="shared" si="30"/>
        <v>0</v>
      </c>
      <c r="K494" s="1"/>
      <c r="M494">
        <v>710</v>
      </c>
      <c r="N494" t="s">
        <v>565</v>
      </c>
      <c r="O494" s="1">
        <v>3601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/>
      <c r="V494" s="1">
        <f t="shared" si="29"/>
        <v>0</v>
      </c>
    </row>
    <row r="495" spans="1:22" x14ac:dyDescent="0.25">
      <c r="A495" t="s">
        <v>795</v>
      </c>
      <c r="B495" t="s">
        <v>543</v>
      </c>
      <c r="C495" s="1">
        <v>8626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f t="shared" si="30"/>
        <v>0</v>
      </c>
      <c r="K495" s="1"/>
      <c r="M495" t="s">
        <v>814</v>
      </c>
      <c r="N495" t="s">
        <v>566</v>
      </c>
      <c r="O495" s="1"/>
      <c r="P495" s="1"/>
      <c r="Q495" s="1"/>
      <c r="R495" s="1"/>
      <c r="S495" s="1"/>
      <c r="T495" s="1"/>
      <c r="U495" s="1"/>
      <c r="V495" s="1"/>
    </row>
    <row r="496" spans="1:22" x14ac:dyDescent="0.25">
      <c r="A496" t="s">
        <v>83</v>
      </c>
      <c r="B496" t="s">
        <v>544</v>
      </c>
      <c r="C496" s="1">
        <v>348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f t="shared" si="30"/>
        <v>0</v>
      </c>
      <c r="K496" s="1"/>
      <c r="M496">
        <v>110</v>
      </c>
      <c r="N496" t="s">
        <v>567</v>
      </c>
      <c r="O496" s="1">
        <v>87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/>
      <c r="V496" s="1">
        <f t="shared" si="29"/>
        <v>0</v>
      </c>
    </row>
    <row r="497" spans="1:22" x14ac:dyDescent="0.25">
      <c r="A497" t="s">
        <v>134</v>
      </c>
      <c r="B497" t="s">
        <v>545</v>
      </c>
      <c r="C497" s="1">
        <v>2754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f t="shared" si="30"/>
        <v>0</v>
      </c>
      <c r="K497" s="1"/>
      <c r="M497">
        <v>120</v>
      </c>
      <c r="N497" t="s">
        <v>568</v>
      </c>
      <c r="O497" s="1"/>
      <c r="P497" s="1"/>
      <c r="Q497" s="1"/>
      <c r="R497" s="1"/>
      <c r="S497" s="1"/>
      <c r="T497" s="1"/>
      <c r="U497" s="1"/>
      <c r="V497" s="1"/>
    </row>
    <row r="498" spans="1:22" x14ac:dyDescent="0.25">
      <c r="A498" t="s">
        <v>76</v>
      </c>
      <c r="B498" t="s">
        <v>546</v>
      </c>
      <c r="C498" s="1">
        <v>501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f t="shared" si="30"/>
        <v>0</v>
      </c>
      <c r="K498" s="1"/>
      <c r="M498">
        <v>211</v>
      </c>
      <c r="N498" t="s">
        <v>569</v>
      </c>
      <c r="O498" s="1">
        <v>5385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/>
      <c r="V498" s="1">
        <f t="shared" si="29"/>
        <v>0</v>
      </c>
    </row>
    <row r="499" spans="1:22" x14ac:dyDescent="0.25">
      <c r="A499" t="s">
        <v>495</v>
      </c>
      <c r="B499" t="s">
        <v>547</v>
      </c>
      <c r="C499" s="1"/>
      <c r="D499" s="1"/>
      <c r="E499" s="1"/>
      <c r="F499" s="1"/>
      <c r="G499" s="1"/>
      <c r="H499" s="1"/>
      <c r="I499" s="1"/>
      <c r="J499" s="1"/>
      <c r="K499" s="1"/>
      <c r="M499">
        <v>120</v>
      </c>
      <c r="N499" t="s">
        <v>570</v>
      </c>
      <c r="O499" s="1"/>
      <c r="P499" s="1"/>
      <c r="Q499" s="1"/>
      <c r="R499" s="1"/>
      <c r="S499" s="1"/>
      <c r="T499" s="1"/>
      <c r="U499" s="1"/>
      <c r="V499" s="1"/>
    </row>
    <row r="500" spans="1:22" x14ac:dyDescent="0.25">
      <c r="A500" t="s">
        <v>825</v>
      </c>
      <c r="B500" t="s">
        <v>548</v>
      </c>
      <c r="C500" s="1">
        <v>4566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f>SUM(H500,I500)</f>
        <v>0</v>
      </c>
      <c r="K500" s="1"/>
      <c r="M500">
        <v>312</v>
      </c>
      <c r="N500" t="s">
        <v>571</v>
      </c>
      <c r="O500" s="1">
        <v>10822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/>
      <c r="V500" s="1">
        <f t="shared" si="29"/>
        <v>0</v>
      </c>
    </row>
    <row r="501" spans="1:22" x14ac:dyDescent="0.25">
      <c r="A501" t="s">
        <v>72</v>
      </c>
      <c r="B501" t="s">
        <v>549</v>
      </c>
      <c r="C501" s="1">
        <v>15961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f>SUM(H501,I501)</f>
        <v>0</v>
      </c>
      <c r="K501" s="1"/>
      <c r="M501">
        <v>711</v>
      </c>
      <c r="N501" t="s">
        <v>572</v>
      </c>
      <c r="O501" s="1"/>
      <c r="P501" s="1"/>
      <c r="Q501" s="1"/>
      <c r="R501" s="1"/>
      <c r="S501" s="1"/>
      <c r="T501" s="1"/>
      <c r="U501" s="1"/>
      <c r="V501" s="1"/>
    </row>
    <row r="502" spans="1:22" x14ac:dyDescent="0.25">
      <c r="A502" t="s">
        <v>134</v>
      </c>
      <c r="B502" t="s">
        <v>550</v>
      </c>
      <c r="C502" s="1">
        <v>6608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f>SUM(H502,I502)</f>
        <v>0</v>
      </c>
      <c r="K502" s="1"/>
      <c r="M502">
        <v>617</v>
      </c>
      <c r="N502" t="s">
        <v>573</v>
      </c>
      <c r="O502" s="1"/>
      <c r="P502" s="1"/>
      <c r="Q502" s="1"/>
      <c r="R502" s="1"/>
      <c r="S502" s="1"/>
      <c r="T502" s="1"/>
      <c r="U502" s="1"/>
      <c r="V502" s="1"/>
    </row>
    <row r="503" spans="1:22" x14ac:dyDescent="0.25">
      <c r="A503" t="s">
        <v>795</v>
      </c>
      <c r="B503" t="s">
        <v>551</v>
      </c>
      <c r="C503" s="1">
        <v>1944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f>SUM(H503,I503)</f>
        <v>0</v>
      </c>
      <c r="K503" s="1"/>
      <c r="M503">
        <v>515</v>
      </c>
      <c r="N503" t="s">
        <v>574</v>
      </c>
      <c r="O503" s="1">
        <v>6699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/>
      <c r="V503" s="1">
        <f t="shared" si="29"/>
        <v>0</v>
      </c>
    </row>
    <row r="504" spans="1:22" x14ac:dyDescent="0.25">
      <c r="A504" t="s">
        <v>76</v>
      </c>
      <c r="B504" t="s">
        <v>552</v>
      </c>
      <c r="C504" s="1">
        <v>1048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f>SUM(H504,I504)</f>
        <v>0</v>
      </c>
      <c r="K504" s="1"/>
      <c r="M504">
        <v>211</v>
      </c>
      <c r="N504" t="s">
        <v>575</v>
      </c>
      <c r="O504" s="1">
        <v>14037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/>
      <c r="V504" s="1">
        <f t="shared" si="29"/>
        <v>0</v>
      </c>
    </row>
    <row r="505" spans="1:22" x14ac:dyDescent="0.25">
      <c r="A505" t="s">
        <v>824</v>
      </c>
      <c r="B505" t="s">
        <v>553</v>
      </c>
      <c r="C505" s="1"/>
      <c r="D505" s="1"/>
      <c r="E505" s="1"/>
      <c r="F505" s="1"/>
      <c r="G505" s="1"/>
      <c r="H505" s="1"/>
      <c r="I505" s="1"/>
      <c r="J505" s="1"/>
      <c r="K505" s="1"/>
      <c r="M505">
        <v>611</v>
      </c>
      <c r="N505" t="s">
        <v>576</v>
      </c>
      <c r="O505" s="1">
        <v>1134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/>
      <c r="V505" s="1">
        <f t="shared" si="29"/>
        <v>0</v>
      </c>
    </row>
    <row r="506" spans="1:22" x14ac:dyDescent="0.25">
      <c r="A506" t="s">
        <v>512</v>
      </c>
      <c r="B506" t="s">
        <v>554</v>
      </c>
      <c r="C506" s="1">
        <v>7055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f t="shared" ref="J506:J511" si="31">SUM(H506,I506)</f>
        <v>0</v>
      </c>
      <c r="K506" s="1"/>
      <c r="M506" t="s">
        <v>814</v>
      </c>
      <c r="N506" t="s">
        <v>577</v>
      </c>
      <c r="O506" s="1">
        <v>709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/>
      <c r="V506" s="1">
        <f t="shared" si="29"/>
        <v>0</v>
      </c>
    </row>
    <row r="507" spans="1:22" x14ac:dyDescent="0.25">
      <c r="A507" t="s">
        <v>788</v>
      </c>
      <c r="B507" t="s">
        <v>555</v>
      </c>
      <c r="C507" s="1">
        <v>45537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f t="shared" si="31"/>
        <v>0</v>
      </c>
      <c r="K507" s="1"/>
      <c r="M507">
        <v>611</v>
      </c>
      <c r="N507" t="s">
        <v>578</v>
      </c>
      <c r="O507" s="1">
        <v>8099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/>
      <c r="V507" s="1">
        <f t="shared" si="29"/>
        <v>0</v>
      </c>
    </row>
    <row r="508" spans="1:22" x14ac:dyDescent="0.25">
      <c r="A508" t="s">
        <v>101</v>
      </c>
      <c r="B508" t="s">
        <v>556</v>
      </c>
      <c r="C508" s="1">
        <v>11583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f t="shared" si="31"/>
        <v>0</v>
      </c>
      <c r="K508" s="1"/>
      <c r="M508">
        <v>146</v>
      </c>
      <c r="N508" t="s">
        <v>579</v>
      </c>
      <c r="O508" s="1">
        <v>3385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/>
      <c r="V508" s="1">
        <f t="shared" si="29"/>
        <v>0</v>
      </c>
    </row>
    <row r="509" spans="1:22" x14ac:dyDescent="0.25">
      <c r="A509" t="s">
        <v>796</v>
      </c>
      <c r="B509" t="s">
        <v>557</v>
      </c>
      <c r="C509" s="1">
        <f>1058</f>
        <v>1058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f t="shared" si="31"/>
        <v>0</v>
      </c>
      <c r="K509" s="1"/>
      <c r="M509">
        <v>100</v>
      </c>
      <c r="N509" t="s">
        <v>580</v>
      </c>
      <c r="O509" s="1">
        <v>5968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/>
      <c r="V509" s="1">
        <f t="shared" si="29"/>
        <v>0</v>
      </c>
    </row>
    <row r="510" spans="1:22" x14ac:dyDescent="0.25">
      <c r="A510" t="s">
        <v>817</v>
      </c>
      <c r="B510" t="s">
        <v>558</v>
      </c>
      <c r="C510" s="1">
        <v>1963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f t="shared" si="31"/>
        <v>0</v>
      </c>
      <c r="K510" s="1"/>
      <c r="M510" t="s">
        <v>814</v>
      </c>
      <c r="N510" t="s">
        <v>581</v>
      </c>
      <c r="O510" s="1">
        <v>12624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/>
      <c r="V510" s="1">
        <f t="shared" si="29"/>
        <v>0</v>
      </c>
    </row>
    <row r="511" spans="1:22" x14ac:dyDescent="0.25">
      <c r="A511" t="s">
        <v>76</v>
      </c>
      <c r="B511" t="s">
        <v>559</v>
      </c>
      <c r="C511" s="1">
        <v>1734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f t="shared" si="31"/>
        <v>0</v>
      </c>
      <c r="K511" s="1"/>
      <c r="M511" t="s">
        <v>814</v>
      </c>
      <c r="N511" t="s">
        <v>582</v>
      </c>
      <c r="O511" s="1">
        <v>7496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/>
      <c r="V511" s="1">
        <f t="shared" si="29"/>
        <v>0</v>
      </c>
    </row>
    <row r="512" spans="1:22" x14ac:dyDescent="0.25">
      <c r="A512" t="s">
        <v>801</v>
      </c>
      <c r="B512" t="s">
        <v>560</v>
      </c>
      <c r="C512" s="1"/>
      <c r="D512" s="1"/>
      <c r="E512" s="1"/>
      <c r="F512" s="1"/>
      <c r="G512" s="1"/>
      <c r="H512" s="1"/>
      <c r="I512" s="1"/>
      <c r="J512" s="1"/>
      <c r="K512" s="1"/>
      <c r="M512" t="s">
        <v>814</v>
      </c>
      <c r="N512" t="s">
        <v>583</v>
      </c>
      <c r="O512" s="1">
        <v>1086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/>
      <c r="V512" s="1">
        <f t="shared" si="29"/>
        <v>0</v>
      </c>
    </row>
    <row r="513" spans="1:22" x14ac:dyDescent="0.25">
      <c r="A513" t="s">
        <v>796</v>
      </c>
      <c r="B513" t="s">
        <v>561</v>
      </c>
      <c r="C513" s="1">
        <f>5582</f>
        <v>5582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f>SUM(H513,I513)</f>
        <v>0</v>
      </c>
      <c r="K513" s="1"/>
      <c r="M513">
        <v>311</v>
      </c>
      <c r="N513" t="s">
        <v>584</v>
      </c>
      <c r="O513" s="1"/>
      <c r="P513" s="1"/>
      <c r="Q513" s="1"/>
      <c r="R513" s="1"/>
      <c r="S513" s="1"/>
      <c r="T513" s="1"/>
      <c r="U513" s="1"/>
      <c r="V513" s="1"/>
    </row>
    <row r="514" spans="1:22" x14ac:dyDescent="0.25">
      <c r="A514" t="s">
        <v>817</v>
      </c>
      <c r="B514" t="s">
        <v>562</v>
      </c>
      <c r="C514" s="1">
        <v>3328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f>SUM(H514,I514)</f>
        <v>0</v>
      </c>
      <c r="K514" s="1"/>
      <c r="M514">
        <v>140</v>
      </c>
      <c r="N514" t="s">
        <v>585</v>
      </c>
      <c r="O514" s="1">
        <v>3674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/>
      <c r="V514" s="1">
        <f t="shared" si="29"/>
        <v>0</v>
      </c>
    </row>
    <row r="515" spans="1:22" x14ac:dyDescent="0.25">
      <c r="A515" t="s">
        <v>248</v>
      </c>
      <c r="B515" t="s">
        <v>563</v>
      </c>
      <c r="C515" s="1">
        <v>9297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f>SUM(H515,I515)</f>
        <v>0</v>
      </c>
      <c r="K515" s="1"/>
      <c r="M515" t="s">
        <v>814</v>
      </c>
      <c r="N515" t="s">
        <v>586</v>
      </c>
      <c r="O515" s="1">
        <v>5020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/>
      <c r="V515" s="1">
        <f t="shared" si="29"/>
        <v>0</v>
      </c>
    </row>
    <row r="516" spans="1:22" x14ac:dyDescent="0.25">
      <c r="A516" t="s">
        <v>791</v>
      </c>
      <c r="B516" t="s">
        <v>564</v>
      </c>
      <c r="C516" s="1">
        <v>4089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f>SUM(H516,I516)</f>
        <v>0</v>
      </c>
      <c r="K516" s="1"/>
      <c r="M516">
        <v>150</v>
      </c>
      <c r="N516" t="s">
        <v>587</v>
      </c>
      <c r="O516" s="1">
        <v>7563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/>
      <c r="V516" s="1">
        <f t="shared" si="29"/>
        <v>0</v>
      </c>
    </row>
    <row r="517" spans="1:22" x14ac:dyDescent="0.25">
      <c r="A517" t="s">
        <v>69</v>
      </c>
      <c r="B517" t="s">
        <v>565</v>
      </c>
      <c r="C517" s="1">
        <v>3601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f>SUM(H517,I517)</f>
        <v>0</v>
      </c>
      <c r="K517" s="1"/>
      <c r="M517">
        <v>143</v>
      </c>
      <c r="N517" t="s">
        <v>588</v>
      </c>
      <c r="O517" s="1">
        <v>5837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/>
      <c r="V517" s="1">
        <f t="shared" si="29"/>
        <v>0</v>
      </c>
    </row>
    <row r="518" spans="1:22" x14ac:dyDescent="0.25">
      <c r="A518" t="s">
        <v>794</v>
      </c>
      <c r="B518" t="s">
        <v>566</v>
      </c>
      <c r="C518" s="1"/>
      <c r="D518" s="1"/>
      <c r="E518" s="1"/>
      <c r="F518" s="1"/>
      <c r="G518" s="1"/>
      <c r="H518" s="1"/>
      <c r="I518" s="1"/>
      <c r="J518" s="1"/>
      <c r="K518" s="1"/>
      <c r="M518">
        <v>151</v>
      </c>
      <c r="N518" t="s">
        <v>589</v>
      </c>
      <c r="O518" s="1">
        <v>2691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/>
      <c r="V518" s="1">
        <f t="shared" si="29"/>
        <v>0</v>
      </c>
    </row>
    <row r="519" spans="1:22" x14ac:dyDescent="0.25">
      <c r="A519" t="s">
        <v>797</v>
      </c>
      <c r="B519" t="s">
        <v>567</v>
      </c>
      <c r="C519" s="1">
        <v>87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f>SUM(H519,I519)</f>
        <v>0</v>
      </c>
      <c r="K519" s="1"/>
      <c r="M519">
        <v>145</v>
      </c>
      <c r="N519" t="s">
        <v>590</v>
      </c>
      <c r="O519" s="1">
        <v>7417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/>
      <c r="V519" s="1">
        <f t="shared" si="29"/>
        <v>0</v>
      </c>
    </row>
    <row r="520" spans="1:22" x14ac:dyDescent="0.25">
      <c r="A520" t="s">
        <v>826</v>
      </c>
      <c r="B520" t="s">
        <v>568</v>
      </c>
      <c r="C520" s="1"/>
      <c r="D520" s="1"/>
      <c r="E520" s="1"/>
      <c r="F520" s="1"/>
      <c r="G520" s="1"/>
      <c r="H520" s="1"/>
      <c r="I520" s="1"/>
      <c r="J520" s="1"/>
      <c r="K520" s="1"/>
      <c r="M520">
        <v>147</v>
      </c>
      <c r="N520" t="s">
        <v>591</v>
      </c>
      <c r="O520" s="1">
        <v>433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/>
      <c r="V520" s="1">
        <f t="shared" si="29"/>
        <v>0</v>
      </c>
    </row>
    <row r="521" spans="1:22" x14ac:dyDescent="0.25">
      <c r="A521" t="s">
        <v>864</v>
      </c>
      <c r="B521" t="s">
        <v>569</v>
      </c>
      <c r="C521" s="1">
        <v>5385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f>SUM(H521,I521)</f>
        <v>0</v>
      </c>
      <c r="K521" s="1"/>
      <c r="M521" t="s">
        <v>814</v>
      </c>
      <c r="N521" t="s">
        <v>592</v>
      </c>
      <c r="O521" s="1">
        <v>30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/>
      <c r="V521" s="1">
        <f t="shared" si="29"/>
        <v>0</v>
      </c>
    </row>
    <row r="522" spans="1:22" x14ac:dyDescent="0.25">
      <c r="A522" t="s">
        <v>826</v>
      </c>
      <c r="B522" t="s">
        <v>570</v>
      </c>
      <c r="C522" s="1"/>
      <c r="D522" s="1"/>
      <c r="E522" s="1"/>
      <c r="F522" s="1"/>
      <c r="G522" s="1"/>
      <c r="H522" s="1"/>
      <c r="I522" s="1"/>
      <c r="J522" s="1"/>
      <c r="K522" s="1"/>
      <c r="M522">
        <v>139</v>
      </c>
      <c r="N522" t="s">
        <v>593</v>
      </c>
      <c r="O522" s="1">
        <v>1274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/>
      <c r="V522" s="1">
        <f t="shared" si="29"/>
        <v>0</v>
      </c>
    </row>
    <row r="523" spans="1:22" x14ac:dyDescent="0.25">
      <c r="A523" t="s">
        <v>72</v>
      </c>
      <c r="B523" t="s">
        <v>571</v>
      </c>
      <c r="C523" s="1">
        <v>10822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f>SUM(H523,I523)</f>
        <v>0</v>
      </c>
      <c r="K523" s="1"/>
      <c r="M523">
        <v>136</v>
      </c>
      <c r="N523" t="s">
        <v>594</v>
      </c>
      <c r="O523" s="1">
        <v>1260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/>
      <c r="V523" s="1">
        <f t="shared" si="29"/>
        <v>0</v>
      </c>
    </row>
    <row r="524" spans="1:22" x14ac:dyDescent="0.25">
      <c r="A524" t="s">
        <v>801</v>
      </c>
      <c r="B524" t="s">
        <v>572</v>
      </c>
      <c r="C524" s="1"/>
      <c r="D524" s="1"/>
      <c r="E524" s="1"/>
      <c r="F524" s="1"/>
      <c r="G524" s="1"/>
      <c r="H524" s="1"/>
      <c r="I524" s="1"/>
      <c r="J524" s="1"/>
      <c r="K524" s="1"/>
      <c r="M524">
        <v>171</v>
      </c>
      <c r="N524" t="s">
        <v>595</v>
      </c>
      <c r="O524" s="1">
        <v>1523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/>
      <c r="V524" s="1">
        <f t="shared" si="29"/>
        <v>0</v>
      </c>
    </row>
    <row r="525" spans="1:22" x14ac:dyDescent="0.25">
      <c r="A525" t="s">
        <v>859</v>
      </c>
      <c r="B525" t="s">
        <v>573</v>
      </c>
      <c r="C525" s="1"/>
      <c r="D525" s="1"/>
      <c r="E525" s="1"/>
      <c r="F525" s="1"/>
      <c r="G525" s="1"/>
      <c r="H525" s="1"/>
      <c r="I525" s="1"/>
      <c r="J525" s="1"/>
      <c r="K525" s="1"/>
      <c r="M525">
        <v>116</v>
      </c>
      <c r="N525" t="s">
        <v>596</v>
      </c>
      <c r="O525" s="1">
        <v>3983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/>
      <c r="V525" s="1">
        <f t="shared" si="29"/>
        <v>0</v>
      </c>
    </row>
    <row r="526" spans="1:22" x14ac:dyDescent="0.25">
      <c r="A526" t="s">
        <v>816</v>
      </c>
      <c r="B526" t="s">
        <v>574</v>
      </c>
      <c r="C526" s="1"/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/>
      <c r="M526">
        <v>511</v>
      </c>
      <c r="N526" t="s">
        <v>597</v>
      </c>
      <c r="O526" s="1">
        <v>6281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/>
      <c r="V526" s="1">
        <f t="shared" si="29"/>
        <v>0</v>
      </c>
    </row>
    <row r="527" spans="1:22" x14ac:dyDescent="0.25">
      <c r="A527" t="s">
        <v>864</v>
      </c>
      <c r="B527" t="s">
        <v>575</v>
      </c>
      <c r="C527" s="1">
        <v>14037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f t="shared" ref="J527:J535" si="32">SUM(H527,I527)</f>
        <v>0</v>
      </c>
      <c r="K527" s="1"/>
      <c r="M527">
        <v>144</v>
      </c>
      <c r="N527" t="s">
        <v>598</v>
      </c>
      <c r="O527" s="1">
        <v>2810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/>
      <c r="V527" s="1">
        <f t="shared" si="29"/>
        <v>0</v>
      </c>
    </row>
    <row r="528" spans="1:22" x14ac:dyDescent="0.25">
      <c r="A528" t="s">
        <v>146</v>
      </c>
      <c r="B528" t="s">
        <v>576</v>
      </c>
      <c r="C528" s="1">
        <v>1134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f t="shared" si="32"/>
        <v>0</v>
      </c>
      <c r="K528" s="1"/>
      <c r="M528">
        <v>142</v>
      </c>
      <c r="N528" t="s">
        <v>599</v>
      </c>
      <c r="O528" s="1">
        <v>2137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/>
      <c r="V528" s="1">
        <f t="shared" si="29"/>
        <v>0</v>
      </c>
    </row>
    <row r="529" spans="1:22" x14ac:dyDescent="0.25">
      <c r="A529" t="s">
        <v>794</v>
      </c>
      <c r="B529" t="s">
        <v>577</v>
      </c>
      <c r="C529" s="1">
        <v>709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f t="shared" si="32"/>
        <v>0</v>
      </c>
      <c r="K529" s="1"/>
      <c r="M529">
        <v>300</v>
      </c>
      <c r="N529" s="5" t="s">
        <v>600</v>
      </c>
      <c r="O529" s="6">
        <v>1382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/>
      <c r="V529" s="6">
        <f t="shared" si="29"/>
        <v>0</v>
      </c>
    </row>
    <row r="530" spans="1:22" x14ac:dyDescent="0.25">
      <c r="A530" t="s">
        <v>146</v>
      </c>
      <c r="B530" t="s">
        <v>578</v>
      </c>
      <c r="C530" s="1">
        <v>8099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f t="shared" si="32"/>
        <v>0</v>
      </c>
      <c r="K530" s="1"/>
      <c r="M530">
        <v>616</v>
      </c>
      <c r="N530" t="s">
        <v>601</v>
      </c>
      <c r="O530" s="1">
        <v>7666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/>
      <c r="V530" s="1">
        <f t="shared" si="29"/>
        <v>0</v>
      </c>
    </row>
    <row r="531" spans="1:22" x14ac:dyDescent="0.25">
      <c r="A531" t="s">
        <v>832</v>
      </c>
      <c r="B531" t="s">
        <v>579</v>
      </c>
      <c r="C531" s="1">
        <v>3385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f t="shared" si="32"/>
        <v>0</v>
      </c>
      <c r="K531" s="1"/>
      <c r="M531">
        <v>610</v>
      </c>
      <c r="N531" t="s">
        <v>602</v>
      </c>
      <c r="O531" s="1">
        <v>12424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/>
      <c r="V531" s="1">
        <f t="shared" si="29"/>
        <v>0</v>
      </c>
    </row>
    <row r="532" spans="1:22" x14ac:dyDescent="0.25">
      <c r="A532" t="s">
        <v>839</v>
      </c>
      <c r="B532" t="s">
        <v>580</v>
      </c>
      <c r="C532" s="1"/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f t="shared" si="32"/>
        <v>0</v>
      </c>
      <c r="K532" s="1"/>
      <c r="M532">
        <v>617</v>
      </c>
      <c r="N532" t="s">
        <v>603</v>
      </c>
      <c r="O532" s="1"/>
      <c r="P532" s="1"/>
      <c r="Q532" s="1"/>
      <c r="R532" s="1"/>
      <c r="S532" s="1"/>
      <c r="T532" s="1"/>
      <c r="U532" s="1"/>
      <c r="V532" s="1"/>
    </row>
    <row r="533" spans="1:22" x14ac:dyDescent="0.25">
      <c r="A533" t="s">
        <v>794</v>
      </c>
      <c r="B533" t="s">
        <v>581</v>
      </c>
      <c r="C533" s="1">
        <v>12624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f t="shared" si="32"/>
        <v>0</v>
      </c>
      <c r="K533" s="1"/>
      <c r="M533">
        <v>114</v>
      </c>
      <c r="N533" t="s">
        <v>604</v>
      </c>
      <c r="O533" s="1">
        <v>6584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/>
      <c r="V533" s="1">
        <f t="shared" si="29"/>
        <v>0</v>
      </c>
    </row>
    <row r="534" spans="1:22" x14ac:dyDescent="0.25">
      <c r="A534" t="s">
        <v>794</v>
      </c>
      <c r="B534" t="s">
        <v>582</v>
      </c>
      <c r="C534" s="1">
        <v>7496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f t="shared" si="32"/>
        <v>0</v>
      </c>
      <c r="K534" s="1"/>
      <c r="M534" t="s">
        <v>808</v>
      </c>
      <c r="N534" t="s">
        <v>605</v>
      </c>
      <c r="O534" s="1">
        <v>916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/>
      <c r="V534" s="1">
        <f t="shared" ref="V534:V598" si="33">SUM(T534:U534)</f>
        <v>0</v>
      </c>
    </row>
    <row r="535" spans="1:22" x14ac:dyDescent="0.25">
      <c r="A535" t="s">
        <v>794</v>
      </c>
      <c r="B535" t="s">
        <v>583</v>
      </c>
      <c r="C535" s="1">
        <v>1086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f t="shared" si="32"/>
        <v>0</v>
      </c>
      <c r="K535" s="1"/>
      <c r="M535">
        <v>616</v>
      </c>
      <c r="N535" t="s">
        <v>606</v>
      </c>
      <c r="O535" s="1">
        <v>29960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/>
      <c r="V535" s="1">
        <f t="shared" si="33"/>
        <v>0</v>
      </c>
    </row>
    <row r="536" spans="1:22" x14ac:dyDescent="0.25">
      <c r="A536" t="s">
        <v>120</v>
      </c>
      <c r="B536" t="s">
        <v>584</v>
      </c>
      <c r="C536" s="1"/>
      <c r="D536" s="1"/>
      <c r="E536" s="1"/>
      <c r="F536" s="1"/>
      <c r="G536" s="1"/>
      <c r="H536" s="1"/>
      <c r="I536" s="1"/>
      <c r="J536" s="1"/>
      <c r="K536" s="1"/>
      <c r="M536">
        <v>500</v>
      </c>
      <c r="N536" t="s">
        <v>607</v>
      </c>
      <c r="O536" s="1"/>
      <c r="P536" s="1"/>
      <c r="Q536" s="1"/>
      <c r="R536" s="1"/>
      <c r="S536" s="1"/>
      <c r="T536" s="1"/>
      <c r="U536" s="1"/>
      <c r="V536" s="1"/>
    </row>
    <row r="537" spans="1:22" x14ac:dyDescent="0.25">
      <c r="A537" t="s">
        <v>837</v>
      </c>
      <c r="B537" t="s">
        <v>585</v>
      </c>
      <c r="C537" s="1">
        <v>3674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f t="shared" ref="J537:J551" si="34">SUM(H537,I537)</f>
        <v>0</v>
      </c>
      <c r="K537" s="1"/>
      <c r="M537" t="s">
        <v>815</v>
      </c>
      <c r="N537" t="s">
        <v>608</v>
      </c>
      <c r="O537" s="1">
        <v>8643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/>
      <c r="V537" s="1">
        <f t="shared" si="33"/>
        <v>0</v>
      </c>
    </row>
    <row r="538" spans="1:22" x14ac:dyDescent="0.25">
      <c r="A538" t="s">
        <v>794</v>
      </c>
      <c r="B538" t="s">
        <v>586</v>
      </c>
      <c r="C538" s="1">
        <v>5020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f t="shared" si="34"/>
        <v>0</v>
      </c>
      <c r="K538" s="1"/>
      <c r="M538">
        <v>617</v>
      </c>
      <c r="N538" t="s">
        <v>609</v>
      </c>
      <c r="O538" s="1"/>
      <c r="P538" s="1"/>
      <c r="Q538" s="1"/>
      <c r="R538" s="1"/>
      <c r="S538" s="1"/>
      <c r="T538" s="1"/>
      <c r="U538" s="1"/>
      <c r="V538" s="1"/>
    </row>
    <row r="539" spans="1:22" x14ac:dyDescent="0.25">
      <c r="A539" t="s">
        <v>836</v>
      </c>
      <c r="B539" t="s">
        <v>587</v>
      </c>
      <c r="C539" s="1">
        <v>7563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f t="shared" si="34"/>
        <v>0</v>
      </c>
      <c r="K539" s="1"/>
      <c r="M539">
        <v>616.20000000000005</v>
      </c>
      <c r="N539" t="s">
        <v>610</v>
      </c>
      <c r="O539" s="1">
        <v>9882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/>
      <c r="V539" s="1">
        <f t="shared" si="33"/>
        <v>0</v>
      </c>
    </row>
    <row r="540" spans="1:22" x14ac:dyDescent="0.25">
      <c r="A540" t="s">
        <v>844</v>
      </c>
      <c r="B540" t="s">
        <v>588</v>
      </c>
      <c r="C540" s="1">
        <v>5837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f t="shared" si="34"/>
        <v>0</v>
      </c>
      <c r="K540" s="1"/>
      <c r="M540">
        <v>616</v>
      </c>
      <c r="N540" t="s">
        <v>611</v>
      </c>
      <c r="O540" s="1">
        <v>7781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/>
      <c r="V540" s="1">
        <f t="shared" si="33"/>
        <v>0</v>
      </c>
    </row>
    <row r="541" spans="1:22" x14ac:dyDescent="0.25">
      <c r="A541" t="s">
        <v>838</v>
      </c>
      <c r="B541" t="s">
        <v>589</v>
      </c>
      <c r="C541" s="1">
        <v>2691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f t="shared" si="34"/>
        <v>0</v>
      </c>
      <c r="K541" s="1"/>
      <c r="M541">
        <v>514</v>
      </c>
      <c r="N541" t="s">
        <v>612</v>
      </c>
      <c r="O541" s="1">
        <v>17225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/>
      <c r="V541" s="1">
        <f t="shared" si="33"/>
        <v>0</v>
      </c>
    </row>
    <row r="542" spans="1:22" x14ac:dyDescent="0.25">
      <c r="A542" t="s">
        <v>833</v>
      </c>
      <c r="B542" t="s">
        <v>590</v>
      </c>
      <c r="C542" s="1">
        <v>7417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f t="shared" si="34"/>
        <v>0</v>
      </c>
      <c r="K542" s="1"/>
      <c r="M542">
        <v>616.20000000000005</v>
      </c>
      <c r="N542" t="s">
        <v>613</v>
      </c>
      <c r="O542" s="1">
        <v>14908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/>
      <c r="V542" s="1">
        <f t="shared" si="33"/>
        <v>0</v>
      </c>
    </row>
    <row r="543" spans="1:22" x14ac:dyDescent="0.25">
      <c r="A543" t="s">
        <v>845</v>
      </c>
      <c r="B543" t="s">
        <v>591</v>
      </c>
      <c r="C543" s="1">
        <v>433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f t="shared" si="34"/>
        <v>0</v>
      </c>
      <c r="K543" s="1"/>
      <c r="M543">
        <v>616</v>
      </c>
      <c r="N543" t="s">
        <v>614</v>
      </c>
      <c r="O543" s="1">
        <v>1440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/>
      <c r="V543" s="1">
        <f t="shared" si="33"/>
        <v>0</v>
      </c>
    </row>
    <row r="544" spans="1:22" x14ac:dyDescent="0.25">
      <c r="A544" t="s">
        <v>794</v>
      </c>
      <c r="B544" t="s">
        <v>592</v>
      </c>
      <c r="C544" s="1">
        <v>30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f t="shared" si="34"/>
        <v>0</v>
      </c>
      <c r="K544" s="1"/>
      <c r="M544">
        <v>120</v>
      </c>
      <c r="N544" t="s">
        <v>615</v>
      </c>
      <c r="O544" s="1">
        <v>3224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/>
      <c r="V544" s="1">
        <f t="shared" si="33"/>
        <v>0</v>
      </c>
    </row>
    <row r="545" spans="1:22" x14ac:dyDescent="0.25">
      <c r="A545" t="s">
        <v>843</v>
      </c>
      <c r="B545" t="s">
        <v>593</v>
      </c>
      <c r="C545" s="1">
        <v>1274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f t="shared" si="34"/>
        <v>0</v>
      </c>
      <c r="K545" s="1"/>
      <c r="M545">
        <v>511</v>
      </c>
      <c r="N545" t="s">
        <v>616</v>
      </c>
      <c r="O545" s="1">
        <v>3790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/>
      <c r="V545" s="1">
        <f t="shared" si="33"/>
        <v>0</v>
      </c>
    </row>
    <row r="546" spans="1:22" x14ac:dyDescent="0.25">
      <c r="A546" t="s">
        <v>863</v>
      </c>
      <c r="B546" t="s">
        <v>594</v>
      </c>
      <c r="C546" s="1">
        <v>1260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f t="shared" si="34"/>
        <v>0</v>
      </c>
      <c r="K546" s="1"/>
      <c r="M546">
        <v>111</v>
      </c>
      <c r="N546" t="s">
        <v>617</v>
      </c>
      <c r="O546" s="1">
        <v>1683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/>
      <c r="V546" s="1">
        <f t="shared" si="33"/>
        <v>0</v>
      </c>
    </row>
    <row r="547" spans="1:22" x14ac:dyDescent="0.25">
      <c r="A547" t="s">
        <v>804</v>
      </c>
      <c r="B547" t="s">
        <v>595</v>
      </c>
      <c r="C547" s="1">
        <v>1523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f t="shared" si="34"/>
        <v>0</v>
      </c>
      <c r="K547" s="1"/>
      <c r="M547">
        <v>511</v>
      </c>
      <c r="N547" t="s">
        <v>618</v>
      </c>
      <c r="O547" s="1">
        <v>1947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/>
      <c r="V547" s="1">
        <f t="shared" si="33"/>
        <v>0</v>
      </c>
    </row>
    <row r="548" spans="1:22" x14ac:dyDescent="0.25">
      <c r="A548" t="s">
        <v>795</v>
      </c>
      <c r="B548" t="s">
        <v>596</v>
      </c>
      <c r="C548" s="1">
        <v>3983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f t="shared" si="34"/>
        <v>0</v>
      </c>
      <c r="K548" s="1"/>
      <c r="M548">
        <v>610</v>
      </c>
      <c r="N548" t="s">
        <v>619</v>
      </c>
      <c r="O548" s="1">
        <v>6101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/>
      <c r="V548" s="1">
        <f t="shared" si="33"/>
        <v>0</v>
      </c>
    </row>
    <row r="549" spans="1:22" x14ac:dyDescent="0.25">
      <c r="A549" t="s">
        <v>101</v>
      </c>
      <c r="B549" t="s">
        <v>597</v>
      </c>
      <c r="C549" s="1">
        <v>6281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f t="shared" si="34"/>
        <v>0</v>
      </c>
      <c r="K549" s="1"/>
      <c r="M549">
        <v>616</v>
      </c>
      <c r="N549" t="s">
        <v>620</v>
      </c>
      <c r="O549" s="1">
        <v>8992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/>
      <c r="V549" s="1">
        <f t="shared" si="33"/>
        <v>0</v>
      </c>
    </row>
    <row r="550" spans="1:22" x14ac:dyDescent="0.25">
      <c r="A550" t="s">
        <v>835</v>
      </c>
      <c r="B550" t="s">
        <v>598</v>
      </c>
      <c r="C550" s="1">
        <v>2810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f t="shared" si="34"/>
        <v>0</v>
      </c>
      <c r="K550" s="1"/>
      <c r="M550">
        <v>600</v>
      </c>
      <c r="N550" t="s">
        <v>621</v>
      </c>
      <c r="O550" s="1">
        <v>2095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/>
      <c r="V550" s="1">
        <f t="shared" si="33"/>
        <v>0</v>
      </c>
    </row>
    <row r="551" spans="1:22" x14ac:dyDescent="0.25">
      <c r="A551" t="s">
        <v>842</v>
      </c>
      <c r="B551" t="s">
        <v>599</v>
      </c>
      <c r="C551" s="1">
        <v>2137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f t="shared" si="34"/>
        <v>0</v>
      </c>
      <c r="K551" s="1"/>
      <c r="M551">
        <v>114</v>
      </c>
      <c r="N551" t="s">
        <v>622</v>
      </c>
      <c r="O551" s="1">
        <v>14319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/>
      <c r="V551" s="1">
        <f t="shared" si="33"/>
        <v>0</v>
      </c>
    </row>
    <row r="552" spans="1:22" x14ac:dyDescent="0.25">
      <c r="A552" t="s">
        <v>226</v>
      </c>
      <c r="B552" s="5" t="s">
        <v>600</v>
      </c>
      <c r="C552" s="6"/>
      <c r="D552" s="6"/>
      <c r="E552" s="6"/>
      <c r="F552" s="6"/>
      <c r="G552" s="6"/>
      <c r="H552" s="6"/>
      <c r="I552" s="6"/>
      <c r="J552" s="6"/>
      <c r="K552" s="6" t="s">
        <v>867</v>
      </c>
      <c r="M552">
        <v>113</v>
      </c>
      <c r="N552" t="s">
        <v>623</v>
      </c>
      <c r="O552" s="1">
        <v>1112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/>
      <c r="V552" s="1">
        <f t="shared" si="33"/>
        <v>0</v>
      </c>
    </row>
    <row r="553" spans="1:22" x14ac:dyDescent="0.25">
      <c r="A553" t="s">
        <v>817</v>
      </c>
      <c r="B553" t="s">
        <v>601</v>
      </c>
      <c r="C553" s="1">
        <v>7666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f>SUM(H553,I553)</f>
        <v>0</v>
      </c>
      <c r="K553" s="1"/>
      <c r="M553">
        <v>616.1</v>
      </c>
      <c r="N553" t="s">
        <v>624</v>
      </c>
      <c r="O553" s="1"/>
      <c r="P553" s="1"/>
      <c r="Q553" s="1"/>
      <c r="R553" s="1"/>
      <c r="S553" s="1"/>
      <c r="T553" s="1"/>
      <c r="U553" s="1"/>
      <c r="V553" s="1"/>
    </row>
    <row r="554" spans="1:22" x14ac:dyDescent="0.25">
      <c r="A554" t="s">
        <v>788</v>
      </c>
      <c r="B554" t="s">
        <v>602</v>
      </c>
      <c r="C554" s="1">
        <v>12424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f>SUM(H554,I554)</f>
        <v>0</v>
      </c>
      <c r="K554" s="1"/>
      <c r="M554">
        <v>712</v>
      </c>
      <c r="N554" t="s">
        <v>625</v>
      </c>
      <c r="O554" s="1">
        <v>10156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/>
      <c r="V554" s="1">
        <f t="shared" si="33"/>
        <v>0</v>
      </c>
    </row>
    <row r="555" spans="1:22" x14ac:dyDescent="0.25">
      <c r="A555" t="s">
        <v>859</v>
      </c>
      <c r="B555" t="s">
        <v>603</v>
      </c>
      <c r="C555" s="1"/>
      <c r="D555" s="1"/>
      <c r="E555" s="1"/>
      <c r="F555" s="1"/>
      <c r="G555" s="1"/>
      <c r="H555" s="1"/>
      <c r="I555" s="1"/>
      <c r="J555" s="1"/>
      <c r="K555" s="1"/>
      <c r="M555">
        <v>710</v>
      </c>
      <c r="N555" t="s">
        <v>626</v>
      </c>
      <c r="O555" s="1">
        <v>22594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/>
      <c r="V555" s="1">
        <f t="shared" si="33"/>
        <v>0</v>
      </c>
    </row>
    <row r="556" spans="1:22" x14ac:dyDescent="0.25">
      <c r="A556" t="s">
        <v>831</v>
      </c>
      <c r="B556" t="s">
        <v>604</v>
      </c>
      <c r="C556" s="1">
        <v>6584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f>SUM(H556,I556)</f>
        <v>0</v>
      </c>
      <c r="K556" s="1"/>
      <c r="M556">
        <v>700</v>
      </c>
      <c r="N556" t="s">
        <v>627</v>
      </c>
      <c r="O556" s="1">
        <v>4972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/>
      <c r="V556" s="1">
        <f t="shared" si="33"/>
        <v>0</v>
      </c>
    </row>
    <row r="557" spans="1:22" x14ac:dyDescent="0.25">
      <c r="A557" t="s">
        <v>809</v>
      </c>
      <c r="B557" t="s">
        <v>605</v>
      </c>
      <c r="C557" s="1">
        <v>916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f>SUM(H557,I557)</f>
        <v>0</v>
      </c>
      <c r="K557" s="1"/>
      <c r="M557">
        <v>100</v>
      </c>
      <c r="N557" s="5" t="s">
        <v>628</v>
      </c>
      <c r="O557" s="6">
        <v>295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/>
      <c r="V557" s="6">
        <f t="shared" si="33"/>
        <v>0</v>
      </c>
    </row>
    <row r="558" spans="1:22" x14ac:dyDescent="0.25">
      <c r="A558" t="s">
        <v>817</v>
      </c>
      <c r="B558" t="s">
        <v>606</v>
      </c>
      <c r="C558" s="1">
        <v>29960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f>SUM(H558,I558)</f>
        <v>0</v>
      </c>
      <c r="K558" s="1"/>
      <c r="M558">
        <v>110</v>
      </c>
      <c r="N558" t="s">
        <v>629</v>
      </c>
      <c r="O558" s="1">
        <v>287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/>
      <c r="V558" s="1">
        <f t="shared" si="33"/>
        <v>0</v>
      </c>
    </row>
    <row r="559" spans="1:22" x14ac:dyDescent="0.25">
      <c r="A559" t="s">
        <v>824</v>
      </c>
      <c r="B559" t="s">
        <v>607</v>
      </c>
      <c r="C559" s="1"/>
      <c r="D559" s="1"/>
      <c r="E559" s="1"/>
      <c r="F559" s="1"/>
      <c r="G559" s="1"/>
      <c r="H559" s="1"/>
      <c r="I559" s="1"/>
      <c r="J559" s="1"/>
      <c r="K559" s="1"/>
      <c r="M559">
        <v>710</v>
      </c>
      <c r="N559" t="s">
        <v>630</v>
      </c>
      <c r="O559" s="1">
        <v>2595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/>
      <c r="V559" s="1">
        <f t="shared" si="33"/>
        <v>0</v>
      </c>
    </row>
    <row r="560" spans="1:22" x14ac:dyDescent="0.25">
      <c r="A560" t="s">
        <v>138</v>
      </c>
      <c r="B560" t="s">
        <v>608</v>
      </c>
      <c r="C560" s="1">
        <v>8643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f>SUM(H560,I560)</f>
        <v>0</v>
      </c>
      <c r="K560" s="1"/>
      <c r="M560">
        <v>710</v>
      </c>
      <c r="N560" t="s">
        <v>631</v>
      </c>
      <c r="O560" s="1">
        <v>15210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/>
      <c r="V560" s="1">
        <f t="shared" si="33"/>
        <v>0</v>
      </c>
    </row>
    <row r="561" spans="1:22" x14ac:dyDescent="0.25">
      <c r="A561" t="s">
        <v>859</v>
      </c>
      <c r="B561" t="s">
        <v>609</v>
      </c>
      <c r="C561" s="1"/>
      <c r="D561" s="1"/>
      <c r="E561" s="1"/>
      <c r="F561" s="1"/>
      <c r="G561" s="1"/>
      <c r="H561" s="1"/>
      <c r="I561" s="1"/>
      <c r="J561" s="1"/>
      <c r="K561" s="1"/>
      <c r="M561">
        <v>616</v>
      </c>
      <c r="N561" s="5" t="s">
        <v>632</v>
      </c>
      <c r="O561" s="6">
        <v>1025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/>
      <c r="V561" s="6">
        <f t="shared" si="33"/>
        <v>0</v>
      </c>
    </row>
    <row r="562" spans="1:22" x14ac:dyDescent="0.25">
      <c r="A562" t="s">
        <v>817</v>
      </c>
      <c r="B562" t="s">
        <v>610</v>
      </c>
      <c r="C562" s="1">
        <v>9882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f t="shared" ref="J562:J575" si="35">SUM(H562,I562)</f>
        <v>0</v>
      </c>
      <c r="K562" s="1"/>
      <c r="M562">
        <v>712</v>
      </c>
      <c r="N562" t="s">
        <v>633</v>
      </c>
      <c r="O562" s="1">
        <v>3456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/>
      <c r="V562" s="1">
        <f t="shared" si="33"/>
        <v>0</v>
      </c>
    </row>
    <row r="563" spans="1:22" x14ac:dyDescent="0.25">
      <c r="A563" t="s">
        <v>817</v>
      </c>
      <c r="B563" t="s">
        <v>611</v>
      </c>
      <c r="C563" s="1">
        <v>7781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f t="shared" si="35"/>
        <v>0</v>
      </c>
      <c r="K563" s="1"/>
      <c r="M563">
        <v>616</v>
      </c>
      <c r="N563" t="s">
        <v>634</v>
      </c>
      <c r="O563" s="1">
        <v>3456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/>
      <c r="V563" s="1">
        <f t="shared" si="33"/>
        <v>0</v>
      </c>
    </row>
    <row r="564" spans="1:22" x14ac:dyDescent="0.25">
      <c r="A564" t="s">
        <v>134</v>
      </c>
      <c r="B564" t="s">
        <v>612</v>
      </c>
      <c r="C564" s="1">
        <v>17225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f t="shared" si="35"/>
        <v>0</v>
      </c>
      <c r="K564" s="1"/>
      <c r="M564">
        <v>711</v>
      </c>
      <c r="N564" t="s">
        <v>635</v>
      </c>
      <c r="O564" s="1"/>
      <c r="P564" s="1"/>
      <c r="Q564" s="1"/>
      <c r="R564" s="1"/>
      <c r="S564" s="1"/>
      <c r="T564" s="1"/>
      <c r="U564" s="1"/>
      <c r="V564" s="1"/>
    </row>
    <row r="565" spans="1:22" x14ac:dyDescent="0.25">
      <c r="A565" t="s">
        <v>817</v>
      </c>
      <c r="B565" t="s">
        <v>613</v>
      </c>
      <c r="C565" s="1">
        <v>14908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f t="shared" si="35"/>
        <v>0</v>
      </c>
      <c r="K565" s="1"/>
      <c r="M565">
        <v>616</v>
      </c>
      <c r="N565" t="s">
        <v>636</v>
      </c>
      <c r="O565" s="1">
        <v>5488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/>
      <c r="V565" s="1">
        <f t="shared" si="33"/>
        <v>0</v>
      </c>
    </row>
    <row r="566" spans="1:22" x14ac:dyDescent="0.25">
      <c r="A566" t="s">
        <v>817</v>
      </c>
      <c r="B566" t="s">
        <v>614</v>
      </c>
      <c r="C566" s="1">
        <v>1440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f t="shared" si="35"/>
        <v>0</v>
      </c>
      <c r="K566" s="1"/>
      <c r="M566">
        <v>500</v>
      </c>
      <c r="N566" t="s">
        <v>637</v>
      </c>
      <c r="O566" s="1"/>
      <c r="P566" s="1"/>
      <c r="Q566" s="1"/>
      <c r="R566" s="1"/>
      <c r="S566" s="1"/>
      <c r="T566" s="1"/>
      <c r="U566" s="1"/>
      <c r="V566" s="1"/>
    </row>
    <row r="567" spans="1:22" x14ac:dyDescent="0.25">
      <c r="A567" t="s">
        <v>826</v>
      </c>
      <c r="B567" t="s">
        <v>615</v>
      </c>
      <c r="C567" s="1">
        <v>3224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f t="shared" si="35"/>
        <v>0</v>
      </c>
      <c r="K567" s="1"/>
      <c r="M567">
        <v>715</v>
      </c>
      <c r="N567" t="s">
        <v>638</v>
      </c>
      <c r="O567" s="1">
        <v>9820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/>
      <c r="V567" s="1">
        <f t="shared" si="33"/>
        <v>0</v>
      </c>
    </row>
    <row r="568" spans="1:22" x14ac:dyDescent="0.25">
      <c r="A568" t="s">
        <v>101</v>
      </c>
      <c r="B568" t="s">
        <v>616</v>
      </c>
      <c r="C568" s="1">
        <v>3790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f t="shared" si="35"/>
        <v>0</v>
      </c>
      <c r="K568" s="1"/>
      <c r="M568">
        <v>616</v>
      </c>
      <c r="N568" t="s">
        <v>639</v>
      </c>
      <c r="O568" s="1">
        <v>9281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/>
      <c r="V568" s="1">
        <f t="shared" si="33"/>
        <v>0</v>
      </c>
    </row>
    <row r="569" spans="1:22" x14ac:dyDescent="0.25">
      <c r="A569" t="s">
        <v>811</v>
      </c>
      <c r="B569" t="s">
        <v>617</v>
      </c>
      <c r="C569" s="1">
        <v>1683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f t="shared" si="35"/>
        <v>0</v>
      </c>
      <c r="K569" s="1"/>
      <c r="M569">
        <v>111</v>
      </c>
      <c r="N569" t="s">
        <v>640</v>
      </c>
      <c r="O569" s="1">
        <v>42696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/>
      <c r="V569" s="1">
        <f t="shared" si="33"/>
        <v>0</v>
      </c>
    </row>
    <row r="570" spans="1:22" x14ac:dyDescent="0.25">
      <c r="A570" t="s">
        <v>101</v>
      </c>
      <c r="B570" t="s">
        <v>618</v>
      </c>
      <c r="C570" s="1">
        <v>1947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f t="shared" si="35"/>
        <v>0</v>
      </c>
      <c r="K570" s="1"/>
      <c r="M570">
        <v>712</v>
      </c>
      <c r="N570" s="5" t="s">
        <v>641</v>
      </c>
      <c r="O570" s="6">
        <v>10147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/>
      <c r="V570" s="6">
        <f t="shared" si="33"/>
        <v>0</v>
      </c>
    </row>
    <row r="571" spans="1:22" x14ac:dyDescent="0.25">
      <c r="A571" t="s">
        <v>788</v>
      </c>
      <c r="B571" t="s">
        <v>619</v>
      </c>
      <c r="C571" s="1">
        <v>6101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f t="shared" si="35"/>
        <v>0</v>
      </c>
      <c r="K571" s="1"/>
      <c r="M571">
        <v>712</v>
      </c>
      <c r="N571" t="s">
        <v>642</v>
      </c>
      <c r="O571" s="1">
        <v>847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/>
      <c r="V571" s="1">
        <f t="shared" si="33"/>
        <v>0</v>
      </c>
    </row>
    <row r="572" spans="1:22" x14ac:dyDescent="0.25">
      <c r="A572" t="s">
        <v>817</v>
      </c>
      <c r="B572" t="s">
        <v>620</v>
      </c>
      <c r="C572" s="1">
        <v>8992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f t="shared" si="35"/>
        <v>0</v>
      </c>
      <c r="K572" s="1"/>
      <c r="M572">
        <v>616</v>
      </c>
      <c r="N572" t="s">
        <v>643</v>
      </c>
      <c r="O572" s="1">
        <v>502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/>
      <c r="V572" s="1">
        <f t="shared" si="33"/>
        <v>0</v>
      </c>
    </row>
    <row r="573" spans="1:22" x14ac:dyDescent="0.25">
      <c r="A573" t="s">
        <v>248</v>
      </c>
      <c r="B573" t="s">
        <v>621</v>
      </c>
      <c r="C573" s="1">
        <v>2095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f t="shared" si="35"/>
        <v>0</v>
      </c>
      <c r="K573" s="1"/>
      <c r="M573">
        <v>712</v>
      </c>
      <c r="N573" t="s">
        <v>644</v>
      </c>
      <c r="O573" s="1">
        <v>3344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/>
      <c r="V573" s="1">
        <f t="shared" si="33"/>
        <v>0</v>
      </c>
    </row>
    <row r="574" spans="1:22" x14ac:dyDescent="0.25">
      <c r="A574" t="s">
        <v>831</v>
      </c>
      <c r="B574" t="s">
        <v>622</v>
      </c>
      <c r="C574" s="1">
        <v>14319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f t="shared" si="35"/>
        <v>0</v>
      </c>
      <c r="K574" s="1"/>
      <c r="M574">
        <v>616</v>
      </c>
      <c r="N574" t="s">
        <v>645</v>
      </c>
      <c r="O574" s="1">
        <v>18254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/>
      <c r="V574" s="1">
        <f t="shared" si="33"/>
        <v>0</v>
      </c>
    </row>
    <row r="575" spans="1:22" x14ac:dyDescent="0.25">
      <c r="A575" t="s">
        <v>823</v>
      </c>
      <c r="B575" t="s">
        <v>623</v>
      </c>
      <c r="C575" s="1">
        <v>1112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f t="shared" si="35"/>
        <v>0</v>
      </c>
      <c r="K575" s="1"/>
      <c r="M575">
        <v>616</v>
      </c>
      <c r="N575" t="s">
        <v>646</v>
      </c>
      <c r="O575" s="1">
        <v>4087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/>
      <c r="V575" s="1">
        <f t="shared" si="33"/>
        <v>0</v>
      </c>
    </row>
    <row r="576" spans="1:22" x14ac:dyDescent="0.25">
      <c r="A576" t="s">
        <v>817</v>
      </c>
      <c r="B576" t="s">
        <v>624</v>
      </c>
      <c r="C576" s="1"/>
      <c r="D576" s="1"/>
      <c r="E576" s="1"/>
      <c r="F576" s="1"/>
      <c r="G576" s="1"/>
      <c r="H576" s="1"/>
      <c r="I576" s="1"/>
      <c r="J576" s="1"/>
      <c r="K576" s="1"/>
      <c r="M576">
        <v>300</v>
      </c>
      <c r="N576" s="5" t="s">
        <v>647</v>
      </c>
      <c r="O576" s="6">
        <v>595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/>
      <c r="V576" s="6">
        <f t="shared" si="33"/>
        <v>0</v>
      </c>
    </row>
    <row r="577" spans="1:22" x14ac:dyDescent="0.25">
      <c r="A577" t="s">
        <v>76</v>
      </c>
      <c r="B577" t="s">
        <v>625</v>
      </c>
      <c r="C577" s="1">
        <v>10156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f>SUM(H577,I577)</f>
        <v>0</v>
      </c>
      <c r="K577" s="1"/>
      <c r="M577">
        <v>114</v>
      </c>
      <c r="N577" t="s">
        <v>648</v>
      </c>
      <c r="O577" s="1">
        <v>10733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/>
      <c r="V577" s="1">
        <f t="shared" si="33"/>
        <v>0</v>
      </c>
    </row>
    <row r="578" spans="1:22" x14ac:dyDescent="0.25">
      <c r="A578" t="s">
        <v>69</v>
      </c>
      <c r="B578" t="s">
        <v>626</v>
      </c>
      <c r="C578" s="1">
        <v>22594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f>SUM(H578,I578)</f>
        <v>0</v>
      </c>
      <c r="K578" s="1"/>
      <c r="M578">
        <v>715</v>
      </c>
      <c r="N578" t="s">
        <v>649</v>
      </c>
      <c r="O578" s="1">
        <v>4274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/>
      <c r="V578" s="1">
        <f t="shared" si="33"/>
        <v>0</v>
      </c>
    </row>
    <row r="579" spans="1:22" x14ac:dyDescent="0.25">
      <c r="A579" t="s">
        <v>83</v>
      </c>
      <c r="B579" t="s">
        <v>627</v>
      </c>
      <c r="C579" s="1">
        <v>4972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f>SUM(H579,I579)</f>
        <v>0</v>
      </c>
      <c r="K579" s="1"/>
      <c r="M579">
        <v>616</v>
      </c>
      <c r="N579" t="s">
        <v>650</v>
      </c>
      <c r="O579" s="1">
        <v>5621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/>
      <c r="V579" s="1">
        <f t="shared" si="33"/>
        <v>0</v>
      </c>
    </row>
    <row r="580" spans="1:22" x14ac:dyDescent="0.25">
      <c r="A580" t="s">
        <v>791</v>
      </c>
      <c r="B580" s="5" t="s">
        <v>628</v>
      </c>
      <c r="C580" s="6"/>
      <c r="D580" s="6"/>
      <c r="E580" s="6"/>
      <c r="F580" s="6"/>
      <c r="G580" s="6"/>
      <c r="H580" s="6"/>
      <c r="I580" s="6"/>
      <c r="J580" s="6"/>
      <c r="K580" s="6" t="s">
        <v>867</v>
      </c>
      <c r="M580">
        <v>616</v>
      </c>
      <c r="N580" t="s">
        <v>651</v>
      </c>
      <c r="O580" s="1">
        <v>5494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/>
      <c r="V580" s="1">
        <f t="shared" si="33"/>
        <v>0</v>
      </c>
    </row>
    <row r="581" spans="1:22" x14ac:dyDescent="0.25">
      <c r="A581" t="s">
        <v>797</v>
      </c>
      <c r="B581" t="s">
        <v>629</v>
      </c>
      <c r="C581" s="1">
        <v>287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f>SUM(H581,I581)</f>
        <v>0</v>
      </c>
      <c r="K581" s="1"/>
      <c r="M581">
        <v>616</v>
      </c>
      <c r="N581" t="s">
        <v>652</v>
      </c>
      <c r="O581" s="1">
        <v>1168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/>
      <c r="V581" s="1">
        <f t="shared" si="33"/>
        <v>0</v>
      </c>
    </row>
    <row r="582" spans="1:22" x14ac:dyDescent="0.25">
      <c r="A582" t="s">
        <v>69</v>
      </c>
      <c r="B582" t="s">
        <v>630</v>
      </c>
      <c r="C582" s="1">
        <v>2595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f>SUM(H582,I582)</f>
        <v>0</v>
      </c>
      <c r="K582" s="1"/>
      <c r="M582">
        <v>616</v>
      </c>
      <c r="N582" t="s">
        <v>653</v>
      </c>
      <c r="O582" s="1">
        <v>19893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/>
      <c r="V582" s="1">
        <f t="shared" si="33"/>
        <v>0</v>
      </c>
    </row>
    <row r="583" spans="1:22" x14ac:dyDescent="0.25">
      <c r="A583" t="s">
        <v>69</v>
      </c>
      <c r="B583" t="s">
        <v>631</v>
      </c>
      <c r="C583" s="1">
        <v>15210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f>SUM(H583,I583)</f>
        <v>0</v>
      </c>
      <c r="K583" s="1"/>
      <c r="M583">
        <v>616</v>
      </c>
      <c r="N583" t="s">
        <v>654</v>
      </c>
      <c r="O583" s="1">
        <v>13264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/>
      <c r="V583" s="1">
        <f t="shared" si="33"/>
        <v>0</v>
      </c>
    </row>
    <row r="584" spans="1:22" x14ac:dyDescent="0.25">
      <c r="A584" t="s">
        <v>823</v>
      </c>
      <c r="B584" s="5" t="s">
        <v>632</v>
      </c>
      <c r="C584" s="6"/>
      <c r="D584" s="6"/>
      <c r="E584" s="6"/>
      <c r="F584" s="6"/>
      <c r="G584" s="6"/>
      <c r="H584" s="6"/>
      <c r="I584" s="6"/>
      <c r="J584" s="6"/>
      <c r="K584" s="6" t="s">
        <v>867</v>
      </c>
      <c r="M584">
        <v>120</v>
      </c>
      <c r="N584" t="s">
        <v>655</v>
      </c>
      <c r="O584" s="1">
        <v>4406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/>
      <c r="V584" s="1">
        <f t="shared" si="33"/>
        <v>0</v>
      </c>
    </row>
    <row r="585" spans="1:22" x14ac:dyDescent="0.25">
      <c r="A585" t="s">
        <v>76</v>
      </c>
      <c r="B585" t="s">
        <v>633</v>
      </c>
      <c r="C585" s="1">
        <v>3456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f>SUM(H585,I585)</f>
        <v>0</v>
      </c>
      <c r="K585" s="1"/>
      <c r="M585">
        <v>616</v>
      </c>
      <c r="N585" t="s">
        <v>656</v>
      </c>
      <c r="O585" s="1">
        <v>2990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/>
      <c r="V585" s="1">
        <f t="shared" si="33"/>
        <v>0</v>
      </c>
    </row>
    <row r="586" spans="1:22" x14ac:dyDescent="0.25">
      <c r="A586" t="s">
        <v>817</v>
      </c>
      <c r="B586" t="s">
        <v>634</v>
      </c>
      <c r="C586" s="1">
        <v>3456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f>SUM(H586,I586)</f>
        <v>0</v>
      </c>
      <c r="K586" s="1"/>
      <c r="M586">
        <v>111</v>
      </c>
      <c r="N586" t="s">
        <v>657</v>
      </c>
      <c r="O586" s="1">
        <v>22797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/>
      <c r="V586" s="1">
        <f t="shared" si="33"/>
        <v>0</v>
      </c>
    </row>
    <row r="587" spans="1:22" x14ac:dyDescent="0.25">
      <c r="A587" t="s">
        <v>801</v>
      </c>
      <c r="B587" t="s">
        <v>635</v>
      </c>
      <c r="C587" s="1"/>
      <c r="D587" s="1"/>
      <c r="E587" s="1"/>
      <c r="F587" s="1"/>
      <c r="G587" s="1"/>
      <c r="H587" s="1"/>
      <c r="I587" s="1"/>
      <c r="J587" s="1"/>
      <c r="K587" s="1"/>
      <c r="M587">
        <v>616</v>
      </c>
      <c r="N587" t="s">
        <v>658</v>
      </c>
      <c r="O587" s="1">
        <v>19754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/>
      <c r="V587" s="1">
        <f t="shared" si="33"/>
        <v>0</v>
      </c>
    </row>
    <row r="588" spans="1:22" x14ac:dyDescent="0.25">
      <c r="A588" t="s">
        <v>817</v>
      </c>
      <c r="B588" t="s">
        <v>636</v>
      </c>
      <c r="C588" s="1">
        <v>5488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f>SUM(H588,I588)</f>
        <v>0</v>
      </c>
      <c r="K588" s="1"/>
      <c r="M588">
        <v>130</v>
      </c>
      <c r="N588" t="s">
        <v>659</v>
      </c>
      <c r="O588" s="1">
        <v>4461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/>
      <c r="V588" s="1">
        <f t="shared" si="33"/>
        <v>0</v>
      </c>
    </row>
    <row r="589" spans="1:22" x14ac:dyDescent="0.25">
      <c r="A589" t="s">
        <v>824</v>
      </c>
      <c r="B589" t="s">
        <v>637</v>
      </c>
      <c r="C589" s="1"/>
      <c r="D589" s="1"/>
      <c r="E589" s="1"/>
      <c r="F589" s="1"/>
      <c r="G589" s="1"/>
      <c r="H589" s="1"/>
      <c r="I589" s="1"/>
      <c r="J589" s="1"/>
      <c r="K589" s="1"/>
      <c r="M589">
        <v>600</v>
      </c>
      <c r="N589" t="s">
        <v>660</v>
      </c>
      <c r="O589" s="1">
        <v>4471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/>
      <c r="V589" s="1">
        <f t="shared" si="33"/>
        <v>0</v>
      </c>
    </row>
    <row r="590" spans="1:22" x14ac:dyDescent="0.25">
      <c r="A590" t="s">
        <v>818</v>
      </c>
      <c r="B590" t="s">
        <v>638</v>
      </c>
      <c r="C590" s="1">
        <v>9820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f>SUM(H590,I590)</f>
        <v>0</v>
      </c>
      <c r="K590" s="1"/>
      <c r="M590">
        <v>124</v>
      </c>
      <c r="N590" t="s">
        <v>661</v>
      </c>
      <c r="O590" s="1">
        <v>3115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/>
      <c r="V590" s="1">
        <f t="shared" si="33"/>
        <v>0</v>
      </c>
    </row>
    <row r="591" spans="1:22" x14ac:dyDescent="0.25">
      <c r="A591" t="s">
        <v>817</v>
      </c>
      <c r="B591" t="s">
        <v>639</v>
      </c>
      <c r="C591" s="1">
        <v>9281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f>SUM(H591,I591)</f>
        <v>0</v>
      </c>
      <c r="K591" s="1"/>
      <c r="M591">
        <v>173</v>
      </c>
      <c r="N591" t="s">
        <v>662</v>
      </c>
      <c r="O591" s="1">
        <v>3409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/>
      <c r="V591" s="1">
        <f t="shared" si="33"/>
        <v>0</v>
      </c>
    </row>
    <row r="592" spans="1:22" x14ac:dyDescent="0.25">
      <c r="A592" t="s">
        <v>811</v>
      </c>
      <c r="B592" t="s">
        <v>640</v>
      </c>
      <c r="C592" s="1">
        <v>42696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f>SUM(H592,I592)</f>
        <v>0</v>
      </c>
      <c r="K592" s="1"/>
      <c r="M592">
        <v>511</v>
      </c>
      <c r="N592" t="s">
        <v>663</v>
      </c>
      <c r="O592" s="1">
        <v>1871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/>
      <c r="V592" s="1">
        <f t="shared" si="33"/>
        <v>0</v>
      </c>
    </row>
    <row r="593" spans="1:22" x14ac:dyDescent="0.25">
      <c r="A593" t="s">
        <v>811</v>
      </c>
      <c r="B593" s="5" t="s">
        <v>641</v>
      </c>
      <c r="C593" s="6"/>
      <c r="D593" s="6"/>
      <c r="E593" s="6"/>
      <c r="F593" s="6"/>
      <c r="G593" s="6"/>
      <c r="H593" s="6"/>
      <c r="I593" s="6"/>
      <c r="J593" s="6"/>
      <c r="K593" s="6" t="s">
        <v>867</v>
      </c>
      <c r="M593">
        <v>710</v>
      </c>
      <c r="N593" t="s">
        <v>664</v>
      </c>
      <c r="O593" s="1">
        <v>4996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/>
      <c r="V593" s="1">
        <f t="shared" si="33"/>
        <v>0</v>
      </c>
    </row>
    <row r="594" spans="1:22" x14ac:dyDescent="0.25">
      <c r="A594" t="s">
        <v>76</v>
      </c>
      <c r="B594" t="s">
        <v>642</v>
      </c>
      <c r="C594" s="1">
        <v>847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f>SUM(H594,I594)</f>
        <v>0</v>
      </c>
      <c r="K594" s="1"/>
      <c r="M594" t="s">
        <v>859</v>
      </c>
      <c r="N594" t="s">
        <v>665</v>
      </c>
      <c r="O594" s="1"/>
      <c r="P594" s="1"/>
      <c r="Q594" s="1"/>
      <c r="R594" s="1"/>
      <c r="S594" s="1"/>
      <c r="T594" s="1"/>
      <c r="U594" s="1"/>
      <c r="V594" s="1"/>
    </row>
    <row r="595" spans="1:22" x14ac:dyDescent="0.25">
      <c r="A595" t="s">
        <v>817</v>
      </c>
      <c r="B595" t="s">
        <v>643</v>
      </c>
      <c r="C595" s="1">
        <v>502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f>SUM(H595,I595)</f>
        <v>0</v>
      </c>
      <c r="K595" s="1"/>
      <c r="M595">
        <v>171</v>
      </c>
      <c r="N595" t="s">
        <v>666</v>
      </c>
      <c r="O595" s="1">
        <v>6698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/>
      <c r="V595" s="1">
        <f t="shared" si="33"/>
        <v>0</v>
      </c>
    </row>
    <row r="596" spans="1:22" x14ac:dyDescent="0.25">
      <c r="A596" t="s">
        <v>76</v>
      </c>
      <c r="B596" t="s">
        <v>644</v>
      </c>
      <c r="C596" s="1">
        <v>3344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f>SUM(H596,I596)</f>
        <v>0</v>
      </c>
      <c r="K596" s="1"/>
      <c r="M596">
        <v>133</v>
      </c>
      <c r="N596" t="s">
        <v>667</v>
      </c>
      <c r="O596" s="1">
        <v>1490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/>
      <c r="V596" s="1">
        <f t="shared" si="33"/>
        <v>0</v>
      </c>
    </row>
    <row r="597" spans="1:22" x14ac:dyDescent="0.25">
      <c r="A597" t="s">
        <v>817</v>
      </c>
      <c r="B597" t="s">
        <v>645</v>
      </c>
      <c r="C597" s="1">
        <v>18254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f>SUM(H597,I597)</f>
        <v>0</v>
      </c>
      <c r="K597" s="1"/>
      <c r="M597">
        <v>128</v>
      </c>
      <c r="N597" t="s">
        <v>668</v>
      </c>
      <c r="O597" s="1">
        <v>3368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/>
      <c r="V597" s="1">
        <f t="shared" si="33"/>
        <v>0</v>
      </c>
    </row>
    <row r="598" spans="1:22" x14ac:dyDescent="0.25">
      <c r="A598" t="s">
        <v>817</v>
      </c>
      <c r="B598" t="s">
        <v>646</v>
      </c>
      <c r="C598" s="1">
        <v>4087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f>SUM(H598,I598)</f>
        <v>0</v>
      </c>
      <c r="K598" s="1"/>
      <c r="M598">
        <v>131</v>
      </c>
      <c r="N598" t="s">
        <v>669</v>
      </c>
      <c r="O598" s="1">
        <v>17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/>
      <c r="V598" s="1">
        <f t="shared" si="33"/>
        <v>0</v>
      </c>
    </row>
    <row r="599" spans="1:22" x14ac:dyDescent="0.25">
      <c r="A599" t="s">
        <v>226</v>
      </c>
      <c r="B599" s="5" t="s">
        <v>647</v>
      </c>
      <c r="C599" s="6"/>
      <c r="D599" s="6"/>
      <c r="E599" s="6"/>
      <c r="F599" s="6"/>
      <c r="G599" s="6"/>
      <c r="H599" s="6"/>
      <c r="I599" s="6"/>
      <c r="J599" s="6"/>
      <c r="K599" s="6" t="s">
        <v>867</v>
      </c>
      <c r="M599">
        <v>132</v>
      </c>
      <c r="N599" t="s">
        <v>670</v>
      </c>
      <c r="O599" s="1">
        <v>22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/>
      <c r="V599" s="1">
        <f t="shared" ref="V599:V663" si="36">SUM(T599:U599)</f>
        <v>0</v>
      </c>
    </row>
    <row r="600" spans="1:22" x14ac:dyDescent="0.25">
      <c r="A600" t="s">
        <v>831</v>
      </c>
      <c r="B600" t="s">
        <v>648</v>
      </c>
      <c r="C600" s="1">
        <v>10733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f t="shared" ref="J600:J616" si="37">SUM(H600,I600)</f>
        <v>0</v>
      </c>
      <c r="K600" s="1"/>
      <c r="M600">
        <v>300</v>
      </c>
      <c r="N600" t="s">
        <v>671</v>
      </c>
      <c r="O600" s="1">
        <v>23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/>
      <c r="V600" s="1">
        <f t="shared" si="36"/>
        <v>0</v>
      </c>
    </row>
    <row r="601" spans="1:22" x14ac:dyDescent="0.25">
      <c r="A601" t="s">
        <v>818</v>
      </c>
      <c r="B601" t="s">
        <v>649</v>
      </c>
      <c r="C601" s="1">
        <v>4274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f t="shared" si="37"/>
        <v>0</v>
      </c>
      <c r="K601" s="1"/>
      <c r="M601">
        <v>116</v>
      </c>
      <c r="N601" t="s">
        <v>672</v>
      </c>
      <c r="O601" s="1">
        <v>21873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/>
      <c r="V601" s="1">
        <f t="shared" si="36"/>
        <v>0</v>
      </c>
    </row>
    <row r="602" spans="1:22" x14ac:dyDescent="0.25">
      <c r="A602" t="s">
        <v>817</v>
      </c>
      <c r="B602" t="s">
        <v>650</v>
      </c>
      <c r="C602" s="1">
        <v>5621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f t="shared" si="37"/>
        <v>0</v>
      </c>
      <c r="K602" s="1"/>
      <c r="M602">
        <v>148</v>
      </c>
      <c r="N602" t="s">
        <v>673</v>
      </c>
      <c r="O602" s="1">
        <v>3112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/>
      <c r="V602" s="1">
        <f t="shared" si="36"/>
        <v>0</v>
      </c>
    </row>
    <row r="603" spans="1:22" x14ac:dyDescent="0.25">
      <c r="A603" t="s">
        <v>817</v>
      </c>
      <c r="B603" t="s">
        <v>651</v>
      </c>
      <c r="C603" s="1">
        <v>5494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f t="shared" si="37"/>
        <v>0</v>
      </c>
      <c r="K603" s="1"/>
      <c r="M603">
        <v>116</v>
      </c>
      <c r="N603" t="s">
        <v>674</v>
      </c>
      <c r="O603" s="1">
        <v>19258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/>
      <c r="V603" s="1">
        <f t="shared" si="36"/>
        <v>0</v>
      </c>
    </row>
    <row r="604" spans="1:22" x14ac:dyDescent="0.25">
      <c r="A604" t="s">
        <v>817</v>
      </c>
      <c r="B604" t="s">
        <v>652</v>
      </c>
      <c r="C604" s="1">
        <v>1169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f t="shared" si="37"/>
        <v>0</v>
      </c>
      <c r="K604" s="1"/>
      <c r="M604" t="s">
        <v>854</v>
      </c>
      <c r="N604" t="s">
        <v>675</v>
      </c>
      <c r="O604" s="1"/>
      <c r="P604" s="1"/>
      <c r="Q604" s="1"/>
      <c r="R604" s="1"/>
      <c r="S604" s="1"/>
      <c r="T604" s="1"/>
      <c r="U604" s="1"/>
      <c r="V604" s="1"/>
    </row>
    <row r="605" spans="1:22" x14ac:dyDescent="0.25">
      <c r="A605" t="s">
        <v>817</v>
      </c>
      <c r="B605" t="s">
        <v>653</v>
      </c>
      <c r="C605" s="1">
        <v>19893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f t="shared" si="37"/>
        <v>0</v>
      </c>
      <c r="K605" s="1"/>
      <c r="M605">
        <v>511</v>
      </c>
      <c r="N605" t="s">
        <v>676</v>
      </c>
      <c r="O605" s="1">
        <v>7715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/>
      <c r="V605" s="1">
        <f t="shared" si="36"/>
        <v>0</v>
      </c>
    </row>
    <row r="606" spans="1:22" x14ac:dyDescent="0.25">
      <c r="A606" t="s">
        <v>817</v>
      </c>
      <c r="B606" t="s">
        <v>654</v>
      </c>
      <c r="C606" s="1">
        <v>13264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f t="shared" si="37"/>
        <v>0</v>
      </c>
      <c r="K606" s="1"/>
      <c r="M606">
        <v>300</v>
      </c>
      <c r="N606" t="s">
        <v>677</v>
      </c>
      <c r="O606" s="1">
        <v>1764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/>
      <c r="V606" s="1">
        <f t="shared" si="36"/>
        <v>0</v>
      </c>
    </row>
    <row r="607" spans="1:22" x14ac:dyDescent="0.25">
      <c r="A607" t="s">
        <v>826</v>
      </c>
      <c r="B607" t="s">
        <v>655</v>
      </c>
      <c r="C607" s="1">
        <v>4406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f t="shared" si="37"/>
        <v>0</v>
      </c>
      <c r="K607" s="1"/>
      <c r="M607" t="s">
        <v>815</v>
      </c>
      <c r="N607" t="s">
        <v>678</v>
      </c>
      <c r="O607" s="1">
        <v>8770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/>
      <c r="V607" s="1">
        <f t="shared" si="36"/>
        <v>0</v>
      </c>
    </row>
    <row r="608" spans="1:22" x14ac:dyDescent="0.25">
      <c r="A608" t="s">
        <v>817</v>
      </c>
      <c r="B608" t="s">
        <v>656</v>
      </c>
      <c r="C608" s="1">
        <v>2990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f t="shared" si="37"/>
        <v>0</v>
      </c>
      <c r="K608" s="1"/>
      <c r="M608">
        <v>171</v>
      </c>
      <c r="N608" t="s">
        <v>679</v>
      </c>
      <c r="O608" s="1">
        <v>1691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/>
      <c r="V608" s="1">
        <f t="shared" si="36"/>
        <v>0</v>
      </c>
    </row>
    <row r="609" spans="1:22" x14ac:dyDescent="0.25">
      <c r="A609" t="s">
        <v>811</v>
      </c>
      <c r="B609" t="s">
        <v>657</v>
      </c>
      <c r="C609" s="1">
        <v>22797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f t="shared" si="37"/>
        <v>0</v>
      </c>
      <c r="K609" s="1"/>
      <c r="M609">
        <v>113</v>
      </c>
      <c r="N609" t="s">
        <v>680</v>
      </c>
      <c r="O609" s="1">
        <v>5403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/>
      <c r="V609" s="1">
        <f t="shared" si="36"/>
        <v>0</v>
      </c>
    </row>
    <row r="610" spans="1:22" s="2" customFormat="1" x14ac:dyDescent="0.25">
      <c r="A610" t="s">
        <v>817</v>
      </c>
      <c r="B610" t="s">
        <v>658</v>
      </c>
      <c r="C610" s="1">
        <v>19754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f t="shared" si="37"/>
        <v>0</v>
      </c>
      <c r="K610" s="1"/>
      <c r="M610" t="s">
        <v>808</v>
      </c>
      <c r="N610" t="s">
        <v>681</v>
      </c>
      <c r="O610" s="1">
        <v>12243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/>
      <c r="V610" s="1">
        <f t="shared" si="36"/>
        <v>0</v>
      </c>
    </row>
    <row r="611" spans="1:22" x14ac:dyDescent="0.25">
      <c r="A611" t="s">
        <v>860</v>
      </c>
      <c r="B611" t="s">
        <v>659</v>
      </c>
      <c r="C611" s="1">
        <v>4461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f t="shared" si="37"/>
        <v>0</v>
      </c>
      <c r="K611" s="1"/>
      <c r="M611">
        <v>600</v>
      </c>
      <c r="N611" t="s">
        <v>682</v>
      </c>
      <c r="O611" s="1">
        <v>8213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/>
      <c r="V611" s="1">
        <f t="shared" si="36"/>
        <v>0</v>
      </c>
    </row>
    <row r="612" spans="1:22" x14ac:dyDescent="0.25">
      <c r="A612" t="s">
        <v>248</v>
      </c>
      <c r="B612" t="s">
        <v>660</v>
      </c>
      <c r="C612" s="1">
        <v>4471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f t="shared" si="37"/>
        <v>0</v>
      </c>
      <c r="K612" s="1"/>
      <c r="M612">
        <v>116</v>
      </c>
      <c r="N612" t="s">
        <v>683</v>
      </c>
      <c r="O612" s="1">
        <v>12821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/>
      <c r="V612" s="1">
        <f t="shared" si="36"/>
        <v>0</v>
      </c>
    </row>
    <row r="613" spans="1:22" x14ac:dyDescent="0.25">
      <c r="A613" t="s">
        <v>861</v>
      </c>
      <c r="B613" t="s">
        <v>661</v>
      </c>
      <c r="C613" s="1">
        <v>3115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f t="shared" si="37"/>
        <v>0</v>
      </c>
      <c r="K613" s="1"/>
      <c r="M613">
        <v>116</v>
      </c>
      <c r="N613" t="s">
        <v>684</v>
      </c>
      <c r="O613" s="1">
        <v>37851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/>
      <c r="V613" s="1">
        <f t="shared" si="36"/>
        <v>0</v>
      </c>
    </row>
    <row r="614" spans="1:22" x14ac:dyDescent="0.25">
      <c r="A614" t="s">
        <v>229</v>
      </c>
      <c r="B614" t="s">
        <v>662</v>
      </c>
      <c r="C614" s="1">
        <v>3409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f t="shared" si="37"/>
        <v>0</v>
      </c>
      <c r="K614" s="1"/>
      <c r="M614">
        <v>116</v>
      </c>
      <c r="N614" t="s">
        <v>685</v>
      </c>
      <c r="O614" s="1">
        <v>3005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/>
      <c r="V614" s="1">
        <f t="shared" si="36"/>
        <v>0</v>
      </c>
    </row>
    <row r="615" spans="1:22" x14ac:dyDescent="0.25">
      <c r="A615" t="s">
        <v>101</v>
      </c>
      <c r="B615" t="s">
        <v>663</v>
      </c>
      <c r="C615" s="1">
        <v>1871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f t="shared" si="37"/>
        <v>0</v>
      </c>
      <c r="K615" s="1"/>
      <c r="M615">
        <v>134</v>
      </c>
      <c r="N615" t="s">
        <v>686</v>
      </c>
      <c r="O615" s="1">
        <v>996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/>
      <c r="V615" s="1">
        <f t="shared" si="36"/>
        <v>0</v>
      </c>
    </row>
    <row r="616" spans="1:22" x14ac:dyDescent="0.25">
      <c r="A616" t="s">
        <v>69</v>
      </c>
      <c r="B616" t="s">
        <v>664</v>
      </c>
      <c r="C616" s="1">
        <v>4996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f t="shared" si="37"/>
        <v>0</v>
      </c>
      <c r="K616" s="1"/>
      <c r="M616">
        <v>149</v>
      </c>
      <c r="N616" t="s">
        <v>687</v>
      </c>
      <c r="O616" s="1">
        <v>4597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/>
      <c r="V616" s="1">
        <f t="shared" si="36"/>
        <v>0</v>
      </c>
    </row>
    <row r="617" spans="1:22" x14ac:dyDescent="0.25">
      <c r="A617" t="s">
        <v>859</v>
      </c>
      <c r="B617" t="s">
        <v>665</v>
      </c>
      <c r="C617" s="1"/>
      <c r="D617" s="1"/>
      <c r="E617" s="1"/>
      <c r="F617" s="1"/>
      <c r="G617" s="1"/>
      <c r="H617" s="1"/>
      <c r="I617" s="1"/>
      <c r="J617" s="1"/>
      <c r="K617" s="1"/>
      <c r="M617">
        <v>617</v>
      </c>
      <c r="N617" t="s">
        <v>688</v>
      </c>
      <c r="O617" s="1"/>
      <c r="P617" s="1"/>
      <c r="Q617" s="1"/>
      <c r="R617" s="1"/>
      <c r="S617" s="1"/>
      <c r="T617" s="1"/>
      <c r="U617" s="1"/>
      <c r="V617" s="1"/>
    </row>
    <row r="618" spans="1:22" x14ac:dyDescent="0.25">
      <c r="A618" t="s">
        <v>804</v>
      </c>
      <c r="B618" t="s">
        <v>666</v>
      </c>
      <c r="C618" s="1">
        <v>6698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f t="shared" ref="J618:J626" si="38">SUM(H618,I618)</f>
        <v>0</v>
      </c>
      <c r="K618" s="1"/>
      <c r="M618">
        <v>600</v>
      </c>
      <c r="N618" t="s">
        <v>689</v>
      </c>
      <c r="O618" s="1">
        <v>12761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/>
      <c r="V618" s="1">
        <f t="shared" si="36"/>
        <v>0</v>
      </c>
    </row>
    <row r="619" spans="1:22" x14ac:dyDescent="0.25">
      <c r="A619" t="s">
        <v>853</v>
      </c>
      <c r="B619" t="s">
        <v>667</v>
      </c>
      <c r="C619" s="1">
        <v>1490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f t="shared" si="38"/>
        <v>0</v>
      </c>
      <c r="K619" s="1"/>
      <c r="M619">
        <v>114</v>
      </c>
      <c r="N619" t="s">
        <v>690</v>
      </c>
      <c r="O619" s="1">
        <v>5891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/>
      <c r="V619" s="1">
        <f t="shared" si="36"/>
        <v>0</v>
      </c>
    </row>
    <row r="620" spans="1:22" x14ac:dyDescent="0.25">
      <c r="A620" t="s">
        <v>862</v>
      </c>
      <c r="B620" t="s">
        <v>668</v>
      </c>
      <c r="C620" s="1">
        <v>3368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f t="shared" si="38"/>
        <v>0</v>
      </c>
      <c r="K620" s="1"/>
      <c r="M620">
        <v>138</v>
      </c>
      <c r="N620" t="s">
        <v>691</v>
      </c>
      <c r="O620" s="1">
        <v>751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/>
      <c r="V620" s="1">
        <f t="shared" si="36"/>
        <v>0</v>
      </c>
    </row>
    <row r="621" spans="1:22" x14ac:dyDescent="0.25">
      <c r="A621" t="s">
        <v>847</v>
      </c>
      <c r="B621" t="s">
        <v>669</v>
      </c>
      <c r="C621" s="1">
        <v>17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f t="shared" si="38"/>
        <v>0</v>
      </c>
      <c r="K621" s="1"/>
      <c r="M621">
        <v>613</v>
      </c>
      <c r="N621" t="s">
        <v>692</v>
      </c>
      <c r="O621" s="1">
        <v>6866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/>
      <c r="V621" s="1">
        <f t="shared" si="36"/>
        <v>0</v>
      </c>
    </row>
    <row r="622" spans="1:22" x14ac:dyDescent="0.25">
      <c r="A622" t="s">
        <v>849</v>
      </c>
      <c r="B622" t="s">
        <v>670</v>
      </c>
      <c r="C622" s="1">
        <v>22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f t="shared" si="38"/>
        <v>0</v>
      </c>
      <c r="K622" s="1"/>
      <c r="M622">
        <v>500</v>
      </c>
      <c r="N622" t="s">
        <v>693</v>
      </c>
      <c r="O622" s="1"/>
      <c r="P622" s="1"/>
      <c r="Q622" s="1"/>
      <c r="R622" s="1"/>
      <c r="S622" s="1"/>
      <c r="T622" s="1"/>
      <c r="U622" s="1"/>
      <c r="V622" s="1"/>
    </row>
    <row r="623" spans="1:22" x14ac:dyDescent="0.25">
      <c r="A623" t="s">
        <v>226</v>
      </c>
      <c r="B623" t="s">
        <v>671</v>
      </c>
      <c r="C623" s="1">
        <v>23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f t="shared" si="38"/>
        <v>0</v>
      </c>
      <c r="K623" s="1"/>
      <c r="M623">
        <v>116</v>
      </c>
      <c r="N623" t="s">
        <v>694</v>
      </c>
      <c r="O623" s="1"/>
      <c r="P623" s="1"/>
      <c r="Q623" s="1"/>
      <c r="R623" s="1"/>
      <c r="S623" s="1"/>
      <c r="T623" s="1"/>
      <c r="U623" s="1"/>
      <c r="V623" s="1"/>
    </row>
    <row r="624" spans="1:22" x14ac:dyDescent="0.25">
      <c r="A624" t="s">
        <v>795</v>
      </c>
      <c r="B624" t="s">
        <v>672</v>
      </c>
      <c r="C624" s="1">
        <v>21873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f t="shared" si="38"/>
        <v>0</v>
      </c>
      <c r="K624" s="1"/>
      <c r="M624">
        <v>312</v>
      </c>
      <c r="N624" t="s">
        <v>695</v>
      </c>
      <c r="O624" s="1">
        <v>2218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/>
      <c r="V624" s="1">
        <f t="shared" si="36"/>
        <v>0</v>
      </c>
    </row>
    <row r="625" spans="1:22" x14ac:dyDescent="0.25">
      <c r="A625" t="s">
        <v>830</v>
      </c>
      <c r="B625" t="s">
        <v>673</v>
      </c>
      <c r="C625" s="1">
        <v>3112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f t="shared" si="38"/>
        <v>0</v>
      </c>
      <c r="K625" s="1"/>
      <c r="M625">
        <v>116</v>
      </c>
      <c r="N625" t="s">
        <v>696</v>
      </c>
      <c r="O625" s="1">
        <v>7056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/>
      <c r="V625" s="1">
        <f t="shared" si="36"/>
        <v>0</v>
      </c>
    </row>
    <row r="626" spans="1:22" x14ac:dyDescent="0.25">
      <c r="A626" t="s">
        <v>795</v>
      </c>
      <c r="B626" t="s">
        <v>674</v>
      </c>
      <c r="C626" s="1">
        <v>19258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f t="shared" si="38"/>
        <v>0</v>
      </c>
      <c r="K626" s="1"/>
      <c r="M626">
        <v>114</v>
      </c>
      <c r="N626" t="s">
        <v>697</v>
      </c>
      <c r="O626" s="1">
        <v>5216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/>
      <c r="V626" s="1">
        <f t="shared" si="36"/>
        <v>0</v>
      </c>
    </row>
    <row r="627" spans="1:22" x14ac:dyDescent="0.25">
      <c r="A627" t="s">
        <v>854</v>
      </c>
      <c r="B627" t="s">
        <v>675</v>
      </c>
      <c r="C627" s="1"/>
      <c r="D627" s="1"/>
      <c r="E627" s="1"/>
      <c r="F627" s="1"/>
      <c r="G627" s="1"/>
      <c r="H627" s="1"/>
      <c r="I627" s="1"/>
      <c r="J627" s="1"/>
      <c r="K627" s="1"/>
      <c r="M627">
        <v>141</v>
      </c>
      <c r="N627" t="s">
        <v>698</v>
      </c>
      <c r="O627" s="1">
        <v>8245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/>
      <c r="V627" s="1">
        <f t="shared" si="36"/>
        <v>0</v>
      </c>
    </row>
    <row r="628" spans="1:22" x14ac:dyDescent="0.25">
      <c r="A628" t="s">
        <v>101</v>
      </c>
      <c r="B628" t="s">
        <v>676</v>
      </c>
      <c r="C628" s="1">
        <v>7715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f t="shared" ref="J628:J639" si="39">SUM(H628,I628)</f>
        <v>0</v>
      </c>
      <c r="K628" s="1"/>
      <c r="M628">
        <v>111</v>
      </c>
      <c r="N628" t="s">
        <v>699</v>
      </c>
      <c r="O628" s="1">
        <v>9250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/>
      <c r="V628" s="1">
        <f t="shared" si="36"/>
        <v>0</v>
      </c>
    </row>
    <row r="629" spans="1:22" x14ac:dyDescent="0.25">
      <c r="A629" t="s">
        <v>226</v>
      </c>
      <c r="B629" t="s">
        <v>677</v>
      </c>
      <c r="C629" s="1">
        <v>1764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f t="shared" si="39"/>
        <v>0</v>
      </c>
      <c r="K629" s="1"/>
      <c r="M629">
        <v>135</v>
      </c>
      <c r="N629" t="s">
        <v>700</v>
      </c>
      <c r="O629" s="1">
        <v>9591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/>
      <c r="V629" s="1">
        <f t="shared" si="36"/>
        <v>0</v>
      </c>
    </row>
    <row r="630" spans="1:22" x14ac:dyDescent="0.25">
      <c r="A630" t="s">
        <v>138</v>
      </c>
      <c r="B630" t="s">
        <v>678</v>
      </c>
      <c r="C630" s="1">
        <v>8770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f t="shared" si="39"/>
        <v>0</v>
      </c>
      <c r="K630" s="1"/>
      <c r="M630">
        <v>713</v>
      </c>
      <c r="N630" t="s">
        <v>701</v>
      </c>
      <c r="O630" s="1">
        <v>7116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/>
      <c r="V630" s="1">
        <f t="shared" si="36"/>
        <v>0</v>
      </c>
    </row>
    <row r="631" spans="1:22" x14ac:dyDescent="0.25">
      <c r="A631" t="s">
        <v>804</v>
      </c>
      <c r="B631" t="s">
        <v>679</v>
      </c>
      <c r="C631" s="1">
        <v>1691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f t="shared" si="39"/>
        <v>0</v>
      </c>
      <c r="K631" s="1"/>
      <c r="M631">
        <v>313</v>
      </c>
      <c r="N631" t="s">
        <v>702</v>
      </c>
      <c r="O631" s="1">
        <v>1403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/>
      <c r="V631" s="1">
        <f t="shared" si="36"/>
        <v>0</v>
      </c>
    </row>
    <row r="632" spans="1:22" x14ac:dyDescent="0.25">
      <c r="A632" t="s">
        <v>823</v>
      </c>
      <c r="B632" t="s">
        <v>680</v>
      </c>
      <c r="C632" s="1">
        <v>5403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f t="shared" si="39"/>
        <v>0</v>
      </c>
      <c r="K632" s="1"/>
      <c r="M632">
        <v>126</v>
      </c>
      <c r="N632" t="s">
        <v>703</v>
      </c>
      <c r="O632" s="1">
        <v>1334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/>
      <c r="V632" s="1">
        <f t="shared" si="36"/>
        <v>0</v>
      </c>
    </row>
    <row r="633" spans="1:22" x14ac:dyDescent="0.25">
      <c r="A633" t="s">
        <v>809</v>
      </c>
      <c r="B633" t="s">
        <v>681</v>
      </c>
      <c r="C633" s="1">
        <v>12243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f t="shared" si="39"/>
        <v>0</v>
      </c>
      <c r="K633" s="1"/>
      <c r="M633">
        <v>611</v>
      </c>
      <c r="N633" t="s">
        <v>704</v>
      </c>
      <c r="O633" s="1">
        <v>5711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/>
      <c r="V633" s="1">
        <f t="shared" si="36"/>
        <v>0</v>
      </c>
    </row>
    <row r="634" spans="1:22" x14ac:dyDescent="0.25">
      <c r="A634" t="s">
        <v>248</v>
      </c>
      <c r="B634" t="s">
        <v>682</v>
      </c>
      <c r="C634" s="1">
        <v>8213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f t="shared" si="39"/>
        <v>0</v>
      </c>
      <c r="K634" s="1"/>
      <c r="M634">
        <v>152</v>
      </c>
      <c r="N634" t="s">
        <v>705</v>
      </c>
      <c r="O634" s="1"/>
      <c r="P634" s="1"/>
      <c r="Q634" s="1"/>
      <c r="R634" s="1"/>
      <c r="S634" s="1"/>
      <c r="T634" s="1"/>
      <c r="U634" s="1"/>
      <c r="V634" s="1"/>
    </row>
    <row r="635" spans="1:22" x14ac:dyDescent="0.25">
      <c r="A635" t="s">
        <v>795</v>
      </c>
      <c r="B635" t="s">
        <v>683</v>
      </c>
      <c r="C635" s="1">
        <v>12821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f t="shared" si="39"/>
        <v>0</v>
      </c>
      <c r="K635" s="1"/>
      <c r="M635">
        <v>123</v>
      </c>
      <c r="N635" t="s">
        <v>706</v>
      </c>
      <c r="O635" s="1">
        <v>2034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/>
      <c r="V635" s="1">
        <f t="shared" si="36"/>
        <v>0</v>
      </c>
    </row>
    <row r="636" spans="1:22" x14ac:dyDescent="0.25">
      <c r="A636" t="s">
        <v>795</v>
      </c>
      <c r="B636" t="s">
        <v>684</v>
      </c>
      <c r="C636" s="1">
        <v>37851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f t="shared" si="39"/>
        <v>0</v>
      </c>
      <c r="K636" s="1"/>
      <c r="M636" t="s">
        <v>814</v>
      </c>
      <c r="N636" t="s">
        <v>707</v>
      </c>
      <c r="O636" s="1">
        <v>2347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/>
      <c r="V636" s="1">
        <f t="shared" si="36"/>
        <v>0</v>
      </c>
    </row>
    <row r="637" spans="1:22" x14ac:dyDescent="0.25">
      <c r="A637" t="s">
        <v>795</v>
      </c>
      <c r="B637" t="s">
        <v>685</v>
      </c>
      <c r="C637" s="1">
        <v>3005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f t="shared" si="39"/>
        <v>0</v>
      </c>
      <c r="K637" s="1"/>
      <c r="M637">
        <v>127</v>
      </c>
      <c r="N637" t="s">
        <v>708</v>
      </c>
      <c r="O637" s="1"/>
      <c r="P637" s="1"/>
      <c r="Q637" s="1"/>
      <c r="R637" s="1"/>
      <c r="S637" s="1"/>
      <c r="T637" s="1"/>
      <c r="U637" s="1"/>
      <c r="V637" s="1"/>
    </row>
    <row r="638" spans="1:22" x14ac:dyDescent="0.25">
      <c r="A638" t="s">
        <v>851</v>
      </c>
      <c r="B638" t="s">
        <v>686</v>
      </c>
      <c r="C638" s="1">
        <v>996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f t="shared" si="39"/>
        <v>0</v>
      </c>
      <c r="K638" s="1"/>
      <c r="M638">
        <v>125</v>
      </c>
      <c r="N638" t="s">
        <v>709</v>
      </c>
      <c r="O638" s="1">
        <v>2752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/>
      <c r="V638" s="1">
        <f t="shared" si="36"/>
        <v>0</v>
      </c>
    </row>
    <row r="639" spans="1:22" x14ac:dyDescent="0.25">
      <c r="A639" t="s">
        <v>841</v>
      </c>
      <c r="B639" t="s">
        <v>687</v>
      </c>
      <c r="C639" s="1">
        <v>4597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f t="shared" si="39"/>
        <v>0</v>
      </c>
      <c r="K639" s="1"/>
      <c r="M639">
        <v>121</v>
      </c>
      <c r="N639" t="s">
        <v>710</v>
      </c>
      <c r="O639" s="1">
        <v>2335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/>
      <c r="V639" s="1">
        <f t="shared" si="36"/>
        <v>0</v>
      </c>
    </row>
    <row r="640" spans="1:22" x14ac:dyDescent="0.25">
      <c r="A640" t="s">
        <v>859</v>
      </c>
      <c r="B640" t="s">
        <v>688</v>
      </c>
      <c r="C640" s="1"/>
      <c r="D640" s="1"/>
      <c r="E640" s="1"/>
      <c r="F640" s="1"/>
      <c r="G640" s="1"/>
      <c r="H640" s="1"/>
      <c r="I640" s="1"/>
      <c r="J640" s="1"/>
      <c r="K640" s="1"/>
      <c r="M640">
        <v>500</v>
      </c>
      <c r="N640" t="s">
        <v>711</v>
      </c>
      <c r="O640" s="1"/>
      <c r="P640" s="1"/>
      <c r="Q640" s="1"/>
      <c r="R640" s="1"/>
      <c r="S640" s="1"/>
      <c r="T640" s="1"/>
      <c r="U640" s="1"/>
      <c r="V640" s="1"/>
    </row>
    <row r="641" spans="1:22" x14ac:dyDescent="0.25">
      <c r="A641" t="s">
        <v>248</v>
      </c>
      <c r="B641" t="s">
        <v>689</v>
      </c>
      <c r="C641" s="1">
        <v>12761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f>SUM(H641,I641)</f>
        <v>0</v>
      </c>
      <c r="K641" s="1"/>
      <c r="M641">
        <v>616.1</v>
      </c>
      <c r="N641" t="s">
        <v>712</v>
      </c>
      <c r="O641" s="1">
        <v>4335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/>
      <c r="V641" s="1">
        <f t="shared" si="36"/>
        <v>0</v>
      </c>
    </row>
    <row r="642" spans="1:22" x14ac:dyDescent="0.25">
      <c r="A642" t="s">
        <v>831</v>
      </c>
      <c r="B642" t="s">
        <v>690</v>
      </c>
      <c r="C642" s="1">
        <v>5891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f>SUM(H642,I642)</f>
        <v>0</v>
      </c>
      <c r="K642" s="1"/>
      <c r="M642">
        <v>122</v>
      </c>
      <c r="N642" t="s">
        <v>713</v>
      </c>
      <c r="O642" s="1">
        <v>2547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/>
      <c r="V642" s="1">
        <f t="shared" si="36"/>
        <v>0</v>
      </c>
    </row>
    <row r="643" spans="1:22" x14ac:dyDescent="0.25">
      <c r="A643" t="s">
        <v>840</v>
      </c>
      <c r="B643" t="s">
        <v>691</v>
      </c>
      <c r="C643" s="1">
        <v>751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f>SUM(H643,I643)</f>
        <v>0</v>
      </c>
      <c r="K643" s="1"/>
      <c r="M643">
        <v>611</v>
      </c>
      <c r="N643" t="s">
        <v>714</v>
      </c>
      <c r="O643" s="1">
        <v>8382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/>
      <c r="V643" s="1">
        <f t="shared" si="36"/>
        <v>0</v>
      </c>
    </row>
    <row r="644" spans="1:22" x14ac:dyDescent="0.25">
      <c r="A644" t="s">
        <v>495</v>
      </c>
      <c r="B644" t="s">
        <v>692</v>
      </c>
      <c r="C644" s="1">
        <v>6866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f>SUM(H644,I644)</f>
        <v>0</v>
      </c>
      <c r="K644" s="1"/>
      <c r="M644">
        <v>311</v>
      </c>
      <c r="N644" t="s">
        <v>715</v>
      </c>
      <c r="O644" s="1"/>
      <c r="P644" s="1"/>
      <c r="Q644" s="1"/>
      <c r="R644" s="1"/>
      <c r="S644" s="1"/>
      <c r="T644" s="1"/>
      <c r="U644" s="1"/>
      <c r="V644" s="1"/>
    </row>
    <row r="645" spans="1:22" x14ac:dyDescent="0.25">
      <c r="A645" t="s">
        <v>824</v>
      </c>
      <c r="B645" t="s">
        <v>693</v>
      </c>
      <c r="C645" s="1"/>
      <c r="D645" s="1"/>
      <c r="E645" s="1"/>
      <c r="F645" s="1"/>
      <c r="G645" s="1"/>
      <c r="H645" s="1"/>
      <c r="I645" s="1"/>
      <c r="J645" s="1"/>
      <c r="K645" s="1"/>
      <c r="M645">
        <v>611</v>
      </c>
      <c r="N645" t="s">
        <v>716</v>
      </c>
      <c r="O645" s="1">
        <v>2821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/>
      <c r="V645" s="1">
        <f t="shared" si="36"/>
        <v>0</v>
      </c>
    </row>
    <row r="646" spans="1:22" x14ac:dyDescent="0.25">
      <c r="A646" t="s">
        <v>795</v>
      </c>
      <c r="B646" t="s">
        <v>694</v>
      </c>
      <c r="C646" s="1"/>
      <c r="D646" s="1"/>
      <c r="E646" s="1"/>
      <c r="F646" s="1"/>
      <c r="G646" s="1"/>
      <c r="H646" s="1"/>
      <c r="I646" s="1"/>
      <c r="J646" s="1"/>
      <c r="K646" s="1"/>
      <c r="M646">
        <v>116</v>
      </c>
      <c r="N646" t="s">
        <v>717</v>
      </c>
      <c r="O646" s="1">
        <v>4546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/>
      <c r="V646" s="1">
        <f t="shared" si="36"/>
        <v>0</v>
      </c>
    </row>
    <row r="647" spans="1:22" x14ac:dyDescent="0.25">
      <c r="A647" t="s">
        <v>72</v>
      </c>
      <c r="B647" t="s">
        <v>695</v>
      </c>
      <c r="C647" s="1">
        <v>2218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f t="shared" ref="J647:J656" si="40">SUM(H647,I647)</f>
        <v>0</v>
      </c>
      <c r="K647" s="1"/>
      <c r="M647">
        <v>611</v>
      </c>
      <c r="N647" t="s">
        <v>718</v>
      </c>
      <c r="O647" s="1">
        <v>5443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/>
      <c r="V647" s="1">
        <f t="shared" si="36"/>
        <v>0</v>
      </c>
    </row>
    <row r="648" spans="1:22" x14ac:dyDescent="0.25">
      <c r="A648" t="s">
        <v>795</v>
      </c>
      <c r="B648" t="s">
        <v>696</v>
      </c>
      <c r="C648" s="1">
        <v>7056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f t="shared" si="40"/>
        <v>0</v>
      </c>
      <c r="K648" s="1"/>
      <c r="M648">
        <v>515</v>
      </c>
      <c r="N648" t="s">
        <v>719</v>
      </c>
      <c r="O648" s="1">
        <v>189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/>
      <c r="V648" s="1">
        <f t="shared" si="36"/>
        <v>0</v>
      </c>
    </row>
    <row r="649" spans="1:22" x14ac:dyDescent="0.25">
      <c r="A649" t="s">
        <v>831</v>
      </c>
      <c r="B649" t="s">
        <v>697</v>
      </c>
      <c r="C649" s="1">
        <v>5216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f t="shared" si="40"/>
        <v>0</v>
      </c>
      <c r="K649" s="1"/>
      <c r="M649">
        <v>616</v>
      </c>
      <c r="N649" t="s">
        <v>720</v>
      </c>
      <c r="O649" s="1">
        <v>14854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/>
      <c r="V649" s="1">
        <f t="shared" si="36"/>
        <v>0</v>
      </c>
    </row>
    <row r="650" spans="1:22" x14ac:dyDescent="0.25">
      <c r="A650" t="s">
        <v>829</v>
      </c>
      <c r="B650" t="s">
        <v>698</v>
      </c>
      <c r="C650" s="1">
        <v>8245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f t="shared" si="40"/>
        <v>0</v>
      </c>
      <c r="K650" s="1"/>
      <c r="M650">
        <v>211</v>
      </c>
      <c r="N650" t="s">
        <v>721</v>
      </c>
      <c r="O650" s="1">
        <v>23011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/>
      <c r="V650" s="1">
        <f t="shared" si="36"/>
        <v>0</v>
      </c>
    </row>
    <row r="651" spans="1:22" x14ac:dyDescent="0.25">
      <c r="A651" t="s">
        <v>811</v>
      </c>
      <c r="B651" t="s">
        <v>699</v>
      </c>
      <c r="C651" s="1">
        <v>9250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f t="shared" si="40"/>
        <v>0</v>
      </c>
      <c r="K651" s="1"/>
      <c r="M651">
        <v>611</v>
      </c>
      <c r="N651" t="s">
        <v>722</v>
      </c>
      <c r="O651" s="1">
        <v>2288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/>
      <c r="V651" s="1">
        <f t="shared" si="36"/>
        <v>0</v>
      </c>
    </row>
    <row r="652" spans="1:22" x14ac:dyDescent="0.25">
      <c r="A652" t="s">
        <v>856</v>
      </c>
      <c r="B652" t="s">
        <v>700</v>
      </c>
      <c r="C652" s="1">
        <v>9591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f t="shared" si="40"/>
        <v>0</v>
      </c>
      <c r="K652" s="1"/>
      <c r="M652">
        <v>137</v>
      </c>
      <c r="N652" t="s">
        <v>723</v>
      </c>
      <c r="O652" s="1">
        <v>3926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/>
      <c r="V652" s="1">
        <f t="shared" si="36"/>
        <v>0</v>
      </c>
    </row>
    <row r="653" spans="1:22" x14ac:dyDescent="0.25">
      <c r="A653" t="s">
        <v>796</v>
      </c>
      <c r="B653" t="s">
        <v>701</v>
      </c>
      <c r="C653" s="1">
        <f>7116</f>
        <v>7116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f t="shared" si="40"/>
        <v>0</v>
      </c>
      <c r="K653" s="1"/>
      <c r="M653">
        <v>211</v>
      </c>
      <c r="N653" t="s">
        <v>724</v>
      </c>
      <c r="O653" s="1">
        <v>41385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/>
      <c r="V653" s="1">
        <f t="shared" si="36"/>
        <v>0</v>
      </c>
    </row>
    <row r="654" spans="1:22" x14ac:dyDescent="0.25">
      <c r="A654" t="s">
        <v>512</v>
      </c>
      <c r="B654" t="s">
        <v>702</v>
      </c>
      <c r="C654" s="1">
        <v>1403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f t="shared" si="40"/>
        <v>0</v>
      </c>
      <c r="K654" s="1"/>
      <c r="M654" t="s">
        <v>814</v>
      </c>
      <c r="N654" t="s">
        <v>725</v>
      </c>
      <c r="O654" s="1">
        <v>8581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/>
      <c r="V654" s="1">
        <f t="shared" si="36"/>
        <v>0</v>
      </c>
    </row>
    <row r="655" spans="1:22" x14ac:dyDescent="0.25">
      <c r="A655" t="s">
        <v>850</v>
      </c>
      <c r="B655" t="s">
        <v>703</v>
      </c>
      <c r="C655" s="1">
        <v>1334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f t="shared" si="40"/>
        <v>0</v>
      </c>
      <c r="K655" s="1"/>
      <c r="M655">
        <v>211</v>
      </c>
      <c r="N655" t="s">
        <v>726</v>
      </c>
      <c r="O655" s="1">
        <v>13763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/>
      <c r="V655" s="1">
        <f t="shared" si="36"/>
        <v>0</v>
      </c>
    </row>
    <row r="656" spans="1:22" x14ac:dyDescent="0.25">
      <c r="A656" t="s">
        <v>146</v>
      </c>
      <c r="B656" t="s">
        <v>704</v>
      </c>
      <c r="C656" s="1">
        <v>5711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f t="shared" si="40"/>
        <v>0</v>
      </c>
      <c r="K656" s="1"/>
      <c r="M656">
        <v>713</v>
      </c>
      <c r="N656" s="1" t="s">
        <v>727</v>
      </c>
      <c r="O656" s="1"/>
      <c r="P656" s="1"/>
      <c r="Q656" s="1"/>
      <c r="R656" s="1"/>
      <c r="S656" s="1"/>
      <c r="T656" s="1"/>
      <c r="U656" s="1"/>
      <c r="V656" s="1"/>
    </row>
    <row r="657" spans="1:22" x14ac:dyDescent="0.25">
      <c r="A657" t="s">
        <v>846</v>
      </c>
      <c r="B657" t="s">
        <v>705</v>
      </c>
      <c r="C657" s="1"/>
      <c r="D657" s="1"/>
      <c r="E657" s="1"/>
      <c r="F657" s="1"/>
      <c r="G657" s="1"/>
      <c r="H657" s="1"/>
      <c r="I657" s="1"/>
      <c r="J657" s="1"/>
      <c r="K657" s="1"/>
      <c r="M657">
        <v>514</v>
      </c>
      <c r="N657" t="s">
        <v>728</v>
      </c>
      <c r="O657" s="1">
        <v>1067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/>
      <c r="V657" s="1">
        <f t="shared" si="36"/>
        <v>0</v>
      </c>
    </row>
    <row r="658" spans="1:22" x14ac:dyDescent="0.25">
      <c r="A658" t="s">
        <v>855</v>
      </c>
      <c r="B658" t="s">
        <v>706</v>
      </c>
      <c r="C658" s="1">
        <v>2034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f>SUM(H658,I658)</f>
        <v>0</v>
      </c>
      <c r="K658" s="1"/>
      <c r="M658" t="s">
        <v>815</v>
      </c>
      <c r="N658" t="s">
        <v>729</v>
      </c>
      <c r="O658" s="1">
        <v>2715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/>
      <c r="V658" s="1">
        <f t="shared" si="36"/>
        <v>0</v>
      </c>
    </row>
    <row r="659" spans="1:22" x14ac:dyDescent="0.25">
      <c r="A659" t="s">
        <v>794</v>
      </c>
      <c r="B659" t="s">
        <v>707</v>
      </c>
      <c r="C659" s="1">
        <v>2347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f>SUM(H659,I659)</f>
        <v>0</v>
      </c>
      <c r="K659" s="1"/>
      <c r="M659">
        <v>610</v>
      </c>
      <c r="N659" t="s">
        <v>730</v>
      </c>
      <c r="O659" s="1">
        <v>230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/>
      <c r="V659" s="1">
        <f t="shared" si="36"/>
        <v>0</v>
      </c>
    </row>
    <row r="660" spans="1:22" x14ac:dyDescent="0.25">
      <c r="A660" t="s">
        <v>108</v>
      </c>
      <c r="B660" t="s">
        <v>708</v>
      </c>
      <c r="C660" s="1"/>
      <c r="D660" s="1"/>
      <c r="E660" s="1"/>
      <c r="F660" s="1"/>
      <c r="G660" s="1"/>
      <c r="H660" s="1"/>
      <c r="I660" s="1"/>
      <c r="J660" s="1"/>
      <c r="K660" s="1"/>
      <c r="M660">
        <v>114</v>
      </c>
      <c r="N660" t="s">
        <v>731</v>
      </c>
      <c r="O660" s="1">
        <v>969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/>
      <c r="V660" s="1">
        <f t="shared" si="36"/>
        <v>0</v>
      </c>
    </row>
    <row r="661" spans="1:22" x14ac:dyDescent="0.25">
      <c r="A661" t="s">
        <v>834</v>
      </c>
      <c r="B661" t="s">
        <v>709</v>
      </c>
      <c r="C661" s="1">
        <v>2752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f>SUM(H661,I661)</f>
        <v>0</v>
      </c>
      <c r="K661" s="1"/>
      <c r="M661" t="s">
        <v>815</v>
      </c>
      <c r="N661" t="s">
        <v>732</v>
      </c>
      <c r="O661" s="1">
        <v>2628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/>
      <c r="V661" s="1">
        <f t="shared" si="36"/>
        <v>0</v>
      </c>
    </row>
    <row r="662" spans="1:22" x14ac:dyDescent="0.25">
      <c r="A662" t="s">
        <v>852</v>
      </c>
      <c r="B662" t="s">
        <v>710</v>
      </c>
      <c r="C662" s="1">
        <v>2335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f>SUM(H662,I662)</f>
        <v>0</v>
      </c>
      <c r="K662" s="1"/>
      <c r="M662" t="s">
        <v>808</v>
      </c>
      <c r="N662" t="s">
        <v>733</v>
      </c>
      <c r="O662" s="1">
        <v>8567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/>
      <c r="V662" s="1">
        <f t="shared" si="36"/>
        <v>0</v>
      </c>
    </row>
    <row r="663" spans="1:22" x14ac:dyDescent="0.25">
      <c r="A663" t="s">
        <v>824</v>
      </c>
      <c r="B663" t="s">
        <v>711</v>
      </c>
      <c r="C663" s="1"/>
      <c r="D663" s="1"/>
      <c r="E663" s="1"/>
      <c r="F663" s="1"/>
      <c r="G663" s="1"/>
      <c r="H663" s="1"/>
      <c r="I663" s="1"/>
      <c r="J663" s="1"/>
      <c r="K663" s="1"/>
      <c r="M663">
        <v>200</v>
      </c>
      <c r="N663" t="s">
        <v>734</v>
      </c>
      <c r="O663" s="1">
        <v>546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/>
      <c r="V663" s="1">
        <f t="shared" si="36"/>
        <v>0</v>
      </c>
    </row>
    <row r="664" spans="1:22" x14ac:dyDescent="0.25">
      <c r="A664" t="s">
        <v>817</v>
      </c>
      <c r="B664" t="s">
        <v>712</v>
      </c>
      <c r="C664" s="1">
        <v>4335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f>SUM(H664,I664)</f>
        <v>0</v>
      </c>
      <c r="K664" s="1"/>
      <c r="M664">
        <v>616</v>
      </c>
      <c r="N664" t="s">
        <v>735</v>
      </c>
      <c r="O664" s="1">
        <v>2509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/>
      <c r="V664" s="1">
        <f t="shared" ref="V664:V703" si="41">SUM(T664:U664)</f>
        <v>0</v>
      </c>
    </row>
    <row r="665" spans="1:22" x14ac:dyDescent="0.25">
      <c r="A665" t="s">
        <v>857</v>
      </c>
      <c r="B665" t="s">
        <v>713</v>
      </c>
      <c r="C665" s="1"/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f>SUM(H665,I665)</f>
        <v>0</v>
      </c>
      <c r="K665" s="1"/>
      <c r="M665">
        <v>711</v>
      </c>
      <c r="N665" t="s">
        <v>736</v>
      </c>
      <c r="O665" s="1"/>
      <c r="P665" s="1"/>
      <c r="Q665" s="1"/>
      <c r="R665" s="1"/>
      <c r="S665" s="1"/>
      <c r="T665" s="1"/>
      <c r="U665" s="1"/>
      <c r="V665" s="1"/>
    </row>
    <row r="666" spans="1:22" x14ac:dyDescent="0.25">
      <c r="A666" t="s">
        <v>146</v>
      </c>
      <c r="B666" t="s">
        <v>714</v>
      </c>
      <c r="C666" s="1">
        <v>8382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f>SUM(H666,I666)</f>
        <v>0</v>
      </c>
      <c r="K666" s="1"/>
      <c r="M666" t="s">
        <v>815</v>
      </c>
      <c r="N666" t="s">
        <v>737</v>
      </c>
      <c r="O666" s="1">
        <v>5577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/>
      <c r="V666" s="1">
        <f t="shared" si="41"/>
        <v>0</v>
      </c>
    </row>
    <row r="667" spans="1:22" x14ac:dyDescent="0.25">
      <c r="A667" t="s">
        <v>120</v>
      </c>
      <c r="B667" t="s">
        <v>715</v>
      </c>
      <c r="C667" s="1"/>
      <c r="D667" s="1"/>
      <c r="E667" s="1"/>
      <c r="F667" s="1"/>
      <c r="G667" s="1"/>
      <c r="H667" s="1"/>
      <c r="I667" s="1"/>
      <c r="J667" s="1"/>
      <c r="K667" s="1"/>
      <c r="M667" t="s">
        <v>815</v>
      </c>
      <c r="N667" t="s">
        <v>738</v>
      </c>
      <c r="O667" s="1">
        <v>3498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/>
      <c r="V667" s="1">
        <f t="shared" si="41"/>
        <v>0</v>
      </c>
    </row>
    <row r="668" spans="1:22" x14ac:dyDescent="0.25">
      <c r="A668" t="s">
        <v>146</v>
      </c>
      <c r="B668" t="s">
        <v>716</v>
      </c>
      <c r="C668" s="1">
        <v>2821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f t="shared" ref="J668:J678" si="42">SUM(H668,I668)</f>
        <v>0</v>
      </c>
      <c r="K668" s="1"/>
      <c r="M668">
        <v>600</v>
      </c>
      <c r="N668" t="s">
        <v>739</v>
      </c>
      <c r="O668" s="1">
        <v>5684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/>
      <c r="V668" s="1">
        <f t="shared" si="41"/>
        <v>0</v>
      </c>
    </row>
    <row r="669" spans="1:22" x14ac:dyDescent="0.25">
      <c r="A669" t="s">
        <v>795</v>
      </c>
      <c r="B669" t="s">
        <v>717</v>
      </c>
      <c r="C669" s="1">
        <v>4546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f t="shared" si="42"/>
        <v>0</v>
      </c>
      <c r="K669" s="1"/>
      <c r="M669" t="s">
        <v>815</v>
      </c>
      <c r="N669" t="s">
        <v>740</v>
      </c>
      <c r="O669" s="1">
        <v>2124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/>
      <c r="V669" s="1">
        <f t="shared" si="41"/>
        <v>0</v>
      </c>
    </row>
    <row r="670" spans="1:22" x14ac:dyDescent="0.25">
      <c r="A670" t="s">
        <v>146</v>
      </c>
      <c r="B670" t="s">
        <v>718</v>
      </c>
      <c r="C670" s="1">
        <v>5443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f t="shared" si="42"/>
        <v>0</v>
      </c>
      <c r="K670" s="1"/>
      <c r="M670">
        <v>514</v>
      </c>
      <c r="N670" t="s">
        <v>741</v>
      </c>
      <c r="O670" s="1">
        <v>2164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/>
      <c r="V670" s="1">
        <f t="shared" si="41"/>
        <v>0</v>
      </c>
    </row>
    <row r="671" spans="1:22" x14ac:dyDescent="0.25">
      <c r="A671" t="s">
        <v>816</v>
      </c>
      <c r="B671" t="s">
        <v>719</v>
      </c>
      <c r="C671" s="1"/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f t="shared" si="42"/>
        <v>0</v>
      </c>
      <c r="K671" s="1"/>
      <c r="M671">
        <v>118</v>
      </c>
      <c r="N671" t="s">
        <v>742</v>
      </c>
      <c r="O671" s="1">
        <v>4089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/>
      <c r="V671" s="1">
        <f t="shared" si="41"/>
        <v>0</v>
      </c>
    </row>
    <row r="672" spans="1:22" x14ac:dyDescent="0.25">
      <c r="A672" t="s">
        <v>817</v>
      </c>
      <c r="B672" t="s">
        <v>720</v>
      </c>
      <c r="C672" s="1">
        <v>14854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f t="shared" si="42"/>
        <v>0</v>
      </c>
      <c r="K672" s="1"/>
      <c r="M672">
        <v>700</v>
      </c>
      <c r="N672" t="s">
        <v>743</v>
      </c>
      <c r="O672" s="1">
        <v>598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/>
      <c r="V672" s="1">
        <f t="shared" si="41"/>
        <v>0</v>
      </c>
    </row>
    <row r="673" spans="1:22" x14ac:dyDescent="0.25">
      <c r="A673" t="s">
        <v>864</v>
      </c>
      <c r="B673" t="s">
        <v>721</v>
      </c>
      <c r="C673" s="1">
        <v>23011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f t="shared" si="42"/>
        <v>0</v>
      </c>
      <c r="K673" s="1"/>
      <c r="M673">
        <v>120</v>
      </c>
      <c r="N673" t="s">
        <v>744</v>
      </c>
      <c r="O673" s="1">
        <v>395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/>
      <c r="V673" s="1">
        <f t="shared" si="41"/>
        <v>0</v>
      </c>
    </row>
    <row r="674" spans="1:22" x14ac:dyDescent="0.25">
      <c r="A674" t="s">
        <v>146</v>
      </c>
      <c r="B674" t="s">
        <v>722</v>
      </c>
      <c r="C674" s="1">
        <v>2288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f t="shared" si="42"/>
        <v>0</v>
      </c>
      <c r="K674" s="1"/>
      <c r="M674">
        <v>111</v>
      </c>
      <c r="N674" t="s">
        <v>745</v>
      </c>
      <c r="O674" s="1">
        <v>11832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/>
      <c r="V674" s="1">
        <f t="shared" si="41"/>
        <v>0</v>
      </c>
    </row>
    <row r="675" spans="1:22" x14ac:dyDescent="0.25">
      <c r="A675" t="s">
        <v>858</v>
      </c>
      <c r="B675" t="s">
        <v>723</v>
      </c>
      <c r="C675" s="1">
        <v>3926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f t="shared" si="42"/>
        <v>0</v>
      </c>
      <c r="K675" s="1"/>
      <c r="M675">
        <v>600</v>
      </c>
      <c r="N675" t="s">
        <v>746</v>
      </c>
      <c r="O675" s="1">
        <v>44741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/>
      <c r="V675" s="1">
        <f t="shared" si="41"/>
        <v>0</v>
      </c>
    </row>
    <row r="676" spans="1:22" x14ac:dyDescent="0.25">
      <c r="A676" t="s">
        <v>864</v>
      </c>
      <c r="B676" t="s">
        <v>724</v>
      </c>
      <c r="C676" s="1">
        <v>41385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f t="shared" si="42"/>
        <v>0</v>
      </c>
      <c r="K676" s="1"/>
      <c r="M676">
        <v>711</v>
      </c>
      <c r="N676" t="s">
        <v>747</v>
      </c>
      <c r="O676" s="1"/>
      <c r="P676" s="1"/>
      <c r="Q676" s="1"/>
      <c r="R676" s="1"/>
      <c r="S676" s="1"/>
      <c r="T676" s="1"/>
      <c r="U676" s="1"/>
      <c r="V676" s="1"/>
    </row>
    <row r="677" spans="1:22" x14ac:dyDescent="0.25">
      <c r="A677" t="s">
        <v>794</v>
      </c>
      <c r="B677" t="s">
        <v>725</v>
      </c>
      <c r="C677" s="1">
        <v>8581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f t="shared" si="42"/>
        <v>0</v>
      </c>
      <c r="K677" s="1"/>
      <c r="M677" t="s">
        <v>808</v>
      </c>
      <c r="N677" t="s">
        <v>748</v>
      </c>
      <c r="O677" s="1">
        <v>4560</v>
      </c>
      <c r="P677" s="1">
        <v>98</v>
      </c>
      <c r="Q677" s="1">
        <v>0</v>
      </c>
      <c r="R677" s="1">
        <v>0</v>
      </c>
      <c r="S677" s="1">
        <v>0</v>
      </c>
      <c r="T677" s="1">
        <v>0</v>
      </c>
      <c r="U677" s="1"/>
      <c r="V677" s="1">
        <f t="shared" si="41"/>
        <v>0</v>
      </c>
    </row>
    <row r="678" spans="1:22" x14ac:dyDescent="0.25">
      <c r="A678" t="s">
        <v>864</v>
      </c>
      <c r="B678" t="s">
        <v>726</v>
      </c>
      <c r="C678" s="1">
        <v>13763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f t="shared" si="42"/>
        <v>0</v>
      </c>
      <c r="K678" s="1"/>
      <c r="M678">
        <v>113</v>
      </c>
      <c r="N678" t="s">
        <v>749</v>
      </c>
      <c r="O678" s="1">
        <v>23620</v>
      </c>
      <c r="P678" s="1">
        <v>11</v>
      </c>
      <c r="Q678" s="1">
        <v>0</v>
      </c>
      <c r="R678" s="1">
        <v>0</v>
      </c>
      <c r="S678" s="1">
        <v>0</v>
      </c>
      <c r="T678" s="1">
        <v>0</v>
      </c>
      <c r="U678" s="1"/>
      <c r="V678" s="1">
        <f t="shared" si="41"/>
        <v>0</v>
      </c>
    </row>
    <row r="679" spans="1:22" x14ac:dyDescent="0.25">
      <c r="A679" t="s">
        <v>796</v>
      </c>
      <c r="B679" s="1" t="s">
        <v>727</v>
      </c>
      <c r="C679" s="1"/>
      <c r="D679" s="1"/>
      <c r="E679" s="1"/>
      <c r="F679" s="1"/>
      <c r="G679" s="1"/>
      <c r="H679" s="1"/>
      <c r="I679" s="1"/>
      <c r="J679" s="1"/>
      <c r="K679" s="1"/>
      <c r="M679">
        <v>300</v>
      </c>
      <c r="N679" t="s">
        <v>750</v>
      </c>
      <c r="O679" s="1">
        <v>1382</v>
      </c>
      <c r="P679" s="1">
        <v>27</v>
      </c>
      <c r="Q679" s="1">
        <v>0</v>
      </c>
      <c r="R679" s="1">
        <v>0</v>
      </c>
      <c r="S679" s="1">
        <v>0</v>
      </c>
      <c r="T679" s="1">
        <v>0</v>
      </c>
      <c r="U679" s="1"/>
      <c r="V679" s="1">
        <f t="shared" si="41"/>
        <v>0</v>
      </c>
    </row>
    <row r="680" spans="1:22" x14ac:dyDescent="0.25">
      <c r="A680" t="s">
        <v>134</v>
      </c>
      <c r="B680" t="s">
        <v>728</v>
      </c>
      <c r="C680" s="1">
        <v>1067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f t="shared" ref="J680:J687" si="43">SUM(H680,I680)</f>
        <v>0</v>
      </c>
      <c r="K680" s="1"/>
      <c r="M680">
        <v>111</v>
      </c>
      <c r="N680" t="s">
        <v>751</v>
      </c>
      <c r="O680" s="1">
        <v>4195</v>
      </c>
      <c r="P680" s="1">
        <v>28</v>
      </c>
      <c r="Q680" s="1">
        <v>0</v>
      </c>
      <c r="R680" s="1">
        <v>0</v>
      </c>
      <c r="S680" s="1">
        <v>0</v>
      </c>
      <c r="T680" s="1">
        <v>0</v>
      </c>
      <c r="U680" s="1"/>
      <c r="V680" s="1">
        <f t="shared" si="41"/>
        <v>0</v>
      </c>
    </row>
    <row r="681" spans="1:22" x14ac:dyDescent="0.25">
      <c r="A681" t="s">
        <v>138</v>
      </c>
      <c r="B681" t="s">
        <v>729</v>
      </c>
      <c r="C681" s="1">
        <v>2715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f t="shared" si="43"/>
        <v>0</v>
      </c>
      <c r="K681" s="1"/>
      <c r="M681">
        <v>110</v>
      </c>
      <c r="N681" t="s">
        <v>752</v>
      </c>
      <c r="O681" s="1">
        <v>10175</v>
      </c>
      <c r="P681" s="1">
        <v>13</v>
      </c>
      <c r="Q681" s="1">
        <v>0</v>
      </c>
      <c r="R681" s="1">
        <v>0</v>
      </c>
      <c r="S681" s="1">
        <v>0</v>
      </c>
      <c r="T681" s="1">
        <v>0</v>
      </c>
      <c r="U681" s="1"/>
      <c r="V681" s="1">
        <f t="shared" si="41"/>
        <v>0</v>
      </c>
    </row>
    <row r="682" spans="1:22" x14ac:dyDescent="0.25">
      <c r="A682" t="s">
        <v>788</v>
      </c>
      <c r="B682" t="s">
        <v>730</v>
      </c>
      <c r="C682" s="1">
        <v>230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f t="shared" si="43"/>
        <v>0</v>
      </c>
      <c r="K682" s="1"/>
      <c r="M682">
        <v>710</v>
      </c>
      <c r="N682" t="s">
        <v>753</v>
      </c>
      <c r="O682" s="1">
        <v>22403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/>
      <c r="V682" s="1">
        <f t="shared" si="41"/>
        <v>0</v>
      </c>
    </row>
    <row r="683" spans="1:22" x14ac:dyDescent="0.25">
      <c r="A683" t="s">
        <v>831</v>
      </c>
      <c r="B683" t="s">
        <v>731</v>
      </c>
      <c r="C683" s="1">
        <v>969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f t="shared" si="43"/>
        <v>0</v>
      </c>
      <c r="K683" s="1"/>
      <c r="M683">
        <v>500</v>
      </c>
      <c r="N683" t="s">
        <v>754</v>
      </c>
      <c r="O683" s="1">
        <v>4517</v>
      </c>
      <c r="P683" s="1">
        <v>20</v>
      </c>
      <c r="Q683" s="1">
        <v>0</v>
      </c>
      <c r="R683" s="1">
        <v>0</v>
      </c>
      <c r="S683" s="1">
        <v>0</v>
      </c>
      <c r="T683" s="1">
        <v>0</v>
      </c>
      <c r="U683" s="1"/>
      <c r="V683" s="1">
        <f t="shared" si="41"/>
        <v>0</v>
      </c>
    </row>
    <row r="684" spans="1:22" x14ac:dyDescent="0.25">
      <c r="A684" t="s">
        <v>138</v>
      </c>
      <c r="B684" t="s">
        <v>732</v>
      </c>
      <c r="C684" s="1">
        <v>2628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f t="shared" si="43"/>
        <v>0</v>
      </c>
      <c r="K684" s="1"/>
      <c r="M684">
        <v>616</v>
      </c>
      <c r="N684" t="s">
        <v>755</v>
      </c>
      <c r="O684" s="1">
        <v>28916</v>
      </c>
      <c r="P684" s="1">
        <v>38</v>
      </c>
      <c r="Q684" s="1">
        <v>0</v>
      </c>
      <c r="R684" s="1">
        <v>0</v>
      </c>
      <c r="S684" s="1">
        <v>0</v>
      </c>
      <c r="T684" s="1">
        <v>0</v>
      </c>
      <c r="U684" s="1"/>
      <c r="V684" s="1">
        <f t="shared" si="41"/>
        <v>0</v>
      </c>
    </row>
    <row r="685" spans="1:22" x14ac:dyDescent="0.25">
      <c r="A685" t="s">
        <v>809</v>
      </c>
      <c r="B685" t="s">
        <v>733</v>
      </c>
      <c r="C685" s="1">
        <v>8567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f t="shared" si="43"/>
        <v>0</v>
      </c>
      <c r="K685" s="1"/>
      <c r="M685" t="s">
        <v>814</v>
      </c>
      <c r="N685" t="s">
        <v>756</v>
      </c>
      <c r="O685" s="1">
        <v>17779</v>
      </c>
      <c r="P685" s="1">
        <v>119</v>
      </c>
      <c r="Q685" s="1">
        <v>0</v>
      </c>
      <c r="R685" s="1">
        <v>0</v>
      </c>
      <c r="S685" s="1">
        <v>0</v>
      </c>
      <c r="T685" s="1">
        <v>0</v>
      </c>
      <c r="U685" s="1"/>
      <c r="V685" s="1">
        <f t="shared" si="41"/>
        <v>0</v>
      </c>
    </row>
    <row r="686" spans="1:22" x14ac:dyDescent="0.25">
      <c r="A686" t="s">
        <v>806</v>
      </c>
      <c r="B686" t="s">
        <v>734</v>
      </c>
      <c r="C686" s="1">
        <v>546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f t="shared" si="43"/>
        <v>0</v>
      </c>
      <c r="K686" s="1"/>
      <c r="M686">
        <v>311</v>
      </c>
      <c r="N686" t="s">
        <v>757</v>
      </c>
      <c r="O686" s="1"/>
      <c r="P686" s="1"/>
      <c r="Q686" s="1"/>
      <c r="R686" s="1"/>
      <c r="S686" s="1"/>
      <c r="T686" s="1"/>
      <c r="U686" s="1"/>
      <c r="V686" s="1"/>
    </row>
    <row r="687" spans="1:22" x14ac:dyDescent="0.25">
      <c r="A687" t="s">
        <v>817</v>
      </c>
      <c r="B687" t="s">
        <v>735</v>
      </c>
      <c r="C687" s="1">
        <v>2509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f t="shared" si="43"/>
        <v>0</v>
      </c>
      <c r="K687" s="1"/>
      <c r="M687">
        <v>610</v>
      </c>
      <c r="N687" t="s">
        <v>758</v>
      </c>
      <c r="O687" s="1">
        <v>11688</v>
      </c>
      <c r="P687" s="1">
        <v>1</v>
      </c>
      <c r="Q687" s="1">
        <v>0</v>
      </c>
      <c r="R687" s="1">
        <v>0</v>
      </c>
      <c r="S687" s="1">
        <v>0</v>
      </c>
      <c r="T687" s="1">
        <v>0</v>
      </c>
      <c r="U687" s="1"/>
      <c r="V687" s="1">
        <f t="shared" si="41"/>
        <v>0</v>
      </c>
    </row>
    <row r="688" spans="1:22" x14ac:dyDescent="0.25">
      <c r="A688" t="s">
        <v>801</v>
      </c>
      <c r="B688" t="s">
        <v>736</v>
      </c>
      <c r="C688" s="1"/>
      <c r="D688" s="1"/>
      <c r="E688" s="1"/>
      <c r="F688" s="1"/>
      <c r="G688" s="1"/>
      <c r="H688" s="1"/>
      <c r="I688" s="1"/>
      <c r="J688" s="1"/>
      <c r="K688" s="1"/>
      <c r="M688">
        <v>611</v>
      </c>
      <c r="N688" t="s">
        <v>759</v>
      </c>
      <c r="O688" s="1">
        <v>40594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/>
      <c r="V688" s="1">
        <f t="shared" si="41"/>
        <v>0</v>
      </c>
    </row>
    <row r="689" spans="1:22" x14ac:dyDescent="0.25">
      <c r="A689" t="s">
        <v>138</v>
      </c>
      <c r="B689" t="s">
        <v>737</v>
      </c>
      <c r="C689" s="1">
        <v>5577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f t="shared" ref="J689:J698" si="44">SUM(H689,I689)</f>
        <v>0</v>
      </c>
      <c r="K689" s="1"/>
      <c r="M689">
        <v>116</v>
      </c>
      <c r="N689" t="s">
        <v>760</v>
      </c>
      <c r="O689" s="1">
        <v>25842</v>
      </c>
      <c r="P689" s="1">
        <v>16</v>
      </c>
      <c r="Q689" s="1">
        <v>0</v>
      </c>
      <c r="R689" s="1">
        <v>0</v>
      </c>
      <c r="S689" s="1">
        <v>0</v>
      </c>
      <c r="T689" s="1">
        <v>0</v>
      </c>
      <c r="U689" s="1"/>
      <c r="V689" s="1">
        <f t="shared" si="41"/>
        <v>0</v>
      </c>
    </row>
    <row r="690" spans="1:22" x14ac:dyDescent="0.25">
      <c r="A690" t="s">
        <v>138</v>
      </c>
      <c r="B690" t="s">
        <v>738</v>
      </c>
      <c r="C690" s="1">
        <v>3498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f t="shared" si="44"/>
        <v>0</v>
      </c>
      <c r="K690" s="1"/>
      <c r="M690">
        <v>600</v>
      </c>
      <c r="N690" t="s">
        <v>761</v>
      </c>
      <c r="O690" s="1">
        <v>6457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/>
      <c r="V690" s="1">
        <f t="shared" si="41"/>
        <v>0</v>
      </c>
    </row>
    <row r="691" spans="1:22" x14ac:dyDescent="0.25">
      <c r="A691" t="s">
        <v>248</v>
      </c>
      <c r="B691" t="s">
        <v>739</v>
      </c>
      <c r="C691" s="1">
        <v>5684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f t="shared" si="44"/>
        <v>0</v>
      </c>
      <c r="K691" s="1"/>
      <c r="M691">
        <v>713</v>
      </c>
      <c r="N691" t="s">
        <v>762</v>
      </c>
      <c r="O691" s="1"/>
      <c r="P691" s="1"/>
      <c r="Q691" s="1"/>
      <c r="R691" s="1"/>
      <c r="S691" s="1"/>
      <c r="T691" s="1"/>
      <c r="U691" s="1"/>
      <c r="V691" s="1"/>
    </row>
    <row r="692" spans="1:22" x14ac:dyDescent="0.25">
      <c r="A692" t="s">
        <v>138</v>
      </c>
      <c r="B692" t="s">
        <v>740</v>
      </c>
      <c r="C692" s="1">
        <v>2124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f t="shared" si="44"/>
        <v>0</v>
      </c>
      <c r="K692" s="1"/>
      <c r="M692" t="s">
        <v>815</v>
      </c>
      <c r="N692" t="s">
        <v>763</v>
      </c>
      <c r="O692" s="1">
        <v>19389</v>
      </c>
      <c r="P692" s="1">
        <v>53</v>
      </c>
      <c r="Q692" s="1">
        <v>0</v>
      </c>
      <c r="R692" s="1">
        <v>0</v>
      </c>
      <c r="S692" s="1">
        <v>0</v>
      </c>
      <c r="T692" s="1">
        <v>0</v>
      </c>
      <c r="U692" s="1"/>
      <c r="V692" s="1">
        <f t="shared" si="41"/>
        <v>0</v>
      </c>
    </row>
    <row r="693" spans="1:22" x14ac:dyDescent="0.25">
      <c r="A693" t="s">
        <v>134</v>
      </c>
      <c r="B693" t="s">
        <v>741</v>
      </c>
      <c r="C693" s="1">
        <v>2164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f t="shared" si="44"/>
        <v>0</v>
      </c>
      <c r="K693" s="1"/>
      <c r="M693" t="s">
        <v>820</v>
      </c>
      <c r="N693" t="s">
        <v>764</v>
      </c>
      <c r="O693" s="1">
        <v>4695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/>
      <c r="V693" s="1">
        <f t="shared" si="41"/>
        <v>0</v>
      </c>
    </row>
    <row r="694" spans="1:22" x14ac:dyDescent="0.25">
      <c r="A694" t="s">
        <v>231</v>
      </c>
      <c r="B694" t="s">
        <v>742</v>
      </c>
      <c r="C694" s="1">
        <v>4089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f t="shared" si="44"/>
        <v>0</v>
      </c>
      <c r="K694" s="1"/>
      <c r="M694">
        <v>113</v>
      </c>
      <c r="N694" t="s">
        <v>765</v>
      </c>
      <c r="O694" s="1">
        <v>8500</v>
      </c>
      <c r="P694" s="1">
        <v>21</v>
      </c>
      <c r="Q694" s="1">
        <v>0</v>
      </c>
      <c r="R694" s="1">
        <v>0</v>
      </c>
      <c r="S694" s="1">
        <v>0</v>
      </c>
      <c r="T694" s="1">
        <v>0</v>
      </c>
      <c r="U694" s="1"/>
      <c r="V694" s="1">
        <f t="shared" si="41"/>
        <v>0</v>
      </c>
    </row>
    <row r="695" spans="1:22" x14ac:dyDescent="0.25">
      <c r="A695" t="s">
        <v>83</v>
      </c>
      <c r="B695" t="s">
        <v>743</v>
      </c>
      <c r="C695" s="1">
        <v>598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f t="shared" si="44"/>
        <v>0</v>
      </c>
      <c r="K695" s="1"/>
      <c r="M695">
        <v>700</v>
      </c>
      <c r="N695" t="s">
        <v>766</v>
      </c>
      <c r="O695" s="1"/>
      <c r="P695" s="1"/>
      <c r="Q695" s="1"/>
      <c r="R695" s="1"/>
      <c r="S695" s="1"/>
      <c r="T695" s="1"/>
      <c r="U695" s="1"/>
      <c r="V695" s="1"/>
    </row>
    <row r="696" spans="1:22" x14ac:dyDescent="0.25">
      <c r="A696" t="s">
        <v>826</v>
      </c>
      <c r="B696" t="s">
        <v>744</v>
      </c>
      <c r="C696" s="1">
        <v>395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f t="shared" si="44"/>
        <v>0</v>
      </c>
      <c r="K696" s="1"/>
      <c r="M696">
        <v>211</v>
      </c>
      <c r="N696" t="s">
        <v>767</v>
      </c>
      <c r="O696" s="1">
        <v>7544</v>
      </c>
      <c r="P696" s="1">
        <v>19</v>
      </c>
      <c r="Q696" s="1">
        <v>0</v>
      </c>
      <c r="R696" s="1">
        <v>0</v>
      </c>
      <c r="S696" s="1">
        <v>0</v>
      </c>
      <c r="T696" s="1">
        <v>0</v>
      </c>
      <c r="U696" s="1"/>
      <c r="V696" s="1">
        <f t="shared" si="41"/>
        <v>0</v>
      </c>
    </row>
    <row r="697" spans="1:22" x14ac:dyDescent="0.25">
      <c r="A697" t="s">
        <v>811</v>
      </c>
      <c r="B697" t="s">
        <v>745</v>
      </c>
      <c r="C697" s="1">
        <v>11832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f t="shared" si="44"/>
        <v>0</v>
      </c>
      <c r="K697" s="1"/>
      <c r="M697">
        <v>712</v>
      </c>
      <c r="N697" t="s">
        <v>768</v>
      </c>
      <c r="O697" s="1">
        <v>17663</v>
      </c>
      <c r="P697" s="1">
        <v>68</v>
      </c>
      <c r="Q697" s="1">
        <v>0</v>
      </c>
      <c r="R697" s="1">
        <v>0</v>
      </c>
      <c r="S697" s="1">
        <v>0</v>
      </c>
      <c r="T697" s="1">
        <v>0</v>
      </c>
      <c r="U697" s="1"/>
      <c r="V697" s="1">
        <f t="shared" si="41"/>
        <v>0</v>
      </c>
    </row>
    <row r="698" spans="1:22" x14ac:dyDescent="0.25">
      <c r="A698" t="s">
        <v>248</v>
      </c>
      <c r="B698" t="s">
        <v>746</v>
      </c>
      <c r="C698" s="1">
        <v>44741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f t="shared" si="44"/>
        <v>0</v>
      </c>
      <c r="K698" s="1"/>
      <c r="M698">
        <v>511</v>
      </c>
      <c r="N698" t="s">
        <v>769</v>
      </c>
      <c r="O698" s="1">
        <v>10826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/>
      <c r="V698" s="1">
        <f t="shared" si="41"/>
        <v>0</v>
      </c>
    </row>
    <row r="699" spans="1:22" x14ac:dyDescent="0.25">
      <c r="A699" t="s">
        <v>801</v>
      </c>
      <c r="B699" t="s">
        <v>747</v>
      </c>
      <c r="C699" s="1"/>
      <c r="D699" s="1"/>
      <c r="E699" s="1"/>
      <c r="F699" s="1"/>
      <c r="G699" s="1"/>
      <c r="H699" s="1"/>
      <c r="I699" s="1"/>
      <c r="J699" s="1"/>
      <c r="K699" s="1"/>
      <c r="M699">
        <v>114</v>
      </c>
      <c r="N699" t="s">
        <v>770</v>
      </c>
      <c r="O699" s="1">
        <v>608</v>
      </c>
      <c r="P699" s="1">
        <v>1</v>
      </c>
      <c r="Q699" s="1">
        <v>0</v>
      </c>
      <c r="R699" s="1">
        <v>0</v>
      </c>
      <c r="S699" s="1">
        <v>0</v>
      </c>
      <c r="T699" s="1">
        <v>0</v>
      </c>
      <c r="U699" s="1"/>
      <c r="V699" s="1">
        <f t="shared" si="41"/>
        <v>0</v>
      </c>
    </row>
    <row r="700" spans="1:22" x14ac:dyDescent="0.25">
      <c r="A700" t="s">
        <v>809</v>
      </c>
      <c r="B700" t="s">
        <v>748</v>
      </c>
      <c r="C700" s="1">
        <f>4365+2+71+1+1+120</f>
        <v>4560</v>
      </c>
      <c r="D700" s="1">
        <v>98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f t="shared" ref="J700:J708" si="45">SUM(H700,I700)</f>
        <v>0</v>
      </c>
      <c r="K700" s="1"/>
      <c r="M700">
        <v>313</v>
      </c>
      <c r="N700" t="s">
        <v>771</v>
      </c>
      <c r="O700" s="1">
        <v>3451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/>
      <c r="V700" s="1">
        <f t="shared" si="41"/>
        <v>0</v>
      </c>
    </row>
    <row r="701" spans="1:22" x14ac:dyDescent="0.25">
      <c r="A701" t="s">
        <v>823</v>
      </c>
      <c r="B701" t="s">
        <v>749</v>
      </c>
      <c r="C701" s="1">
        <f>23301+12+307</f>
        <v>23620</v>
      </c>
      <c r="D701" s="1">
        <f>2+9</f>
        <v>11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f t="shared" si="45"/>
        <v>0</v>
      </c>
      <c r="K701" s="1"/>
      <c r="M701">
        <v>161</v>
      </c>
      <c r="N701" t="s">
        <v>772</v>
      </c>
      <c r="O701" s="1">
        <v>2292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/>
      <c r="V701" s="1">
        <f t="shared" si="41"/>
        <v>0</v>
      </c>
    </row>
    <row r="702" spans="1:22" x14ac:dyDescent="0.25">
      <c r="A702" t="s">
        <v>226</v>
      </c>
      <c r="B702" t="s">
        <v>750</v>
      </c>
      <c r="C702" s="1">
        <f>1377+5</f>
        <v>1382</v>
      </c>
      <c r="D702" s="1">
        <v>27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f t="shared" si="45"/>
        <v>0</v>
      </c>
      <c r="K702" s="1"/>
      <c r="M702">
        <v>713</v>
      </c>
      <c r="N702" t="s">
        <v>773</v>
      </c>
      <c r="O702" s="1">
        <v>2050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/>
      <c r="V702" s="1">
        <f t="shared" si="41"/>
        <v>0</v>
      </c>
    </row>
    <row r="703" spans="1:22" x14ac:dyDescent="0.25">
      <c r="A703" t="s">
        <v>811</v>
      </c>
      <c r="B703" t="s">
        <v>751</v>
      </c>
      <c r="C703" s="1">
        <f>4188+7</f>
        <v>4195</v>
      </c>
      <c r="D703" s="1">
        <f>21+7</f>
        <v>28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f t="shared" si="45"/>
        <v>0</v>
      </c>
      <c r="K703" s="1"/>
      <c r="M703">
        <v>120</v>
      </c>
      <c r="N703" t="s">
        <v>774</v>
      </c>
      <c r="O703" s="1">
        <v>453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/>
      <c r="V703" s="1">
        <f t="shared" si="41"/>
        <v>0</v>
      </c>
    </row>
    <row r="704" spans="1:22" x14ac:dyDescent="0.25">
      <c r="A704" t="s">
        <v>797</v>
      </c>
      <c r="B704" t="s">
        <v>752</v>
      </c>
      <c r="C704" s="1">
        <v>10175</v>
      </c>
      <c r="D704" s="1">
        <v>13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f t="shared" si="45"/>
        <v>0</v>
      </c>
      <c r="K704" s="1"/>
      <c r="M704" t="s">
        <v>805</v>
      </c>
      <c r="N704" t="s">
        <v>775</v>
      </c>
      <c r="O704" s="1"/>
      <c r="P704" s="1"/>
      <c r="Q704" s="1"/>
      <c r="R704" s="1"/>
      <c r="S704" s="1"/>
      <c r="T704" s="1"/>
      <c r="U704" s="1"/>
      <c r="V704" s="1"/>
    </row>
    <row r="705" spans="1:22" x14ac:dyDescent="0.25">
      <c r="A705" t="s">
        <v>69</v>
      </c>
      <c r="B705" t="s">
        <v>753</v>
      </c>
      <c r="C705" s="1">
        <v>22403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f t="shared" si="45"/>
        <v>0</v>
      </c>
      <c r="K705" s="1"/>
      <c r="M705" t="s">
        <v>805</v>
      </c>
      <c r="N705" t="s">
        <v>776</v>
      </c>
      <c r="O705" s="1"/>
      <c r="P705" s="1"/>
      <c r="Q705" s="1"/>
      <c r="R705" s="1"/>
      <c r="S705" s="1"/>
      <c r="T705" s="1"/>
      <c r="U705" s="1"/>
      <c r="V705" s="1"/>
    </row>
    <row r="706" spans="1:22" x14ac:dyDescent="0.25">
      <c r="A706" t="s">
        <v>824</v>
      </c>
      <c r="B706" t="s">
        <v>754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f t="shared" si="45"/>
        <v>0</v>
      </c>
      <c r="K706" s="1"/>
      <c r="M706" t="s">
        <v>805</v>
      </c>
      <c r="N706" t="s">
        <v>777</v>
      </c>
      <c r="O706" s="1"/>
      <c r="P706" s="1"/>
      <c r="Q706" s="1"/>
      <c r="R706" s="1"/>
      <c r="S706" s="1"/>
      <c r="T706" s="1"/>
      <c r="U706" s="1"/>
      <c r="V706" s="1"/>
    </row>
    <row r="707" spans="1:22" x14ac:dyDescent="0.25">
      <c r="A707" t="s">
        <v>817</v>
      </c>
      <c r="B707" t="s">
        <v>755</v>
      </c>
      <c r="C707" s="1">
        <f>28788+4+31+1+61+4+27</f>
        <v>28916</v>
      </c>
      <c r="D707" s="1">
        <f>30+5+3</f>
        <v>38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f t="shared" si="45"/>
        <v>0</v>
      </c>
      <c r="K707" s="1"/>
    </row>
    <row r="708" spans="1:22" x14ac:dyDescent="0.25">
      <c r="A708" t="s">
        <v>794</v>
      </c>
      <c r="B708" t="s">
        <v>756</v>
      </c>
      <c r="C708" s="1">
        <f>17752+23+4</f>
        <v>17779</v>
      </c>
      <c r="D708" s="1">
        <f>117+2</f>
        <v>119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f t="shared" si="45"/>
        <v>0</v>
      </c>
      <c r="K708" s="1"/>
    </row>
    <row r="709" spans="1:22" x14ac:dyDescent="0.25">
      <c r="A709" t="s">
        <v>120</v>
      </c>
      <c r="B709" t="s">
        <v>757</v>
      </c>
      <c r="C709" s="1"/>
      <c r="D709" s="1"/>
      <c r="E709" s="1"/>
      <c r="F709" s="1"/>
      <c r="G709" s="1"/>
      <c r="H709" s="1"/>
      <c r="I709" s="1"/>
      <c r="J709" s="1"/>
      <c r="K709" s="1"/>
    </row>
    <row r="710" spans="1:22" x14ac:dyDescent="0.25">
      <c r="A710" t="s">
        <v>788</v>
      </c>
      <c r="B710" t="s">
        <v>758</v>
      </c>
      <c r="C710" s="1">
        <f>10577+1111</f>
        <v>11688</v>
      </c>
      <c r="D710" s="1">
        <v>1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f>SUM(H710,I710)</f>
        <v>0</v>
      </c>
      <c r="K710" s="1"/>
    </row>
    <row r="711" spans="1:22" x14ac:dyDescent="0.25">
      <c r="A711" t="s">
        <v>146</v>
      </c>
      <c r="B711" t="s">
        <v>759</v>
      </c>
      <c r="C711" s="1">
        <v>40594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f>SUM(H711,I711)</f>
        <v>0</v>
      </c>
      <c r="K711" s="1"/>
    </row>
    <row r="712" spans="1:22" x14ac:dyDescent="0.25">
      <c r="A712" t="s">
        <v>795</v>
      </c>
      <c r="B712" t="s">
        <v>760</v>
      </c>
      <c r="C712" s="1">
        <v>25842</v>
      </c>
      <c r="D712" s="1">
        <v>16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f>SUM(H712,I712)</f>
        <v>0</v>
      </c>
      <c r="K712" s="1"/>
    </row>
    <row r="713" spans="1:22" x14ac:dyDescent="0.25">
      <c r="A713" t="s">
        <v>248</v>
      </c>
      <c r="B713" t="s">
        <v>761</v>
      </c>
      <c r="C713" s="1">
        <v>6457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f>SUM(H713,I713)</f>
        <v>0</v>
      </c>
      <c r="K713" s="1"/>
    </row>
    <row r="714" spans="1:22" x14ac:dyDescent="0.25">
      <c r="A714" t="s">
        <v>796</v>
      </c>
      <c r="B714" t="s">
        <v>762</v>
      </c>
      <c r="C714" s="1"/>
      <c r="D714" s="1"/>
      <c r="E714" s="1"/>
      <c r="F714" s="1"/>
      <c r="G714" s="1"/>
      <c r="H714" s="1"/>
      <c r="I714" s="1"/>
      <c r="J714" s="1"/>
      <c r="K714" s="1"/>
    </row>
    <row r="715" spans="1:22" x14ac:dyDescent="0.25">
      <c r="A715" t="s">
        <v>138</v>
      </c>
      <c r="B715" t="s">
        <v>763</v>
      </c>
      <c r="C715" s="1">
        <f>19381+4+4</f>
        <v>19389</v>
      </c>
      <c r="D715" s="1">
        <f>33+20</f>
        <v>53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f>SUM(H715,I715)</f>
        <v>0</v>
      </c>
      <c r="K715" s="1"/>
    </row>
    <row r="716" spans="1:22" x14ac:dyDescent="0.25">
      <c r="A716" t="s">
        <v>265</v>
      </c>
      <c r="B716" t="s">
        <v>764</v>
      </c>
      <c r="C716" s="1">
        <v>4695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f>SUM(H716,I716)</f>
        <v>0</v>
      </c>
      <c r="K716" s="1"/>
    </row>
    <row r="717" spans="1:22" x14ac:dyDescent="0.25">
      <c r="A717" t="s">
        <v>823</v>
      </c>
      <c r="B717" t="s">
        <v>765</v>
      </c>
      <c r="C717" s="1">
        <f>8480+18+2</f>
        <v>8500</v>
      </c>
      <c r="D717" s="1">
        <v>21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f>SUM(H717,I717)</f>
        <v>0</v>
      </c>
      <c r="K717" s="1"/>
    </row>
    <row r="718" spans="1:22" x14ac:dyDescent="0.25">
      <c r="A718" t="s">
        <v>83</v>
      </c>
      <c r="B718" t="s">
        <v>766</v>
      </c>
      <c r="C718" s="1"/>
      <c r="D718" s="1"/>
      <c r="E718" s="1"/>
      <c r="F718" s="1"/>
      <c r="G718" s="1"/>
      <c r="H718" s="1"/>
      <c r="I718" s="1"/>
      <c r="J718" s="1"/>
      <c r="K718" s="1"/>
    </row>
    <row r="719" spans="1:22" x14ac:dyDescent="0.25">
      <c r="A719" t="s">
        <v>864</v>
      </c>
      <c r="B719" t="s">
        <v>767</v>
      </c>
      <c r="C719" s="1">
        <v>7544</v>
      </c>
      <c r="D719" s="1">
        <v>19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f t="shared" ref="J719:J726" si="46">SUM(H719,I719)</f>
        <v>0</v>
      </c>
      <c r="K719" s="1"/>
    </row>
    <row r="720" spans="1:22" x14ac:dyDescent="0.25">
      <c r="A720" t="s">
        <v>76</v>
      </c>
      <c r="B720" t="s">
        <v>768</v>
      </c>
      <c r="C720" s="1">
        <f>17660+3</f>
        <v>17663</v>
      </c>
      <c r="D720" s="1">
        <f>66+2</f>
        <v>68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f t="shared" si="46"/>
        <v>0</v>
      </c>
      <c r="K720" s="1"/>
    </row>
    <row r="721" spans="1:11" x14ac:dyDescent="0.25">
      <c r="A721" s="53" t="s">
        <v>101</v>
      </c>
      <c r="B721" s="55" t="s">
        <v>769</v>
      </c>
      <c r="C721" s="1">
        <v>10826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f t="shared" si="46"/>
        <v>0</v>
      </c>
      <c r="K721" s="1"/>
    </row>
    <row r="722" spans="1:11" x14ac:dyDescent="0.25">
      <c r="A722" s="53" t="s">
        <v>831</v>
      </c>
      <c r="B722" s="55" t="s">
        <v>770</v>
      </c>
      <c r="C722" s="1">
        <v>608</v>
      </c>
      <c r="D722" s="1">
        <v>1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f t="shared" si="46"/>
        <v>0</v>
      </c>
      <c r="K722" s="1"/>
    </row>
    <row r="723" spans="1:11" x14ac:dyDescent="0.25">
      <c r="A723" s="53" t="s">
        <v>512</v>
      </c>
      <c r="B723" s="55" t="s">
        <v>771</v>
      </c>
      <c r="C723" s="1">
        <v>3451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f t="shared" si="46"/>
        <v>0</v>
      </c>
      <c r="K723" s="1"/>
    </row>
    <row r="724" spans="1:11" x14ac:dyDescent="0.25">
      <c r="A724" s="53" t="s">
        <v>848</v>
      </c>
      <c r="B724" s="55" t="s">
        <v>772</v>
      </c>
      <c r="C724" s="1">
        <f>2290+2</f>
        <v>2292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f t="shared" si="46"/>
        <v>0</v>
      </c>
      <c r="K724" s="1"/>
    </row>
    <row r="725" spans="1:11" x14ac:dyDescent="0.25">
      <c r="A725" s="53" t="s">
        <v>796</v>
      </c>
      <c r="B725" s="55" t="s">
        <v>773</v>
      </c>
      <c r="C725" s="1">
        <f>2050</f>
        <v>2050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f t="shared" si="46"/>
        <v>0</v>
      </c>
      <c r="K725" s="1"/>
    </row>
    <row r="726" spans="1:11" x14ac:dyDescent="0.25">
      <c r="A726" s="53" t="s">
        <v>826</v>
      </c>
      <c r="B726" s="55" t="s">
        <v>774</v>
      </c>
      <c r="C726" s="1">
        <v>453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f t="shared" si="46"/>
        <v>0</v>
      </c>
      <c r="K726" s="1"/>
    </row>
    <row r="727" spans="1:11" x14ac:dyDescent="0.25">
      <c r="A727" s="53" t="s">
        <v>805</v>
      </c>
      <c r="B727" s="55" t="s">
        <v>775</v>
      </c>
      <c r="C727" s="1"/>
      <c r="D727" s="1"/>
      <c r="E727" s="1"/>
      <c r="F727" s="1"/>
      <c r="G727" s="1"/>
      <c r="H727" s="1"/>
      <c r="I727" s="1"/>
      <c r="J727" s="1"/>
      <c r="K727" s="1"/>
    </row>
    <row r="728" spans="1:11" x14ac:dyDescent="0.25">
      <c r="A728" s="53" t="s">
        <v>805</v>
      </c>
      <c r="B728" s="55" t="s">
        <v>776</v>
      </c>
      <c r="C728" s="1"/>
      <c r="D728" s="1"/>
      <c r="E728" s="1"/>
      <c r="F728" s="1"/>
      <c r="G728" s="1"/>
      <c r="H728" s="1"/>
      <c r="I728" s="1"/>
      <c r="J728" s="1"/>
      <c r="K728" s="1"/>
    </row>
    <row r="729" spans="1:11" x14ac:dyDescent="0.25">
      <c r="A729" s="54" t="s">
        <v>805</v>
      </c>
      <c r="B729" s="56" t="s">
        <v>777</v>
      </c>
      <c r="C729" s="1"/>
      <c r="D729" s="1"/>
      <c r="E729" s="1"/>
      <c r="F729" s="1"/>
      <c r="G729" s="1"/>
      <c r="H729" s="1"/>
      <c r="I729" s="1"/>
      <c r="J729" s="1"/>
      <c r="K729" s="1"/>
    </row>
  </sheetData>
  <conditionalFormatting sqref="A709:B709">
    <cfRule type="expression" dxfId="92" priority="7">
      <formula>A709&lt;&gt;N709</formula>
    </cfRule>
  </conditionalFormatting>
  <conditionalFormatting sqref="A2:K729">
    <cfRule type="expression" dxfId="91" priority="9">
      <formula>A2&lt;&gt;M2</formula>
    </cfRule>
  </conditionalFormatting>
  <conditionalFormatting sqref="B709">
    <cfRule type="expression" dxfId="90" priority="6">
      <formula>B709&lt;&gt;#REF!</formula>
    </cfRule>
  </conditionalFormatting>
  <conditionalFormatting sqref="B721:B729">
    <cfRule type="expression" dxfId="89" priority="1">
      <formula>B721&lt;&gt;M721</formula>
    </cfRule>
  </conditionalFormatting>
  <conditionalFormatting sqref="B710:C710">
    <cfRule type="expression" dxfId="88" priority="4">
      <formula>B710&lt;&gt;#REF!</formula>
    </cfRule>
  </conditionalFormatting>
  <conditionalFormatting sqref="B712:C712">
    <cfRule type="expression" dxfId="87" priority="3">
      <formula>B712&lt;&gt;#REF!</formula>
    </cfRule>
  </conditionalFormatting>
  <conditionalFormatting sqref="M2:V706">
    <cfRule type="expression" dxfId="86" priority="8">
      <formula>M2&lt;&gt;A2</formula>
    </cfRule>
  </conditionalFormatting>
  <pageMargins left="0.7" right="0.7" top="0.75" bottom="0.75" header="0.3" footer="0.3"/>
  <pageSetup paperSize="9" orientation="portrait"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D8E9456F-ADB4-4EBF-A035-1AF92DEB109D}">
            <xm:f>A721&lt;&gt;'202212 DICIEMBRE'!#REF!</xm:f>
            <x14:dxf>
              <fill>
                <patternFill>
                  <bgColor theme="7" tint="0.39994506668294322"/>
                </patternFill>
              </fill>
            </x14:dxf>
          </x14:cfRule>
          <xm:sqref>A721:B729</xm:sqref>
        </x14:conditionalFormatting>
        <x14:conditionalFormatting xmlns:xm="http://schemas.microsoft.com/office/excel/2006/main">
          <x14:cfRule type="expression" priority="5" id="{F1742A33-57A1-4C2E-9228-EC00EC183912}">
            <xm:f>A710&lt;&gt;'202210 OCTUBRE'!#REF!</xm:f>
            <x14:dxf>
              <fill>
                <patternFill>
                  <bgColor theme="7" tint="0.39994506668294322"/>
                </patternFill>
              </fill>
            </x14:dxf>
          </x14:cfRule>
          <xm:sqref>A710:I720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15CF2-9E8E-43B6-8D6A-F7E759FCCC1E}">
  <sheetPr>
    <tabColor rgb="FF92D050"/>
  </sheetPr>
  <dimension ref="A1:J729"/>
  <sheetViews>
    <sheetView topLeftCell="A431" workbookViewId="0">
      <selection activeCell="B451" sqref="B451"/>
    </sheetView>
  </sheetViews>
  <sheetFormatPr baseColWidth="10" defaultColWidth="11.42578125" defaultRowHeight="15" x14ac:dyDescent="0.25"/>
  <cols>
    <col min="1" max="1" width="11.85546875" bestFit="1" customWidth="1"/>
    <col min="2" max="2" width="14.42578125" bestFit="1" customWidth="1"/>
    <col min="3" max="3" width="12.5703125" bestFit="1" customWidth="1"/>
    <col min="4" max="4" width="12.7109375" bestFit="1" customWidth="1"/>
    <col min="5" max="5" width="9" bestFit="1" customWidth="1"/>
    <col min="6" max="6" width="16.140625" bestFit="1" customWidth="1"/>
    <col min="7" max="7" width="16.42578125" bestFit="1" customWidth="1"/>
    <col min="8" max="9" width="10.28515625" bestFit="1" customWidth="1"/>
    <col min="10" max="10" width="20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76</v>
      </c>
      <c r="B2" t="s">
        <v>11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29784</v>
      </c>
      <c r="I2" s="1">
        <v>0</v>
      </c>
      <c r="J2" s="1"/>
    </row>
    <row r="3" spans="1:10" x14ac:dyDescent="0.25">
      <c r="A3" t="s">
        <v>796</v>
      </c>
      <c r="B3" t="s">
        <v>12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557</v>
      </c>
      <c r="I3" s="1">
        <v>0</v>
      </c>
      <c r="J3" s="1"/>
    </row>
    <row r="4" spans="1:10" x14ac:dyDescent="0.25">
      <c r="A4" t="s">
        <v>76</v>
      </c>
      <c r="B4" t="s">
        <v>13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4343</v>
      </c>
      <c r="I4" s="1">
        <v>0</v>
      </c>
      <c r="J4" s="1"/>
    </row>
    <row r="5" spans="1:10" x14ac:dyDescent="0.25">
      <c r="A5" t="s">
        <v>801</v>
      </c>
      <c r="B5" t="s">
        <v>14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2123</v>
      </c>
      <c r="I5" s="1">
        <v>0</v>
      </c>
      <c r="J5" s="1"/>
    </row>
    <row r="6" spans="1:10" x14ac:dyDescent="0.25">
      <c r="A6" t="s">
        <v>826</v>
      </c>
      <c r="B6" t="s">
        <v>15</v>
      </c>
      <c r="C6" s="1"/>
      <c r="D6" s="1"/>
      <c r="E6" s="1"/>
      <c r="F6" s="1"/>
      <c r="G6" s="1"/>
      <c r="H6" s="1"/>
      <c r="I6" s="1"/>
      <c r="J6" s="1"/>
    </row>
    <row r="7" spans="1:10" x14ac:dyDescent="0.25">
      <c r="A7" t="s">
        <v>796</v>
      </c>
      <c r="B7" t="s">
        <v>16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1492</v>
      </c>
      <c r="I7" s="1">
        <v>0</v>
      </c>
      <c r="J7" s="1"/>
    </row>
    <row r="8" spans="1:10" x14ac:dyDescent="0.25">
      <c r="A8" t="s">
        <v>83</v>
      </c>
      <c r="B8" t="s">
        <v>17</v>
      </c>
      <c r="C8" s="1"/>
      <c r="D8" s="1"/>
      <c r="E8" s="1"/>
      <c r="F8" s="1"/>
      <c r="G8" s="1"/>
      <c r="H8" s="1"/>
      <c r="I8" s="1"/>
      <c r="J8" s="1"/>
    </row>
    <row r="9" spans="1:10" x14ac:dyDescent="0.25">
      <c r="A9" t="s">
        <v>803</v>
      </c>
      <c r="B9" s="1" t="s">
        <v>18</v>
      </c>
      <c r="C9" s="1"/>
      <c r="D9" s="1"/>
      <c r="E9" s="1"/>
      <c r="F9" s="1"/>
      <c r="G9" s="1"/>
      <c r="H9" s="1"/>
      <c r="I9" s="1"/>
      <c r="J9" s="1"/>
    </row>
    <row r="10" spans="1:10" x14ac:dyDescent="0.25">
      <c r="A10" t="s">
        <v>76</v>
      </c>
      <c r="B10" t="s">
        <v>19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9497</v>
      </c>
      <c r="I10" s="1">
        <v>0</v>
      </c>
      <c r="J10" s="1"/>
    </row>
    <row r="11" spans="1:10" x14ac:dyDescent="0.25">
      <c r="A11" t="s">
        <v>83</v>
      </c>
      <c r="B11" t="s">
        <v>20</v>
      </c>
      <c r="C11" s="1"/>
      <c r="D11" s="1"/>
      <c r="E11" s="1"/>
      <c r="F11" s="1"/>
      <c r="G11" s="1"/>
      <c r="H11" s="1"/>
      <c r="I11" s="1"/>
      <c r="J11" s="1"/>
    </row>
    <row r="12" spans="1:10" x14ac:dyDescent="0.25">
      <c r="A12" t="s">
        <v>248</v>
      </c>
      <c r="B12" t="s">
        <v>21</v>
      </c>
      <c r="C12" s="1"/>
      <c r="D12" s="1"/>
      <c r="E12" s="1"/>
      <c r="F12" s="1"/>
      <c r="G12" s="1"/>
      <c r="H12" s="1"/>
      <c r="I12" s="1"/>
      <c r="J12" s="1"/>
    </row>
    <row r="13" spans="1:10" x14ac:dyDescent="0.25">
      <c r="A13" t="s">
        <v>83</v>
      </c>
      <c r="B13" t="s">
        <v>22</v>
      </c>
      <c r="C13" s="1"/>
      <c r="D13" s="1"/>
      <c r="E13" s="1"/>
      <c r="F13" s="1"/>
      <c r="G13" s="1"/>
      <c r="H13" s="1"/>
      <c r="I13" s="1"/>
      <c r="J13" s="1"/>
    </row>
    <row r="14" spans="1:10" x14ac:dyDescent="0.25">
      <c r="A14" t="s">
        <v>801</v>
      </c>
      <c r="B14" t="s">
        <v>23</v>
      </c>
      <c r="C14" s="1"/>
      <c r="D14" s="1"/>
      <c r="E14" s="1"/>
      <c r="F14" s="1"/>
      <c r="G14" s="1"/>
      <c r="H14" s="1"/>
      <c r="I14" s="1"/>
      <c r="J14" s="1"/>
    </row>
    <row r="15" spans="1:10" x14ac:dyDescent="0.25">
      <c r="A15" t="s">
        <v>796</v>
      </c>
      <c r="B15" t="s">
        <v>24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71</v>
      </c>
      <c r="I15" s="1">
        <v>0</v>
      </c>
      <c r="J15" s="1"/>
    </row>
    <row r="16" spans="1:10" x14ac:dyDescent="0.25">
      <c r="A16" t="s">
        <v>804</v>
      </c>
      <c r="B16" t="s">
        <v>25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644</v>
      </c>
      <c r="I16" s="1">
        <v>0</v>
      </c>
      <c r="J16" s="1"/>
    </row>
    <row r="17" spans="1:10" x14ac:dyDescent="0.25">
      <c r="A17" t="s">
        <v>248</v>
      </c>
      <c r="B17" t="s">
        <v>26</v>
      </c>
      <c r="C17" s="1"/>
      <c r="D17" s="1"/>
      <c r="E17" s="1"/>
      <c r="F17" s="1"/>
      <c r="G17" s="1"/>
      <c r="H17" s="1"/>
      <c r="I17" s="1"/>
      <c r="J17" s="1"/>
    </row>
    <row r="18" spans="1:10" x14ac:dyDescent="0.25">
      <c r="A18" t="s">
        <v>805</v>
      </c>
      <c r="B18" t="s">
        <v>27</v>
      </c>
      <c r="C18" s="1"/>
      <c r="D18" s="1"/>
      <c r="E18" s="1"/>
      <c r="F18" s="1"/>
      <c r="G18" s="1"/>
      <c r="H18" s="1"/>
      <c r="I18" s="1"/>
      <c r="J18" s="1"/>
    </row>
    <row r="19" spans="1:10" x14ac:dyDescent="0.25">
      <c r="A19" t="s">
        <v>805</v>
      </c>
      <c r="B19" t="s">
        <v>28</v>
      </c>
      <c r="C19" s="1"/>
      <c r="D19" s="1"/>
      <c r="E19" s="1"/>
      <c r="F19" s="1"/>
      <c r="G19" s="1"/>
      <c r="H19" s="1"/>
      <c r="I19" s="1"/>
      <c r="J19" s="1"/>
    </row>
    <row r="20" spans="1:10" x14ac:dyDescent="0.25">
      <c r="A20" t="s">
        <v>806</v>
      </c>
      <c r="B20" t="s">
        <v>29</v>
      </c>
      <c r="C20" s="1"/>
      <c r="D20" s="1"/>
      <c r="E20" s="1"/>
      <c r="F20" s="1"/>
      <c r="G20" s="1"/>
      <c r="H20" s="1"/>
      <c r="I20" s="1"/>
      <c r="J20" s="1"/>
    </row>
    <row r="21" spans="1:10" x14ac:dyDescent="0.25">
      <c r="A21" t="s">
        <v>805</v>
      </c>
      <c r="B21" t="s">
        <v>30</v>
      </c>
      <c r="C21" s="1"/>
      <c r="D21" s="1"/>
      <c r="E21" s="1"/>
      <c r="F21" s="1"/>
      <c r="G21" s="1"/>
      <c r="H21" s="1"/>
      <c r="I21" s="1"/>
      <c r="J21" s="1"/>
    </row>
    <row r="22" spans="1:10" x14ac:dyDescent="0.25">
      <c r="A22" t="s">
        <v>829</v>
      </c>
      <c r="B22" t="s">
        <v>32</v>
      </c>
      <c r="C22" s="1"/>
      <c r="D22" s="1"/>
      <c r="E22" s="1"/>
      <c r="F22" s="1"/>
      <c r="G22" s="1"/>
      <c r="H22" s="1"/>
      <c r="I22" s="1"/>
      <c r="J22" s="1"/>
    </row>
    <row r="23" spans="1:10" x14ac:dyDescent="0.25">
      <c r="A23" t="s">
        <v>830</v>
      </c>
      <c r="B23" t="s">
        <v>34</v>
      </c>
      <c r="C23" s="1"/>
      <c r="D23" s="1"/>
      <c r="E23" s="1"/>
      <c r="F23" s="1"/>
      <c r="G23" s="1"/>
      <c r="H23" s="1"/>
      <c r="I23" s="1"/>
      <c r="J23" s="1"/>
    </row>
    <row r="24" spans="1:10" x14ac:dyDescent="0.25">
      <c r="A24" t="s">
        <v>831</v>
      </c>
      <c r="B24" t="s">
        <v>35</v>
      </c>
      <c r="C24" s="1">
        <f>4884+1069</f>
        <v>5953</v>
      </c>
      <c r="D24" s="1">
        <v>0</v>
      </c>
      <c r="E24" s="1">
        <v>0</v>
      </c>
      <c r="F24" s="1">
        <v>0</v>
      </c>
      <c r="G24" s="1">
        <v>0</v>
      </c>
      <c r="H24" s="1">
        <v>1867</v>
      </c>
      <c r="I24" s="1">
        <v>817</v>
      </c>
      <c r="J24" s="1"/>
    </row>
    <row r="25" spans="1:10" x14ac:dyDescent="0.25">
      <c r="A25" t="s">
        <v>832</v>
      </c>
      <c r="B25" t="s">
        <v>37</v>
      </c>
      <c r="C25" s="1"/>
      <c r="D25" s="1"/>
      <c r="E25" s="1"/>
      <c r="F25" s="1"/>
      <c r="G25" s="1"/>
      <c r="H25" s="1"/>
      <c r="I25" s="1"/>
      <c r="J25" s="1"/>
    </row>
    <row r="26" spans="1:10" x14ac:dyDescent="0.25">
      <c r="A26" t="s">
        <v>833</v>
      </c>
      <c r="B26" t="s">
        <v>39</v>
      </c>
      <c r="C26" s="1"/>
      <c r="D26" s="1"/>
      <c r="E26" s="1"/>
      <c r="F26" s="1"/>
      <c r="G26" s="1"/>
      <c r="H26" s="1"/>
      <c r="I26" s="1"/>
      <c r="J26" s="1"/>
    </row>
    <row r="27" spans="1:10" x14ac:dyDescent="0.25">
      <c r="A27" t="s">
        <v>834</v>
      </c>
      <c r="B27" t="s">
        <v>41</v>
      </c>
      <c r="C27" s="1"/>
      <c r="D27" s="1"/>
      <c r="E27" s="1"/>
      <c r="F27" s="1"/>
      <c r="G27" s="1"/>
      <c r="H27" s="1"/>
      <c r="I27" s="1"/>
      <c r="J27" s="1"/>
    </row>
    <row r="28" spans="1:10" x14ac:dyDescent="0.25">
      <c r="A28" t="s">
        <v>835</v>
      </c>
      <c r="B28" t="s">
        <v>42</v>
      </c>
      <c r="C28" s="1"/>
      <c r="D28" s="1"/>
      <c r="E28" s="1"/>
      <c r="F28" s="1"/>
      <c r="G28" s="1"/>
      <c r="H28" s="1"/>
      <c r="I28" s="1"/>
      <c r="J28" s="1"/>
    </row>
    <row r="29" spans="1:10" x14ac:dyDescent="0.25">
      <c r="A29" t="s">
        <v>836</v>
      </c>
      <c r="B29" t="s">
        <v>44</v>
      </c>
      <c r="C29" s="1"/>
      <c r="D29" s="1"/>
      <c r="E29" s="1"/>
      <c r="F29" s="1"/>
      <c r="G29" s="1"/>
      <c r="H29" s="1"/>
      <c r="I29" s="1"/>
      <c r="J29" s="1"/>
    </row>
    <row r="30" spans="1:10" x14ac:dyDescent="0.25">
      <c r="A30" t="s">
        <v>837</v>
      </c>
      <c r="B30" t="s">
        <v>46</v>
      </c>
      <c r="C30" s="1"/>
      <c r="D30" s="1"/>
      <c r="E30" s="1"/>
      <c r="F30" s="1"/>
      <c r="G30" s="1"/>
      <c r="H30" s="1"/>
      <c r="I30" s="1"/>
      <c r="J30" s="1"/>
    </row>
    <row r="31" spans="1:10" x14ac:dyDescent="0.25">
      <c r="A31" t="s">
        <v>838</v>
      </c>
      <c r="B31" t="s">
        <v>48</v>
      </c>
      <c r="C31" s="1"/>
      <c r="D31" s="1"/>
      <c r="E31" s="1"/>
      <c r="F31" s="1"/>
      <c r="G31" s="1"/>
      <c r="H31" s="1"/>
      <c r="I31" s="1"/>
      <c r="J31" s="1"/>
    </row>
    <row r="32" spans="1:10" x14ac:dyDescent="0.25">
      <c r="A32" t="s">
        <v>839</v>
      </c>
      <c r="B32" t="s">
        <v>49</v>
      </c>
      <c r="C32" s="1"/>
      <c r="D32" s="1"/>
      <c r="E32" s="1"/>
      <c r="F32" s="1"/>
      <c r="G32" s="1"/>
      <c r="H32" s="1"/>
      <c r="I32" s="1"/>
      <c r="J32" s="1"/>
    </row>
    <row r="33" spans="1:10" x14ac:dyDescent="0.25">
      <c r="A33" t="s">
        <v>840</v>
      </c>
      <c r="B33" t="s">
        <v>51</v>
      </c>
      <c r="C33" s="1"/>
      <c r="D33" s="1"/>
      <c r="E33" s="1"/>
      <c r="F33" s="1"/>
      <c r="G33" s="1"/>
      <c r="H33" s="1"/>
      <c r="I33" s="1"/>
      <c r="J33" s="1"/>
    </row>
    <row r="34" spans="1:10" x14ac:dyDescent="0.25">
      <c r="A34" t="s">
        <v>841</v>
      </c>
      <c r="B34" t="s">
        <v>53</v>
      </c>
      <c r="C34" s="1"/>
      <c r="D34" s="1"/>
      <c r="E34" s="1"/>
      <c r="F34" s="1"/>
      <c r="G34" s="1"/>
      <c r="H34" s="1"/>
      <c r="I34" s="1"/>
      <c r="J34" s="1"/>
    </row>
    <row r="35" spans="1:10" x14ac:dyDescent="0.25">
      <c r="A35" t="s">
        <v>842</v>
      </c>
      <c r="B35" t="s">
        <v>55</v>
      </c>
      <c r="C35" s="1"/>
      <c r="D35" s="1"/>
      <c r="E35" s="1"/>
      <c r="F35" s="1"/>
      <c r="G35" s="1"/>
      <c r="H35" s="1"/>
      <c r="I35" s="1"/>
      <c r="J35" s="1"/>
    </row>
    <row r="36" spans="1:10" x14ac:dyDescent="0.25">
      <c r="A36" t="s">
        <v>788</v>
      </c>
      <c r="B36" t="s">
        <v>56</v>
      </c>
      <c r="C36" s="1">
        <f>37984+1+1+1+2+3+20165</f>
        <v>58157</v>
      </c>
      <c r="D36" s="1">
        <f>93+85+1</f>
        <v>179</v>
      </c>
      <c r="E36" s="1">
        <v>0</v>
      </c>
      <c r="F36" s="1">
        <v>0</v>
      </c>
      <c r="G36" s="1">
        <v>0</v>
      </c>
      <c r="H36" s="1">
        <v>14532</v>
      </c>
      <c r="I36" s="1">
        <v>13362</v>
      </c>
      <c r="J36" s="1"/>
    </row>
    <row r="37" spans="1:10" x14ac:dyDescent="0.25">
      <c r="A37" t="s">
        <v>495</v>
      </c>
      <c r="B37" t="s">
        <v>57</v>
      </c>
      <c r="C37" s="1">
        <f>4675+322</f>
        <v>4997</v>
      </c>
      <c r="D37" s="1">
        <v>0</v>
      </c>
      <c r="E37" s="1">
        <v>0</v>
      </c>
      <c r="F37" s="1">
        <v>0</v>
      </c>
      <c r="G37" s="1">
        <v>0</v>
      </c>
      <c r="H37" s="1">
        <v>1742</v>
      </c>
      <c r="I37" s="1">
        <v>227</v>
      </c>
      <c r="J37" s="1"/>
    </row>
    <row r="38" spans="1:10" x14ac:dyDescent="0.25">
      <c r="A38" t="s">
        <v>248</v>
      </c>
      <c r="B38" t="s">
        <v>58</v>
      </c>
      <c r="C38" s="1"/>
      <c r="D38" s="1"/>
      <c r="E38" s="1"/>
      <c r="F38" s="1"/>
      <c r="G38" s="1"/>
      <c r="H38" s="1"/>
      <c r="I38" s="1"/>
      <c r="J38" s="1"/>
    </row>
    <row r="39" spans="1:10" x14ac:dyDescent="0.25">
      <c r="A39" t="s">
        <v>843</v>
      </c>
      <c r="B39" t="s">
        <v>60</v>
      </c>
      <c r="C39" s="1"/>
      <c r="D39" s="1"/>
      <c r="E39" s="1"/>
      <c r="F39" s="1"/>
      <c r="G39" s="1"/>
      <c r="H39" s="1"/>
      <c r="I39" s="1"/>
      <c r="J39" s="1"/>
    </row>
    <row r="40" spans="1:10" x14ac:dyDescent="0.25">
      <c r="A40" t="s">
        <v>844</v>
      </c>
      <c r="B40" t="s">
        <v>62</v>
      </c>
      <c r="C40" s="1"/>
      <c r="D40" s="1"/>
      <c r="E40" s="1"/>
      <c r="F40" s="1"/>
      <c r="G40" s="1"/>
      <c r="H40" s="1"/>
      <c r="I40" s="1"/>
      <c r="J40" s="1"/>
    </row>
    <row r="41" spans="1:10" x14ac:dyDescent="0.25">
      <c r="A41" t="s">
        <v>845</v>
      </c>
      <c r="B41" t="s">
        <v>63</v>
      </c>
      <c r="C41" s="1"/>
      <c r="D41" s="1"/>
      <c r="E41" s="1"/>
      <c r="F41" s="1"/>
      <c r="G41" s="1"/>
      <c r="H41" s="1"/>
      <c r="I41" s="1"/>
      <c r="J41" s="1"/>
    </row>
    <row r="42" spans="1:10" x14ac:dyDescent="0.25">
      <c r="A42" t="s">
        <v>846</v>
      </c>
      <c r="B42" s="10" t="s">
        <v>64</v>
      </c>
      <c r="C42" s="1"/>
      <c r="D42" s="1"/>
      <c r="E42" s="1"/>
      <c r="F42" s="1"/>
      <c r="G42" s="1"/>
      <c r="H42" s="1"/>
      <c r="I42" s="1"/>
      <c r="J42" s="1"/>
    </row>
    <row r="43" spans="1:10" x14ac:dyDescent="0.25">
      <c r="A43" t="s">
        <v>788</v>
      </c>
      <c r="B43" t="s">
        <v>65</v>
      </c>
      <c r="C43" s="1">
        <f>4163+2+2+2+1397</f>
        <v>5566</v>
      </c>
      <c r="D43" s="1">
        <f>101+2</f>
        <v>103</v>
      </c>
      <c r="E43" s="1">
        <v>0</v>
      </c>
      <c r="F43" s="1">
        <v>0</v>
      </c>
      <c r="G43" s="1">
        <v>0</v>
      </c>
      <c r="H43" s="1">
        <v>4203</v>
      </c>
      <c r="I43" s="1">
        <v>1274</v>
      </c>
      <c r="J43" s="1"/>
    </row>
    <row r="44" spans="1:10" x14ac:dyDescent="0.25">
      <c r="A44" t="s">
        <v>76</v>
      </c>
      <c r="B44" t="s">
        <v>66</v>
      </c>
      <c r="C44" s="1">
        <f>3352+70+2452</f>
        <v>5874</v>
      </c>
      <c r="D44" s="1">
        <f>29+1</f>
        <v>30</v>
      </c>
      <c r="E44" s="1">
        <v>0</v>
      </c>
      <c r="F44" s="1">
        <v>0</v>
      </c>
      <c r="G44" s="1">
        <v>0</v>
      </c>
      <c r="H44" s="1">
        <v>1069</v>
      </c>
      <c r="I44" s="1">
        <v>1416</v>
      </c>
      <c r="J44" s="1"/>
    </row>
    <row r="45" spans="1:10" x14ac:dyDescent="0.25">
      <c r="A45" t="s">
        <v>67</v>
      </c>
      <c r="B45" t="s">
        <v>68</v>
      </c>
      <c r="C45" s="1">
        <f>6879+31+872</f>
        <v>7782</v>
      </c>
      <c r="D45" s="1">
        <v>146</v>
      </c>
      <c r="E45" s="1">
        <v>0</v>
      </c>
      <c r="F45" s="1">
        <v>0</v>
      </c>
      <c r="G45" s="1">
        <v>0</v>
      </c>
      <c r="H45" s="1">
        <v>2831</v>
      </c>
      <c r="I45" s="1">
        <v>689</v>
      </c>
      <c r="J45" s="1"/>
    </row>
    <row r="46" spans="1:10" x14ac:dyDescent="0.25">
      <c r="A46" t="s">
        <v>76</v>
      </c>
      <c r="B46" t="s">
        <v>70</v>
      </c>
      <c r="C46" s="1">
        <f>72975+28+17+30440</f>
        <v>103460</v>
      </c>
      <c r="D46" s="1">
        <f>51+5+1+36+18+128</f>
        <v>239</v>
      </c>
      <c r="E46" s="1">
        <v>0</v>
      </c>
      <c r="F46" s="1">
        <v>0</v>
      </c>
      <c r="G46" s="1">
        <v>0</v>
      </c>
      <c r="H46" s="1">
        <v>93317</v>
      </c>
      <c r="I46" s="1">
        <v>23703</v>
      </c>
      <c r="J46" s="1"/>
    </row>
    <row r="47" spans="1:10" x14ac:dyDescent="0.25">
      <c r="A47" t="s">
        <v>803</v>
      </c>
      <c r="B47" s="23" t="s">
        <v>71</v>
      </c>
      <c r="C47" s="1"/>
      <c r="D47" s="1"/>
      <c r="E47" s="1"/>
      <c r="F47" s="1"/>
      <c r="G47" s="1"/>
      <c r="H47" s="1"/>
      <c r="I47" s="1"/>
      <c r="J47" s="1"/>
    </row>
    <row r="48" spans="1:10" x14ac:dyDescent="0.25">
      <c r="A48" t="s">
        <v>72</v>
      </c>
      <c r="B48" t="s">
        <v>73</v>
      </c>
      <c r="C48" s="1">
        <f>8678+13+8+1758</f>
        <v>10457</v>
      </c>
      <c r="D48" s="1">
        <v>100</v>
      </c>
      <c r="E48" s="1">
        <v>0</v>
      </c>
      <c r="F48" s="1">
        <v>0</v>
      </c>
      <c r="G48" s="1">
        <v>0</v>
      </c>
      <c r="H48" s="1">
        <v>8266</v>
      </c>
      <c r="I48" s="1">
        <v>1604</v>
      </c>
      <c r="J48" s="1"/>
    </row>
    <row r="49" spans="1:10" x14ac:dyDescent="0.25">
      <c r="A49" t="s">
        <v>809</v>
      </c>
      <c r="B49" t="s">
        <v>74</v>
      </c>
      <c r="C49" s="1">
        <f>21674+8+251+385+24+4+1+239+5584</f>
        <v>28170</v>
      </c>
      <c r="D49" s="1">
        <f>143+2+10+8</f>
        <v>163</v>
      </c>
      <c r="E49" s="1">
        <v>0</v>
      </c>
      <c r="F49" s="1">
        <v>0</v>
      </c>
      <c r="G49" s="1">
        <v>0</v>
      </c>
      <c r="H49" s="1">
        <v>18171</v>
      </c>
      <c r="I49" s="1">
        <v>3391</v>
      </c>
      <c r="J49" s="1"/>
    </row>
    <row r="50" spans="1:10" x14ac:dyDescent="0.25">
      <c r="A50" t="s">
        <v>146</v>
      </c>
      <c r="B50" t="s">
        <v>75</v>
      </c>
      <c r="C50" s="1">
        <f>3086+6690</f>
        <v>9776</v>
      </c>
      <c r="D50" s="1">
        <f>3+6</f>
        <v>9</v>
      </c>
      <c r="E50" s="1">
        <v>0</v>
      </c>
      <c r="F50" s="1">
        <v>0</v>
      </c>
      <c r="G50" s="1">
        <v>0</v>
      </c>
      <c r="H50" s="1">
        <v>8071</v>
      </c>
      <c r="I50" s="1">
        <v>6408</v>
      </c>
      <c r="J50" s="1"/>
    </row>
    <row r="51" spans="1:10" x14ac:dyDescent="0.25">
      <c r="A51" t="s">
        <v>76</v>
      </c>
      <c r="B51" t="s">
        <v>77</v>
      </c>
      <c r="C51" s="1">
        <f>7486+4053</f>
        <v>11539</v>
      </c>
      <c r="D51" s="1">
        <f>45+80</f>
        <v>125</v>
      </c>
      <c r="E51" s="1">
        <v>0</v>
      </c>
      <c r="F51" s="1">
        <v>0</v>
      </c>
      <c r="G51" s="1">
        <v>0</v>
      </c>
      <c r="H51" s="1">
        <v>4802</v>
      </c>
      <c r="I51" s="1">
        <v>3058</v>
      </c>
      <c r="J51" s="1"/>
    </row>
    <row r="52" spans="1:10" x14ac:dyDescent="0.25">
      <c r="A52" t="s">
        <v>801</v>
      </c>
      <c r="B52" t="s">
        <v>78</v>
      </c>
      <c r="C52" s="1">
        <f>16911+2+1+1+6615</f>
        <v>23530</v>
      </c>
      <c r="D52" s="1">
        <v>2</v>
      </c>
      <c r="E52" s="1">
        <v>0</v>
      </c>
      <c r="F52" s="1">
        <v>0</v>
      </c>
      <c r="G52" s="1">
        <v>0</v>
      </c>
      <c r="H52" s="1">
        <v>47379</v>
      </c>
      <c r="I52" s="1">
        <v>6230</v>
      </c>
      <c r="J52" s="1"/>
    </row>
    <row r="53" spans="1:10" x14ac:dyDescent="0.25">
      <c r="A53" t="s">
        <v>847</v>
      </c>
      <c r="B53" t="s">
        <v>79</v>
      </c>
      <c r="C53" s="1"/>
      <c r="D53" s="1"/>
      <c r="E53" s="1"/>
      <c r="F53" s="1"/>
      <c r="G53" s="1"/>
      <c r="H53" s="1"/>
      <c r="I53" s="1"/>
      <c r="J53" s="1"/>
    </row>
    <row r="54" spans="1:10" x14ac:dyDescent="0.25">
      <c r="A54" t="s">
        <v>226</v>
      </c>
      <c r="B54" t="s">
        <v>80</v>
      </c>
      <c r="C54" s="1">
        <f>2400+3+1957</f>
        <v>4360</v>
      </c>
      <c r="D54" s="1">
        <v>7</v>
      </c>
      <c r="E54" s="1">
        <v>0</v>
      </c>
      <c r="F54" s="1">
        <v>0</v>
      </c>
      <c r="G54" s="1">
        <v>0</v>
      </c>
      <c r="H54" s="1">
        <v>2223</v>
      </c>
      <c r="I54" s="1">
        <v>1966</v>
      </c>
      <c r="J54" s="1"/>
    </row>
    <row r="55" spans="1:10" x14ac:dyDescent="0.25">
      <c r="A55" t="s">
        <v>826</v>
      </c>
      <c r="B55" t="s">
        <v>81</v>
      </c>
      <c r="C55" s="1"/>
      <c r="D55" s="1"/>
      <c r="E55" s="1"/>
      <c r="F55" s="1"/>
      <c r="G55" s="1"/>
      <c r="H55" s="1"/>
      <c r="I55" s="1"/>
      <c r="J55" s="1"/>
    </row>
    <row r="56" spans="1:10" x14ac:dyDescent="0.25">
      <c r="A56" t="s">
        <v>76</v>
      </c>
      <c r="B56" t="s">
        <v>82</v>
      </c>
      <c r="C56" s="1">
        <f>33035+1+9+4263+2</f>
        <v>37310</v>
      </c>
      <c r="D56" s="1">
        <f>128+70+46</f>
        <v>244</v>
      </c>
      <c r="E56" s="1">
        <v>0</v>
      </c>
      <c r="F56" s="1">
        <v>0</v>
      </c>
      <c r="G56" s="1">
        <v>0</v>
      </c>
      <c r="H56" s="1">
        <v>4600</v>
      </c>
      <c r="I56" s="1">
        <v>2873</v>
      </c>
      <c r="J56" s="1"/>
    </row>
    <row r="57" spans="1:10" x14ac:dyDescent="0.25">
      <c r="A57" t="s">
        <v>83</v>
      </c>
      <c r="B57" t="s">
        <v>84</v>
      </c>
      <c r="C57" s="1"/>
      <c r="D57" s="1"/>
      <c r="E57" s="1"/>
      <c r="F57" s="1"/>
      <c r="G57" s="1"/>
      <c r="H57" s="1"/>
      <c r="I57" s="1"/>
      <c r="J57" s="1"/>
    </row>
    <row r="58" spans="1:10" x14ac:dyDescent="0.25">
      <c r="A58" t="s">
        <v>809</v>
      </c>
      <c r="B58" t="s">
        <v>85</v>
      </c>
      <c r="C58" s="1">
        <f>2253+1+1+26+412</f>
        <v>2693</v>
      </c>
      <c r="D58" s="1">
        <v>0</v>
      </c>
      <c r="E58" s="1">
        <v>0</v>
      </c>
      <c r="F58" s="1">
        <v>0</v>
      </c>
      <c r="G58" s="1">
        <v>0</v>
      </c>
      <c r="H58" s="1">
        <v>1247</v>
      </c>
      <c r="I58" s="1">
        <v>404</v>
      </c>
      <c r="J58" s="1"/>
    </row>
    <row r="59" spans="1:10" x14ac:dyDescent="0.25">
      <c r="A59" t="s">
        <v>811</v>
      </c>
      <c r="B59" t="s">
        <v>86</v>
      </c>
      <c r="C59" s="1"/>
      <c r="D59" s="1"/>
      <c r="E59" s="1"/>
      <c r="F59" s="1"/>
      <c r="G59" s="1"/>
      <c r="H59" s="1"/>
      <c r="I59" s="1"/>
      <c r="J59" s="1"/>
    </row>
    <row r="60" spans="1:10" x14ac:dyDescent="0.25">
      <c r="A60" t="s">
        <v>811</v>
      </c>
      <c r="B60" t="s">
        <v>87</v>
      </c>
      <c r="C60" s="1"/>
      <c r="D60" s="1"/>
      <c r="E60" s="1"/>
      <c r="F60" s="1"/>
      <c r="G60" s="1"/>
      <c r="H60" s="1"/>
      <c r="I60" s="1"/>
      <c r="J60" s="1"/>
    </row>
    <row r="61" spans="1:10" x14ac:dyDescent="0.25">
      <c r="A61" t="s">
        <v>791</v>
      </c>
      <c r="B61" t="s">
        <v>88</v>
      </c>
      <c r="C61" s="1"/>
      <c r="D61" s="1"/>
      <c r="E61" s="1"/>
      <c r="F61" s="1"/>
      <c r="G61" s="1"/>
      <c r="H61" s="1"/>
      <c r="I61" s="1"/>
      <c r="J61" s="1"/>
    </row>
    <row r="62" spans="1:10" x14ac:dyDescent="0.25">
      <c r="A62" t="s">
        <v>809</v>
      </c>
      <c r="B62" t="s">
        <v>89</v>
      </c>
      <c r="C62" s="1">
        <f>787+12+114</f>
        <v>913</v>
      </c>
      <c r="D62" s="1">
        <v>23</v>
      </c>
      <c r="E62" s="1">
        <v>0</v>
      </c>
      <c r="F62" s="1">
        <v>0</v>
      </c>
      <c r="G62" s="1">
        <v>0</v>
      </c>
      <c r="H62" s="1">
        <v>2695</v>
      </c>
      <c r="I62" s="1">
        <v>139</v>
      </c>
      <c r="J62" s="1"/>
    </row>
    <row r="63" spans="1:10" x14ac:dyDescent="0.25">
      <c r="A63" t="s">
        <v>848</v>
      </c>
      <c r="B63" t="s">
        <v>90</v>
      </c>
      <c r="C63" s="1"/>
      <c r="D63" s="1"/>
      <c r="E63" s="1"/>
      <c r="F63" s="1"/>
      <c r="G63" s="1"/>
      <c r="H63" s="1"/>
      <c r="I63" s="1"/>
      <c r="J63" s="1"/>
    </row>
    <row r="64" spans="1:10" x14ac:dyDescent="0.25">
      <c r="A64" t="s">
        <v>811</v>
      </c>
      <c r="B64" t="s">
        <v>91</v>
      </c>
      <c r="C64" s="1"/>
      <c r="D64" s="1"/>
      <c r="E64" s="1"/>
      <c r="F64" s="1"/>
      <c r="G64" s="1"/>
      <c r="H64" s="1"/>
      <c r="I64" s="1"/>
      <c r="J64" s="1"/>
    </row>
    <row r="65" spans="1:10" x14ac:dyDescent="0.25">
      <c r="A65" t="s">
        <v>826</v>
      </c>
      <c r="B65" t="s">
        <v>92</v>
      </c>
      <c r="C65" s="1"/>
      <c r="D65" s="1"/>
      <c r="E65" s="1"/>
      <c r="F65" s="1"/>
      <c r="G65" s="1"/>
      <c r="H65" s="1"/>
      <c r="I65" s="1"/>
      <c r="J65" s="1"/>
    </row>
    <row r="66" spans="1:10" x14ac:dyDescent="0.25">
      <c r="A66" t="s">
        <v>849</v>
      </c>
      <c r="B66" t="s">
        <v>93</v>
      </c>
      <c r="C66" s="1"/>
      <c r="D66" s="1"/>
      <c r="E66" s="1"/>
      <c r="F66" s="1"/>
      <c r="G66" s="1"/>
      <c r="H66" s="1"/>
      <c r="I66" s="1"/>
      <c r="J66" s="1"/>
    </row>
    <row r="67" spans="1:10" x14ac:dyDescent="0.25">
      <c r="A67" t="s">
        <v>791</v>
      </c>
      <c r="B67" t="s">
        <v>94</v>
      </c>
      <c r="C67" s="1"/>
      <c r="D67" s="1"/>
      <c r="E67" s="1"/>
      <c r="F67" s="1"/>
      <c r="G67" s="1"/>
      <c r="H67" s="1"/>
      <c r="I67" s="1"/>
      <c r="J67" s="1"/>
    </row>
    <row r="68" spans="1:10" x14ac:dyDescent="0.25">
      <c r="A68" t="s">
        <v>848</v>
      </c>
      <c r="B68" t="s">
        <v>95</v>
      </c>
      <c r="C68" s="1"/>
      <c r="D68" s="1"/>
      <c r="E68" s="1"/>
      <c r="F68" s="1"/>
      <c r="G68" s="1"/>
      <c r="H68" s="1"/>
      <c r="I68" s="1"/>
      <c r="J68" s="1"/>
    </row>
    <row r="69" spans="1:10" x14ac:dyDescent="0.25">
      <c r="A69" t="s">
        <v>826</v>
      </c>
      <c r="B69" t="s">
        <v>96</v>
      </c>
      <c r="C69" s="1"/>
      <c r="D69" s="1"/>
      <c r="E69" s="1"/>
      <c r="F69" s="1"/>
      <c r="G69" s="1"/>
      <c r="H69" s="1"/>
      <c r="I69" s="1"/>
      <c r="J69" s="1"/>
    </row>
    <row r="70" spans="1:10" x14ac:dyDescent="0.25">
      <c r="A70" t="s">
        <v>850</v>
      </c>
      <c r="B70" t="s">
        <v>98</v>
      </c>
      <c r="C70" s="1"/>
      <c r="D70" s="1"/>
      <c r="E70" s="1"/>
      <c r="F70" s="1"/>
      <c r="G70" s="1"/>
      <c r="H70" s="1"/>
      <c r="I70" s="1"/>
      <c r="J70" s="1"/>
    </row>
    <row r="71" spans="1:10" x14ac:dyDescent="0.25">
      <c r="A71" t="s">
        <v>851</v>
      </c>
      <c r="B71" t="s">
        <v>100</v>
      </c>
      <c r="C71" s="1"/>
      <c r="D71" s="1"/>
      <c r="E71" s="1"/>
      <c r="F71" s="1"/>
      <c r="G71" s="1"/>
      <c r="H71" s="1"/>
      <c r="I71" s="1"/>
      <c r="J71" s="1"/>
    </row>
    <row r="72" spans="1:10" x14ac:dyDescent="0.25">
      <c r="A72" t="s">
        <v>101</v>
      </c>
      <c r="B72" t="s">
        <v>102</v>
      </c>
      <c r="C72" s="1">
        <f>17664+16+6+4934</f>
        <v>22620</v>
      </c>
      <c r="D72" s="1">
        <v>2</v>
      </c>
      <c r="E72" s="1">
        <v>0</v>
      </c>
      <c r="F72" s="1">
        <v>0</v>
      </c>
      <c r="G72" s="1">
        <v>0</v>
      </c>
      <c r="H72" s="1">
        <v>17751</v>
      </c>
      <c r="I72" s="1">
        <v>3452</v>
      </c>
      <c r="J72" s="1"/>
    </row>
    <row r="73" spans="1:10" x14ac:dyDescent="0.25">
      <c r="A73" t="s">
        <v>512</v>
      </c>
      <c r="B73" t="s">
        <v>103</v>
      </c>
      <c r="C73" s="1">
        <f>6539+1+2368</f>
        <v>8908</v>
      </c>
      <c r="D73" s="1">
        <v>0</v>
      </c>
      <c r="E73" s="1">
        <v>0</v>
      </c>
      <c r="F73" s="1">
        <v>0</v>
      </c>
      <c r="G73" s="1">
        <v>0</v>
      </c>
      <c r="H73" s="1">
        <v>288</v>
      </c>
      <c r="I73" s="1">
        <v>1757</v>
      </c>
      <c r="J73" s="1"/>
    </row>
    <row r="74" spans="1:10" x14ac:dyDescent="0.25">
      <c r="A74" t="s">
        <v>852</v>
      </c>
      <c r="B74" t="s">
        <v>105</v>
      </c>
      <c r="C74" s="1"/>
      <c r="D74" s="1"/>
      <c r="E74" s="1"/>
      <c r="F74" s="1"/>
      <c r="G74" s="1"/>
      <c r="H74" s="1"/>
      <c r="I74" s="1"/>
      <c r="J74" s="1"/>
    </row>
    <row r="75" spans="1:10" x14ac:dyDescent="0.25">
      <c r="A75" t="s">
        <v>853</v>
      </c>
      <c r="B75" t="s">
        <v>107</v>
      </c>
      <c r="C75" s="1"/>
      <c r="D75" s="1"/>
      <c r="E75" s="1"/>
      <c r="F75" s="1"/>
      <c r="G75" s="1"/>
      <c r="H75" s="1"/>
      <c r="I75" s="1"/>
      <c r="J75" s="1"/>
    </row>
    <row r="76" spans="1:10" x14ac:dyDescent="0.25">
      <c r="A76" t="s">
        <v>854</v>
      </c>
      <c r="B76" t="s">
        <v>109</v>
      </c>
      <c r="C76" s="1"/>
      <c r="D76" s="1"/>
      <c r="E76" s="1"/>
      <c r="F76" s="1"/>
      <c r="G76" s="1"/>
      <c r="H76" s="1"/>
      <c r="I76" s="1"/>
      <c r="J76" s="1"/>
    </row>
    <row r="77" spans="1:10" x14ac:dyDescent="0.25">
      <c r="A77" t="s">
        <v>855</v>
      </c>
      <c r="B77" t="s">
        <v>111</v>
      </c>
      <c r="C77" s="1"/>
      <c r="D77" s="1"/>
      <c r="E77" s="1"/>
      <c r="F77" s="1"/>
      <c r="G77" s="1"/>
      <c r="H77" s="1"/>
      <c r="I77" s="1"/>
      <c r="J77" s="1"/>
    </row>
    <row r="78" spans="1:10" x14ac:dyDescent="0.25">
      <c r="A78" t="s">
        <v>101</v>
      </c>
      <c r="B78" t="s">
        <v>112</v>
      </c>
      <c r="C78" s="1">
        <f>16397+25+130+14+1447</f>
        <v>18013</v>
      </c>
      <c r="D78" s="1">
        <f>5+3</f>
        <v>8</v>
      </c>
      <c r="E78" s="1">
        <v>0</v>
      </c>
      <c r="F78" s="1">
        <v>0</v>
      </c>
      <c r="G78" s="1">
        <v>0</v>
      </c>
      <c r="H78" s="1">
        <v>30483</v>
      </c>
      <c r="I78" s="1">
        <v>1235</v>
      </c>
      <c r="J78" s="1"/>
    </row>
    <row r="79" spans="1:10" x14ac:dyDescent="0.25">
      <c r="A79" t="s">
        <v>856</v>
      </c>
      <c r="B79" t="s">
        <v>114</v>
      </c>
      <c r="C79" s="1"/>
      <c r="D79" s="1"/>
      <c r="E79" s="1"/>
      <c r="F79" s="1"/>
      <c r="G79" s="1"/>
      <c r="H79" s="1"/>
      <c r="I79" s="1"/>
      <c r="J79" s="1"/>
    </row>
    <row r="80" spans="1:10" x14ac:dyDescent="0.25">
      <c r="A80" t="s">
        <v>857</v>
      </c>
      <c r="B80" t="s">
        <v>116</v>
      </c>
      <c r="C80" s="1"/>
      <c r="D80" s="1"/>
      <c r="E80" s="1"/>
      <c r="F80" s="1"/>
      <c r="G80" s="1"/>
      <c r="H80" s="1"/>
      <c r="I80" s="1"/>
      <c r="J80" s="1"/>
    </row>
    <row r="81" spans="1:10" x14ac:dyDescent="0.25">
      <c r="A81" t="s">
        <v>823</v>
      </c>
      <c r="B81" t="s">
        <v>117</v>
      </c>
      <c r="C81" s="1">
        <f>5791+1864</f>
        <v>7655</v>
      </c>
      <c r="D81" s="1">
        <v>0</v>
      </c>
      <c r="E81" s="1">
        <v>0</v>
      </c>
      <c r="F81" s="1">
        <v>0</v>
      </c>
      <c r="G81" s="1">
        <v>0</v>
      </c>
      <c r="H81" s="1">
        <v>24</v>
      </c>
      <c r="I81" s="1">
        <v>1634</v>
      </c>
      <c r="J81" s="1"/>
    </row>
    <row r="82" spans="1:10" x14ac:dyDescent="0.25">
      <c r="A82" t="s">
        <v>858</v>
      </c>
      <c r="B82" t="s">
        <v>119</v>
      </c>
      <c r="C82" s="1"/>
      <c r="D82" s="1"/>
      <c r="E82" s="1"/>
      <c r="F82" s="1"/>
      <c r="G82" s="1"/>
      <c r="H82" s="1"/>
      <c r="I82" s="1"/>
      <c r="J82" s="1"/>
    </row>
    <row r="83" spans="1:10" x14ac:dyDescent="0.25">
      <c r="A83" t="s">
        <v>859</v>
      </c>
      <c r="B83" s="5" t="s">
        <v>121</v>
      </c>
      <c r="C83" s="6"/>
      <c r="D83" s="6"/>
      <c r="E83" s="6"/>
      <c r="F83" s="6"/>
      <c r="G83" s="6"/>
      <c r="H83" s="6"/>
      <c r="I83" s="6"/>
      <c r="J83" s="6"/>
    </row>
    <row r="84" spans="1:10" x14ac:dyDescent="0.25">
      <c r="A84" t="s">
        <v>860</v>
      </c>
      <c r="B84" t="s">
        <v>122</v>
      </c>
      <c r="C84" s="1"/>
      <c r="D84" s="1"/>
      <c r="E84" s="1"/>
      <c r="F84" s="1"/>
      <c r="G84" s="1"/>
      <c r="H84" s="1"/>
      <c r="I84" s="1"/>
      <c r="J84" s="1"/>
    </row>
    <row r="85" spans="1:10" x14ac:dyDescent="0.25">
      <c r="A85" t="s">
        <v>861</v>
      </c>
      <c r="B85" t="s">
        <v>124</v>
      </c>
      <c r="C85" s="1"/>
      <c r="D85" s="1"/>
      <c r="E85" s="1"/>
      <c r="F85" s="1"/>
      <c r="G85" s="1"/>
      <c r="H85" s="1"/>
      <c r="I85" s="1"/>
      <c r="J85" s="1"/>
    </row>
    <row r="86" spans="1:10" x14ac:dyDescent="0.25">
      <c r="A86" t="s">
        <v>823</v>
      </c>
      <c r="B86" t="s">
        <v>125</v>
      </c>
      <c r="C86" s="1">
        <f>38174+1649</f>
        <v>39823</v>
      </c>
      <c r="D86" s="1">
        <v>0</v>
      </c>
      <c r="E86" s="1">
        <v>0</v>
      </c>
      <c r="F86" s="1">
        <v>0</v>
      </c>
      <c r="G86" s="1">
        <v>0</v>
      </c>
      <c r="H86" s="1">
        <v>429</v>
      </c>
      <c r="I86" s="1">
        <v>870</v>
      </c>
      <c r="J86" s="1"/>
    </row>
    <row r="87" spans="1:10" x14ac:dyDescent="0.25">
      <c r="A87" t="s">
        <v>248</v>
      </c>
      <c r="B87" t="s">
        <v>126</v>
      </c>
      <c r="C87" s="1"/>
      <c r="D87" s="1"/>
      <c r="E87" s="1"/>
      <c r="F87" s="1"/>
      <c r="G87" s="1"/>
      <c r="H87" s="1"/>
      <c r="I87" s="1"/>
      <c r="J87" s="1"/>
    </row>
    <row r="88" spans="1:10" x14ac:dyDescent="0.25">
      <c r="A88" t="s">
        <v>862</v>
      </c>
      <c r="B88" t="s">
        <v>127</v>
      </c>
      <c r="C88" s="1"/>
      <c r="D88" s="1"/>
      <c r="E88" s="1"/>
      <c r="F88" s="1"/>
      <c r="G88" s="1"/>
      <c r="H88" s="1"/>
      <c r="I88" s="1"/>
      <c r="J88" s="1"/>
    </row>
    <row r="89" spans="1:10" x14ac:dyDescent="0.25">
      <c r="A89" t="s">
        <v>863</v>
      </c>
      <c r="B89" t="s">
        <v>129</v>
      </c>
      <c r="C89" s="1"/>
      <c r="D89" s="1"/>
      <c r="E89" s="1"/>
      <c r="F89" s="1"/>
      <c r="G89" s="1"/>
      <c r="H89" s="1"/>
      <c r="I89" s="1"/>
      <c r="J89" s="1"/>
    </row>
    <row r="90" spans="1:10" x14ac:dyDescent="0.25">
      <c r="A90" t="s">
        <v>794</v>
      </c>
      <c r="B90" t="s">
        <v>130</v>
      </c>
      <c r="C90" s="1">
        <f>20015+789+2317</f>
        <v>23121</v>
      </c>
      <c r="D90" s="1">
        <f>19+69+10</f>
        <v>98</v>
      </c>
      <c r="E90" s="1">
        <v>0</v>
      </c>
      <c r="F90" s="1">
        <v>0</v>
      </c>
      <c r="G90" s="1">
        <v>0</v>
      </c>
      <c r="H90" s="1">
        <v>2114</v>
      </c>
      <c r="I90" s="1">
        <v>2102</v>
      </c>
      <c r="J90" s="1"/>
    </row>
    <row r="91" spans="1:10" x14ac:dyDescent="0.25">
      <c r="A91" t="s">
        <v>864</v>
      </c>
      <c r="B91" t="s">
        <v>132</v>
      </c>
      <c r="C91" s="1">
        <f>10846+4203</f>
        <v>15049</v>
      </c>
      <c r="D91" s="1">
        <f>2+24</f>
        <v>26</v>
      </c>
      <c r="E91" s="1">
        <v>0</v>
      </c>
      <c r="F91" s="1">
        <v>0</v>
      </c>
      <c r="G91" s="1">
        <v>0</v>
      </c>
      <c r="H91" s="1">
        <v>21067</v>
      </c>
      <c r="I91" s="1">
        <v>3519</v>
      </c>
      <c r="J91" s="1"/>
    </row>
    <row r="92" spans="1:10" x14ac:dyDescent="0.25">
      <c r="A92" t="s">
        <v>512</v>
      </c>
      <c r="B92" t="s">
        <v>133</v>
      </c>
      <c r="C92" s="1">
        <f>6110+2+2701</f>
        <v>8813</v>
      </c>
      <c r="D92" s="1">
        <v>0</v>
      </c>
      <c r="E92" s="1">
        <v>0</v>
      </c>
      <c r="F92" s="1">
        <v>0</v>
      </c>
      <c r="G92" s="1">
        <v>0</v>
      </c>
      <c r="H92" s="1">
        <v>1361</v>
      </c>
      <c r="I92" s="1">
        <v>1939</v>
      </c>
      <c r="J92" s="1"/>
    </row>
    <row r="93" spans="1:10" x14ac:dyDescent="0.25">
      <c r="A93" t="s">
        <v>134</v>
      </c>
      <c r="B93" t="s">
        <v>135</v>
      </c>
      <c r="C93" s="1">
        <f>12211+55+8741</f>
        <v>21007</v>
      </c>
      <c r="D93" s="1">
        <f>7+3</f>
        <v>10</v>
      </c>
      <c r="E93" s="1">
        <v>0</v>
      </c>
      <c r="F93" s="1">
        <v>0</v>
      </c>
      <c r="G93" s="1">
        <v>0</v>
      </c>
      <c r="H93" s="1">
        <v>30243</v>
      </c>
      <c r="I93" s="1">
        <v>7118</v>
      </c>
      <c r="J93" s="1"/>
    </row>
    <row r="94" spans="1:10" x14ac:dyDescent="0.25">
      <c r="A94" t="s">
        <v>795</v>
      </c>
      <c r="B94" t="s">
        <v>136</v>
      </c>
      <c r="C94" s="1">
        <f>6173+16+4+2707</f>
        <v>8900</v>
      </c>
      <c r="D94" s="1">
        <f>105+36+15+7</f>
        <v>163</v>
      </c>
      <c r="E94" s="1">
        <v>0</v>
      </c>
      <c r="F94" s="1">
        <v>0</v>
      </c>
      <c r="G94" s="1">
        <v>0</v>
      </c>
      <c r="H94" s="1">
        <v>3059</v>
      </c>
      <c r="I94" s="1">
        <v>2583</v>
      </c>
      <c r="J94" s="1"/>
    </row>
    <row r="95" spans="1:10" x14ac:dyDescent="0.25">
      <c r="A95" t="s">
        <v>120</v>
      </c>
      <c r="B95" t="s">
        <v>137</v>
      </c>
      <c r="C95" s="1">
        <f>27663+157+7+99+1937</f>
        <v>29863</v>
      </c>
      <c r="D95" s="1">
        <f>92+1</f>
        <v>93</v>
      </c>
      <c r="E95" s="1">
        <v>0</v>
      </c>
      <c r="F95" s="1">
        <v>0</v>
      </c>
      <c r="G95" s="1">
        <v>0</v>
      </c>
      <c r="H95" s="1">
        <v>22396</v>
      </c>
      <c r="I95" s="1">
        <v>1630</v>
      </c>
      <c r="J95" s="1"/>
    </row>
    <row r="96" spans="1:10" x14ac:dyDescent="0.25">
      <c r="A96" t="s">
        <v>138</v>
      </c>
      <c r="B96" t="s">
        <v>139</v>
      </c>
      <c r="C96" s="1">
        <f>11850+26+4+261+4+56+2802</f>
        <v>15003</v>
      </c>
      <c r="D96" s="1">
        <f>2+15</f>
        <v>17</v>
      </c>
      <c r="E96" s="1">
        <v>0</v>
      </c>
      <c r="F96" s="1">
        <v>0</v>
      </c>
      <c r="G96" s="1">
        <v>0</v>
      </c>
      <c r="H96" s="1">
        <v>3614</v>
      </c>
      <c r="I96" s="1">
        <v>2437</v>
      </c>
      <c r="J96" s="1"/>
    </row>
    <row r="97" spans="1:10" x14ac:dyDescent="0.25">
      <c r="A97" t="s">
        <v>806</v>
      </c>
      <c r="B97" t="s">
        <v>141</v>
      </c>
      <c r="C97" s="1">
        <f>671+8+49</f>
        <v>728</v>
      </c>
      <c r="D97" s="1">
        <v>0</v>
      </c>
      <c r="E97" s="1">
        <v>0</v>
      </c>
      <c r="F97" s="1">
        <v>0</v>
      </c>
      <c r="G97" s="1">
        <v>0</v>
      </c>
      <c r="H97" s="1">
        <v>243</v>
      </c>
      <c r="I97" s="1">
        <v>52</v>
      </c>
      <c r="J97" s="1"/>
    </row>
    <row r="98" spans="1:10" x14ac:dyDescent="0.25">
      <c r="A98" t="s">
        <v>67</v>
      </c>
      <c r="B98" t="s">
        <v>142</v>
      </c>
      <c r="C98" s="1">
        <f>7954+2+1751+21+1053</f>
        <v>10781</v>
      </c>
      <c r="D98" s="1">
        <f>16+1</f>
        <v>17</v>
      </c>
      <c r="E98" s="1">
        <v>0</v>
      </c>
      <c r="F98" s="1">
        <v>0</v>
      </c>
      <c r="G98" s="1">
        <v>0</v>
      </c>
      <c r="H98" s="1">
        <v>4419</v>
      </c>
      <c r="I98" s="1">
        <v>937</v>
      </c>
      <c r="J98" s="1"/>
    </row>
    <row r="99" spans="1:10" x14ac:dyDescent="0.25">
      <c r="A99" t="s">
        <v>823</v>
      </c>
      <c r="B99" t="s">
        <v>143</v>
      </c>
      <c r="C99" s="1">
        <f>5311+3229</f>
        <v>8540</v>
      </c>
      <c r="D99" s="1">
        <v>0</v>
      </c>
      <c r="E99" s="1">
        <v>0</v>
      </c>
      <c r="F99" s="1">
        <v>0</v>
      </c>
      <c r="G99" s="1">
        <v>0</v>
      </c>
      <c r="H99" s="1">
        <v>76</v>
      </c>
      <c r="I99" s="1">
        <v>381</v>
      </c>
      <c r="J99" s="1"/>
    </row>
    <row r="100" spans="1:10" x14ac:dyDescent="0.25">
      <c r="A100" t="s">
        <v>848</v>
      </c>
      <c r="B100" t="s">
        <v>144</v>
      </c>
      <c r="C100" s="1"/>
      <c r="D100" s="1"/>
      <c r="E100" s="1"/>
      <c r="F100" s="1"/>
      <c r="G100" s="1"/>
      <c r="H100" s="1"/>
      <c r="I100" s="1"/>
      <c r="J100" s="1"/>
    </row>
    <row r="101" spans="1:10" x14ac:dyDescent="0.25">
      <c r="A101" t="s">
        <v>816</v>
      </c>
      <c r="B101" t="s">
        <v>145</v>
      </c>
      <c r="C101" s="1">
        <f>18979+9+6+10736+1</f>
        <v>29731</v>
      </c>
      <c r="D101" s="1">
        <f>20+1</f>
        <v>21</v>
      </c>
      <c r="E101" s="1">
        <v>0</v>
      </c>
      <c r="F101" s="1">
        <v>0</v>
      </c>
      <c r="G101" s="1">
        <v>0</v>
      </c>
      <c r="H101" s="1">
        <v>25434</v>
      </c>
      <c r="I101" s="1">
        <v>9963</v>
      </c>
      <c r="J101" s="1"/>
    </row>
    <row r="102" spans="1:10" x14ac:dyDescent="0.25">
      <c r="A102" t="s">
        <v>146</v>
      </c>
      <c r="B102" t="s">
        <v>147</v>
      </c>
      <c r="C102" s="1">
        <f>23483+22+10068</f>
        <v>33573</v>
      </c>
      <c r="D102" s="1">
        <f>44+2+2+2</f>
        <v>50</v>
      </c>
      <c r="E102" s="1">
        <v>0</v>
      </c>
      <c r="F102" s="1">
        <v>0</v>
      </c>
      <c r="G102" s="1">
        <v>0</v>
      </c>
      <c r="H102" s="1">
        <v>23218</v>
      </c>
      <c r="I102" s="1">
        <v>8482</v>
      </c>
      <c r="J102" s="1"/>
    </row>
    <row r="103" spans="1:10" x14ac:dyDescent="0.25">
      <c r="A103" t="s">
        <v>804</v>
      </c>
      <c r="B103" t="s">
        <v>148</v>
      </c>
      <c r="C103" s="1"/>
      <c r="D103" s="1"/>
      <c r="E103" s="1"/>
      <c r="F103" s="1"/>
      <c r="G103" s="1"/>
      <c r="H103" s="1"/>
      <c r="I103" s="1"/>
      <c r="J103" s="1"/>
    </row>
    <row r="104" spans="1:10" x14ac:dyDescent="0.25">
      <c r="A104" t="s">
        <v>817</v>
      </c>
      <c r="B104" t="s">
        <v>149</v>
      </c>
      <c r="C104" s="1">
        <f>5951+4291+2</f>
        <v>10244</v>
      </c>
      <c r="D104" s="1">
        <f>296+20+36+2</f>
        <v>354</v>
      </c>
      <c r="E104" s="1">
        <v>0</v>
      </c>
      <c r="F104" s="1">
        <v>0</v>
      </c>
      <c r="G104" s="1">
        <v>0</v>
      </c>
      <c r="H104" s="1">
        <v>16204</v>
      </c>
      <c r="I104" s="1">
        <v>3769</v>
      </c>
      <c r="J104" s="1"/>
    </row>
    <row r="105" spans="1:10" x14ac:dyDescent="0.25">
      <c r="A105" t="s">
        <v>831</v>
      </c>
      <c r="B105" t="s">
        <v>151</v>
      </c>
      <c r="C105" s="1">
        <f>2898+1+39+773</f>
        <v>3711</v>
      </c>
      <c r="D105" s="1">
        <v>0</v>
      </c>
      <c r="E105" s="1">
        <v>0</v>
      </c>
      <c r="F105" s="1">
        <v>0</v>
      </c>
      <c r="G105" s="1">
        <v>0</v>
      </c>
      <c r="H105" s="1">
        <v>722</v>
      </c>
      <c r="I105" s="1">
        <v>575</v>
      </c>
      <c r="J105" s="1"/>
    </row>
    <row r="106" spans="1:10" x14ac:dyDescent="0.25">
      <c r="A106" t="s">
        <v>146</v>
      </c>
      <c r="B106" t="s">
        <v>152</v>
      </c>
      <c r="C106" s="1">
        <f>4245+4+1+6119</f>
        <v>10369</v>
      </c>
      <c r="D106" s="1">
        <f>9+12</f>
        <v>21</v>
      </c>
      <c r="E106" s="1">
        <v>0</v>
      </c>
      <c r="F106" s="1">
        <v>0</v>
      </c>
      <c r="G106" s="1">
        <v>0</v>
      </c>
      <c r="H106" s="1">
        <v>5048</v>
      </c>
      <c r="I106" s="1">
        <v>3954</v>
      </c>
      <c r="J106" s="1"/>
    </row>
    <row r="107" spans="1:10" x14ac:dyDescent="0.25">
      <c r="A107" t="s">
        <v>495</v>
      </c>
      <c r="B107" t="s">
        <v>153</v>
      </c>
      <c r="C107" s="1">
        <f>4340+48+452</f>
        <v>4840</v>
      </c>
      <c r="D107" s="1">
        <v>4</v>
      </c>
      <c r="E107" s="1">
        <v>0</v>
      </c>
      <c r="F107" s="1">
        <v>0</v>
      </c>
      <c r="G107" s="1">
        <v>0</v>
      </c>
      <c r="H107" s="1">
        <v>679</v>
      </c>
      <c r="I107" s="1">
        <v>399</v>
      </c>
      <c r="J107" s="1"/>
    </row>
    <row r="108" spans="1:10" x14ac:dyDescent="0.25">
      <c r="A108" t="s">
        <v>76</v>
      </c>
      <c r="B108" t="s">
        <v>154</v>
      </c>
      <c r="C108" s="1">
        <f>11914+13035</f>
        <v>24949</v>
      </c>
      <c r="D108" s="1">
        <f>1+1</f>
        <v>2</v>
      </c>
      <c r="E108" s="1">
        <v>0</v>
      </c>
      <c r="F108" s="1">
        <v>0</v>
      </c>
      <c r="G108" s="1">
        <v>0</v>
      </c>
      <c r="H108" s="1">
        <v>3343</v>
      </c>
      <c r="I108" s="1">
        <v>9996</v>
      </c>
      <c r="J108" s="1"/>
    </row>
    <row r="109" spans="1:10" x14ac:dyDescent="0.25">
      <c r="A109" t="s">
        <v>83</v>
      </c>
      <c r="B109" t="s">
        <v>155</v>
      </c>
      <c r="C109" s="1">
        <f>6840+1690</f>
        <v>8530</v>
      </c>
      <c r="D109" s="1">
        <f>5</f>
        <v>5</v>
      </c>
      <c r="E109" s="1">
        <v>0</v>
      </c>
      <c r="F109" s="1">
        <v>0</v>
      </c>
      <c r="G109" s="1">
        <v>0</v>
      </c>
      <c r="H109" s="1">
        <v>28675</v>
      </c>
      <c r="I109" s="1">
        <v>1308</v>
      </c>
      <c r="J109" s="1"/>
    </row>
    <row r="110" spans="1:10" x14ac:dyDescent="0.25">
      <c r="A110" t="s">
        <v>138</v>
      </c>
      <c r="B110" t="s">
        <v>156</v>
      </c>
      <c r="C110" s="1">
        <f>13626+6728</f>
        <v>20354</v>
      </c>
      <c r="D110" s="1">
        <f>6+1+8+161</f>
        <v>176</v>
      </c>
      <c r="E110" s="1">
        <v>0</v>
      </c>
      <c r="F110" s="1">
        <v>0</v>
      </c>
      <c r="G110" s="1">
        <v>0</v>
      </c>
      <c r="H110" s="1">
        <v>13550</v>
      </c>
      <c r="I110" s="1">
        <v>4897</v>
      </c>
      <c r="J110" s="1"/>
    </row>
    <row r="111" spans="1:10" x14ac:dyDescent="0.25">
      <c r="A111" t="s">
        <v>831</v>
      </c>
      <c r="B111" t="s">
        <v>157</v>
      </c>
      <c r="C111" s="1">
        <f>4046+7+1641</f>
        <v>5694</v>
      </c>
      <c r="D111" s="1">
        <v>0</v>
      </c>
      <c r="E111" s="1">
        <v>0</v>
      </c>
      <c r="F111" s="1">
        <v>0</v>
      </c>
      <c r="G111" s="1">
        <v>0</v>
      </c>
      <c r="H111" s="1">
        <v>3148</v>
      </c>
      <c r="I111" s="1">
        <v>1493</v>
      </c>
      <c r="J111" s="1"/>
    </row>
    <row r="112" spans="1:10" x14ac:dyDescent="0.25">
      <c r="A112" t="s">
        <v>818</v>
      </c>
      <c r="B112" t="s">
        <v>158</v>
      </c>
      <c r="C112" s="1">
        <f>10092+3+2624</f>
        <v>12719</v>
      </c>
      <c r="D112" s="1">
        <v>0</v>
      </c>
      <c r="E112" s="1">
        <v>0</v>
      </c>
      <c r="F112" s="1">
        <v>0</v>
      </c>
      <c r="G112" s="1">
        <v>0</v>
      </c>
      <c r="H112" s="1">
        <v>6872</v>
      </c>
      <c r="I112" s="1">
        <v>2100</v>
      </c>
      <c r="J112" s="1"/>
    </row>
    <row r="113" spans="1:10" x14ac:dyDescent="0.25">
      <c r="A113" t="s">
        <v>134</v>
      </c>
      <c r="B113" t="s">
        <v>159</v>
      </c>
      <c r="C113" s="1">
        <f>1234+4+121</f>
        <v>1359</v>
      </c>
      <c r="D113" s="1">
        <v>70</v>
      </c>
      <c r="E113" s="1">
        <v>0</v>
      </c>
      <c r="F113" s="1">
        <v>0</v>
      </c>
      <c r="G113" s="1">
        <v>0</v>
      </c>
      <c r="H113" s="1">
        <v>1159</v>
      </c>
      <c r="I113" s="1">
        <v>87</v>
      </c>
      <c r="J113" s="1"/>
    </row>
    <row r="114" spans="1:10" x14ac:dyDescent="0.25">
      <c r="A114" t="s">
        <v>795</v>
      </c>
      <c r="B114" t="s">
        <v>160</v>
      </c>
      <c r="C114" s="1">
        <f>17123+8440</f>
        <v>25563</v>
      </c>
      <c r="D114" s="1">
        <f>156+55+7+129+440+462</f>
        <v>1249</v>
      </c>
      <c r="E114" s="1">
        <v>0</v>
      </c>
      <c r="F114" s="1">
        <v>0</v>
      </c>
      <c r="G114" s="1">
        <v>0</v>
      </c>
      <c r="H114" s="1">
        <v>2036</v>
      </c>
      <c r="I114" s="1">
        <v>5604</v>
      </c>
      <c r="J114" s="1"/>
    </row>
    <row r="115" spans="1:10" x14ac:dyDescent="0.25">
      <c r="A115" t="s">
        <v>226</v>
      </c>
      <c r="B115" t="s">
        <v>161</v>
      </c>
      <c r="C115" s="1">
        <f>1935+20+44+217</f>
        <v>2216</v>
      </c>
      <c r="D115" s="1">
        <v>1</v>
      </c>
      <c r="E115" s="1">
        <v>0</v>
      </c>
      <c r="F115" s="1">
        <v>0</v>
      </c>
      <c r="G115" s="1">
        <v>0</v>
      </c>
      <c r="H115" s="1">
        <v>905</v>
      </c>
      <c r="I115" s="1">
        <v>213</v>
      </c>
      <c r="J115" s="1"/>
    </row>
    <row r="116" spans="1:10" x14ac:dyDescent="0.25">
      <c r="A116" t="s">
        <v>791</v>
      </c>
      <c r="B116" t="s">
        <v>162</v>
      </c>
      <c r="C116" s="1"/>
      <c r="D116" s="1"/>
      <c r="E116" s="1"/>
      <c r="F116" s="1"/>
      <c r="G116" s="1"/>
      <c r="H116" s="1"/>
      <c r="I116" s="1"/>
      <c r="J116" s="1"/>
    </row>
    <row r="117" spans="1:10" x14ac:dyDescent="0.25">
      <c r="A117" t="s">
        <v>811</v>
      </c>
      <c r="B117" t="s">
        <v>163</v>
      </c>
      <c r="C117" s="1"/>
      <c r="D117" s="1"/>
      <c r="E117" s="1"/>
      <c r="F117" s="1"/>
      <c r="G117" s="1"/>
      <c r="H117" s="1"/>
      <c r="I117" s="1"/>
      <c r="J117" s="1"/>
    </row>
    <row r="118" spans="1:10" x14ac:dyDescent="0.25">
      <c r="A118" t="s">
        <v>138</v>
      </c>
      <c r="B118" t="s">
        <v>164</v>
      </c>
      <c r="C118" s="1">
        <f>31286+7+13232</f>
        <v>44525</v>
      </c>
      <c r="D118" s="1">
        <f>14+36+18+2</f>
        <v>70</v>
      </c>
      <c r="E118" s="1">
        <v>0</v>
      </c>
      <c r="F118" s="1">
        <v>0</v>
      </c>
      <c r="G118" s="1">
        <v>0</v>
      </c>
      <c r="H118" s="1">
        <v>16541</v>
      </c>
      <c r="I118" s="1">
        <v>11439</v>
      </c>
      <c r="J118" s="1"/>
    </row>
    <row r="119" spans="1:10" x14ac:dyDescent="0.25">
      <c r="A119" t="s">
        <v>83</v>
      </c>
      <c r="B119" t="s">
        <v>165</v>
      </c>
      <c r="C119" s="1"/>
      <c r="D119" s="1"/>
      <c r="E119" s="1"/>
      <c r="F119" s="1"/>
      <c r="G119" s="1"/>
      <c r="H119" s="1"/>
      <c r="I119" s="1"/>
      <c r="J119" s="1"/>
    </row>
    <row r="120" spans="1:10" x14ac:dyDescent="0.25">
      <c r="A120" t="s">
        <v>818</v>
      </c>
      <c r="B120" t="s">
        <v>166</v>
      </c>
      <c r="C120" s="1">
        <f>3557+3+389</f>
        <v>3949</v>
      </c>
      <c r="D120" s="1">
        <v>0</v>
      </c>
      <c r="E120" s="1">
        <v>0</v>
      </c>
      <c r="F120" s="1">
        <v>0</v>
      </c>
      <c r="G120" s="1">
        <v>0</v>
      </c>
      <c r="H120" s="1">
        <v>483</v>
      </c>
      <c r="I120" s="1">
        <v>371</v>
      </c>
      <c r="J120" s="1"/>
    </row>
    <row r="121" spans="1:10" x14ac:dyDescent="0.25">
      <c r="A121" t="s">
        <v>801</v>
      </c>
      <c r="B121" t="s">
        <v>167</v>
      </c>
      <c r="C121" s="1">
        <f>14922+14+17+2+1790</f>
        <v>16745</v>
      </c>
      <c r="D121" s="1">
        <v>3</v>
      </c>
      <c r="E121" s="1">
        <v>0</v>
      </c>
      <c r="F121" s="1">
        <v>0</v>
      </c>
      <c r="G121" s="1">
        <v>0</v>
      </c>
      <c r="H121" s="1">
        <v>12421</v>
      </c>
      <c r="I121" s="1">
        <v>1632</v>
      </c>
      <c r="J121" s="1"/>
    </row>
    <row r="122" spans="1:10" x14ac:dyDescent="0.25">
      <c r="A122" t="s">
        <v>826</v>
      </c>
      <c r="B122" t="s">
        <v>168</v>
      </c>
      <c r="C122" s="1"/>
      <c r="D122" s="1"/>
      <c r="E122" s="1"/>
      <c r="F122" s="1"/>
      <c r="G122" s="1"/>
      <c r="H122" s="1"/>
      <c r="I122" s="1"/>
      <c r="J122" s="1"/>
    </row>
    <row r="123" spans="1:10" x14ac:dyDescent="0.25">
      <c r="A123" t="s">
        <v>848</v>
      </c>
      <c r="B123" t="s">
        <v>169</v>
      </c>
      <c r="C123" s="1"/>
      <c r="D123" s="1"/>
      <c r="E123" s="1"/>
      <c r="F123" s="1"/>
      <c r="G123" s="1"/>
      <c r="H123" s="1"/>
      <c r="I123" s="1"/>
      <c r="J123" s="1"/>
    </row>
    <row r="124" spans="1:10" x14ac:dyDescent="0.25">
      <c r="A124" t="s">
        <v>811</v>
      </c>
      <c r="B124" t="s">
        <v>170</v>
      </c>
      <c r="C124" s="1"/>
      <c r="D124" s="1"/>
      <c r="E124" s="1"/>
      <c r="F124" s="1"/>
      <c r="G124" s="1"/>
      <c r="H124" s="1"/>
      <c r="I124" s="1"/>
      <c r="J124" s="1"/>
    </row>
    <row r="125" spans="1:10" x14ac:dyDescent="0.25">
      <c r="A125" t="s">
        <v>512</v>
      </c>
      <c r="B125" t="s">
        <v>171</v>
      </c>
      <c r="C125" s="1">
        <f>1921+1629</f>
        <v>3550</v>
      </c>
      <c r="D125" s="1">
        <v>0</v>
      </c>
      <c r="E125" s="1">
        <v>0</v>
      </c>
      <c r="F125" s="1">
        <v>0</v>
      </c>
      <c r="G125" s="1">
        <v>0</v>
      </c>
      <c r="H125" s="1">
        <v>2913</v>
      </c>
      <c r="I125" s="1">
        <v>852</v>
      </c>
      <c r="J125" s="1"/>
    </row>
    <row r="126" spans="1:10" x14ac:dyDescent="0.25">
      <c r="A126" t="s">
        <v>848</v>
      </c>
      <c r="B126" t="s">
        <v>172</v>
      </c>
      <c r="C126" s="1"/>
      <c r="D126" s="1"/>
      <c r="E126" s="1"/>
      <c r="F126" s="1"/>
      <c r="G126" s="1"/>
      <c r="H126" s="1"/>
      <c r="I126" s="1"/>
      <c r="J126" s="1"/>
    </row>
    <row r="127" spans="1:10" x14ac:dyDescent="0.25">
      <c r="A127" t="s">
        <v>801</v>
      </c>
      <c r="B127" t="s">
        <v>173</v>
      </c>
      <c r="C127" s="1">
        <f>16728+1+1856+6+3+9393</f>
        <v>27987</v>
      </c>
      <c r="D127" s="1">
        <f>69+412+6+47</f>
        <v>534</v>
      </c>
      <c r="E127" s="1">
        <v>0</v>
      </c>
      <c r="F127" s="1">
        <v>0</v>
      </c>
      <c r="G127" s="1">
        <v>0</v>
      </c>
      <c r="H127" s="1">
        <v>22388</v>
      </c>
      <c r="I127" s="1">
        <v>9290</v>
      </c>
      <c r="J127" s="1"/>
    </row>
    <row r="128" spans="1:10" x14ac:dyDescent="0.25">
      <c r="A128" t="s">
        <v>864</v>
      </c>
      <c r="B128" t="s">
        <v>174</v>
      </c>
      <c r="C128" s="1">
        <f>3374+1295</f>
        <v>4669</v>
      </c>
      <c r="D128" s="1">
        <f>2+14</f>
        <v>16</v>
      </c>
      <c r="E128" s="1">
        <v>0</v>
      </c>
      <c r="F128" s="1">
        <v>0</v>
      </c>
      <c r="G128" s="1">
        <v>0</v>
      </c>
      <c r="H128" s="1">
        <v>5006</v>
      </c>
      <c r="I128" s="1">
        <v>1191</v>
      </c>
      <c r="J128" s="1"/>
    </row>
    <row r="129" spans="1:10" x14ac:dyDescent="0.25">
      <c r="A129" t="s">
        <v>226</v>
      </c>
      <c r="B129" t="s">
        <v>175</v>
      </c>
      <c r="C129" s="1">
        <f>1672+24+8+70</f>
        <v>1774</v>
      </c>
      <c r="D129" s="1">
        <v>344</v>
      </c>
      <c r="E129" s="1">
        <v>0</v>
      </c>
      <c r="F129" s="1">
        <v>0</v>
      </c>
      <c r="G129" s="1">
        <v>0</v>
      </c>
      <c r="H129" s="1">
        <v>490</v>
      </c>
      <c r="I129" s="1">
        <v>63</v>
      </c>
      <c r="J129" s="1"/>
    </row>
    <row r="130" spans="1:10" x14ac:dyDescent="0.25">
      <c r="A130" t="s">
        <v>794</v>
      </c>
      <c r="B130" t="s">
        <v>176</v>
      </c>
      <c r="C130" s="1">
        <f>58984+5+5+5292</f>
        <v>64286</v>
      </c>
      <c r="D130" s="1">
        <v>10</v>
      </c>
      <c r="E130" s="1">
        <v>0</v>
      </c>
      <c r="F130" s="1">
        <v>0</v>
      </c>
      <c r="G130" s="1">
        <v>0</v>
      </c>
      <c r="H130" s="1">
        <v>7105</v>
      </c>
      <c r="I130" s="1">
        <v>4236</v>
      </c>
      <c r="J130" s="1"/>
    </row>
    <row r="131" spans="1:10" x14ac:dyDescent="0.25">
      <c r="A131" t="s">
        <v>248</v>
      </c>
      <c r="B131" t="s">
        <v>177</v>
      </c>
      <c r="C131" s="1"/>
      <c r="D131" s="1"/>
      <c r="E131" s="1"/>
      <c r="F131" s="1"/>
      <c r="G131" s="1"/>
      <c r="H131" s="1"/>
      <c r="I131" s="1"/>
      <c r="J131" s="1"/>
    </row>
    <row r="132" spans="1:10" x14ac:dyDescent="0.25">
      <c r="A132" t="s">
        <v>83</v>
      </c>
      <c r="B132" t="s">
        <v>178</v>
      </c>
      <c r="C132" s="1"/>
      <c r="D132" s="1"/>
      <c r="E132" s="1"/>
      <c r="F132" s="1"/>
      <c r="G132" s="1"/>
      <c r="H132" s="1"/>
      <c r="I132" s="1"/>
      <c r="J132" s="1"/>
    </row>
    <row r="133" spans="1:10" x14ac:dyDescent="0.25">
      <c r="A133" t="s">
        <v>823</v>
      </c>
      <c r="B133" t="s">
        <v>179</v>
      </c>
      <c r="C133" s="1">
        <f>13265+6085</f>
        <v>19350</v>
      </c>
      <c r="D133" s="1">
        <f>1+4</f>
        <v>5</v>
      </c>
      <c r="E133" s="1">
        <v>0</v>
      </c>
      <c r="F133" s="1">
        <v>0</v>
      </c>
      <c r="G133" s="1">
        <v>0</v>
      </c>
      <c r="H133" s="1">
        <v>12277</v>
      </c>
      <c r="I133" s="1">
        <v>5278</v>
      </c>
      <c r="J133" s="1"/>
    </row>
    <row r="134" spans="1:10" x14ac:dyDescent="0.25">
      <c r="A134" t="s">
        <v>795</v>
      </c>
      <c r="B134" t="s">
        <v>180</v>
      </c>
      <c r="C134" s="1">
        <f>48318+16+13636</f>
        <v>61970</v>
      </c>
      <c r="D134" s="1">
        <f>23+17</f>
        <v>40</v>
      </c>
      <c r="E134" s="1">
        <v>0</v>
      </c>
      <c r="F134" s="1">
        <v>0</v>
      </c>
      <c r="G134" s="1">
        <v>0</v>
      </c>
      <c r="H134" s="1">
        <v>29148</v>
      </c>
      <c r="I134" s="1">
        <v>12398</v>
      </c>
      <c r="J134" s="1"/>
    </row>
    <row r="135" spans="1:10" x14ac:dyDescent="0.25">
      <c r="A135" t="s">
        <v>791</v>
      </c>
      <c r="B135" t="s">
        <v>181</v>
      </c>
      <c r="C135" s="1"/>
      <c r="D135" s="1"/>
      <c r="E135" s="1"/>
      <c r="F135" s="1"/>
      <c r="G135" s="1"/>
      <c r="H135" s="1"/>
      <c r="I135" s="1"/>
      <c r="J135" s="1"/>
    </row>
    <row r="136" spans="1:10" x14ac:dyDescent="0.25">
      <c r="A136" t="s">
        <v>83</v>
      </c>
      <c r="B136" t="s">
        <v>182</v>
      </c>
      <c r="C136" s="1"/>
      <c r="D136" s="1"/>
      <c r="E136" s="1"/>
      <c r="F136" s="1"/>
      <c r="G136" s="1"/>
      <c r="H136" s="1"/>
      <c r="I136" s="1"/>
      <c r="J136" s="1"/>
    </row>
    <row r="137" spans="1:10" x14ac:dyDescent="0.25">
      <c r="A137" t="s">
        <v>817</v>
      </c>
      <c r="B137" t="s">
        <v>183</v>
      </c>
      <c r="C137" s="1">
        <f>634+8+1362</f>
        <v>2004</v>
      </c>
      <c r="D137" s="1">
        <f>2+11+1</f>
        <v>14</v>
      </c>
      <c r="E137" s="1">
        <v>0</v>
      </c>
      <c r="F137" s="1">
        <v>0</v>
      </c>
      <c r="G137" s="1">
        <v>0</v>
      </c>
      <c r="H137" s="1">
        <v>8466</v>
      </c>
      <c r="I137" s="1">
        <v>1097</v>
      </c>
      <c r="J137" s="1"/>
    </row>
    <row r="138" spans="1:10" x14ac:dyDescent="0.25">
      <c r="A138" t="s">
        <v>67</v>
      </c>
      <c r="B138" t="s">
        <v>184</v>
      </c>
      <c r="C138" s="1">
        <f>15940+389+17+2900</f>
        <v>19246</v>
      </c>
      <c r="D138" s="1">
        <f>82+75+18</f>
        <v>175</v>
      </c>
      <c r="E138" s="1">
        <v>0</v>
      </c>
      <c r="F138" s="1">
        <v>0</v>
      </c>
      <c r="G138" s="1">
        <v>0</v>
      </c>
      <c r="H138" s="1">
        <v>17954</v>
      </c>
      <c r="I138" s="1">
        <v>2579</v>
      </c>
      <c r="J138" s="1"/>
    </row>
    <row r="139" spans="1:10" x14ac:dyDescent="0.25">
      <c r="A139" t="s">
        <v>865</v>
      </c>
      <c r="B139" t="s">
        <v>186</v>
      </c>
      <c r="C139" s="1">
        <f>4923+1+1+3413</f>
        <v>8338</v>
      </c>
      <c r="D139" s="1">
        <v>0</v>
      </c>
      <c r="E139" s="1">
        <v>0</v>
      </c>
      <c r="F139" s="1">
        <v>0</v>
      </c>
      <c r="G139" s="1">
        <v>0</v>
      </c>
      <c r="H139" s="1">
        <v>9012</v>
      </c>
      <c r="I139" s="1">
        <v>2006</v>
      </c>
      <c r="J139" s="1"/>
    </row>
    <row r="140" spans="1:10" x14ac:dyDescent="0.25">
      <c r="A140" t="s">
        <v>512</v>
      </c>
      <c r="B140" t="s">
        <v>187</v>
      </c>
      <c r="C140" s="1">
        <f>7616+112+29+27+1991</f>
        <v>9775</v>
      </c>
      <c r="D140" s="1">
        <v>0</v>
      </c>
      <c r="E140" s="1">
        <v>0</v>
      </c>
      <c r="F140" s="1">
        <v>0</v>
      </c>
      <c r="G140" s="1">
        <v>0</v>
      </c>
      <c r="H140" s="1">
        <v>9039</v>
      </c>
      <c r="I140" s="1">
        <v>1676</v>
      </c>
      <c r="J140" s="1"/>
    </row>
    <row r="141" spans="1:10" x14ac:dyDescent="0.25">
      <c r="A141" t="s">
        <v>231</v>
      </c>
      <c r="B141" t="s">
        <v>189</v>
      </c>
      <c r="C141" s="1"/>
      <c r="D141" s="1"/>
      <c r="E141" s="1"/>
      <c r="F141" s="1"/>
      <c r="G141" s="1"/>
      <c r="H141" s="1"/>
      <c r="I141" s="1"/>
      <c r="J141" s="1"/>
    </row>
    <row r="142" spans="1:10" x14ac:dyDescent="0.25">
      <c r="A142" t="s">
        <v>83</v>
      </c>
      <c r="B142" t="s">
        <v>190</v>
      </c>
      <c r="C142" s="1"/>
      <c r="D142" s="1"/>
      <c r="E142" s="1"/>
      <c r="F142" s="1"/>
      <c r="G142" s="1"/>
      <c r="H142" s="1"/>
      <c r="I142" s="1"/>
      <c r="J142" s="1"/>
    </row>
    <row r="143" spans="1:10" x14ac:dyDescent="0.25">
      <c r="A143" t="s">
        <v>76</v>
      </c>
      <c r="B143" t="s">
        <v>191</v>
      </c>
      <c r="C143" s="1">
        <f>23515+11670</f>
        <v>35185</v>
      </c>
      <c r="D143" s="1">
        <f>3+995+178</f>
        <v>1176</v>
      </c>
      <c r="E143" s="1">
        <v>0</v>
      </c>
      <c r="F143" s="1">
        <v>0</v>
      </c>
      <c r="G143" s="1">
        <v>0</v>
      </c>
      <c r="H143" s="1">
        <v>358</v>
      </c>
      <c r="I143" s="1">
        <v>7854</v>
      </c>
      <c r="J143" s="1"/>
    </row>
    <row r="144" spans="1:10" x14ac:dyDescent="0.25">
      <c r="A144" t="s">
        <v>101</v>
      </c>
      <c r="B144" t="s">
        <v>192</v>
      </c>
      <c r="C144" s="1">
        <f>26261+7+4674</f>
        <v>30942</v>
      </c>
      <c r="D144" s="1">
        <v>236</v>
      </c>
      <c r="E144" s="1">
        <v>0</v>
      </c>
      <c r="F144" s="1">
        <v>0</v>
      </c>
      <c r="G144" s="1">
        <v>0</v>
      </c>
      <c r="H144" s="1">
        <v>32533</v>
      </c>
      <c r="I144" s="1">
        <v>3265</v>
      </c>
      <c r="J144" s="1"/>
    </row>
    <row r="145" spans="1:10" x14ac:dyDescent="0.25">
      <c r="A145" t="s">
        <v>831</v>
      </c>
      <c r="B145" t="s">
        <v>193</v>
      </c>
      <c r="C145" s="1">
        <f>1262+165</f>
        <v>1427</v>
      </c>
      <c r="D145" s="1">
        <v>0</v>
      </c>
      <c r="E145" s="1">
        <v>0</v>
      </c>
      <c r="F145" s="1">
        <v>0</v>
      </c>
      <c r="G145" s="1">
        <v>0</v>
      </c>
      <c r="H145" s="1">
        <v>300</v>
      </c>
      <c r="I145" s="1">
        <v>148</v>
      </c>
      <c r="J145" s="1"/>
    </row>
    <row r="146" spans="1:10" x14ac:dyDescent="0.25">
      <c r="A146" t="s">
        <v>811</v>
      </c>
      <c r="B146" t="s">
        <v>194</v>
      </c>
      <c r="C146" s="1"/>
      <c r="D146" s="1"/>
      <c r="E146" s="1"/>
      <c r="F146" s="1"/>
      <c r="G146" s="1"/>
      <c r="H146" s="1"/>
      <c r="I146" s="1"/>
      <c r="J146" s="1"/>
    </row>
    <row r="147" spans="1:10" x14ac:dyDescent="0.25">
      <c r="A147" t="s">
        <v>76</v>
      </c>
      <c r="B147" t="s">
        <v>195</v>
      </c>
      <c r="C147" s="1">
        <f>32903+8+56+5106</f>
        <v>38073</v>
      </c>
      <c r="D147" s="1">
        <f>44+2+6+4</f>
        <v>56</v>
      </c>
      <c r="E147" s="1">
        <v>0</v>
      </c>
      <c r="F147" s="1">
        <v>0</v>
      </c>
      <c r="G147" s="1">
        <v>0</v>
      </c>
      <c r="H147" s="1">
        <v>16303</v>
      </c>
      <c r="I147" s="1">
        <v>4487</v>
      </c>
      <c r="J147" s="1"/>
    </row>
    <row r="148" spans="1:10" x14ac:dyDescent="0.25">
      <c r="A148" t="s">
        <v>788</v>
      </c>
      <c r="B148" t="s">
        <v>196</v>
      </c>
      <c r="C148" s="1">
        <f>13915+5+4+1+12116</f>
        <v>26041</v>
      </c>
      <c r="D148" s="1">
        <f>1+2+59+296</f>
        <v>358</v>
      </c>
      <c r="E148" s="1">
        <v>0</v>
      </c>
      <c r="F148" s="1">
        <v>0</v>
      </c>
      <c r="G148" s="1">
        <v>0</v>
      </c>
      <c r="H148" s="1">
        <v>30404</v>
      </c>
      <c r="I148" s="1">
        <v>9699</v>
      </c>
      <c r="J148" s="1"/>
    </row>
    <row r="149" spans="1:10" x14ac:dyDescent="0.25">
      <c r="A149" t="s">
        <v>817</v>
      </c>
      <c r="B149" t="s">
        <v>197</v>
      </c>
      <c r="C149" s="1">
        <f>4240+23+8831</f>
        <v>13094</v>
      </c>
      <c r="D149" s="1">
        <f>8+5+25+63</f>
        <v>101</v>
      </c>
      <c r="E149" s="1">
        <v>0</v>
      </c>
      <c r="F149" s="1">
        <v>0</v>
      </c>
      <c r="G149" s="1">
        <v>0</v>
      </c>
      <c r="H149" s="1">
        <v>26325</v>
      </c>
      <c r="I149" s="1">
        <v>7735</v>
      </c>
      <c r="J149" s="1"/>
    </row>
    <row r="150" spans="1:10" x14ac:dyDescent="0.25">
      <c r="A150" t="s">
        <v>817</v>
      </c>
      <c r="B150" t="s">
        <v>198</v>
      </c>
      <c r="C150" s="1">
        <f>3140+1+9015</f>
        <v>12156</v>
      </c>
      <c r="D150" s="1">
        <f>4+3+3+101+60</f>
        <v>171</v>
      </c>
      <c r="E150" s="1">
        <v>0</v>
      </c>
      <c r="F150" s="1">
        <v>0</v>
      </c>
      <c r="G150" s="1">
        <v>0</v>
      </c>
      <c r="H150" s="1">
        <v>13223</v>
      </c>
      <c r="I150" s="1">
        <v>9000</v>
      </c>
      <c r="J150" s="1"/>
    </row>
    <row r="151" spans="1:10" x14ac:dyDescent="0.25">
      <c r="A151" t="s">
        <v>69</v>
      </c>
      <c r="B151" t="s">
        <v>199</v>
      </c>
      <c r="C151" s="1">
        <f>22190+2+4079</f>
        <v>26271</v>
      </c>
      <c r="D151" s="1">
        <f>8+7</f>
        <v>15</v>
      </c>
      <c r="E151" s="1">
        <v>0</v>
      </c>
      <c r="F151" s="1">
        <v>0</v>
      </c>
      <c r="G151" s="1">
        <v>0</v>
      </c>
      <c r="H151" s="1">
        <v>107899</v>
      </c>
      <c r="I151" s="1">
        <v>3555</v>
      </c>
      <c r="J151" s="1"/>
    </row>
    <row r="152" spans="1:10" x14ac:dyDescent="0.25">
      <c r="A152" t="s">
        <v>76</v>
      </c>
      <c r="B152" t="s">
        <v>200</v>
      </c>
      <c r="C152" s="1">
        <f>16958+23+12+68+27+7246</f>
        <v>24334</v>
      </c>
      <c r="D152" s="1">
        <f>72+4+24+24</f>
        <v>124</v>
      </c>
      <c r="E152" s="1">
        <v>0</v>
      </c>
      <c r="F152" s="1">
        <v>0</v>
      </c>
      <c r="G152" s="1">
        <v>0</v>
      </c>
      <c r="H152" s="1">
        <v>13700</v>
      </c>
      <c r="I152" s="1">
        <v>6061</v>
      </c>
      <c r="J152" s="1"/>
    </row>
    <row r="153" spans="1:10" x14ac:dyDescent="0.25">
      <c r="A153" t="s">
        <v>120</v>
      </c>
      <c r="B153" t="s">
        <v>201</v>
      </c>
      <c r="C153" s="1">
        <f>11551+4033</f>
        <v>15584</v>
      </c>
      <c r="D153" s="1">
        <f>111+122+18</f>
        <v>251</v>
      </c>
      <c r="E153" s="1">
        <v>0</v>
      </c>
      <c r="F153" s="1">
        <v>0</v>
      </c>
      <c r="G153" s="1">
        <v>0</v>
      </c>
      <c r="H153" s="1">
        <v>4166</v>
      </c>
      <c r="I153" s="1">
        <v>2243</v>
      </c>
      <c r="J153" s="1"/>
    </row>
    <row r="154" spans="1:10" x14ac:dyDescent="0.25">
      <c r="A154" t="s">
        <v>495</v>
      </c>
      <c r="B154" t="s">
        <v>202</v>
      </c>
      <c r="C154" s="1">
        <f>9611+2+26+1+420+5362+1+44</f>
        <v>15467</v>
      </c>
      <c r="D154" s="1">
        <f>12+2+8</f>
        <v>22</v>
      </c>
      <c r="E154" s="1">
        <v>0</v>
      </c>
      <c r="F154" s="1">
        <v>0</v>
      </c>
      <c r="G154" s="1">
        <v>0</v>
      </c>
      <c r="H154" s="1">
        <v>7680</v>
      </c>
      <c r="I154" s="1">
        <v>4604</v>
      </c>
      <c r="J154" s="1"/>
    </row>
    <row r="155" spans="1:10" x14ac:dyDescent="0.25">
      <c r="A155" t="s">
        <v>788</v>
      </c>
      <c r="B155" t="s">
        <v>203</v>
      </c>
      <c r="C155" s="1">
        <f>26019+10+3+3+29802</f>
        <v>55837</v>
      </c>
      <c r="D155" s="1">
        <f>6+3+2+2</f>
        <v>13</v>
      </c>
      <c r="E155" s="1">
        <v>0</v>
      </c>
      <c r="F155" s="1">
        <v>0</v>
      </c>
      <c r="G155" s="1">
        <v>0</v>
      </c>
      <c r="H155" s="1">
        <v>5371</v>
      </c>
      <c r="I155" s="1">
        <v>5142</v>
      </c>
      <c r="J155" s="1"/>
    </row>
    <row r="156" spans="1:10" x14ac:dyDescent="0.25">
      <c r="A156" t="s">
        <v>72</v>
      </c>
      <c r="B156" t="s">
        <v>204</v>
      </c>
      <c r="C156" s="1">
        <f>10630+13+8+1057</f>
        <v>11708</v>
      </c>
      <c r="D156" s="1">
        <v>7</v>
      </c>
      <c r="E156" s="1">
        <v>0</v>
      </c>
      <c r="F156" s="1">
        <v>0</v>
      </c>
      <c r="G156" s="1">
        <v>0</v>
      </c>
      <c r="H156" s="1">
        <v>1783</v>
      </c>
      <c r="I156" s="1">
        <v>992</v>
      </c>
      <c r="J156" s="1"/>
    </row>
    <row r="157" spans="1:10" x14ac:dyDescent="0.25">
      <c r="A157" t="s">
        <v>76</v>
      </c>
      <c r="B157" t="s">
        <v>205</v>
      </c>
      <c r="C157" s="1">
        <f>5407+18+52+1+9611+2</f>
        <v>15091</v>
      </c>
      <c r="D157" s="1">
        <f>46+163</f>
        <v>209</v>
      </c>
      <c r="E157" s="1">
        <v>0</v>
      </c>
      <c r="F157" s="1">
        <v>0</v>
      </c>
      <c r="G157" s="1">
        <v>0</v>
      </c>
      <c r="H157" s="1">
        <v>18375</v>
      </c>
      <c r="I157" s="1">
        <v>6200</v>
      </c>
      <c r="J157" s="1"/>
    </row>
    <row r="158" spans="1:10" x14ac:dyDescent="0.25">
      <c r="A158" t="s">
        <v>864</v>
      </c>
      <c r="B158" t="s">
        <v>206</v>
      </c>
      <c r="C158" s="1">
        <f>2844+237+7744+1007</f>
        <v>11832</v>
      </c>
      <c r="D158" s="1">
        <f>3+2+7</f>
        <v>12</v>
      </c>
      <c r="E158" s="1">
        <v>0</v>
      </c>
      <c r="F158" s="1">
        <v>0</v>
      </c>
      <c r="G158" s="1">
        <v>0</v>
      </c>
      <c r="H158" s="1">
        <v>9218</v>
      </c>
      <c r="I158" s="1">
        <v>8217</v>
      </c>
      <c r="J158" s="1"/>
    </row>
    <row r="159" spans="1:10" x14ac:dyDescent="0.25">
      <c r="A159" t="s">
        <v>76</v>
      </c>
      <c r="B159" t="s">
        <v>207</v>
      </c>
      <c r="C159" s="1">
        <f>19802+11900</f>
        <v>31702</v>
      </c>
      <c r="D159" s="1">
        <f>5+2+24</f>
        <v>31</v>
      </c>
      <c r="E159" s="1">
        <v>0</v>
      </c>
      <c r="F159" s="1">
        <v>0</v>
      </c>
      <c r="G159" s="1">
        <v>0</v>
      </c>
      <c r="H159" s="1">
        <v>7468</v>
      </c>
      <c r="I159" s="1">
        <v>10548</v>
      </c>
      <c r="J159" s="1"/>
    </row>
    <row r="160" spans="1:10" x14ac:dyDescent="0.25">
      <c r="A160" t="s">
        <v>265</v>
      </c>
      <c r="B160" t="s">
        <v>208</v>
      </c>
      <c r="C160" s="1">
        <f>4083+1+765</f>
        <v>4849</v>
      </c>
      <c r="D160" s="1">
        <v>0</v>
      </c>
      <c r="E160" s="1">
        <v>0</v>
      </c>
      <c r="F160" s="1">
        <v>0</v>
      </c>
      <c r="G160" s="1">
        <v>0</v>
      </c>
      <c r="H160" s="1">
        <v>8769</v>
      </c>
      <c r="I160" s="1">
        <v>754</v>
      </c>
      <c r="J160" s="1"/>
    </row>
    <row r="161" spans="1:10" x14ac:dyDescent="0.25">
      <c r="A161" t="s">
        <v>801</v>
      </c>
      <c r="B161" t="s">
        <v>209</v>
      </c>
      <c r="C161" s="1">
        <f>10655+20+14+8662+2</f>
        <v>19353</v>
      </c>
      <c r="D161" s="1">
        <f>9+135+6+84</f>
        <v>234</v>
      </c>
      <c r="E161" s="1">
        <v>0</v>
      </c>
      <c r="F161" s="1">
        <v>0</v>
      </c>
      <c r="G161" s="1">
        <v>0</v>
      </c>
      <c r="H161" s="1">
        <v>33227</v>
      </c>
      <c r="I161" s="1">
        <v>8431</v>
      </c>
      <c r="J161" s="1"/>
    </row>
    <row r="162" spans="1:10" x14ac:dyDescent="0.25">
      <c r="A162" t="s">
        <v>72</v>
      </c>
      <c r="B162" t="s">
        <v>210</v>
      </c>
      <c r="C162" s="1">
        <f>12595+40+5+1+17+8418</f>
        <v>21076</v>
      </c>
      <c r="D162" s="1">
        <f>33+34+1</f>
        <v>68</v>
      </c>
      <c r="E162" s="1">
        <v>0</v>
      </c>
      <c r="F162" s="1">
        <v>0</v>
      </c>
      <c r="G162" s="1">
        <v>0</v>
      </c>
      <c r="H162" s="1">
        <v>17511</v>
      </c>
      <c r="I162" s="1">
        <v>7869</v>
      </c>
      <c r="J162" s="1"/>
    </row>
    <row r="163" spans="1:10" x14ac:dyDescent="0.25">
      <c r="A163" t="s">
        <v>817</v>
      </c>
      <c r="B163" t="s">
        <v>211</v>
      </c>
      <c r="C163" s="1">
        <f>1775+35+4+45556+1</f>
        <v>47371</v>
      </c>
      <c r="D163" s="1">
        <f>53+101+36</f>
        <v>190</v>
      </c>
      <c r="E163" s="1">
        <v>0</v>
      </c>
      <c r="F163" s="1">
        <v>0</v>
      </c>
      <c r="G163" s="1">
        <v>0</v>
      </c>
      <c r="H163" s="1">
        <v>29406</v>
      </c>
      <c r="I163" s="1">
        <v>40810</v>
      </c>
      <c r="J163" s="1"/>
    </row>
    <row r="164" spans="1:10" x14ac:dyDescent="0.25">
      <c r="A164" t="s">
        <v>72</v>
      </c>
      <c r="B164" t="s">
        <v>212</v>
      </c>
      <c r="C164" s="1">
        <f>14449+4+1640</f>
        <v>16093</v>
      </c>
      <c r="D164" s="1">
        <v>1</v>
      </c>
      <c r="E164" s="1">
        <v>0</v>
      </c>
      <c r="F164" s="1">
        <v>0</v>
      </c>
      <c r="G164" s="1">
        <v>0</v>
      </c>
      <c r="H164" s="1">
        <v>2909</v>
      </c>
      <c r="I164" s="1">
        <v>1612</v>
      </c>
      <c r="J164" s="1"/>
    </row>
    <row r="165" spans="1:10" x14ac:dyDescent="0.25">
      <c r="A165" t="s">
        <v>134</v>
      </c>
      <c r="B165" t="s">
        <v>213</v>
      </c>
      <c r="C165" s="1">
        <f>3275+423</f>
        <v>3698</v>
      </c>
      <c r="D165" s="1">
        <v>0</v>
      </c>
      <c r="E165" s="1">
        <v>0</v>
      </c>
      <c r="F165" s="1">
        <v>0</v>
      </c>
      <c r="G165" s="1">
        <v>0</v>
      </c>
      <c r="H165" s="1">
        <v>14881</v>
      </c>
      <c r="I165" s="1">
        <v>422</v>
      </c>
      <c r="J165" s="1"/>
    </row>
    <row r="166" spans="1:10" x14ac:dyDescent="0.25">
      <c r="A166" t="s">
        <v>495</v>
      </c>
      <c r="B166" t="s">
        <v>214</v>
      </c>
      <c r="C166" s="1">
        <f>19170+89+14+7491</f>
        <v>26764</v>
      </c>
      <c r="D166" s="1">
        <f>371+2+108+2+2</f>
        <v>485</v>
      </c>
      <c r="E166" s="1">
        <v>0</v>
      </c>
      <c r="F166" s="1">
        <v>0</v>
      </c>
      <c r="G166" s="1">
        <v>0</v>
      </c>
      <c r="H166" s="1">
        <v>13669</v>
      </c>
      <c r="I166" s="1">
        <v>6318</v>
      </c>
      <c r="J166" s="1"/>
    </row>
    <row r="167" spans="1:10" x14ac:dyDescent="0.25">
      <c r="A167" t="s">
        <v>146</v>
      </c>
      <c r="B167" t="s">
        <v>215</v>
      </c>
      <c r="C167" s="1">
        <f>23107+1+5+1+10633</f>
        <v>33747</v>
      </c>
      <c r="D167" s="1">
        <v>2</v>
      </c>
      <c r="E167" s="1">
        <v>0</v>
      </c>
      <c r="F167" s="1">
        <v>0</v>
      </c>
      <c r="G167" s="1">
        <v>0</v>
      </c>
      <c r="H167" s="1">
        <v>26416</v>
      </c>
      <c r="I167" s="1">
        <v>9819</v>
      </c>
      <c r="J167" s="1"/>
    </row>
    <row r="168" spans="1:10" x14ac:dyDescent="0.25">
      <c r="A168" t="s">
        <v>138</v>
      </c>
      <c r="B168" t="s">
        <v>216</v>
      </c>
      <c r="C168" s="1">
        <f>9492+100+3324</f>
        <v>12916</v>
      </c>
      <c r="D168" s="1">
        <v>7</v>
      </c>
      <c r="E168" s="1">
        <v>0</v>
      </c>
      <c r="F168" s="1">
        <v>0</v>
      </c>
      <c r="G168" s="1">
        <v>0</v>
      </c>
      <c r="H168" s="1">
        <v>1205</v>
      </c>
      <c r="I168" s="1">
        <v>2821</v>
      </c>
      <c r="J168" s="1"/>
    </row>
    <row r="169" spans="1:10" x14ac:dyDescent="0.25">
      <c r="A169" t="s">
        <v>794</v>
      </c>
      <c r="B169" t="s">
        <v>217</v>
      </c>
      <c r="C169" s="1">
        <f>3824+1+1785</f>
        <v>5610</v>
      </c>
      <c r="D169" s="1">
        <v>0</v>
      </c>
      <c r="E169" s="1">
        <v>0</v>
      </c>
      <c r="F169" s="1">
        <v>0</v>
      </c>
      <c r="G169" s="1">
        <v>0</v>
      </c>
      <c r="H169" s="1">
        <v>6955</v>
      </c>
      <c r="I169" s="1">
        <v>1396</v>
      </c>
      <c r="J169" s="1"/>
    </row>
    <row r="170" spans="1:10" x14ac:dyDescent="0.25">
      <c r="A170" t="s">
        <v>265</v>
      </c>
      <c r="B170" t="s">
        <v>218</v>
      </c>
      <c r="C170" s="1">
        <f>4933+2+5+3+4+1+696</f>
        <v>5644</v>
      </c>
      <c r="D170" s="1">
        <v>0</v>
      </c>
      <c r="E170" s="1">
        <v>0</v>
      </c>
      <c r="F170" s="1">
        <v>0</v>
      </c>
      <c r="G170" s="1">
        <v>0</v>
      </c>
      <c r="H170" s="1">
        <v>15894</v>
      </c>
      <c r="I170" s="1">
        <v>556</v>
      </c>
      <c r="J170" s="1"/>
    </row>
    <row r="171" spans="1:10" x14ac:dyDescent="0.25">
      <c r="A171" t="s">
        <v>801</v>
      </c>
      <c r="B171" t="s">
        <v>219</v>
      </c>
      <c r="C171" s="1">
        <f>32400+2+45+2470</f>
        <v>34917</v>
      </c>
      <c r="D171" s="1">
        <f>92+5</f>
        <v>97</v>
      </c>
      <c r="E171" s="1">
        <v>0</v>
      </c>
      <c r="F171" s="1">
        <v>0</v>
      </c>
      <c r="G171" s="1">
        <v>0</v>
      </c>
      <c r="H171" s="1">
        <v>17007</v>
      </c>
      <c r="I171" s="1">
        <v>1699</v>
      </c>
      <c r="J171" s="1"/>
    </row>
    <row r="172" spans="1:10" x14ac:dyDescent="0.25">
      <c r="A172" s="9" t="s">
        <v>831</v>
      </c>
      <c r="B172" s="10" t="s">
        <v>220</v>
      </c>
      <c r="C172" s="1">
        <f>1426+275</f>
        <v>1701</v>
      </c>
      <c r="D172" s="1">
        <v>0</v>
      </c>
      <c r="E172" s="1">
        <v>0</v>
      </c>
      <c r="F172" s="1">
        <v>0</v>
      </c>
      <c r="G172" s="1">
        <v>0</v>
      </c>
      <c r="H172" s="1">
        <v>2309</v>
      </c>
      <c r="I172" s="1">
        <v>279</v>
      </c>
      <c r="J172" s="1"/>
    </row>
    <row r="173" spans="1:10" x14ac:dyDescent="0.25">
      <c r="A173" t="s">
        <v>794</v>
      </c>
      <c r="B173" t="s">
        <v>221</v>
      </c>
      <c r="C173" s="1">
        <f>11833+4+4+134+6278+2</f>
        <v>18255</v>
      </c>
      <c r="D173" s="1">
        <f>8+36</f>
        <v>44</v>
      </c>
      <c r="E173" s="1">
        <v>0</v>
      </c>
      <c r="F173" s="1">
        <v>0</v>
      </c>
      <c r="G173" s="1">
        <v>0</v>
      </c>
      <c r="H173" s="1">
        <v>12704</v>
      </c>
      <c r="I173" s="1">
        <v>4711</v>
      </c>
      <c r="J173" s="1"/>
    </row>
    <row r="174" spans="1:10" x14ac:dyDescent="0.25">
      <c r="A174" t="s">
        <v>120</v>
      </c>
      <c r="B174" t="s">
        <v>222</v>
      </c>
      <c r="C174" s="1">
        <f>21745+2+2048</f>
        <v>23795</v>
      </c>
      <c r="D174" s="1">
        <f>14+4</f>
        <v>18</v>
      </c>
      <c r="E174" s="1">
        <v>0</v>
      </c>
      <c r="F174" s="1">
        <v>0</v>
      </c>
      <c r="G174" s="1">
        <v>0</v>
      </c>
      <c r="H174" s="1">
        <v>1880</v>
      </c>
      <c r="I174" s="1">
        <v>1304</v>
      </c>
      <c r="J174" s="1"/>
    </row>
    <row r="175" spans="1:10" x14ac:dyDescent="0.25">
      <c r="A175" t="s">
        <v>848</v>
      </c>
      <c r="B175" t="s">
        <v>223</v>
      </c>
      <c r="C175" s="1"/>
      <c r="D175" s="1"/>
      <c r="E175" s="1"/>
      <c r="F175" s="1"/>
      <c r="G175" s="1"/>
      <c r="H175" s="1"/>
      <c r="I175" s="1"/>
      <c r="J175" s="1"/>
    </row>
    <row r="176" spans="1:10" x14ac:dyDescent="0.25">
      <c r="A176" t="s">
        <v>825</v>
      </c>
      <c r="B176" t="s">
        <v>224</v>
      </c>
      <c r="C176" s="1">
        <f>6336+158+1194</f>
        <v>7688</v>
      </c>
      <c r="D176" s="1">
        <v>30</v>
      </c>
      <c r="E176" s="1">
        <v>0</v>
      </c>
      <c r="F176" s="1">
        <v>0</v>
      </c>
      <c r="G176" s="1">
        <v>0</v>
      </c>
      <c r="H176" s="1">
        <v>4616</v>
      </c>
      <c r="I176" s="1">
        <v>1039</v>
      </c>
      <c r="J176" s="1"/>
    </row>
    <row r="177" spans="1:10" x14ac:dyDescent="0.25">
      <c r="A177" s="23" t="s">
        <v>805</v>
      </c>
      <c r="B177" s="23" t="s">
        <v>225</v>
      </c>
      <c r="C177" s="1"/>
      <c r="D177" s="1"/>
      <c r="E177" s="1"/>
      <c r="F177" s="1"/>
      <c r="G177" s="1"/>
      <c r="H177" s="1"/>
      <c r="I177" s="1"/>
      <c r="J177" s="1"/>
    </row>
    <row r="178" spans="1:10" x14ac:dyDescent="0.25">
      <c r="A178" t="s">
        <v>226</v>
      </c>
      <c r="B178" t="s">
        <v>227</v>
      </c>
      <c r="C178" s="1">
        <f>6236+1+3+1752</f>
        <v>7992</v>
      </c>
      <c r="D178" s="1">
        <v>17</v>
      </c>
      <c r="E178" s="1">
        <v>0</v>
      </c>
      <c r="F178" s="1">
        <v>0</v>
      </c>
      <c r="G178" s="1">
        <v>0</v>
      </c>
      <c r="H178" s="1">
        <v>2090</v>
      </c>
      <c r="I178" s="1">
        <v>1596</v>
      </c>
      <c r="J178" s="1"/>
    </row>
    <row r="179" spans="1:10" x14ac:dyDescent="0.25">
      <c r="A179" t="s">
        <v>226</v>
      </c>
      <c r="B179" t="s">
        <v>228</v>
      </c>
      <c r="C179" s="1">
        <f>10060+1+2412</f>
        <v>12473</v>
      </c>
      <c r="D179" s="1">
        <f>19+2+1</f>
        <v>22</v>
      </c>
      <c r="E179" s="1">
        <v>0</v>
      </c>
      <c r="F179" s="1">
        <v>0</v>
      </c>
      <c r="G179" s="1">
        <v>0</v>
      </c>
      <c r="H179" s="1">
        <v>13117</v>
      </c>
      <c r="I179" s="1">
        <v>2236</v>
      </c>
      <c r="J179" s="1"/>
    </row>
    <row r="180" spans="1:10" x14ac:dyDescent="0.25">
      <c r="A180" t="s">
        <v>229</v>
      </c>
      <c r="B180" t="s">
        <v>230</v>
      </c>
      <c r="C180" s="1">
        <f>3555+1+1106</f>
        <v>4662</v>
      </c>
      <c r="D180" s="1">
        <f>10+10+1</f>
        <v>21</v>
      </c>
      <c r="E180" s="1">
        <v>0</v>
      </c>
      <c r="F180" s="1">
        <v>0</v>
      </c>
      <c r="G180" s="1">
        <v>0</v>
      </c>
      <c r="H180" s="1">
        <v>4691</v>
      </c>
      <c r="I180" s="1">
        <v>955</v>
      </c>
      <c r="J180" s="1"/>
    </row>
    <row r="181" spans="1:10" x14ac:dyDescent="0.25">
      <c r="A181" t="s">
        <v>231</v>
      </c>
      <c r="B181" t="s">
        <v>232</v>
      </c>
      <c r="C181" s="1"/>
      <c r="D181" s="1"/>
      <c r="E181" s="1"/>
      <c r="F181" s="1"/>
      <c r="G181" s="1"/>
      <c r="H181" s="1"/>
      <c r="I181" s="1"/>
      <c r="J181" s="1"/>
    </row>
    <row r="182" spans="1:10" x14ac:dyDescent="0.25">
      <c r="A182" t="s">
        <v>248</v>
      </c>
      <c r="B182" t="s">
        <v>233</v>
      </c>
      <c r="C182" s="1"/>
      <c r="D182" s="1"/>
      <c r="E182" s="1"/>
      <c r="F182" s="1"/>
      <c r="G182" s="1"/>
      <c r="H182" s="1"/>
      <c r="I182" s="1"/>
      <c r="J182" s="1"/>
    </row>
    <row r="183" spans="1:10" x14ac:dyDescent="0.25">
      <c r="A183" t="s">
        <v>69</v>
      </c>
      <c r="B183" t="s">
        <v>234</v>
      </c>
      <c r="C183" s="1">
        <f>89761+37+93+293+18573</f>
        <v>108757</v>
      </c>
      <c r="D183" s="1">
        <f>10+11+39+1+59</f>
        <v>120</v>
      </c>
      <c r="E183" s="1">
        <v>0</v>
      </c>
      <c r="F183" s="1">
        <v>0</v>
      </c>
      <c r="G183" s="1">
        <v>0</v>
      </c>
      <c r="H183" s="1">
        <v>88740</v>
      </c>
      <c r="I183" s="1">
        <v>15283</v>
      </c>
      <c r="J183" s="1"/>
    </row>
    <row r="184" spans="1:10" x14ac:dyDescent="0.25">
      <c r="A184" t="s">
        <v>795</v>
      </c>
      <c r="B184" t="s">
        <v>235</v>
      </c>
      <c r="C184" s="1">
        <f>9080+11373</f>
        <v>20453</v>
      </c>
      <c r="D184" s="1">
        <f>29+1</f>
        <v>30</v>
      </c>
      <c r="E184" s="1">
        <v>0</v>
      </c>
      <c r="F184" s="1">
        <v>0</v>
      </c>
      <c r="G184" s="1">
        <v>0</v>
      </c>
      <c r="H184" s="1">
        <v>513</v>
      </c>
      <c r="I184" s="1">
        <v>10046</v>
      </c>
      <c r="J184" s="1"/>
    </row>
    <row r="185" spans="1:10" x14ac:dyDescent="0.25">
      <c r="A185" t="s">
        <v>795</v>
      </c>
      <c r="B185" t="s">
        <v>236</v>
      </c>
      <c r="C185" s="1">
        <f>6536+1+192+2+7358+1</f>
        <v>14090</v>
      </c>
      <c r="D185" s="1">
        <f>19+4+76+6</f>
        <v>105</v>
      </c>
      <c r="E185" s="1">
        <v>0</v>
      </c>
      <c r="F185" s="1">
        <v>0</v>
      </c>
      <c r="G185" s="1">
        <v>0</v>
      </c>
      <c r="H185" s="1">
        <v>12260</v>
      </c>
      <c r="I185" s="1">
        <v>5923</v>
      </c>
      <c r="J185" s="1"/>
    </row>
    <row r="186" spans="1:10" x14ac:dyDescent="0.25">
      <c r="A186" t="s">
        <v>801</v>
      </c>
      <c r="B186" t="s">
        <v>237</v>
      </c>
      <c r="C186" s="1">
        <f>17352+2+2550</f>
        <v>19904</v>
      </c>
      <c r="D186" s="1">
        <f>197+4</f>
        <v>201</v>
      </c>
      <c r="E186" s="1">
        <v>0</v>
      </c>
      <c r="F186" s="1">
        <v>0</v>
      </c>
      <c r="G186" s="1">
        <v>0</v>
      </c>
      <c r="H186" s="1">
        <v>11832</v>
      </c>
      <c r="I186" s="1">
        <v>2223</v>
      </c>
      <c r="J186" s="1"/>
    </row>
    <row r="187" spans="1:10" x14ac:dyDescent="0.25">
      <c r="A187" t="s">
        <v>788</v>
      </c>
      <c r="B187" t="s">
        <v>238</v>
      </c>
      <c r="C187" s="1">
        <f>2011+57</f>
        <v>2068</v>
      </c>
      <c r="D187" s="1">
        <v>0</v>
      </c>
      <c r="E187" s="1">
        <v>0</v>
      </c>
      <c r="F187" s="1">
        <v>0</v>
      </c>
      <c r="G187" s="1">
        <v>0</v>
      </c>
      <c r="H187" s="1">
        <v>309</v>
      </c>
      <c r="I187" s="1">
        <v>55</v>
      </c>
      <c r="J187" s="1"/>
    </row>
    <row r="188" spans="1:10" x14ac:dyDescent="0.25">
      <c r="A188" t="s">
        <v>791</v>
      </c>
      <c r="B188" t="s">
        <v>239</v>
      </c>
      <c r="C188" s="1"/>
      <c r="D188" s="1"/>
      <c r="E188" s="1"/>
      <c r="F188" s="1"/>
      <c r="G188" s="1"/>
      <c r="H188" s="1"/>
      <c r="I188" s="1"/>
      <c r="J188" s="1"/>
    </row>
    <row r="189" spans="1:10" x14ac:dyDescent="0.25">
      <c r="A189" t="s">
        <v>801</v>
      </c>
      <c r="B189" t="s">
        <v>240</v>
      </c>
      <c r="C189" s="1">
        <f>47954+6+846</f>
        <v>48806</v>
      </c>
      <c r="D189" s="1">
        <f>166+6</f>
        <v>172</v>
      </c>
      <c r="E189" s="1">
        <v>0</v>
      </c>
      <c r="F189" s="1">
        <v>0</v>
      </c>
      <c r="G189" s="1">
        <v>0</v>
      </c>
      <c r="H189" s="1">
        <v>3855</v>
      </c>
      <c r="I189" s="1">
        <v>717</v>
      </c>
      <c r="J189" s="1"/>
    </row>
    <row r="190" spans="1:10" x14ac:dyDescent="0.25">
      <c r="A190" t="s">
        <v>788</v>
      </c>
      <c r="B190" t="s">
        <v>241</v>
      </c>
      <c r="C190" s="1">
        <f>25485+3+8487</f>
        <v>33975</v>
      </c>
      <c r="D190" s="1">
        <f>8+12</f>
        <v>20</v>
      </c>
      <c r="E190" s="1">
        <v>0</v>
      </c>
      <c r="F190" s="1">
        <v>0</v>
      </c>
      <c r="G190" s="1">
        <v>0</v>
      </c>
      <c r="H190" s="1">
        <v>10509</v>
      </c>
      <c r="I190" s="1">
        <v>7263</v>
      </c>
      <c r="J190" s="1"/>
    </row>
    <row r="191" spans="1:10" x14ac:dyDescent="0.25">
      <c r="A191" t="s">
        <v>138</v>
      </c>
      <c r="B191" t="s">
        <v>242</v>
      </c>
      <c r="C191" s="1">
        <f>21043+3+10+13+61+7+2663</f>
        <v>23800</v>
      </c>
      <c r="D191" s="1">
        <f>4+2+3</f>
        <v>9</v>
      </c>
      <c r="E191" s="1">
        <v>0</v>
      </c>
      <c r="F191" s="1">
        <v>0</v>
      </c>
      <c r="G191" s="1">
        <v>0</v>
      </c>
      <c r="H191" s="1">
        <v>10322</v>
      </c>
      <c r="I191" s="1">
        <v>2106</v>
      </c>
      <c r="J191" s="1"/>
    </row>
    <row r="192" spans="1:10" x14ac:dyDescent="0.25">
      <c r="A192" t="s">
        <v>512</v>
      </c>
      <c r="B192" t="s">
        <v>243</v>
      </c>
      <c r="C192" s="1">
        <f>3336+1+504</f>
        <v>3841</v>
      </c>
      <c r="D192" s="1">
        <v>0</v>
      </c>
      <c r="E192" s="1">
        <v>0</v>
      </c>
      <c r="F192" s="1">
        <v>0</v>
      </c>
      <c r="G192" s="1">
        <v>0</v>
      </c>
      <c r="H192" s="1">
        <v>180</v>
      </c>
      <c r="I192" s="1">
        <v>406</v>
      </c>
      <c r="J192" s="1"/>
    </row>
    <row r="193" spans="1:10" x14ac:dyDescent="0.25">
      <c r="A193" t="s">
        <v>796</v>
      </c>
      <c r="B193" t="s">
        <v>244</v>
      </c>
      <c r="C193" s="1">
        <f>34230+27+1+11+9959</f>
        <v>44228</v>
      </c>
      <c r="D193" s="1">
        <f>211+3+19+1+106+2</f>
        <v>342</v>
      </c>
      <c r="E193" s="1">
        <v>0</v>
      </c>
      <c r="F193" s="1">
        <v>0</v>
      </c>
      <c r="G193" s="1">
        <v>0</v>
      </c>
      <c r="H193" s="1">
        <v>67544</v>
      </c>
      <c r="I193" s="1">
        <v>9228</v>
      </c>
      <c r="J193" s="1"/>
    </row>
    <row r="194" spans="1:10" x14ac:dyDescent="0.25">
      <c r="A194" t="s">
        <v>146</v>
      </c>
      <c r="B194" t="s">
        <v>245</v>
      </c>
      <c r="C194" s="1">
        <f>5020+23+5+950</f>
        <v>5998</v>
      </c>
      <c r="D194" s="1">
        <f>11+1+1</f>
        <v>13</v>
      </c>
      <c r="E194" s="1">
        <v>0</v>
      </c>
      <c r="F194" s="1">
        <v>0</v>
      </c>
      <c r="G194" s="1">
        <v>0</v>
      </c>
      <c r="H194" s="1">
        <v>11428</v>
      </c>
      <c r="I194" s="1">
        <v>923</v>
      </c>
      <c r="J194" s="1"/>
    </row>
    <row r="195" spans="1:10" x14ac:dyDescent="0.25">
      <c r="A195" t="s">
        <v>831</v>
      </c>
      <c r="B195" t="s">
        <v>246</v>
      </c>
      <c r="C195" s="1">
        <f>1897+657</f>
        <v>2554</v>
      </c>
      <c r="D195" s="1">
        <v>8</v>
      </c>
      <c r="E195" s="1">
        <v>0</v>
      </c>
      <c r="F195" s="1">
        <v>0</v>
      </c>
      <c r="G195" s="1">
        <v>0</v>
      </c>
      <c r="H195" s="1">
        <v>653</v>
      </c>
      <c r="I195" s="1">
        <v>425</v>
      </c>
      <c r="J195" s="1"/>
    </row>
    <row r="196" spans="1:10" x14ac:dyDescent="0.25">
      <c r="A196" t="s">
        <v>791</v>
      </c>
      <c r="B196" t="s">
        <v>247</v>
      </c>
      <c r="C196" s="1"/>
      <c r="D196" s="1"/>
      <c r="E196" s="1"/>
      <c r="F196" s="1"/>
      <c r="G196" s="1"/>
      <c r="H196" s="1"/>
      <c r="I196" s="1"/>
      <c r="J196" s="1"/>
    </row>
    <row r="197" spans="1:10" x14ac:dyDescent="0.25">
      <c r="A197" t="s">
        <v>248</v>
      </c>
      <c r="B197" t="s">
        <v>249</v>
      </c>
      <c r="C197" s="1"/>
      <c r="D197" s="1"/>
      <c r="E197" s="1"/>
      <c r="F197" s="1"/>
      <c r="G197" s="1"/>
      <c r="H197" s="1"/>
      <c r="I197" s="1"/>
      <c r="J197" s="1"/>
    </row>
    <row r="198" spans="1:10" x14ac:dyDescent="0.25">
      <c r="A198" t="s">
        <v>865</v>
      </c>
      <c r="B198" t="s">
        <v>250</v>
      </c>
      <c r="C198" s="1">
        <f>3228+8+19+829</f>
        <v>4084</v>
      </c>
      <c r="D198" s="1">
        <v>7</v>
      </c>
      <c r="E198" s="1">
        <v>0</v>
      </c>
      <c r="F198" s="1">
        <v>0</v>
      </c>
      <c r="G198" s="1">
        <v>0</v>
      </c>
      <c r="H198" s="1">
        <v>1887</v>
      </c>
      <c r="I198" s="1">
        <v>723</v>
      </c>
      <c r="J198" s="1"/>
    </row>
    <row r="199" spans="1:10" x14ac:dyDescent="0.25">
      <c r="A199" t="s">
        <v>248</v>
      </c>
      <c r="B199" t="s">
        <v>251</v>
      </c>
      <c r="C199" s="1"/>
      <c r="D199" s="1"/>
      <c r="E199" s="1"/>
      <c r="F199" s="1"/>
      <c r="G199" s="1"/>
      <c r="H199" s="1"/>
      <c r="I199" s="1"/>
      <c r="J199" s="1"/>
    </row>
    <row r="200" spans="1:10" x14ac:dyDescent="0.25">
      <c r="A200" t="s">
        <v>795</v>
      </c>
      <c r="B200" t="s">
        <v>252</v>
      </c>
      <c r="C200" s="1">
        <f>7399+8+2+7842</f>
        <v>15251</v>
      </c>
      <c r="D200" s="1">
        <f>10+12+1+24</f>
        <v>47</v>
      </c>
      <c r="E200" s="1">
        <v>0</v>
      </c>
      <c r="F200" s="1">
        <v>0</v>
      </c>
      <c r="G200" s="1">
        <v>0</v>
      </c>
      <c r="H200" s="1">
        <v>7614</v>
      </c>
      <c r="I200" s="1">
        <v>5056</v>
      </c>
      <c r="J200" s="1"/>
    </row>
    <row r="201" spans="1:10" x14ac:dyDescent="0.25">
      <c r="A201" t="s">
        <v>248</v>
      </c>
      <c r="B201" t="s">
        <v>253</v>
      </c>
      <c r="C201" s="1"/>
      <c r="D201" s="1"/>
      <c r="E201" s="1"/>
      <c r="F201" s="1"/>
      <c r="G201" s="1"/>
      <c r="H201" s="1"/>
      <c r="I201" s="1"/>
      <c r="J201" s="1"/>
    </row>
    <row r="202" spans="1:10" x14ac:dyDescent="0.25">
      <c r="A202" t="s">
        <v>823</v>
      </c>
      <c r="B202" t="s">
        <v>254</v>
      </c>
      <c r="C202" s="1">
        <f>485+232</f>
        <v>717</v>
      </c>
      <c r="D202" s="1">
        <v>0</v>
      </c>
      <c r="E202" s="1">
        <v>0</v>
      </c>
      <c r="F202" s="1">
        <v>0</v>
      </c>
      <c r="G202" s="1">
        <v>0</v>
      </c>
      <c r="H202" s="1">
        <v>91</v>
      </c>
      <c r="I202" s="1">
        <v>100</v>
      </c>
      <c r="J202" s="1"/>
    </row>
    <row r="203" spans="1:10" x14ac:dyDescent="0.25">
      <c r="A203" t="s">
        <v>67</v>
      </c>
      <c r="B203" t="s">
        <v>255</v>
      </c>
      <c r="C203" s="1">
        <f>15881+2+13+2057</f>
        <v>17953</v>
      </c>
      <c r="D203" s="1">
        <v>0</v>
      </c>
      <c r="E203" s="1">
        <v>0</v>
      </c>
      <c r="F203" s="1">
        <v>0</v>
      </c>
      <c r="G203" s="1">
        <v>0</v>
      </c>
      <c r="H203" s="1">
        <v>7937</v>
      </c>
      <c r="I203" s="1">
        <v>1737</v>
      </c>
      <c r="J203" s="1"/>
    </row>
    <row r="204" spans="1:10" x14ac:dyDescent="0.25">
      <c r="A204" t="s">
        <v>72</v>
      </c>
      <c r="B204" t="s">
        <v>256</v>
      </c>
      <c r="C204" s="1">
        <f>7616+1+2+27+1712</f>
        <v>9358</v>
      </c>
      <c r="D204" s="1">
        <v>0</v>
      </c>
      <c r="E204" s="1">
        <v>0</v>
      </c>
      <c r="F204" s="1">
        <v>0</v>
      </c>
      <c r="G204" s="1">
        <v>0</v>
      </c>
      <c r="H204" s="1">
        <v>4188</v>
      </c>
      <c r="I204" s="1">
        <v>1678</v>
      </c>
      <c r="J204" s="1"/>
    </row>
    <row r="205" spans="1:10" x14ac:dyDescent="0.25">
      <c r="A205" t="s">
        <v>138</v>
      </c>
      <c r="B205" t="s">
        <v>257</v>
      </c>
      <c r="C205" s="1">
        <f>16477+1+8176</f>
        <v>24654</v>
      </c>
      <c r="D205" s="1">
        <f>81+74+70+772+62+1553</f>
        <v>2612</v>
      </c>
      <c r="E205" s="1">
        <v>0</v>
      </c>
      <c r="F205" s="1">
        <v>0</v>
      </c>
      <c r="G205" s="1">
        <v>0</v>
      </c>
      <c r="H205" s="1">
        <v>8887</v>
      </c>
      <c r="I205" s="1">
        <v>8210</v>
      </c>
      <c r="J205" s="1"/>
    </row>
    <row r="206" spans="1:10" x14ac:dyDescent="0.25">
      <c r="A206" t="s">
        <v>817</v>
      </c>
      <c r="B206" t="s">
        <v>258</v>
      </c>
      <c r="C206" s="1">
        <f>11314+68+5+7710+1</f>
        <v>19098</v>
      </c>
      <c r="D206" s="1">
        <f>232+2</f>
        <v>234</v>
      </c>
      <c r="E206" s="1">
        <v>0</v>
      </c>
      <c r="F206" s="1">
        <v>0</v>
      </c>
      <c r="G206" s="1">
        <v>0</v>
      </c>
      <c r="H206" s="1">
        <v>84559</v>
      </c>
      <c r="I206" s="1">
        <v>6031</v>
      </c>
      <c r="J206" s="1"/>
    </row>
    <row r="207" spans="1:10" x14ac:dyDescent="0.25">
      <c r="A207" t="s">
        <v>795</v>
      </c>
      <c r="B207" t="s">
        <v>259</v>
      </c>
      <c r="C207" s="1">
        <f>30757+11545+23586+489</f>
        <v>66377</v>
      </c>
      <c r="D207" s="1">
        <f>433+3+9+35</f>
        <v>480</v>
      </c>
      <c r="E207" s="1">
        <v>0</v>
      </c>
      <c r="F207" s="1">
        <v>0</v>
      </c>
      <c r="G207" s="1">
        <v>0</v>
      </c>
      <c r="H207" s="1">
        <v>18328</v>
      </c>
      <c r="I207" s="1">
        <v>19877</v>
      </c>
      <c r="J207" s="1"/>
    </row>
    <row r="208" spans="1:10" x14ac:dyDescent="0.25">
      <c r="A208" t="s">
        <v>864</v>
      </c>
      <c r="B208" t="s">
        <v>260</v>
      </c>
      <c r="C208" s="1">
        <f>10407+4+98+6+7521</f>
        <v>18036</v>
      </c>
      <c r="D208" s="1">
        <f>60+158+12</f>
        <v>230</v>
      </c>
      <c r="E208" s="1">
        <v>0</v>
      </c>
      <c r="F208" s="1">
        <v>0</v>
      </c>
      <c r="G208" s="1">
        <v>0</v>
      </c>
      <c r="H208" s="1">
        <v>7874</v>
      </c>
      <c r="I208" s="1">
        <v>6142</v>
      </c>
      <c r="J208" s="1"/>
    </row>
    <row r="209" spans="1:10" x14ac:dyDescent="0.25">
      <c r="A209" t="s">
        <v>826</v>
      </c>
      <c r="B209" t="s">
        <v>261</v>
      </c>
      <c r="C209" s="1"/>
      <c r="D209" s="1"/>
      <c r="E209" s="1"/>
      <c r="F209" s="1"/>
      <c r="G209" s="1"/>
      <c r="H209" s="1"/>
      <c r="I209" s="1"/>
      <c r="J209" s="1"/>
    </row>
    <row r="210" spans="1:10" x14ac:dyDescent="0.25">
      <c r="A210" t="s">
        <v>801</v>
      </c>
      <c r="B210" t="s">
        <v>262</v>
      </c>
      <c r="C210" s="1">
        <f>22568+1+2+905+1+25+16+1+1+10899</f>
        <v>34419</v>
      </c>
      <c r="D210" s="1">
        <f>109+10+143+95+22+2</f>
        <v>381</v>
      </c>
      <c r="E210" s="1">
        <v>0</v>
      </c>
      <c r="F210" s="1">
        <v>0</v>
      </c>
      <c r="G210" s="1">
        <v>0</v>
      </c>
      <c r="H210" s="1">
        <v>30521</v>
      </c>
      <c r="I210" s="1">
        <v>8967</v>
      </c>
      <c r="J210" s="1"/>
    </row>
    <row r="211" spans="1:10" x14ac:dyDescent="0.25">
      <c r="A211" t="s">
        <v>120</v>
      </c>
      <c r="B211" t="s">
        <v>263</v>
      </c>
      <c r="C211" s="1">
        <f>8156+48+3+14+310</f>
        <v>8531</v>
      </c>
      <c r="D211" s="1">
        <v>0</v>
      </c>
      <c r="E211" s="1">
        <v>0</v>
      </c>
      <c r="F211" s="1">
        <v>0</v>
      </c>
      <c r="G211" s="1">
        <v>0</v>
      </c>
      <c r="H211" s="1">
        <v>508</v>
      </c>
      <c r="I211" s="1">
        <v>267</v>
      </c>
      <c r="J211" s="1"/>
    </row>
    <row r="212" spans="1:10" x14ac:dyDescent="0.25">
      <c r="A212" t="s">
        <v>806</v>
      </c>
      <c r="B212" t="s">
        <v>264</v>
      </c>
      <c r="C212" s="1">
        <f>5730+1+20+125+1551</f>
        <v>7427</v>
      </c>
      <c r="D212" s="1">
        <v>5</v>
      </c>
      <c r="E212" s="1">
        <v>0</v>
      </c>
      <c r="F212" s="1">
        <v>0</v>
      </c>
      <c r="G212" s="1">
        <v>0</v>
      </c>
      <c r="H212" s="1">
        <v>1251</v>
      </c>
      <c r="I212" s="1">
        <v>1098</v>
      </c>
      <c r="J212" s="1"/>
    </row>
    <row r="213" spans="1:10" x14ac:dyDescent="0.25">
      <c r="A213" t="s">
        <v>265</v>
      </c>
      <c r="B213" t="s">
        <v>266</v>
      </c>
      <c r="C213" s="1">
        <f>36725+2+1+59+1+11+11829</f>
        <v>48628</v>
      </c>
      <c r="D213" s="1">
        <f>76+115</f>
        <v>191</v>
      </c>
      <c r="E213" s="1">
        <v>0</v>
      </c>
      <c r="F213" s="1">
        <v>0</v>
      </c>
      <c r="G213" s="1">
        <v>0</v>
      </c>
      <c r="H213" s="1">
        <v>32636</v>
      </c>
      <c r="I213" s="1">
        <v>10922</v>
      </c>
      <c r="J213" s="1"/>
    </row>
    <row r="214" spans="1:10" x14ac:dyDescent="0.25">
      <c r="A214" t="s">
        <v>797</v>
      </c>
      <c r="B214" t="s">
        <v>267</v>
      </c>
      <c r="C214" s="1"/>
      <c r="D214" s="1"/>
      <c r="E214" s="1"/>
      <c r="F214" s="1"/>
      <c r="G214" s="1"/>
      <c r="H214" s="1"/>
      <c r="I214" s="1"/>
      <c r="J214" s="1"/>
    </row>
    <row r="215" spans="1:10" x14ac:dyDescent="0.25">
      <c r="A215" t="s">
        <v>831</v>
      </c>
      <c r="B215" t="s">
        <v>268</v>
      </c>
      <c r="C215" s="1">
        <f>7922+3528</f>
        <v>11450</v>
      </c>
      <c r="D215" s="1">
        <f>203+49</f>
        <v>252</v>
      </c>
      <c r="E215" s="1">
        <v>0</v>
      </c>
      <c r="F215" s="1">
        <v>0</v>
      </c>
      <c r="G215" s="1">
        <v>0</v>
      </c>
      <c r="H215" s="1">
        <v>3407</v>
      </c>
      <c r="I215" s="1">
        <v>3262</v>
      </c>
      <c r="J215" s="1"/>
    </row>
    <row r="216" spans="1:10" x14ac:dyDescent="0.25">
      <c r="A216" t="s">
        <v>794</v>
      </c>
      <c r="B216" t="s">
        <v>269</v>
      </c>
      <c r="C216" s="1">
        <f>4413+3+9+46+716</f>
        <v>5187</v>
      </c>
      <c r="D216" s="1">
        <f>44+2</f>
        <v>46</v>
      </c>
      <c r="E216" s="1">
        <v>0</v>
      </c>
      <c r="F216" s="1">
        <v>0</v>
      </c>
      <c r="G216" s="1">
        <v>0</v>
      </c>
      <c r="H216" s="1">
        <v>682</v>
      </c>
      <c r="I216" s="1">
        <v>575</v>
      </c>
      <c r="J216" s="1"/>
    </row>
    <row r="217" spans="1:10" x14ac:dyDescent="0.25">
      <c r="A217" s="9" t="s">
        <v>809</v>
      </c>
      <c r="B217" s="10" t="s">
        <v>270</v>
      </c>
      <c r="C217" s="1">
        <f>6167+15+1+54+5192</f>
        <v>11429</v>
      </c>
      <c r="D217" s="1">
        <v>4</v>
      </c>
      <c r="E217" s="1">
        <v>0</v>
      </c>
      <c r="F217" s="1">
        <v>0</v>
      </c>
      <c r="G217" s="1">
        <v>0</v>
      </c>
      <c r="H217" s="1">
        <v>7393</v>
      </c>
      <c r="I217" s="1">
        <v>1752</v>
      </c>
      <c r="J217" s="1"/>
    </row>
    <row r="218" spans="1:10" x14ac:dyDescent="0.25">
      <c r="A218" s="9" t="s">
        <v>248</v>
      </c>
      <c r="B218" s="10" t="s">
        <v>271</v>
      </c>
      <c r="C218" s="1"/>
      <c r="D218" s="1"/>
      <c r="E218" s="1"/>
      <c r="F218" s="1"/>
      <c r="G218" s="1"/>
      <c r="H218" s="1"/>
      <c r="I218" s="1"/>
      <c r="J218" s="1"/>
    </row>
    <row r="219" spans="1:10" x14ac:dyDescent="0.25">
      <c r="A219" t="s">
        <v>823</v>
      </c>
      <c r="B219" t="s">
        <v>272</v>
      </c>
      <c r="C219" s="1">
        <f>11599+1+7+5204</f>
        <v>16811</v>
      </c>
      <c r="D219" s="1">
        <v>20</v>
      </c>
      <c r="E219" s="1">
        <v>0</v>
      </c>
      <c r="F219" s="1">
        <v>0</v>
      </c>
      <c r="G219" s="1">
        <v>0</v>
      </c>
      <c r="H219" s="1">
        <v>3592</v>
      </c>
      <c r="I219" s="1">
        <v>4106</v>
      </c>
      <c r="J219" s="1"/>
    </row>
    <row r="220" spans="1:10" x14ac:dyDescent="0.25">
      <c r="A220" t="s">
        <v>146</v>
      </c>
      <c r="B220" t="s">
        <v>273</v>
      </c>
      <c r="C220" s="1">
        <f>4279+1+343+8+5102</f>
        <v>9733</v>
      </c>
      <c r="D220" s="1">
        <f>2+157+2+7</f>
        <v>168</v>
      </c>
      <c r="E220" s="1">
        <v>0</v>
      </c>
      <c r="F220" s="1">
        <v>0</v>
      </c>
      <c r="G220" s="1">
        <v>0</v>
      </c>
      <c r="H220" s="1">
        <v>24410</v>
      </c>
      <c r="I220" s="1">
        <v>4682</v>
      </c>
      <c r="J220" s="1"/>
    </row>
    <row r="221" spans="1:10" x14ac:dyDescent="0.25">
      <c r="A221" t="s">
        <v>788</v>
      </c>
      <c r="B221" t="s">
        <v>274</v>
      </c>
      <c r="C221" s="1">
        <f>9222+316+2+4709</f>
        <v>14249</v>
      </c>
      <c r="D221" s="1">
        <f>22+1</f>
        <v>23</v>
      </c>
      <c r="E221" s="1">
        <v>0</v>
      </c>
      <c r="F221" s="1">
        <v>0</v>
      </c>
      <c r="G221" s="1">
        <v>0</v>
      </c>
      <c r="H221" s="1">
        <v>16714</v>
      </c>
      <c r="I221" s="1">
        <v>3292</v>
      </c>
      <c r="J221" s="1"/>
    </row>
    <row r="222" spans="1:10" x14ac:dyDescent="0.25">
      <c r="A222" t="s">
        <v>805</v>
      </c>
      <c r="B222" t="s">
        <v>275</v>
      </c>
      <c r="C222" s="1"/>
      <c r="D222" s="1"/>
      <c r="E222" s="1"/>
      <c r="F222" s="1"/>
      <c r="G222" s="1"/>
      <c r="H222" s="1"/>
      <c r="I222" s="1"/>
      <c r="J222" s="1"/>
    </row>
    <row r="223" spans="1:10" x14ac:dyDescent="0.25">
      <c r="A223" s="23" t="s">
        <v>805</v>
      </c>
      <c r="B223" s="24" t="s">
        <v>276</v>
      </c>
      <c r="C223" s="1"/>
      <c r="D223" s="1"/>
      <c r="E223" s="1"/>
      <c r="F223" s="1"/>
      <c r="G223" s="1"/>
      <c r="H223" s="1"/>
      <c r="I223" s="1"/>
      <c r="J223" s="1"/>
    </row>
    <row r="224" spans="1:10" x14ac:dyDescent="0.25">
      <c r="A224" t="s">
        <v>76</v>
      </c>
      <c r="B224" t="s">
        <v>277</v>
      </c>
      <c r="C224" s="1">
        <f>52483+1+3781+5905</f>
        <v>62170</v>
      </c>
      <c r="D224" s="1">
        <f>524+9</f>
        <v>533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/>
    </row>
    <row r="225" spans="1:10" x14ac:dyDescent="0.25">
      <c r="A225" t="s">
        <v>823</v>
      </c>
      <c r="B225" t="s">
        <v>278</v>
      </c>
      <c r="C225" s="1">
        <v>3826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/>
    </row>
    <row r="226" spans="1:10" x14ac:dyDescent="0.25">
      <c r="A226" t="s">
        <v>120</v>
      </c>
      <c r="B226" t="s">
        <v>279</v>
      </c>
      <c r="C226" s="1">
        <f>7139+469+2</f>
        <v>7610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/>
    </row>
    <row r="227" spans="1:10" x14ac:dyDescent="0.25">
      <c r="A227" t="s">
        <v>495</v>
      </c>
      <c r="B227" t="s">
        <v>280</v>
      </c>
      <c r="C227" s="1">
        <f>6580+19+380</f>
        <v>6979</v>
      </c>
      <c r="D227" s="1">
        <f>7+7</f>
        <v>14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/>
    </row>
    <row r="228" spans="1:10" x14ac:dyDescent="0.25">
      <c r="A228" t="s">
        <v>791</v>
      </c>
      <c r="B228" t="s">
        <v>281</v>
      </c>
      <c r="C228" s="1"/>
      <c r="D228" s="1"/>
      <c r="E228" s="1"/>
      <c r="F228" s="1"/>
      <c r="G228" s="1"/>
      <c r="H228" s="1"/>
      <c r="I228" s="1"/>
      <c r="J228" s="1"/>
    </row>
    <row r="229" spans="1:10" x14ac:dyDescent="0.25">
      <c r="A229" t="s">
        <v>801</v>
      </c>
      <c r="B229" t="s">
        <v>282</v>
      </c>
      <c r="C229" s="1">
        <f>12014+40</f>
        <v>12054</v>
      </c>
      <c r="D229" s="1">
        <v>39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/>
    </row>
    <row r="230" spans="1:10" x14ac:dyDescent="0.25">
      <c r="A230" t="s">
        <v>795</v>
      </c>
      <c r="B230" t="s">
        <v>283</v>
      </c>
      <c r="C230" s="1">
        <f>115771+16</f>
        <v>115787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/>
    </row>
    <row r="231" spans="1:10" x14ac:dyDescent="0.25">
      <c r="A231" t="s">
        <v>811</v>
      </c>
      <c r="B231" t="s">
        <v>284</v>
      </c>
      <c r="C231" s="1"/>
      <c r="D231" s="1"/>
      <c r="E231" s="1"/>
      <c r="F231" s="1"/>
      <c r="G231" s="1"/>
      <c r="H231" s="1"/>
      <c r="I231" s="1"/>
      <c r="J231" s="1"/>
    </row>
    <row r="232" spans="1:10" x14ac:dyDescent="0.25">
      <c r="A232" t="s">
        <v>120</v>
      </c>
      <c r="B232" t="s">
        <v>285</v>
      </c>
      <c r="C232" s="1">
        <f>15230+5</f>
        <v>15235</v>
      </c>
      <c r="D232" s="1">
        <v>118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/>
    </row>
    <row r="233" spans="1:10" x14ac:dyDescent="0.25">
      <c r="A233" t="s">
        <v>101</v>
      </c>
      <c r="B233" t="s">
        <v>286</v>
      </c>
      <c r="C233" s="1">
        <f>13560+10+2</f>
        <v>13572</v>
      </c>
      <c r="D233" s="1">
        <v>86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/>
    </row>
    <row r="234" spans="1:10" x14ac:dyDescent="0.25">
      <c r="A234" t="s">
        <v>226</v>
      </c>
      <c r="B234" t="s">
        <v>287</v>
      </c>
      <c r="C234" s="1">
        <v>4863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/>
    </row>
    <row r="235" spans="1:10" x14ac:dyDescent="0.25">
      <c r="A235" t="s">
        <v>120</v>
      </c>
      <c r="B235" t="s">
        <v>288</v>
      </c>
      <c r="C235" s="1">
        <v>2407</v>
      </c>
      <c r="D235" s="1">
        <v>2</v>
      </c>
      <c r="E235" s="1">
        <v>0</v>
      </c>
      <c r="F235" s="1">
        <f>19466+2+2</f>
        <v>19470</v>
      </c>
      <c r="G235" s="1">
        <v>46</v>
      </c>
      <c r="H235" s="1">
        <v>0</v>
      </c>
      <c r="I235" s="1">
        <v>0</v>
      </c>
      <c r="J235" s="1"/>
    </row>
    <row r="236" spans="1:10" x14ac:dyDescent="0.25">
      <c r="A236" t="s">
        <v>826</v>
      </c>
      <c r="B236" t="s">
        <v>289</v>
      </c>
      <c r="C236" s="1"/>
      <c r="D236" s="1"/>
      <c r="E236" s="1"/>
      <c r="F236" s="1"/>
      <c r="G236" s="1"/>
      <c r="H236" s="1"/>
      <c r="I236" s="1"/>
      <c r="J236" s="1"/>
    </row>
    <row r="237" spans="1:10" x14ac:dyDescent="0.25">
      <c r="A237" t="s">
        <v>791</v>
      </c>
      <c r="B237" t="s">
        <v>290</v>
      </c>
      <c r="C237" s="1"/>
      <c r="D237" s="1"/>
      <c r="E237" s="1"/>
      <c r="F237" s="1"/>
      <c r="G237" s="1"/>
      <c r="H237" s="1"/>
      <c r="I237" s="1"/>
      <c r="J237" s="1"/>
    </row>
    <row r="238" spans="1:10" x14ac:dyDescent="0.25">
      <c r="A238" t="s">
        <v>826</v>
      </c>
      <c r="B238" t="s">
        <v>291</v>
      </c>
      <c r="C238" s="1"/>
      <c r="D238" s="1"/>
      <c r="E238" s="1"/>
      <c r="F238" s="1"/>
      <c r="G238" s="1"/>
      <c r="H238" s="1"/>
      <c r="I238" s="1"/>
      <c r="J238" s="1"/>
    </row>
    <row r="239" spans="1:10" x14ac:dyDescent="0.25">
      <c r="A239" t="s">
        <v>226</v>
      </c>
      <c r="B239" t="s">
        <v>292</v>
      </c>
      <c r="C239" s="1">
        <f>392+2+1</f>
        <v>395</v>
      </c>
      <c r="D239" s="1">
        <v>0</v>
      </c>
      <c r="E239" s="1">
        <v>0</v>
      </c>
      <c r="F239" s="1">
        <f>3856+5+57+20+5+5</f>
        <v>3948</v>
      </c>
      <c r="G239" s="1">
        <v>2</v>
      </c>
      <c r="H239" s="1">
        <v>0</v>
      </c>
      <c r="I239" s="1">
        <v>0</v>
      </c>
      <c r="J239" s="1"/>
    </row>
    <row r="240" spans="1:10" x14ac:dyDescent="0.25">
      <c r="A240" t="s">
        <v>495</v>
      </c>
      <c r="B240" t="s">
        <v>293</v>
      </c>
      <c r="C240" s="1">
        <f>1325+20</f>
        <v>1345</v>
      </c>
      <c r="D240" s="1">
        <f>3+2+20</f>
        <v>25</v>
      </c>
      <c r="E240" s="1">
        <v>0</v>
      </c>
      <c r="F240" s="1">
        <f>1512+63</f>
        <v>1575</v>
      </c>
      <c r="G240" s="1">
        <f>1+2</f>
        <v>3</v>
      </c>
      <c r="H240" s="1">
        <v>0</v>
      </c>
      <c r="I240" s="1">
        <v>0</v>
      </c>
      <c r="J240" s="1"/>
    </row>
    <row r="241" spans="1:10" x14ac:dyDescent="0.25">
      <c r="A241" t="s">
        <v>248</v>
      </c>
      <c r="B241" t="s">
        <v>294</v>
      </c>
      <c r="C241" s="1"/>
      <c r="D241" s="1"/>
      <c r="E241" s="1"/>
      <c r="F241" s="1"/>
      <c r="G241" s="1"/>
      <c r="H241" s="1"/>
      <c r="I241" s="1"/>
      <c r="J241" s="1"/>
    </row>
    <row r="242" spans="1:10" x14ac:dyDescent="0.25">
      <c r="A242" t="s">
        <v>865</v>
      </c>
      <c r="B242" t="s">
        <v>295</v>
      </c>
      <c r="C242" s="1">
        <v>242</v>
      </c>
      <c r="D242" s="1">
        <v>0</v>
      </c>
      <c r="E242" s="1">
        <v>0</v>
      </c>
      <c r="F242" s="1">
        <f>6209+3+3+2+8</f>
        <v>6225</v>
      </c>
      <c r="G242" s="1">
        <v>0</v>
      </c>
      <c r="H242" s="1">
        <v>0</v>
      </c>
      <c r="I242" s="1">
        <v>0</v>
      </c>
      <c r="J242" s="1"/>
    </row>
    <row r="243" spans="1:10" x14ac:dyDescent="0.25">
      <c r="A243" t="s">
        <v>831</v>
      </c>
      <c r="B243" t="s">
        <v>296</v>
      </c>
      <c r="C243" s="1">
        <v>457</v>
      </c>
      <c r="D243" s="1">
        <v>0</v>
      </c>
      <c r="E243" s="1">
        <v>0</v>
      </c>
      <c r="F243" s="1">
        <f>8084+6+5+57+200</f>
        <v>8352</v>
      </c>
      <c r="G243" s="1">
        <v>2</v>
      </c>
      <c r="H243" s="1">
        <v>0</v>
      </c>
      <c r="I243" s="1">
        <v>0</v>
      </c>
      <c r="J243" s="1"/>
    </row>
    <row r="244" spans="1:10" x14ac:dyDescent="0.25">
      <c r="A244" t="s">
        <v>818</v>
      </c>
      <c r="B244" t="s">
        <v>297</v>
      </c>
      <c r="C244" s="1">
        <v>2625</v>
      </c>
      <c r="D244" s="1">
        <v>0</v>
      </c>
      <c r="E244" s="1">
        <v>0</v>
      </c>
      <c r="F244" s="1">
        <f>4622+30+11</f>
        <v>4663</v>
      </c>
      <c r="G244" s="1">
        <f>2+1</f>
        <v>3</v>
      </c>
      <c r="H244" s="1">
        <v>0</v>
      </c>
      <c r="I244" s="1">
        <v>0</v>
      </c>
      <c r="J244" s="1"/>
    </row>
    <row r="245" spans="1:10" x14ac:dyDescent="0.25">
      <c r="A245" t="s">
        <v>811</v>
      </c>
      <c r="B245" t="s">
        <v>298</v>
      </c>
      <c r="C245" s="1"/>
      <c r="D245" s="1"/>
      <c r="E245" s="1"/>
      <c r="F245" s="1"/>
      <c r="G245" s="1"/>
      <c r="H245" s="1"/>
      <c r="I245" s="1"/>
      <c r="J245" s="1"/>
    </row>
    <row r="246" spans="1:10" x14ac:dyDescent="0.25">
      <c r="A246" t="s">
        <v>72</v>
      </c>
      <c r="B246" t="s">
        <v>299</v>
      </c>
      <c r="C246" s="1">
        <f>1117+331</f>
        <v>1448</v>
      </c>
      <c r="D246" s="1">
        <v>0</v>
      </c>
      <c r="E246" s="1">
        <v>0</v>
      </c>
      <c r="F246" s="1">
        <f>4756+4+476+5</f>
        <v>5241</v>
      </c>
      <c r="G246" s="1">
        <v>19</v>
      </c>
      <c r="H246" s="1">
        <v>0</v>
      </c>
      <c r="I246" s="1">
        <v>0</v>
      </c>
      <c r="J246" s="1"/>
    </row>
    <row r="247" spans="1:10" x14ac:dyDescent="0.25">
      <c r="A247" t="s">
        <v>67</v>
      </c>
      <c r="B247" t="s">
        <v>300</v>
      </c>
      <c r="C247" s="1">
        <v>1210</v>
      </c>
      <c r="D247" s="1">
        <v>0</v>
      </c>
      <c r="E247" s="1">
        <v>0</v>
      </c>
      <c r="F247" s="1">
        <v>2418</v>
      </c>
      <c r="G247" s="1">
        <v>0</v>
      </c>
      <c r="H247" s="1">
        <v>0</v>
      </c>
      <c r="I247" s="1">
        <v>0</v>
      </c>
      <c r="J247" s="1"/>
    </row>
    <row r="248" spans="1:10" x14ac:dyDescent="0.25">
      <c r="A248" t="s">
        <v>798</v>
      </c>
      <c r="B248" t="s">
        <v>301</v>
      </c>
      <c r="C248" s="1">
        <v>1344</v>
      </c>
      <c r="D248" s="1">
        <v>17</v>
      </c>
      <c r="E248" s="1">
        <v>0</v>
      </c>
      <c r="F248" s="1">
        <f>7960+1</f>
        <v>7961</v>
      </c>
      <c r="G248" s="1">
        <f>78+1</f>
        <v>79</v>
      </c>
      <c r="H248" s="1">
        <v>0</v>
      </c>
      <c r="I248" s="1">
        <v>0</v>
      </c>
      <c r="J248" s="1"/>
    </row>
    <row r="249" spans="1:10" x14ac:dyDescent="0.25">
      <c r="A249" t="s">
        <v>824</v>
      </c>
      <c r="B249" t="s">
        <v>302</v>
      </c>
      <c r="C249" s="1"/>
      <c r="D249" s="1"/>
      <c r="E249" s="1"/>
      <c r="F249" s="1"/>
      <c r="G249" s="1"/>
      <c r="H249" s="1"/>
      <c r="I249" s="1"/>
      <c r="J249" s="1"/>
    </row>
    <row r="250" spans="1:10" x14ac:dyDescent="0.25">
      <c r="A250" t="s">
        <v>788</v>
      </c>
      <c r="B250" t="s">
        <v>303</v>
      </c>
      <c r="C250" s="1">
        <v>589</v>
      </c>
      <c r="D250" s="1">
        <v>0</v>
      </c>
      <c r="E250" s="1">
        <v>0</v>
      </c>
      <c r="F250" s="1">
        <f>7342+1</f>
        <v>7343</v>
      </c>
      <c r="G250" s="1">
        <v>0</v>
      </c>
      <c r="H250" s="1">
        <v>0</v>
      </c>
      <c r="I250" s="1">
        <v>0</v>
      </c>
      <c r="J250" s="1"/>
    </row>
    <row r="251" spans="1:10" x14ac:dyDescent="0.25">
      <c r="A251" t="s">
        <v>120</v>
      </c>
      <c r="B251" t="s">
        <v>304</v>
      </c>
      <c r="C251" s="1">
        <v>732</v>
      </c>
      <c r="D251" s="1">
        <v>0</v>
      </c>
      <c r="E251" s="1">
        <v>0</v>
      </c>
      <c r="F251" s="1">
        <f>5882+52+22+1+7</f>
        <v>5964</v>
      </c>
      <c r="G251" s="1">
        <v>7</v>
      </c>
      <c r="H251" s="1">
        <v>0</v>
      </c>
      <c r="I251" s="1">
        <v>0</v>
      </c>
      <c r="J251" s="1"/>
    </row>
    <row r="252" spans="1:10" x14ac:dyDescent="0.25">
      <c r="A252" t="s">
        <v>229</v>
      </c>
      <c r="B252" t="s">
        <v>306</v>
      </c>
      <c r="C252" s="1">
        <v>934</v>
      </c>
      <c r="D252" s="1">
        <v>0</v>
      </c>
      <c r="E252" s="1">
        <v>0</v>
      </c>
      <c r="F252" s="1">
        <f>1510+2</f>
        <v>1512</v>
      </c>
      <c r="G252" s="1">
        <v>59</v>
      </c>
      <c r="H252" s="1">
        <v>0</v>
      </c>
      <c r="I252" s="1">
        <v>0</v>
      </c>
      <c r="J252" s="1"/>
    </row>
    <row r="253" spans="1:10" x14ac:dyDescent="0.25">
      <c r="A253" t="s">
        <v>512</v>
      </c>
      <c r="B253" t="s">
        <v>307</v>
      </c>
      <c r="C253" s="1">
        <v>332</v>
      </c>
      <c r="D253" s="1">
        <v>1</v>
      </c>
      <c r="E253" s="1">
        <v>0</v>
      </c>
      <c r="F253" s="1">
        <f>3673+2</f>
        <v>3675</v>
      </c>
      <c r="G253" s="1">
        <v>19</v>
      </c>
      <c r="H253" s="1">
        <v>0</v>
      </c>
      <c r="I253" s="1">
        <v>0</v>
      </c>
      <c r="J253" s="1"/>
    </row>
    <row r="254" spans="1:10" x14ac:dyDescent="0.25">
      <c r="A254" t="s">
        <v>791</v>
      </c>
      <c r="B254" t="s">
        <v>308</v>
      </c>
      <c r="C254" s="1"/>
      <c r="D254" s="1"/>
      <c r="E254" s="1"/>
      <c r="F254" s="1"/>
      <c r="G254" s="1"/>
      <c r="H254" s="1"/>
      <c r="I254" s="1"/>
      <c r="J254" s="1"/>
    </row>
    <row r="255" spans="1:10" x14ac:dyDescent="0.25">
      <c r="A255" t="s">
        <v>841</v>
      </c>
      <c r="B255" t="s">
        <v>309</v>
      </c>
      <c r="C255" s="1"/>
      <c r="D255" s="1"/>
      <c r="E255" s="1"/>
      <c r="F255" s="1"/>
      <c r="G255" s="1"/>
      <c r="H255" s="1"/>
      <c r="I255" s="1"/>
      <c r="J255" s="1"/>
    </row>
    <row r="256" spans="1:10" x14ac:dyDescent="0.25">
      <c r="A256" t="s">
        <v>831</v>
      </c>
      <c r="B256" t="s">
        <v>310</v>
      </c>
      <c r="C256" s="1">
        <v>91</v>
      </c>
      <c r="D256" s="1">
        <v>0</v>
      </c>
      <c r="E256" s="1">
        <v>0</v>
      </c>
      <c r="F256" s="1">
        <v>710</v>
      </c>
      <c r="G256" s="1">
        <v>0</v>
      </c>
      <c r="H256" s="1">
        <v>0</v>
      </c>
      <c r="I256" s="1">
        <v>0</v>
      </c>
      <c r="J256" s="1"/>
    </row>
    <row r="257" spans="1:10" x14ac:dyDescent="0.25">
      <c r="A257" t="s">
        <v>864</v>
      </c>
      <c r="B257" t="s">
        <v>311</v>
      </c>
      <c r="C257" s="1">
        <f>531+13</f>
        <v>544</v>
      </c>
      <c r="D257" s="1">
        <v>0</v>
      </c>
      <c r="E257" s="1">
        <v>0</v>
      </c>
      <c r="F257" s="1">
        <f>2604+2+42+31</f>
        <v>2679</v>
      </c>
      <c r="G257" s="1">
        <v>0</v>
      </c>
      <c r="H257" s="1">
        <v>0</v>
      </c>
      <c r="I257" s="1">
        <v>0</v>
      </c>
      <c r="J257" s="1"/>
    </row>
    <row r="258" spans="1:10" x14ac:dyDescent="0.25">
      <c r="A258" t="s">
        <v>838</v>
      </c>
      <c r="B258" t="s">
        <v>312</v>
      </c>
      <c r="C258" s="1"/>
      <c r="D258" s="1"/>
      <c r="E258" s="1"/>
      <c r="F258" s="1"/>
      <c r="G258" s="1"/>
      <c r="H258" s="1"/>
      <c r="I258" s="1"/>
      <c r="J258" s="1"/>
    </row>
    <row r="259" spans="1:10" x14ac:dyDescent="0.25">
      <c r="A259" t="s">
        <v>794</v>
      </c>
      <c r="B259" t="s">
        <v>313</v>
      </c>
      <c r="C259" s="1">
        <v>800</v>
      </c>
      <c r="D259" s="1">
        <v>0</v>
      </c>
      <c r="E259" s="1">
        <v>0</v>
      </c>
      <c r="F259" s="1">
        <f>2537+8+1+34</f>
        <v>2580</v>
      </c>
      <c r="G259" s="1">
        <v>0</v>
      </c>
      <c r="H259" s="1">
        <v>0</v>
      </c>
      <c r="I259" s="1">
        <v>0</v>
      </c>
      <c r="J259" s="1"/>
    </row>
    <row r="260" spans="1:10" x14ac:dyDescent="0.25">
      <c r="A260" t="s">
        <v>830</v>
      </c>
      <c r="B260" t="s">
        <v>314</v>
      </c>
      <c r="C260" s="1"/>
      <c r="D260" s="1"/>
      <c r="E260" s="1"/>
      <c r="F260" s="1"/>
      <c r="G260" s="1"/>
      <c r="H260" s="1"/>
      <c r="I260" s="1"/>
      <c r="J260" s="1"/>
    </row>
    <row r="261" spans="1:10" x14ac:dyDescent="0.25">
      <c r="A261" t="s">
        <v>844</v>
      </c>
      <c r="B261" t="s">
        <v>315</v>
      </c>
      <c r="C261" s="1"/>
      <c r="D261" s="1"/>
      <c r="E261" s="1"/>
      <c r="F261" s="1"/>
      <c r="G261" s="1"/>
      <c r="H261" s="1"/>
      <c r="I261" s="1"/>
      <c r="J261" s="1"/>
    </row>
    <row r="262" spans="1:10" x14ac:dyDescent="0.25">
      <c r="A262" t="s">
        <v>836</v>
      </c>
      <c r="B262" t="s">
        <v>316</v>
      </c>
      <c r="C262" s="1"/>
      <c r="D262" s="1"/>
      <c r="E262" s="1"/>
      <c r="F262" s="1"/>
      <c r="G262" s="1"/>
      <c r="H262" s="1"/>
      <c r="I262" s="1"/>
      <c r="J262" s="1"/>
    </row>
    <row r="263" spans="1:10" x14ac:dyDescent="0.25">
      <c r="A263" t="s">
        <v>845</v>
      </c>
      <c r="B263" t="s">
        <v>317</v>
      </c>
      <c r="C263" s="1"/>
      <c r="D263" s="1"/>
      <c r="E263" s="1"/>
      <c r="F263" s="1"/>
      <c r="G263" s="1"/>
      <c r="H263" s="1"/>
      <c r="I263" s="1"/>
      <c r="J263" s="1"/>
    </row>
    <row r="264" spans="1:10" x14ac:dyDescent="0.25">
      <c r="A264" t="s">
        <v>846</v>
      </c>
      <c r="B264" t="s">
        <v>318</v>
      </c>
      <c r="C264" s="1"/>
      <c r="D264" s="1"/>
      <c r="E264" s="1"/>
      <c r="F264" s="1"/>
      <c r="G264" s="1"/>
      <c r="H264" s="1"/>
      <c r="I264" s="1"/>
      <c r="J264" s="1"/>
    </row>
    <row r="265" spans="1:10" x14ac:dyDescent="0.25">
      <c r="A265" t="s">
        <v>804</v>
      </c>
      <c r="B265" t="s">
        <v>319</v>
      </c>
      <c r="C265" s="1">
        <f>2491+2</f>
        <v>2493</v>
      </c>
      <c r="D265" s="1">
        <v>0</v>
      </c>
      <c r="E265" s="1">
        <v>0</v>
      </c>
      <c r="F265" s="1">
        <f>1993+4</f>
        <v>1997</v>
      </c>
      <c r="G265" s="1">
        <v>0</v>
      </c>
      <c r="H265" s="1">
        <v>0</v>
      </c>
      <c r="I265" s="1">
        <v>0</v>
      </c>
      <c r="J265" s="1"/>
    </row>
    <row r="266" spans="1:10" x14ac:dyDescent="0.25">
      <c r="A266" t="s">
        <v>809</v>
      </c>
      <c r="B266" t="s">
        <v>320</v>
      </c>
      <c r="C266" s="1">
        <v>9386</v>
      </c>
      <c r="D266" s="1">
        <v>0</v>
      </c>
      <c r="E266" s="1">
        <v>0</v>
      </c>
      <c r="F266" s="1">
        <f>3535+1</f>
        <v>3536</v>
      </c>
      <c r="G266" s="1">
        <v>0</v>
      </c>
      <c r="H266" s="1">
        <v>0</v>
      </c>
      <c r="I266" s="1">
        <v>0</v>
      </c>
      <c r="J266" s="1"/>
    </row>
    <row r="267" spans="1:10" x14ac:dyDescent="0.25">
      <c r="A267" t="s">
        <v>801</v>
      </c>
      <c r="B267" t="s">
        <v>321</v>
      </c>
      <c r="C267" s="1">
        <f>4708+5+1</f>
        <v>4714</v>
      </c>
      <c r="D267" s="1">
        <v>29</v>
      </c>
      <c r="E267" s="1">
        <v>0</v>
      </c>
      <c r="F267" s="1">
        <f>9304+1+1+1+46+12+4+6</f>
        <v>9375</v>
      </c>
      <c r="G267" s="1">
        <v>159</v>
      </c>
      <c r="H267" s="1">
        <v>0</v>
      </c>
      <c r="I267" s="1">
        <v>0</v>
      </c>
      <c r="J267" s="1"/>
    </row>
    <row r="268" spans="1:10" x14ac:dyDescent="0.25">
      <c r="A268" t="s">
        <v>138</v>
      </c>
      <c r="B268" t="s">
        <v>322</v>
      </c>
      <c r="C268" s="1"/>
      <c r="D268" s="1"/>
      <c r="E268" s="1"/>
      <c r="F268" s="1"/>
      <c r="G268" s="1"/>
      <c r="H268" s="1"/>
      <c r="I268" s="1"/>
      <c r="J268" s="1"/>
    </row>
    <row r="269" spans="1:10" x14ac:dyDescent="0.25">
      <c r="A269" t="s">
        <v>83</v>
      </c>
      <c r="B269" t="s">
        <v>323</v>
      </c>
      <c r="C269" s="1">
        <f>3545+94</f>
        <v>3639</v>
      </c>
      <c r="D269" s="1">
        <f>30</f>
        <v>30</v>
      </c>
      <c r="E269" s="1">
        <v>0</v>
      </c>
      <c r="F269" s="1">
        <f>4932+140+1+195</f>
        <v>5268</v>
      </c>
      <c r="G269" s="1">
        <f>43+3+7</f>
        <v>53</v>
      </c>
      <c r="H269" s="1">
        <v>0</v>
      </c>
      <c r="I269" s="1">
        <v>0</v>
      </c>
      <c r="J269" s="1"/>
    </row>
    <row r="270" spans="1:10" x14ac:dyDescent="0.25">
      <c r="A270" t="s">
        <v>825</v>
      </c>
      <c r="B270" t="s">
        <v>324</v>
      </c>
      <c r="C270" s="1">
        <f>1754+7</f>
        <v>1761</v>
      </c>
      <c r="D270" s="1">
        <v>23</v>
      </c>
      <c r="E270" s="1">
        <v>0</v>
      </c>
      <c r="F270" s="1">
        <f>4334+3+1+45+10</f>
        <v>4393</v>
      </c>
      <c r="G270" s="1">
        <v>109</v>
      </c>
      <c r="H270" s="1">
        <v>0</v>
      </c>
      <c r="I270" s="1">
        <v>0</v>
      </c>
      <c r="J270" s="1"/>
    </row>
    <row r="271" spans="1:10" x14ac:dyDescent="0.25">
      <c r="A271" t="s">
        <v>248</v>
      </c>
      <c r="B271" t="s">
        <v>325</v>
      </c>
      <c r="C271" s="1"/>
      <c r="D271" s="1"/>
      <c r="E271" s="1"/>
      <c r="F271" s="1"/>
      <c r="G271" s="1"/>
      <c r="H271" s="1"/>
      <c r="I271" s="1"/>
      <c r="J271" s="1"/>
    </row>
    <row r="272" spans="1:10" x14ac:dyDescent="0.25">
      <c r="A272" t="s">
        <v>83</v>
      </c>
      <c r="B272" t="s">
        <v>326</v>
      </c>
      <c r="C272" s="1"/>
      <c r="D272" s="1"/>
      <c r="E272" s="1"/>
      <c r="F272" s="1"/>
      <c r="G272" s="1"/>
      <c r="H272" s="1"/>
      <c r="I272" s="1"/>
      <c r="J272" s="1"/>
    </row>
    <row r="273" spans="1:10" x14ac:dyDescent="0.25">
      <c r="A273" t="s">
        <v>795</v>
      </c>
      <c r="B273" t="s">
        <v>327</v>
      </c>
      <c r="C273" s="1">
        <v>189</v>
      </c>
      <c r="D273" s="1">
        <v>0</v>
      </c>
      <c r="E273" s="1">
        <v>0</v>
      </c>
      <c r="F273" s="1">
        <v>845</v>
      </c>
      <c r="G273" s="1">
        <v>43</v>
      </c>
      <c r="H273" s="1">
        <v>0</v>
      </c>
      <c r="I273" s="1">
        <v>0</v>
      </c>
      <c r="J273" s="1"/>
    </row>
    <row r="274" spans="1:10" x14ac:dyDescent="0.25">
      <c r="A274" t="s">
        <v>76</v>
      </c>
      <c r="B274" t="s">
        <v>329</v>
      </c>
      <c r="C274" s="1">
        <f>3141+4</f>
        <v>3145</v>
      </c>
      <c r="D274" s="1">
        <f>19+16</f>
        <v>35</v>
      </c>
      <c r="E274" s="1">
        <v>0</v>
      </c>
      <c r="F274" s="1">
        <f>12227+1+2+1+317</f>
        <v>12548</v>
      </c>
      <c r="G274" s="1">
        <f>56+18</f>
        <v>74</v>
      </c>
      <c r="H274" s="1">
        <v>0</v>
      </c>
      <c r="I274" s="1">
        <v>0</v>
      </c>
      <c r="J274" s="1"/>
    </row>
    <row r="275" spans="1:10" x14ac:dyDescent="0.25">
      <c r="A275" t="s">
        <v>809</v>
      </c>
      <c r="B275" t="s">
        <v>330</v>
      </c>
      <c r="C275" s="1">
        <f>3568+2+8+4</f>
        <v>3582</v>
      </c>
      <c r="D275" s="1">
        <f>311+72</f>
        <v>383</v>
      </c>
      <c r="E275" s="1">
        <v>0</v>
      </c>
      <c r="F275" s="1">
        <f>11714+1+7+3</f>
        <v>11725</v>
      </c>
      <c r="G275" s="1">
        <f>101+2</f>
        <v>103</v>
      </c>
      <c r="H275" s="1">
        <v>0</v>
      </c>
      <c r="I275" s="1">
        <v>0</v>
      </c>
      <c r="J275" s="1"/>
    </row>
    <row r="276" spans="1:10" x14ac:dyDescent="0.25">
      <c r="A276" t="s">
        <v>839</v>
      </c>
      <c r="B276" t="s">
        <v>331</v>
      </c>
      <c r="C276" s="1"/>
      <c r="D276" s="1"/>
      <c r="E276" s="1"/>
      <c r="F276" s="1"/>
      <c r="G276" s="1"/>
      <c r="H276" s="1"/>
      <c r="I276" s="1"/>
      <c r="J276" s="1"/>
    </row>
    <row r="277" spans="1:10" x14ac:dyDescent="0.25">
      <c r="A277" t="s">
        <v>248</v>
      </c>
      <c r="B277" t="s">
        <v>332</v>
      </c>
      <c r="C277" s="1"/>
      <c r="D277" s="1"/>
      <c r="E277" s="1"/>
      <c r="F277" s="1"/>
      <c r="G277" s="1"/>
      <c r="H277" s="1"/>
      <c r="I277" s="1"/>
      <c r="J277" s="1"/>
    </row>
    <row r="278" spans="1:10" x14ac:dyDescent="0.25">
      <c r="A278" t="s">
        <v>862</v>
      </c>
      <c r="B278" t="s">
        <v>333</v>
      </c>
      <c r="C278" s="1"/>
      <c r="D278" s="1"/>
      <c r="E278" s="1"/>
      <c r="F278" s="1"/>
      <c r="G278" s="1"/>
      <c r="H278" s="1"/>
      <c r="I278" s="1"/>
      <c r="J278" s="1"/>
    </row>
    <row r="279" spans="1:10" x14ac:dyDescent="0.25">
      <c r="A279" t="s">
        <v>857</v>
      </c>
      <c r="B279" t="s">
        <v>334</v>
      </c>
      <c r="C279" s="1"/>
      <c r="D279" s="1"/>
      <c r="E279" s="1"/>
      <c r="F279" s="1"/>
      <c r="G279" s="1"/>
      <c r="H279" s="1"/>
      <c r="I279" s="1"/>
      <c r="J279" s="1"/>
    </row>
    <row r="280" spans="1:10" x14ac:dyDescent="0.25">
      <c r="A280" t="s">
        <v>265</v>
      </c>
      <c r="B280" t="s">
        <v>335</v>
      </c>
      <c r="C280" s="1">
        <v>1003</v>
      </c>
      <c r="D280" s="1">
        <v>0</v>
      </c>
      <c r="E280" s="1">
        <v>0</v>
      </c>
      <c r="F280" s="1">
        <v>4490</v>
      </c>
      <c r="G280" s="1">
        <v>0</v>
      </c>
      <c r="H280" s="1">
        <v>0</v>
      </c>
      <c r="I280" s="1">
        <v>0</v>
      </c>
      <c r="J280" s="1"/>
    </row>
    <row r="281" spans="1:10" x14ac:dyDescent="0.25">
      <c r="A281" t="s">
        <v>855</v>
      </c>
      <c r="B281" t="s">
        <v>336</v>
      </c>
      <c r="C281" s="1"/>
      <c r="D281" s="1"/>
      <c r="E281" s="1"/>
      <c r="F281" s="1"/>
      <c r="G281" s="1"/>
      <c r="H281" s="1"/>
      <c r="I281" s="1"/>
      <c r="J281" s="1"/>
    </row>
    <row r="282" spans="1:10" x14ac:dyDescent="0.25">
      <c r="A282" t="s">
        <v>806</v>
      </c>
      <c r="B282" t="s">
        <v>337</v>
      </c>
      <c r="C282" s="1">
        <f>2768+3+21+19</f>
        <v>2811</v>
      </c>
      <c r="D282" s="1">
        <v>50</v>
      </c>
      <c r="E282" s="1">
        <v>0</v>
      </c>
      <c r="F282" s="1">
        <f>13416+2+157+2+2+9</f>
        <v>13588</v>
      </c>
      <c r="G282" s="1">
        <f>93+1</f>
        <v>94</v>
      </c>
      <c r="H282" s="1">
        <v>0</v>
      </c>
      <c r="I282" s="1">
        <v>0</v>
      </c>
      <c r="J282" s="1"/>
    </row>
    <row r="283" spans="1:10" x14ac:dyDescent="0.25">
      <c r="A283" t="s">
        <v>852</v>
      </c>
      <c r="B283" t="s">
        <v>338</v>
      </c>
      <c r="C283" s="1"/>
      <c r="D283" s="1"/>
      <c r="E283" s="1"/>
      <c r="F283" s="1"/>
      <c r="G283" s="1"/>
      <c r="H283" s="1"/>
      <c r="I283" s="1"/>
      <c r="J283" s="1"/>
    </row>
    <row r="284" spans="1:10" x14ac:dyDescent="0.25">
      <c r="A284" t="s">
        <v>860</v>
      </c>
      <c r="B284" t="s">
        <v>339</v>
      </c>
      <c r="C284" s="1"/>
      <c r="D284" s="1"/>
      <c r="E284" s="1"/>
      <c r="F284" s="1"/>
      <c r="G284" s="1"/>
      <c r="H284" s="1"/>
      <c r="I284" s="1"/>
      <c r="J284" s="1"/>
    </row>
    <row r="285" spans="1:10" x14ac:dyDescent="0.25">
      <c r="A285" t="s">
        <v>861</v>
      </c>
      <c r="B285" t="s">
        <v>340</v>
      </c>
      <c r="C285" s="1"/>
      <c r="D285" s="1"/>
      <c r="E285" s="1"/>
      <c r="F285" s="1"/>
      <c r="G285" s="1"/>
      <c r="H285" s="1"/>
      <c r="I285" s="1"/>
      <c r="J285" s="1"/>
    </row>
    <row r="286" spans="1:10" x14ac:dyDescent="0.25">
      <c r="A286" t="s">
        <v>834</v>
      </c>
      <c r="B286" t="s">
        <v>341</v>
      </c>
      <c r="C286" s="1"/>
      <c r="D286" s="1"/>
      <c r="E286" s="1"/>
      <c r="F286" s="1"/>
      <c r="G286" s="1"/>
      <c r="H286" s="1"/>
      <c r="I286" s="1"/>
      <c r="J286" s="1"/>
    </row>
    <row r="287" spans="1:10" x14ac:dyDescent="0.25">
      <c r="A287" t="s">
        <v>850</v>
      </c>
      <c r="B287" t="s">
        <v>342</v>
      </c>
      <c r="C287" s="1"/>
      <c r="D287" s="1"/>
      <c r="E287" s="1"/>
      <c r="F287" s="1"/>
      <c r="G287" s="1"/>
      <c r="H287" s="1"/>
      <c r="I287" s="1"/>
      <c r="J287" s="1"/>
    </row>
    <row r="288" spans="1:10" x14ac:dyDescent="0.25">
      <c r="A288" t="s">
        <v>801</v>
      </c>
      <c r="B288" t="s">
        <v>343</v>
      </c>
      <c r="C288" s="1">
        <v>220</v>
      </c>
      <c r="D288" s="1">
        <v>0</v>
      </c>
      <c r="E288" s="1">
        <v>0</v>
      </c>
      <c r="F288" s="1">
        <f>1441+2</f>
        <v>1443</v>
      </c>
      <c r="G288" s="1">
        <v>1</v>
      </c>
      <c r="H288" s="1">
        <v>0</v>
      </c>
      <c r="I288" s="1">
        <v>0</v>
      </c>
      <c r="J288" s="1"/>
    </row>
    <row r="289" spans="1:10" x14ac:dyDescent="0.25">
      <c r="A289" t="s">
        <v>138</v>
      </c>
      <c r="B289" t="s">
        <v>344</v>
      </c>
      <c r="C289" s="1">
        <f>856+3</f>
        <v>859</v>
      </c>
      <c r="D289" s="1">
        <v>0</v>
      </c>
      <c r="E289" s="1">
        <v>0</v>
      </c>
      <c r="F289" s="1">
        <f>8827+66+12</f>
        <v>8905</v>
      </c>
      <c r="G289" s="1">
        <v>0</v>
      </c>
      <c r="H289" s="1">
        <v>0</v>
      </c>
      <c r="I289" s="1">
        <v>0</v>
      </c>
      <c r="J289" s="1"/>
    </row>
    <row r="290" spans="1:10" x14ac:dyDescent="0.25">
      <c r="A290" t="s">
        <v>806</v>
      </c>
      <c r="B290" t="s">
        <v>345</v>
      </c>
      <c r="C290" s="1">
        <v>343</v>
      </c>
      <c r="D290" s="1">
        <v>0</v>
      </c>
      <c r="E290" s="1">
        <v>0</v>
      </c>
      <c r="F290" s="1">
        <f>2197+3+4</f>
        <v>2204</v>
      </c>
      <c r="G290" s="1">
        <v>0</v>
      </c>
      <c r="H290" s="1">
        <v>0</v>
      </c>
      <c r="I290" s="1">
        <v>0</v>
      </c>
      <c r="J290" s="1"/>
    </row>
    <row r="291" spans="1:10" x14ac:dyDescent="0.25">
      <c r="A291" t="s">
        <v>69</v>
      </c>
      <c r="B291" t="s">
        <v>346</v>
      </c>
      <c r="C291" s="1">
        <f>2859+57</f>
        <v>2916</v>
      </c>
      <c r="D291" s="1">
        <v>4</v>
      </c>
      <c r="E291" s="1">
        <v>0</v>
      </c>
      <c r="F291" s="1">
        <f>22770+1+2+4+6+4+22</f>
        <v>22809</v>
      </c>
      <c r="G291" s="1">
        <f>145+13</f>
        <v>158</v>
      </c>
      <c r="H291" s="1">
        <v>0</v>
      </c>
      <c r="I291" s="1">
        <v>0</v>
      </c>
      <c r="J291" s="1"/>
    </row>
    <row r="292" spans="1:10" x14ac:dyDescent="0.25">
      <c r="A292" t="s">
        <v>83</v>
      </c>
      <c r="B292" t="s">
        <v>347</v>
      </c>
      <c r="C292" s="1"/>
      <c r="D292" s="1"/>
      <c r="E292" s="1"/>
      <c r="F292" s="1"/>
      <c r="G292" s="1"/>
      <c r="H292" s="1"/>
      <c r="I292" s="1"/>
      <c r="J292" s="1"/>
    </row>
    <row r="293" spans="1:10" x14ac:dyDescent="0.25">
      <c r="A293" t="s">
        <v>101</v>
      </c>
      <c r="B293" t="s">
        <v>348</v>
      </c>
      <c r="C293" s="1">
        <v>1141</v>
      </c>
      <c r="D293" s="1">
        <v>22</v>
      </c>
      <c r="E293" s="1">
        <v>0</v>
      </c>
      <c r="F293" s="1">
        <f>8999+1+9+21</f>
        <v>9030</v>
      </c>
      <c r="G293" s="1">
        <v>10</v>
      </c>
      <c r="H293" s="1">
        <v>0</v>
      </c>
      <c r="I293" s="1">
        <v>0</v>
      </c>
      <c r="J293" s="1"/>
    </row>
    <row r="294" spans="1:10" x14ac:dyDescent="0.25">
      <c r="A294" t="s">
        <v>797</v>
      </c>
      <c r="B294" t="s">
        <v>349</v>
      </c>
      <c r="C294" s="1"/>
      <c r="D294" s="1"/>
      <c r="E294" s="1"/>
      <c r="F294" s="1"/>
      <c r="G294" s="1"/>
      <c r="H294" s="1"/>
      <c r="I294" s="1"/>
      <c r="J294" s="1"/>
    </row>
    <row r="295" spans="1:10" x14ac:dyDescent="0.25">
      <c r="A295" t="s">
        <v>811</v>
      </c>
      <c r="B295" t="s">
        <v>350</v>
      </c>
      <c r="C295" s="1"/>
      <c r="D295" s="1"/>
      <c r="E295" s="1"/>
      <c r="F295" s="1"/>
      <c r="G295" s="1"/>
      <c r="H295" s="1"/>
      <c r="I295" s="1"/>
      <c r="J295" s="1"/>
    </row>
    <row r="296" spans="1:10" x14ac:dyDescent="0.25">
      <c r="A296" t="s">
        <v>837</v>
      </c>
      <c r="B296" t="s">
        <v>351</v>
      </c>
      <c r="C296" s="1"/>
      <c r="D296" s="1"/>
      <c r="E296" s="1"/>
      <c r="F296" s="1"/>
      <c r="G296" s="1"/>
      <c r="H296" s="1"/>
      <c r="I296" s="1"/>
      <c r="J296" s="1"/>
    </row>
    <row r="297" spans="1:10" x14ac:dyDescent="0.25">
      <c r="A297" t="s">
        <v>824</v>
      </c>
      <c r="B297" t="s">
        <v>352</v>
      </c>
      <c r="C297" s="1"/>
      <c r="D297" s="1"/>
      <c r="E297" s="1"/>
      <c r="F297" s="1"/>
      <c r="G297" s="1"/>
      <c r="H297" s="1"/>
      <c r="I297" s="1"/>
      <c r="J297" s="1"/>
    </row>
    <row r="298" spans="1:10" x14ac:dyDescent="0.25">
      <c r="A298" t="s">
        <v>829</v>
      </c>
      <c r="B298" t="s">
        <v>353</v>
      </c>
      <c r="C298" s="1"/>
      <c r="D298" s="1"/>
      <c r="E298" s="1"/>
      <c r="F298" s="1"/>
      <c r="G298" s="1"/>
      <c r="H298" s="1"/>
      <c r="I298" s="1"/>
      <c r="J298" s="1"/>
    </row>
    <row r="299" spans="1:10" x14ac:dyDescent="0.25">
      <c r="A299" t="s">
        <v>832</v>
      </c>
      <c r="B299" t="s">
        <v>354</v>
      </c>
      <c r="C299" s="1"/>
      <c r="D299" s="1"/>
      <c r="E299" s="1"/>
      <c r="F299" s="1"/>
      <c r="G299" s="1"/>
      <c r="H299" s="1"/>
      <c r="I299" s="1"/>
      <c r="J299" s="1"/>
    </row>
    <row r="300" spans="1:10" x14ac:dyDescent="0.25">
      <c r="A300" t="s">
        <v>833</v>
      </c>
      <c r="B300" t="s">
        <v>355</v>
      </c>
      <c r="C300" s="1"/>
      <c r="D300" s="1"/>
      <c r="E300" s="1"/>
      <c r="F300" s="1"/>
      <c r="G300" s="1"/>
      <c r="H300" s="1"/>
      <c r="I300" s="1"/>
      <c r="J300" s="1"/>
    </row>
    <row r="301" spans="1:10" x14ac:dyDescent="0.25">
      <c r="A301" t="s">
        <v>840</v>
      </c>
      <c r="B301" t="s">
        <v>356</v>
      </c>
      <c r="C301" s="1"/>
      <c r="D301" s="1"/>
      <c r="E301" s="1"/>
      <c r="F301" s="1"/>
      <c r="G301" s="1"/>
      <c r="H301" s="1"/>
      <c r="I301" s="1"/>
      <c r="J301" s="1"/>
    </row>
    <row r="302" spans="1:10" x14ac:dyDescent="0.25">
      <c r="A302" t="s">
        <v>843</v>
      </c>
      <c r="B302" t="s">
        <v>357</v>
      </c>
      <c r="C302" s="1"/>
      <c r="D302" s="1"/>
      <c r="E302" s="1"/>
      <c r="F302" s="1"/>
      <c r="G302" s="1"/>
      <c r="H302" s="1"/>
      <c r="I302" s="1"/>
      <c r="J302" s="1"/>
    </row>
    <row r="303" spans="1:10" x14ac:dyDescent="0.25">
      <c r="A303" t="s">
        <v>791</v>
      </c>
      <c r="B303" t="s">
        <v>358</v>
      </c>
      <c r="C303" s="1"/>
      <c r="D303" s="1"/>
      <c r="E303" s="1"/>
      <c r="F303" s="1"/>
      <c r="G303" s="1"/>
      <c r="H303" s="1"/>
      <c r="I303" s="1"/>
      <c r="J303" s="1"/>
    </row>
    <row r="304" spans="1:10" x14ac:dyDescent="0.25">
      <c r="A304" t="s">
        <v>842</v>
      </c>
      <c r="B304" t="s">
        <v>359</v>
      </c>
      <c r="C304" s="1"/>
      <c r="D304" s="1"/>
      <c r="E304" s="1"/>
      <c r="F304" s="1"/>
      <c r="G304" s="1"/>
      <c r="H304" s="1"/>
      <c r="I304" s="1"/>
      <c r="J304" s="1"/>
    </row>
    <row r="305" spans="1:10" x14ac:dyDescent="0.25">
      <c r="A305" t="s">
        <v>835</v>
      </c>
      <c r="B305" t="s">
        <v>360</v>
      </c>
      <c r="C305" s="1"/>
      <c r="D305" s="1"/>
      <c r="E305" s="1"/>
      <c r="F305" s="1"/>
      <c r="G305" s="1"/>
      <c r="H305" s="1"/>
      <c r="I305" s="1"/>
      <c r="J305" s="1"/>
    </row>
    <row r="306" spans="1:10" x14ac:dyDescent="0.25">
      <c r="A306" t="s">
        <v>826</v>
      </c>
      <c r="B306" t="s">
        <v>361</v>
      </c>
      <c r="C306" s="1"/>
      <c r="D306" s="1"/>
      <c r="E306" s="1"/>
      <c r="F306" s="1"/>
      <c r="G306" s="1"/>
      <c r="H306" s="1"/>
      <c r="I306" s="1"/>
      <c r="J306" s="1"/>
    </row>
    <row r="307" spans="1:10" x14ac:dyDescent="0.25">
      <c r="A307" t="s">
        <v>67</v>
      </c>
      <c r="B307" t="s">
        <v>362</v>
      </c>
      <c r="C307" s="1">
        <v>5379</v>
      </c>
      <c r="D307" s="1">
        <v>0</v>
      </c>
      <c r="E307" s="1">
        <v>0</v>
      </c>
      <c r="F307" s="1">
        <f>22761+37+25+76</f>
        <v>22899</v>
      </c>
      <c r="G307" s="1">
        <f>1+8</f>
        <v>9</v>
      </c>
      <c r="H307" s="1">
        <v>0</v>
      </c>
      <c r="I307" s="1">
        <v>0</v>
      </c>
      <c r="J307" s="1"/>
    </row>
    <row r="308" spans="1:10" x14ac:dyDescent="0.25">
      <c r="A308" t="s">
        <v>831</v>
      </c>
      <c r="B308" t="s">
        <v>363</v>
      </c>
      <c r="C308" s="1"/>
      <c r="D308" s="1"/>
      <c r="E308" s="1"/>
      <c r="F308" s="1"/>
      <c r="G308" s="1"/>
      <c r="H308" s="1"/>
      <c r="I308" s="1"/>
      <c r="J308" s="1"/>
    </row>
    <row r="309" spans="1:10" x14ac:dyDescent="0.25">
      <c r="A309" t="s">
        <v>248</v>
      </c>
      <c r="B309" t="s">
        <v>364</v>
      </c>
      <c r="C309" s="1"/>
      <c r="D309" s="1"/>
      <c r="E309" s="1"/>
      <c r="F309" s="1"/>
      <c r="G309" s="1"/>
      <c r="H309" s="1"/>
      <c r="I309" s="1"/>
      <c r="J309" s="1"/>
    </row>
    <row r="310" spans="1:10" x14ac:dyDescent="0.25">
      <c r="A310" t="s">
        <v>791</v>
      </c>
      <c r="B310" t="s">
        <v>365</v>
      </c>
      <c r="C310" s="1"/>
      <c r="D310" s="1"/>
      <c r="E310" s="1"/>
      <c r="F310" s="1"/>
      <c r="G310" s="1"/>
      <c r="H310" s="1"/>
      <c r="I310" s="1"/>
      <c r="J310" s="1"/>
    </row>
    <row r="311" spans="1:10" x14ac:dyDescent="0.25">
      <c r="A311" t="s">
        <v>797</v>
      </c>
      <c r="B311" t="s">
        <v>366</v>
      </c>
      <c r="C311" s="1"/>
      <c r="D311" s="1"/>
      <c r="E311" s="1"/>
      <c r="F311" s="1"/>
      <c r="G311" s="1"/>
      <c r="H311" s="1"/>
      <c r="I311" s="1"/>
      <c r="J311" s="1"/>
    </row>
    <row r="312" spans="1:10" x14ac:dyDescent="0.25">
      <c r="A312" t="s">
        <v>120</v>
      </c>
      <c r="B312" t="s">
        <v>367</v>
      </c>
      <c r="C312" s="1">
        <f>3060+4</f>
        <v>3064</v>
      </c>
      <c r="D312" s="1">
        <v>19</v>
      </c>
      <c r="E312" s="1">
        <v>0</v>
      </c>
      <c r="F312" s="1">
        <f>16348+2+1</f>
        <v>16351</v>
      </c>
      <c r="G312" s="1">
        <f>153+111+11</f>
        <v>275</v>
      </c>
      <c r="H312" s="1">
        <v>0</v>
      </c>
      <c r="I312" s="1">
        <v>0</v>
      </c>
      <c r="J312" s="1"/>
    </row>
    <row r="313" spans="1:10" x14ac:dyDescent="0.25">
      <c r="A313" t="s">
        <v>231</v>
      </c>
      <c r="B313" t="s">
        <v>368</v>
      </c>
      <c r="C313" s="1"/>
      <c r="D313" s="1"/>
      <c r="E313" s="1"/>
      <c r="F313" s="1"/>
      <c r="G313" s="1"/>
      <c r="H313" s="1"/>
      <c r="I313" s="1"/>
      <c r="J313" s="1"/>
    </row>
    <row r="314" spans="1:10" x14ac:dyDescent="0.25">
      <c r="A314" t="s">
        <v>809</v>
      </c>
      <c r="B314" t="s">
        <v>369</v>
      </c>
      <c r="C314" s="1">
        <f>3026+4+1+2+171</f>
        <v>3204</v>
      </c>
      <c r="D314" s="1">
        <v>0</v>
      </c>
      <c r="E314" s="1">
        <v>0</v>
      </c>
      <c r="F314" s="1">
        <f>20787+12+2+1+4+2+32</f>
        <v>20840</v>
      </c>
      <c r="G314" s="1">
        <f>53+12</f>
        <v>65</v>
      </c>
      <c r="H314" s="1">
        <v>0</v>
      </c>
      <c r="I314" s="1">
        <v>0</v>
      </c>
      <c r="J314" s="1"/>
    </row>
    <row r="315" spans="1:10" x14ac:dyDescent="0.25">
      <c r="A315" t="s">
        <v>848</v>
      </c>
      <c r="B315" t="s">
        <v>370</v>
      </c>
      <c r="C315" s="1"/>
      <c r="D315" s="1"/>
      <c r="E315" s="1"/>
      <c r="F315" s="1"/>
      <c r="G315" s="1"/>
      <c r="H315" s="1"/>
      <c r="I315" s="1"/>
      <c r="J315" s="1"/>
    </row>
    <row r="316" spans="1:10" x14ac:dyDescent="0.25">
      <c r="A316" t="s">
        <v>226</v>
      </c>
      <c r="B316" t="s">
        <v>371</v>
      </c>
      <c r="C316" s="1">
        <f>916+2+5+1</f>
        <v>924</v>
      </c>
      <c r="D316" s="1">
        <v>2</v>
      </c>
      <c r="E316" s="1">
        <v>0</v>
      </c>
      <c r="F316" s="1">
        <f>7628+1+1+67+93+2+6+82</f>
        <v>7880</v>
      </c>
      <c r="G316" s="1">
        <v>14</v>
      </c>
      <c r="H316" s="1">
        <v>0</v>
      </c>
      <c r="I316" s="1">
        <v>0</v>
      </c>
      <c r="J316" s="1"/>
    </row>
    <row r="317" spans="1:10" x14ac:dyDescent="0.25">
      <c r="A317" t="s">
        <v>797</v>
      </c>
      <c r="B317" t="s">
        <v>372</v>
      </c>
      <c r="C317" s="1"/>
      <c r="D317" s="1"/>
      <c r="E317" s="1"/>
      <c r="F317" s="1"/>
      <c r="G317" s="1"/>
      <c r="H317" s="1"/>
      <c r="I317" s="1"/>
      <c r="J317" s="1"/>
    </row>
    <row r="318" spans="1:10" x14ac:dyDescent="0.25">
      <c r="A318" t="s">
        <v>791</v>
      </c>
      <c r="B318" t="s">
        <v>373</v>
      </c>
      <c r="C318" s="1"/>
      <c r="D318" s="1"/>
      <c r="E318" s="1"/>
      <c r="F318" s="1"/>
      <c r="G318" s="1"/>
      <c r="H318" s="1"/>
      <c r="I318" s="1"/>
      <c r="J318" s="1"/>
    </row>
    <row r="319" spans="1:10" x14ac:dyDescent="0.25">
      <c r="A319" t="s">
        <v>826</v>
      </c>
      <c r="B319" t="s">
        <v>374</v>
      </c>
      <c r="C319" s="1"/>
      <c r="D319" s="1"/>
      <c r="E319" s="1"/>
      <c r="F319" s="1"/>
      <c r="G319" s="1"/>
      <c r="H319" s="1"/>
      <c r="I319" s="1"/>
      <c r="J319" s="1"/>
    </row>
    <row r="320" spans="1:10" x14ac:dyDescent="0.25">
      <c r="A320" t="s">
        <v>512</v>
      </c>
      <c r="B320" t="s">
        <v>375</v>
      </c>
      <c r="C320" s="1">
        <v>292</v>
      </c>
      <c r="D320" s="1">
        <v>0</v>
      </c>
      <c r="E320" s="1">
        <v>0</v>
      </c>
      <c r="F320" s="1">
        <f>4133+1</f>
        <v>4134</v>
      </c>
      <c r="G320" s="1">
        <v>53</v>
      </c>
      <c r="H320" s="1">
        <v>0</v>
      </c>
      <c r="I320" s="1">
        <v>0</v>
      </c>
      <c r="J320" s="1"/>
    </row>
    <row r="321" spans="1:10" x14ac:dyDescent="0.25">
      <c r="A321" t="s">
        <v>817</v>
      </c>
      <c r="B321" t="s">
        <v>376</v>
      </c>
      <c r="C321" s="1">
        <v>1331</v>
      </c>
      <c r="D321" s="1">
        <v>0</v>
      </c>
      <c r="E321" s="1">
        <v>0</v>
      </c>
      <c r="F321" s="1">
        <f>1194+5+3</f>
        <v>1202</v>
      </c>
      <c r="G321" s="1">
        <v>0</v>
      </c>
      <c r="H321" s="1">
        <v>0</v>
      </c>
      <c r="I321" s="1">
        <v>0</v>
      </c>
      <c r="J321" s="1"/>
    </row>
    <row r="322" spans="1:10" x14ac:dyDescent="0.25">
      <c r="A322" t="s">
        <v>83</v>
      </c>
      <c r="B322" t="s">
        <v>377</v>
      </c>
      <c r="C322" s="1"/>
      <c r="D322" s="1"/>
      <c r="E322" s="1"/>
      <c r="F322" s="1"/>
      <c r="G322" s="1"/>
      <c r="H322" s="1"/>
      <c r="I322" s="1"/>
      <c r="J322" s="1"/>
    </row>
    <row r="323" spans="1:10" x14ac:dyDescent="0.25">
      <c r="A323" t="s">
        <v>795</v>
      </c>
      <c r="B323" t="s">
        <v>378</v>
      </c>
      <c r="C323" s="1">
        <v>1322</v>
      </c>
      <c r="D323" s="1">
        <v>0</v>
      </c>
      <c r="E323" s="1">
        <v>0</v>
      </c>
      <c r="F323" s="1">
        <f>5190+1+1+2+1</f>
        <v>5195</v>
      </c>
      <c r="G323" s="1">
        <f>1+4</f>
        <v>5</v>
      </c>
      <c r="H323" s="1">
        <v>0</v>
      </c>
      <c r="I323" s="1">
        <v>0</v>
      </c>
      <c r="J323" s="1"/>
    </row>
    <row r="324" spans="1:10" x14ac:dyDescent="0.25">
      <c r="A324" t="s">
        <v>858</v>
      </c>
      <c r="B324" t="s">
        <v>379</v>
      </c>
      <c r="C324" s="1"/>
      <c r="D324" s="1"/>
      <c r="E324" s="1"/>
      <c r="F324" s="1"/>
      <c r="G324" s="1"/>
      <c r="H324" s="1"/>
      <c r="I324" s="1"/>
      <c r="J324" s="1"/>
    </row>
    <row r="325" spans="1:10" x14ac:dyDescent="0.25">
      <c r="A325" t="s">
        <v>848</v>
      </c>
      <c r="B325" t="s">
        <v>380</v>
      </c>
      <c r="C325" s="1"/>
      <c r="D325" s="1"/>
      <c r="E325" s="1"/>
      <c r="F325" s="1"/>
      <c r="G325" s="1"/>
      <c r="H325" s="1"/>
      <c r="I325" s="1"/>
      <c r="J325" s="1"/>
    </row>
    <row r="326" spans="1:10" x14ac:dyDescent="0.25">
      <c r="A326" t="s">
        <v>863</v>
      </c>
      <c r="B326" t="s">
        <v>381</v>
      </c>
      <c r="C326" s="1"/>
      <c r="D326" s="1"/>
      <c r="E326" s="1"/>
      <c r="F326" s="1"/>
      <c r="G326" s="1"/>
      <c r="H326" s="1"/>
      <c r="I326" s="1"/>
      <c r="J326" s="1"/>
    </row>
    <row r="327" spans="1:10" x14ac:dyDescent="0.25">
      <c r="A327" t="s">
        <v>854</v>
      </c>
      <c r="B327" t="s">
        <v>382</v>
      </c>
      <c r="C327" s="1"/>
      <c r="D327" s="1"/>
      <c r="E327" s="1"/>
      <c r="F327" s="1"/>
      <c r="G327" s="1"/>
      <c r="H327" s="1"/>
      <c r="I327" s="1"/>
      <c r="J327" s="1"/>
    </row>
    <row r="328" spans="1:10" x14ac:dyDescent="0.25">
      <c r="A328" t="s">
        <v>853</v>
      </c>
      <c r="B328" t="s">
        <v>383</v>
      </c>
      <c r="C328" s="1"/>
      <c r="D328" s="1"/>
      <c r="E328" s="1"/>
      <c r="F328" s="1"/>
      <c r="G328" s="1"/>
      <c r="H328" s="1"/>
      <c r="I328" s="1"/>
      <c r="J328" s="1"/>
    </row>
    <row r="329" spans="1:10" x14ac:dyDescent="0.25">
      <c r="A329" t="s">
        <v>851</v>
      </c>
      <c r="B329" t="s">
        <v>384</v>
      </c>
      <c r="C329" s="1"/>
      <c r="D329" s="1"/>
      <c r="E329" s="1"/>
      <c r="F329" s="1"/>
      <c r="G329" s="1"/>
      <c r="H329" s="1"/>
      <c r="I329" s="1"/>
      <c r="J329" s="1"/>
    </row>
    <row r="330" spans="1:10" x14ac:dyDescent="0.25">
      <c r="A330" t="s">
        <v>856</v>
      </c>
      <c r="B330" t="s">
        <v>385</v>
      </c>
      <c r="C330" s="1"/>
      <c r="D330" s="1"/>
      <c r="E330" s="1"/>
      <c r="F330" s="1"/>
      <c r="G330" s="1"/>
      <c r="H330" s="1"/>
      <c r="I330" s="1"/>
      <c r="J330" s="1"/>
    </row>
    <row r="331" spans="1:10" x14ac:dyDescent="0.25">
      <c r="A331" t="s">
        <v>847</v>
      </c>
      <c r="B331" t="s">
        <v>386</v>
      </c>
      <c r="C331" s="1"/>
      <c r="D331" s="1"/>
      <c r="E331" s="1"/>
      <c r="F331" s="1"/>
      <c r="G331" s="1"/>
      <c r="H331" s="1"/>
      <c r="I331" s="1"/>
      <c r="J331" s="1"/>
    </row>
    <row r="332" spans="1:10" x14ac:dyDescent="0.25">
      <c r="A332" t="s">
        <v>849</v>
      </c>
      <c r="B332" t="s">
        <v>387</v>
      </c>
      <c r="C332" s="1"/>
      <c r="D332" s="1"/>
      <c r="E332" s="1"/>
      <c r="F332" s="1"/>
      <c r="G332" s="1"/>
      <c r="H332" s="1"/>
      <c r="I332" s="1"/>
      <c r="J332" s="1"/>
    </row>
    <row r="333" spans="1:10" x14ac:dyDescent="0.25">
      <c r="A333" s="9" t="s">
        <v>794</v>
      </c>
      <c r="B333" s="10" t="s">
        <v>388</v>
      </c>
      <c r="C333" s="1"/>
      <c r="D333" s="1"/>
      <c r="E333" s="1"/>
      <c r="F333" s="1"/>
      <c r="G333" s="1"/>
      <c r="H333" s="1"/>
      <c r="I333" s="1"/>
      <c r="J333" s="1"/>
    </row>
    <row r="334" spans="1:10" x14ac:dyDescent="0.25">
      <c r="A334" s="9" t="s">
        <v>805</v>
      </c>
      <c r="B334" s="10" t="s">
        <v>389</v>
      </c>
      <c r="C334" s="1"/>
      <c r="D334" s="1"/>
      <c r="E334" s="1"/>
      <c r="F334" s="1"/>
      <c r="G334" s="1"/>
      <c r="H334" s="1"/>
      <c r="I334" s="1"/>
      <c r="J334" s="1"/>
    </row>
    <row r="335" spans="1:10" x14ac:dyDescent="0.25">
      <c r="A335" t="s">
        <v>10</v>
      </c>
      <c r="B335" s="1" t="s">
        <v>390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/>
    </row>
    <row r="336" spans="1:10" x14ac:dyDescent="0.25">
      <c r="A336" t="s">
        <v>226</v>
      </c>
      <c r="B336" t="s">
        <v>391</v>
      </c>
      <c r="C336" s="1"/>
      <c r="D336" s="1"/>
      <c r="E336" s="1"/>
      <c r="F336" s="1"/>
      <c r="G336" s="1"/>
      <c r="H336" s="1"/>
      <c r="I336" s="1"/>
      <c r="J336" s="1"/>
    </row>
    <row r="337" spans="1:10" x14ac:dyDescent="0.25">
      <c r="A337" t="s">
        <v>798</v>
      </c>
      <c r="B337" t="s">
        <v>392</v>
      </c>
      <c r="C337" s="1"/>
      <c r="D337" s="1"/>
      <c r="E337" s="1"/>
      <c r="F337" s="1"/>
      <c r="G337" s="1"/>
      <c r="H337" s="1"/>
      <c r="I337" s="1"/>
      <c r="J337" s="1"/>
    </row>
    <row r="338" spans="1:10" x14ac:dyDescent="0.25">
      <c r="A338" t="s">
        <v>10</v>
      </c>
      <c r="B338" s="1" t="s">
        <v>393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/>
    </row>
    <row r="339" spans="1:10" x14ac:dyDescent="0.25">
      <c r="A339" t="s">
        <v>10</v>
      </c>
      <c r="B339" s="1" t="s">
        <v>394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/>
    </row>
    <row r="340" spans="1:10" x14ac:dyDescent="0.25">
      <c r="A340" s="27" t="s">
        <v>10</v>
      </c>
      <c r="B340" s="32" t="s">
        <v>778</v>
      </c>
      <c r="C340" s="1"/>
      <c r="D340" s="1"/>
      <c r="E340" s="1"/>
      <c r="F340" s="1"/>
      <c r="G340" s="1"/>
      <c r="H340" s="1"/>
      <c r="I340" s="1"/>
      <c r="J340" s="1"/>
    </row>
    <row r="341" spans="1:10" x14ac:dyDescent="0.25">
      <c r="A341" t="s">
        <v>69</v>
      </c>
      <c r="B341" t="s">
        <v>395</v>
      </c>
      <c r="C341" s="1"/>
      <c r="D341" s="1"/>
      <c r="E341" s="1"/>
      <c r="F341" s="1"/>
      <c r="G341" s="1"/>
      <c r="H341" s="1"/>
      <c r="I341" s="1"/>
      <c r="J341" s="1"/>
    </row>
    <row r="342" spans="1:10" x14ac:dyDescent="0.25">
      <c r="A342" t="s">
        <v>796</v>
      </c>
      <c r="B342" s="1" t="s">
        <v>396</v>
      </c>
      <c r="C342" s="1"/>
      <c r="D342" s="1"/>
      <c r="E342" s="1"/>
      <c r="F342" s="1"/>
      <c r="G342" s="1"/>
      <c r="H342" s="1"/>
      <c r="I342" s="1"/>
      <c r="J342" s="1"/>
    </row>
    <row r="343" spans="1:10" x14ac:dyDescent="0.25">
      <c r="A343" t="s">
        <v>512</v>
      </c>
      <c r="B343" t="s">
        <v>397</v>
      </c>
      <c r="C343" s="1"/>
      <c r="D343" s="1"/>
      <c r="E343" s="1"/>
      <c r="F343" s="1"/>
      <c r="G343" s="1"/>
      <c r="H343" s="1"/>
      <c r="I343" s="1"/>
      <c r="J343" s="1"/>
    </row>
    <row r="344" spans="1:10" x14ac:dyDescent="0.25">
      <c r="A344" t="s">
        <v>805</v>
      </c>
      <c r="B344" t="s">
        <v>398</v>
      </c>
      <c r="C344" s="1"/>
      <c r="D344" s="1"/>
      <c r="E344" s="1"/>
      <c r="F344" s="1"/>
      <c r="G344" s="1"/>
      <c r="H344" s="1"/>
      <c r="I344" s="1"/>
      <c r="J344" s="1"/>
    </row>
    <row r="345" spans="1:10" x14ac:dyDescent="0.25">
      <c r="A345" t="s">
        <v>10</v>
      </c>
      <c r="B345" s="1" t="s">
        <v>399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/>
    </row>
    <row r="346" spans="1:10" x14ac:dyDescent="0.25">
      <c r="A346" t="s">
        <v>805</v>
      </c>
      <c r="B346" t="s">
        <v>400</v>
      </c>
      <c r="C346" s="1"/>
      <c r="D346" s="1"/>
      <c r="E346" s="1"/>
      <c r="F346" s="1"/>
      <c r="G346" s="1"/>
      <c r="H346" s="1"/>
      <c r="I346" s="1"/>
      <c r="J346" s="1"/>
    </row>
    <row r="347" spans="1:10" x14ac:dyDescent="0.25">
      <c r="A347" t="s">
        <v>10</v>
      </c>
      <c r="B347" s="1" t="s">
        <v>401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/>
    </row>
    <row r="348" spans="1:10" x14ac:dyDescent="0.25">
      <c r="A348" s="23" t="s">
        <v>805</v>
      </c>
      <c r="B348" s="23" t="s">
        <v>402</v>
      </c>
      <c r="C348" s="1"/>
      <c r="D348" s="1"/>
      <c r="E348" s="1"/>
      <c r="F348" s="1"/>
      <c r="G348" s="1"/>
      <c r="H348" s="1"/>
      <c r="I348" s="1"/>
      <c r="J348" s="1"/>
    </row>
    <row r="349" spans="1:10" x14ac:dyDescent="0.25">
      <c r="A349" t="s">
        <v>10</v>
      </c>
      <c r="B349" s="1" t="s">
        <v>403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/>
    </row>
    <row r="350" spans="1:10" x14ac:dyDescent="0.25">
      <c r="A350" t="s">
        <v>797</v>
      </c>
      <c r="B350" t="s">
        <v>404</v>
      </c>
      <c r="C350" s="1"/>
      <c r="D350" s="1"/>
      <c r="E350" s="1"/>
      <c r="F350" s="1"/>
      <c r="G350" s="1"/>
      <c r="H350" s="1"/>
      <c r="I350" s="1"/>
      <c r="J350" s="1"/>
    </row>
    <row r="351" spans="1:10" x14ac:dyDescent="0.25">
      <c r="A351" t="s">
        <v>83</v>
      </c>
      <c r="B351" t="s">
        <v>405</v>
      </c>
      <c r="C351" s="1"/>
      <c r="D351" s="1"/>
      <c r="E351" s="1"/>
      <c r="F351" s="1"/>
      <c r="G351" s="1"/>
      <c r="H351" s="1"/>
      <c r="I351" s="1"/>
      <c r="J351" s="1"/>
    </row>
    <row r="352" spans="1:10" x14ac:dyDescent="0.25">
      <c r="A352" t="s">
        <v>248</v>
      </c>
      <c r="B352" t="s">
        <v>406</v>
      </c>
      <c r="C352" s="1"/>
      <c r="D352" s="1"/>
      <c r="E352" s="1"/>
      <c r="F352" s="1"/>
      <c r="G352" s="1"/>
      <c r="H352" s="1"/>
      <c r="I352" s="1"/>
      <c r="J352" s="1"/>
    </row>
    <row r="353" spans="1:10" x14ac:dyDescent="0.25">
      <c r="A353" s="27" t="s">
        <v>10</v>
      </c>
      <c r="B353" s="32" t="s">
        <v>779</v>
      </c>
      <c r="C353" s="1"/>
      <c r="D353" s="1"/>
      <c r="E353" s="1"/>
      <c r="F353" s="1"/>
      <c r="G353" s="1"/>
      <c r="H353" s="1"/>
      <c r="I353" s="1"/>
      <c r="J353" s="1"/>
    </row>
    <row r="354" spans="1:10" x14ac:dyDescent="0.25">
      <c r="A354" t="s">
        <v>848</v>
      </c>
      <c r="B354" t="s">
        <v>407</v>
      </c>
      <c r="C354" s="1"/>
      <c r="D354" s="1"/>
      <c r="E354" s="1"/>
      <c r="F354" s="1"/>
      <c r="G354" s="1"/>
      <c r="H354" s="1"/>
      <c r="I354" s="1"/>
      <c r="J354" s="1"/>
    </row>
    <row r="355" spans="1:10" x14ac:dyDescent="0.25">
      <c r="A355" t="s">
        <v>801</v>
      </c>
      <c r="B355" t="s">
        <v>408</v>
      </c>
      <c r="C355" s="1">
        <f>24045+5+2+2+1+1+2529+20+8921+6+400</f>
        <v>35932</v>
      </c>
      <c r="D355" s="1">
        <f>160+4+1+14+9</f>
        <v>188</v>
      </c>
      <c r="E355" s="1">
        <v>0</v>
      </c>
      <c r="F355" s="1">
        <v>0</v>
      </c>
      <c r="G355" s="1">
        <v>0</v>
      </c>
      <c r="H355" s="1">
        <v>39146</v>
      </c>
      <c r="I355" s="1">
        <v>9087</v>
      </c>
      <c r="J355" s="1"/>
    </row>
    <row r="356" spans="1:10" x14ac:dyDescent="0.25">
      <c r="A356" t="s">
        <v>811</v>
      </c>
      <c r="B356" t="s">
        <v>409</v>
      </c>
      <c r="C356" s="1"/>
      <c r="D356" s="1"/>
      <c r="E356" s="1"/>
      <c r="F356" s="1"/>
      <c r="G356" s="1"/>
      <c r="H356" s="1"/>
      <c r="I356" s="1"/>
      <c r="J356" s="1"/>
    </row>
    <row r="357" spans="1:10" x14ac:dyDescent="0.25">
      <c r="A357" t="s">
        <v>83</v>
      </c>
      <c r="B357" t="s">
        <v>410</v>
      </c>
      <c r="C357" s="1"/>
      <c r="D357" s="1"/>
      <c r="E357" s="1"/>
      <c r="F357" s="1"/>
      <c r="G357" s="1"/>
      <c r="H357" s="1"/>
      <c r="I357" s="1"/>
      <c r="J357" s="1"/>
    </row>
    <row r="358" spans="1:10" x14ac:dyDescent="0.25">
      <c r="A358" t="s">
        <v>120</v>
      </c>
      <c r="B358" t="s">
        <v>411</v>
      </c>
      <c r="C358" s="1">
        <f>22761+11+16066</f>
        <v>38838</v>
      </c>
      <c r="D358" s="1">
        <f>3+17+2</f>
        <v>22</v>
      </c>
      <c r="E358" s="1">
        <v>0</v>
      </c>
      <c r="F358" s="1">
        <v>0</v>
      </c>
      <c r="G358" s="1">
        <v>0</v>
      </c>
      <c r="H358" s="1">
        <v>9673</v>
      </c>
      <c r="I358" s="1">
        <v>12889</v>
      </c>
      <c r="J358" s="1"/>
    </row>
    <row r="359" spans="1:10" x14ac:dyDescent="0.25">
      <c r="A359" t="s">
        <v>134</v>
      </c>
      <c r="B359" t="s">
        <v>412</v>
      </c>
      <c r="C359" s="1">
        <f>3462+1083+1</f>
        <v>4546</v>
      </c>
      <c r="D359" s="1">
        <f>12+8</f>
        <v>20</v>
      </c>
      <c r="E359" s="1">
        <v>0</v>
      </c>
      <c r="F359" s="1">
        <v>0</v>
      </c>
      <c r="G359" s="1">
        <v>0</v>
      </c>
      <c r="H359" s="1">
        <v>4180</v>
      </c>
      <c r="I359" s="1">
        <v>870</v>
      </c>
      <c r="J359" s="1"/>
    </row>
    <row r="360" spans="1:10" x14ac:dyDescent="0.25">
      <c r="A360" t="s">
        <v>120</v>
      </c>
      <c r="B360" t="s">
        <v>413</v>
      </c>
      <c r="C360" s="1">
        <f>12151+2+3459</f>
        <v>15612</v>
      </c>
      <c r="D360" s="1">
        <f>4+5+1+3</f>
        <v>13</v>
      </c>
      <c r="E360" s="1">
        <v>0</v>
      </c>
      <c r="F360" s="1">
        <v>0</v>
      </c>
      <c r="G360" s="1">
        <v>0</v>
      </c>
      <c r="H360" s="1">
        <v>5464</v>
      </c>
      <c r="I360" s="1">
        <v>2288</v>
      </c>
      <c r="J360" s="1"/>
    </row>
    <row r="361" spans="1:10" x14ac:dyDescent="0.25">
      <c r="A361" t="s">
        <v>138</v>
      </c>
      <c r="B361" t="s">
        <v>414</v>
      </c>
      <c r="C361" s="1">
        <f>18815+1+5+23+4+8444+116</f>
        <v>27408</v>
      </c>
      <c r="D361" s="1">
        <f>57+2+84</f>
        <v>143</v>
      </c>
      <c r="E361" s="1">
        <v>0</v>
      </c>
      <c r="F361" s="1">
        <v>0</v>
      </c>
      <c r="G361" s="1">
        <v>0</v>
      </c>
      <c r="H361" s="1">
        <v>22760</v>
      </c>
      <c r="I361" s="1">
        <v>7650</v>
      </c>
      <c r="J361" s="1"/>
    </row>
    <row r="362" spans="1:10" x14ac:dyDescent="0.25">
      <c r="A362" t="s">
        <v>796</v>
      </c>
      <c r="B362" t="s">
        <v>415</v>
      </c>
      <c r="C362" s="1">
        <f>5212+40+3955+6</f>
        <v>9213</v>
      </c>
      <c r="D362" s="1">
        <f>3+177+43+1</f>
        <v>224</v>
      </c>
      <c r="E362" s="1">
        <v>0</v>
      </c>
      <c r="F362" s="1">
        <v>0</v>
      </c>
      <c r="G362" s="1">
        <v>0</v>
      </c>
      <c r="H362" s="1">
        <v>7198</v>
      </c>
      <c r="I362" s="1">
        <v>3029</v>
      </c>
      <c r="J362" s="1"/>
    </row>
    <row r="363" spans="1:10" x14ac:dyDescent="0.25">
      <c r="A363" t="s">
        <v>226</v>
      </c>
      <c r="B363" t="s">
        <v>416</v>
      </c>
      <c r="C363" s="1">
        <f>4574+4+10+5+15+1281+1</f>
        <v>5890</v>
      </c>
      <c r="D363" s="1">
        <v>1</v>
      </c>
      <c r="E363" s="1">
        <v>0</v>
      </c>
      <c r="F363" s="1">
        <v>0</v>
      </c>
      <c r="G363" s="1">
        <v>0</v>
      </c>
      <c r="H363" s="1">
        <v>25968</v>
      </c>
      <c r="I363" s="1">
        <v>1249</v>
      </c>
      <c r="J363" s="1"/>
    </row>
    <row r="364" spans="1:10" x14ac:dyDescent="0.25">
      <c r="A364" t="s">
        <v>138</v>
      </c>
      <c r="B364" t="s">
        <v>417</v>
      </c>
      <c r="C364" s="1">
        <f>24741+213+1+8+21817</f>
        <v>46780</v>
      </c>
      <c r="D364" s="1">
        <f>322+44+40</f>
        <v>406</v>
      </c>
      <c r="E364" s="1">
        <v>0</v>
      </c>
      <c r="F364" s="1">
        <v>0</v>
      </c>
      <c r="G364" s="1">
        <v>0</v>
      </c>
      <c r="H364" s="1">
        <v>26514</v>
      </c>
      <c r="I364" s="1">
        <v>15902</v>
      </c>
      <c r="J364" s="1"/>
    </row>
    <row r="365" spans="1:10" x14ac:dyDescent="0.25">
      <c r="A365" t="s">
        <v>138</v>
      </c>
      <c r="B365" t="s">
        <v>418</v>
      </c>
      <c r="C365" s="1">
        <f>22804+65+3+7842+36</f>
        <v>30750</v>
      </c>
      <c r="D365" s="1">
        <f>293+1+86</f>
        <v>380</v>
      </c>
      <c r="E365" s="1">
        <v>0</v>
      </c>
      <c r="F365" s="1">
        <v>0</v>
      </c>
      <c r="G365" s="1">
        <v>0</v>
      </c>
      <c r="H365" s="1">
        <v>16862</v>
      </c>
      <c r="I365" s="1">
        <v>7492</v>
      </c>
      <c r="J365" s="1"/>
    </row>
    <row r="366" spans="1:10" x14ac:dyDescent="0.25">
      <c r="A366" t="s">
        <v>796</v>
      </c>
      <c r="B366" t="s">
        <v>419</v>
      </c>
      <c r="C366" s="1">
        <f>26060+8+8+1+809+4+1+1+18+10404+1+1+1</f>
        <v>37317</v>
      </c>
      <c r="D366" s="1">
        <f>681+31+11+28+6</f>
        <v>757</v>
      </c>
      <c r="E366" s="1">
        <v>0</v>
      </c>
      <c r="F366" s="1">
        <v>0</v>
      </c>
      <c r="G366" s="1">
        <v>0</v>
      </c>
      <c r="H366" s="1">
        <v>95339</v>
      </c>
      <c r="I366" s="1">
        <v>8656</v>
      </c>
      <c r="J366" s="1"/>
    </row>
    <row r="367" spans="1:10" x14ac:dyDescent="0.25">
      <c r="A367" t="s">
        <v>831</v>
      </c>
      <c r="B367" t="s">
        <v>420</v>
      </c>
      <c r="C367" s="1">
        <f>7147+2+26+12+2+5+10040+62+1+10+3739+1+1</f>
        <v>21048</v>
      </c>
      <c r="D367" s="1">
        <f>1+19+2+24</f>
        <v>46</v>
      </c>
      <c r="E367" s="1">
        <v>0</v>
      </c>
      <c r="F367" s="1">
        <v>0</v>
      </c>
      <c r="G367" s="1">
        <v>0</v>
      </c>
      <c r="H367" s="1">
        <v>23647</v>
      </c>
      <c r="I367" s="1">
        <v>11454</v>
      </c>
      <c r="J367" s="1"/>
    </row>
    <row r="368" spans="1:10" x14ac:dyDescent="0.25">
      <c r="A368" t="s">
        <v>69</v>
      </c>
      <c r="B368" t="s">
        <v>421</v>
      </c>
      <c r="C368" s="1">
        <f>9119+6909+8</f>
        <v>16036</v>
      </c>
      <c r="D368" s="1">
        <f>2+96+100+13</f>
        <v>211</v>
      </c>
      <c r="E368" s="1">
        <v>0</v>
      </c>
      <c r="F368" s="1">
        <v>0</v>
      </c>
      <c r="G368" s="1">
        <v>0</v>
      </c>
      <c r="H368" s="1">
        <v>6549</v>
      </c>
      <c r="I368" s="1">
        <v>5345</v>
      </c>
      <c r="J368" s="1"/>
    </row>
    <row r="369" spans="1:10" x14ac:dyDescent="0.25">
      <c r="A369" t="s">
        <v>146</v>
      </c>
      <c r="B369" t="s">
        <v>422</v>
      </c>
      <c r="C369" s="1">
        <f>2873+43+320+9513</f>
        <v>12749</v>
      </c>
      <c r="D369" s="1">
        <f>4+72+16+235</f>
        <v>327</v>
      </c>
      <c r="E369" s="1">
        <v>0</v>
      </c>
      <c r="F369" s="1">
        <v>0</v>
      </c>
      <c r="G369" s="1">
        <v>0</v>
      </c>
      <c r="H369" s="1">
        <v>18614</v>
      </c>
      <c r="I369" s="1">
        <v>7919</v>
      </c>
      <c r="J369" s="1"/>
    </row>
    <row r="370" spans="1:10" x14ac:dyDescent="0.25">
      <c r="A370" t="s">
        <v>146</v>
      </c>
      <c r="B370" t="s">
        <v>423</v>
      </c>
      <c r="C370" s="1">
        <f>4476+171+4551</f>
        <v>9198</v>
      </c>
      <c r="D370" s="1">
        <f>19+4</f>
        <v>23</v>
      </c>
      <c r="E370" s="1">
        <v>0</v>
      </c>
      <c r="F370" s="1">
        <v>0</v>
      </c>
      <c r="G370" s="1">
        <v>0</v>
      </c>
      <c r="H370" s="1">
        <v>4815</v>
      </c>
      <c r="I370" s="1">
        <v>3493</v>
      </c>
      <c r="J370" s="1"/>
    </row>
    <row r="371" spans="1:10" x14ac:dyDescent="0.25">
      <c r="A371" t="s">
        <v>76</v>
      </c>
      <c r="B371" t="s">
        <v>424</v>
      </c>
      <c r="C371" s="1">
        <f>30638+1+1+212+3+14744+27+1+4</f>
        <v>45631</v>
      </c>
      <c r="D371" s="1">
        <f>9+32</f>
        <v>41</v>
      </c>
      <c r="E371" s="1">
        <v>0</v>
      </c>
      <c r="F371" s="1">
        <v>0</v>
      </c>
      <c r="G371" s="1">
        <v>0</v>
      </c>
      <c r="H371" s="1">
        <v>88756</v>
      </c>
      <c r="I371" s="1">
        <v>11765</v>
      </c>
      <c r="J371" s="1"/>
    </row>
    <row r="372" spans="1:10" x14ac:dyDescent="0.25">
      <c r="A372" t="s">
        <v>795</v>
      </c>
      <c r="B372" t="s">
        <v>425</v>
      </c>
      <c r="C372" s="1">
        <f>69530+1+1+3+23892+370+2</f>
        <v>93799</v>
      </c>
      <c r="D372" s="1">
        <f>9+26+15+7</f>
        <v>57</v>
      </c>
      <c r="E372" s="1">
        <v>0</v>
      </c>
      <c r="F372" s="1">
        <v>0</v>
      </c>
      <c r="G372" s="1">
        <v>0</v>
      </c>
      <c r="H372" s="1">
        <v>55764</v>
      </c>
      <c r="I372" s="1">
        <v>22409</v>
      </c>
      <c r="J372" s="1"/>
    </row>
    <row r="373" spans="1:10" x14ac:dyDescent="0.25">
      <c r="A373" t="s">
        <v>824</v>
      </c>
      <c r="B373" t="s">
        <v>426</v>
      </c>
      <c r="C373" s="1"/>
      <c r="D373" s="1"/>
      <c r="E373" s="1"/>
      <c r="F373" s="1"/>
      <c r="G373" s="1"/>
      <c r="H373" s="1"/>
      <c r="I373" s="1"/>
      <c r="J373" s="1"/>
    </row>
    <row r="374" spans="1:10" x14ac:dyDescent="0.25">
      <c r="A374" t="s">
        <v>788</v>
      </c>
      <c r="B374" t="s">
        <v>427</v>
      </c>
      <c r="C374" s="1">
        <f>35516+20+20348</f>
        <v>55884</v>
      </c>
      <c r="D374" s="1">
        <f>39+63+2</f>
        <v>104</v>
      </c>
      <c r="E374" s="1">
        <v>0</v>
      </c>
      <c r="F374" s="1">
        <v>0</v>
      </c>
      <c r="G374" s="1">
        <v>0</v>
      </c>
      <c r="H374" s="1">
        <v>64872</v>
      </c>
      <c r="I374" s="1">
        <v>19823</v>
      </c>
      <c r="J374" s="1"/>
    </row>
    <row r="375" spans="1:10" x14ac:dyDescent="0.25">
      <c r="A375" t="s">
        <v>226</v>
      </c>
      <c r="B375" t="s">
        <v>428</v>
      </c>
      <c r="C375" s="1">
        <f>6024+19+7+3469+7</f>
        <v>9526</v>
      </c>
      <c r="D375" s="1">
        <v>1</v>
      </c>
      <c r="E375" s="1">
        <v>0</v>
      </c>
      <c r="F375" s="1">
        <v>0</v>
      </c>
      <c r="G375" s="1">
        <v>0</v>
      </c>
      <c r="H375" s="1">
        <v>9869</v>
      </c>
      <c r="I375" s="1">
        <v>2189</v>
      </c>
      <c r="J375" s="1"/>
    </row>
    <row r="376" spans="1:10" x14ac:dyDescent="0.25">
      <c r="A376" t="s">
        <v>791</v>
      </c>
      <c r="B376" t="s">
        <v>429</v>
      </c>
      <c r="C376" s="1"/>
      <c r="D376" s="1"/>
      <c r="E376" s="1"/>
      <c r="F376" s="1"/>
      <c r="G376" s="1"/>
      <c r="H376" s="1"/>
      <c r="I376" s="1"/>
      <c r="J376" s="1"/>
    </row>
    <row r="377" spans="1:10" x14ac:dyDescent="0.25">
      <c r="A377" t="s">
        <v>788</v>
      </c>
      <c r="B377" t="s">
        <v>430</v>
      </c>
      <c r="C377" s="1">
        <f>9469+11121</f>
        <v>20590</v>
      </c>
      <c r="D377" s="1">
        <v>0</v>
      </c>
      <c r="E377" s="1">
        <v>0</v>
      </c>
      <c r="F377" s="1">
        <v>0</v>
      </c>
      <c r="G377" s="1">
        <v>0</v>
      </c>
      <c r="H377" s="1">
        <v>7069</v>
      </c>
      <c r="I377" s="1">
        <v>3478</v>
      </c>
      <c r="J377" s="1"/>
    </row>
    <row r="378" spans="1:10" x14ac:dyDescent="0.25">
      <c r="A378" t="s">
        <v>10</v>
      </c>
      <c r="B378" s="1" t="s">
        <v>431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/>
    </row>
    <row r="379" spans="1:10" x14ac:dyDescent="0.25">
      <c r="A379" t="s">
        <v>69</v>
      </c>
      <c r="B379" t="s">
        <v>432</v>
      </c>
      <c r="C379" s="1">
        <f>3836+4+2413</f>
        <v>6253</v>
      </c>
      <c r="D379" s="1">
        <f>6+15+8</f>
        <v>29</v>
      </c>
      <c r="E379" s="1">
        <v>0</v>
      </c>
      <c r="F379" s="1">
        <v>0</v>
      </c>
      <c r="G379" s="1">
        <v>0</v>
      </c>
      <c r="H379" s="1">
        <v>13577</v>
      </c>
      <c r="I379" s="1">
        <v>2821</v>
      </c>
      <c r="J379" s="1"/>
    </row>
    <row r="380" spans="1:10" x14ac:dyDescent="0.25">
      <c r="A380" t="s">
        <v>226</v>
      </c>
      <c r="B380" t="s">
        <v>433</v>
      </c>
      <c r="C380" s="1">
        <f>19629+84+17+1+1+6955</f>
        <v>26687</v>
      </c>
      <c r="D380" s="1">
        <f>15+2</f>
        <v>17</v>
      </c>
      <c r="E380" s="1">
        <v>0</v>
      </c>
      <c r="F380" s="1">
        <v>0</v>
      </c>
      <c r="G380" s="1">
        <v>0</v>
      </c>
      <c r="H380" s="1">
        <v>6025</v>
      </c>
      <c r="I380" s="1">
        <v>6419</v>
      </c>
      <c r="J380" s="1"/>
    </row>
    <row r="381" spans="1:10" x14ac:dyDescent="0.25">
      <c r="A381" t="s">
        <v>864</v>
      </c>
      <c r="B381" t="s">
        <v>434</v>
      </c>
      <c r="C381" s="1">
        <f>6504+6695</f>
        <v>13199</v>
      </c>
      <c r="D381" s="1">
        <f>1+54</f>
        <v>55</v>
      </c>
      <c r="E381" s="1">
        <v>0</v>
      </c>
      <c r="F381" s="1">
        <v>0</v>
      </c>
      <c r="G381" s="1">
        <v>0</v>
      </c>
      <c r="H381" s="1">
        <v>9594</v>
      </c>
      <c r="I381" s="1">
        <v>5936</v>
      </c>
      <c r="J381" s="1"/>
    </row>
    <row r="382" spans="1:10" x14ac:dyDescent="0.25">
      <c r="A382" t="s">
        <v>809</v>
      </c>
      <c r="B382" t="s">
        <v>435</v>
      </c>
      <c r="C382" s="1">
        <f>32742+2+41+8+3+4+1+20+9451</f>
        <v>42272</v>
      </c>
      <c r="D382" s="1">
        <f>23+90+2</f>
        <v>115</v>
      </c>
      <c r="E382" s="1">
        <v>0</v>
      </c>
      <c r="F382" s="1">
        <v>0</v>
      </c>
      <c r="G382" s="1">
        <v>0</v>
      </c>
      <c r="H382" s="1">
        <v>72153</v>
      </c>
      <c r="I382" s="1">
        <v>7685</v>
      </c>
      <c r="J382" s="1"/>
    </row>
    <row r="383" spans="1:10" x14ac:dyDescent="0.25">
      <c r="A383" t="s">
        <v>138</v>
      </c>
      <c r="B383" t="s">
        <v>436</v>
      </c>
      <c r="C383" s="1">
        <f>36434+131+78+1+26586+111</f>
        <v>63341</v>
      </c>
      <c r="D383" s="1">
        <f>44+1+91+62+371</f>
        <v>569</v>
      </c>
      <c r="E383" s="1">
        <v>0</v>
      </c>
      <c r="F383" s="1">
        <v>0</v>
      </c>
      <c r="G383" s="1">
        <v>0</v>
      </c>
      <c r="H383" s="1">
        <v>36729</v>
      </c>
      <c r="I383" s="1">
        <v>17243</v>
      </c>
      <c r="J383" s="1"/>
    </row>
    <row r="384" spans="1:10" x14ac:dyDescent="0.25">
      <c r="A384" t="s">
        <v>229</v>
      </c>
      <c r="B384" t="s">
        <v>437</v>
      </c>
      <c r="C384" s="1">
        <f>15799+1+116+4+18+6421</f>
        <v>22359</v>
      </c>
      <c r="D384" s="1">
        <f>4+21+6+3</f>
        <v>34</v>
      </c>
      <c r="E384" s="1">
        <v>0</v>
      </c>
      <c r="F384" s="1">
        <v>0</v>
      </c>
      <c r="G384" s="1">
        <v>0</v>
      </c>
      <c r="H384" s="1">
        <v>42703</v>
      </c>
      <c r="I384" s="1">
        <v>5359</v>
      </c>
      <c r="J384" s="1"/>
    </row>
    <row r="385" spans="1:10" x14ac:dyDescent="0.25">
      <c r="A385" t="s">
        <v>801</v>
      </c>
      <c r="B385" t="s">
        <v>438</v>
      </c>
      <c r="C385" s="1">
        <f>31997+11+19+12+18359+259+34+35</f>
        <v>50726</v>
      </c>
      <c r="D385" s="1">
        <f>8+1+34+8</f>
        <v>51</v>
      </c>
      <c r="E385" s="1">
        <v>0</v>
      </c>
      <c r="F385" s="1">
        <v>0</v>
      </c>
      <c r="G385" s="1">
        <v>0</v>
      </c>
      <c r="H385" s="1">
        <v>155115</v>
      </c>
      <c r="I385" s="1">
        <v>17553</v>
      </c>
      <c r="J385" s="1"/>
    </row>
    <row r="386" spans="1:10" x14ac:dyDescent="0.25">
      <c r="A386" s="27" t="s">
        <v>10</v>
      </c>
      <c r="B386" s="32" t="s">
        <v>780</v>
      </c>
      <c r="C386" s="1"/>
      <c r="D386" s="1"/>
      <c r="E386" s="1"/>
      <c r="F386" s="1"/>
      <c r="G386" s="1"/>
      <c r="H386" s="1"/>
      <c r="I386" s="1"/>
      <c r="J386" s="1"/>
    </row>
    <row r="387" spans="1:10" x14ac:dyDescent="0.25">
      <c r="A387" t="s">
        <v>69</v>
      </c>
      <c r="B387" t="s">
        <v>439</v>
      </c>
      <c r="C387" s="1"/>
      <c r="D387" s="1"/>
      <c r="E387" s="1"/>
      <c r="F387" s="1"/>
      <c r="G387" s="1"/>
      <c r="H387" s="1"/>
      <c r="I387" s="1"/>
      <c r="J387" s="1"/>
    </row>
    <row r="388" spans="1:10" x14ac:dyDescent="0.25">
      <c r="A388" t="s">
        <v>83</v>
      </c>
      <c r="B388" t="s">
        <v>440</v>
      </c>
      <c r="C388" s="1"/>
      <c r="D388" s="1"/>
      <c r="E388" s="1"/>
      <c r="F388" s="1"/>
      <c r="G388" s="1"/>
      <c r="H388" s="1"/>
      <c r="I388" s="1"/>
      <c r="J388" s="1"/>
    </row>
    <row r="389" spans="1:10" x14ac:dyDescent="0.25">
      <c r="A389" t="s">
        <v>809</v>
      </c>
      <c r="B389" t="s">
        <v>441</v>
      </c>
      <c r="C389" s="1">
        <f>16056+4+2979</f>
        <v>19039</v>
      </c>
      <c r="D389" s="1">
        <f>33+13+141</f>
        <v>187</v>
      </c>
      <c r="E389" s="1">
        <v>0</v>
      </c>
      <c r="F389" s="1">
        <v>0</v>
      </c>
      <c r="G389" s="1">
        <v>0</v>
      </c>
      <c r="H389" s="1">
        <v>10152</v>
      </c>
      <c r="I389" s="1">
        <v>2403</v>
      </c>
      <c r="J389" s="1"/>
    </row>
    <row r="390" spans="1:10" x14ac:dyDescent="0.25">
      <c r="A390" t="s">
        <v>794</v>
      </c>
      <c r="B390" t="s">
        <v>442</v>
      </c>
      <c r="C390" s="1">
        <f>22514+334+1+14108+2+1</f>
        <v>36960</v>
      </c>
      <c r="D390" s="1">
        <f>56+40+4+4</f>
        <v>104</v>
      </c>
      <c r="E390" s="1">
        <v>0</v>
      </c>
      <c r="F390" s="1">
        <v>0</v>
      </c>
      <c r="G390" s="1">
        <v>0</v>
      </c>
      <c r="H390" s="1">
        <v>33877</v>
      </c>
      <c r="I390" s="1">
        <v>12046</v>
      </c>
      <c r="J390" s="1"/>
    </row>
    <row r="391" spans="1:10" x14ac:dyDescent="0.25">
      <c r="A391" t="s">
        <v>796</v>
      </c>
      <c r="B391" t="s">
        <v>443</v>
      </c>
      <c r="C391" s="1">
        <f>30012+2+6514+1+114+12728+14</f>
        <v>49385</v>
      </c>
      <c r="D391" s="1">
        <f>3+3+8+19</f>
        <v>33</v>
      </c>
      <c r="E391" s="1">
        <v>0</v>
      </c>
      <c r="F391" s="1">
        <v>0</v>
      </c>
      <c r="G391" s="1">
        <v>0</v>
      </c>
      <c r="H391" s="1">
        <v>62626</v>
      </c>
      <c r="I391" s="1">
        <v>10454</v>
      </c>
      <c r="J391" s="1"/>
    </row>
    <row r="392" spans="1:10" x14ac:dyDescent="0.25">
      <c r="A392" t="s">
        <v>794</v>
      </c>
      <c r="B392" t="s">
        <v>444</v>
      </c>
      <c r="C392" s="1">
        <f>41977+4+1+2+1183+21130</f>
        <v>64297</v>
      </c>
      <c r="D392" s="1">
        <f>73+15+361+46</f>
        <v>495</v>
      </c>
      <c r="E392" s="1">
        <v>0</v>
      </c>
      <c r="F392" s="1">
        <v>0</v>
      </c>
      <c r="G392" s="1">
        <v>0</v>
      </c>
      <c r="H392" s="1">
        <v>20964</v>
      </c>
      <c r="I392" s="1">
        <v>19141</v>
      </c>
      <c r="J392" s="1"/>
    </row>
    <row r="393" spans="1:10" x14ac:dyDescent="0.25">
      <c r="A393" t="s">
        <v>811</v>
      </c>
      <c r="B393" t="s">
        <v>445</v>
      </c>
      <c r="C393" s="1"/>
      <c r="D393" s="1"/>
      <c r="E393" s="1"/>
      <c r="F393" s="1"/>
      <c r="G393" s="1"/>
      <c r="H393" s="1"/>
      <c r="I393" s="1"/>
      <c r="J393" s="1"/>
    </row>
    <row r="394" spans="1:10" x14ac:dyDescent="0.25">
      <c r="A394" t="s">
        <v>848</v>
      </c>
      <c r="B394" t="s">
        <v>446</v>
      </c>
      <c r="C394" s="1"/>
      <c r="D394" s="1"/>
      <c r="E394" s="1"/>
      <c r="F394" s="1"/>
      <c r="G394" s="1"/>
      <c r="H394" s="1"/>
      <c r="I394" s="1"/>
      <c r="J394" s="1"/>
    </row>
    <row r="395" spans="1:10" x14ac:dyDescent="0.25">
      <c r="A395" t="s">
        <v>134</v>
      </c>
      <c r="B395" t="s">
        <v>447</v>
      </c>
      <c r="C395" s="1"/>
      <c r="D395" s="1"/>
      <c r="E395" s="1"/>
      <c r="F395" s="1"/>
      <c r="G395" s="1"/>
      <c r="H395" s="1"/>
      <c r="I395" s="1"/>
      <c r="J395" s="1"/>
    </row>
    <row r="396" spans="1:10" x14ac:dyDescent="0.25">
      <c r="A396" t="s">
        <v>76</v>
      </c>
      <c r="B396" t="s">
        <v>448</v>
      </c>
      <c r="C396" s="1">
        <f>79649+23+10311</f>
        <v>89983</v>
      </c>
      <c r="D396" s="1">
        <f>5+20</f>
        <v>25</v>
      </c>
      <c r="E396" s="1">
        <v>0</v>
      </c>
      <c r="F396" s="1">
        <v>0</v>
      </c>
      <c r="G396" s="1">
        <v>0</v>
      </c>
      <c r="H396" s="1">
        <v>40338</v>
      </c>
      <c r="I396" s="1">
        <v>8617</v>
      </c>
      <c r="J396" s="1"/>
    </row>
    <row r="397" spans="1:10" x14ac:dyDescent="0.25">
      <c r="A397" t="s">
        <v>801</v>
      </c>
      <c r="B397" t="s">
        <v>449</v>
      </c>
      <c r="C397" s="1">
        <f>36748+3+1+1654+1+9+11189+2+2642+1</f>
        <v>52250</v>
      </c>
      <c r="D397" s="1">
        <f>34+5+5+52</f>
        <v>96</v>
      </c>
      <c r="E397" s="1">
        <v>0</v>
      </c>
      <c r="F397" s="1">
        <v>0</v>
      </c>
      <c r="G397" s="1">
        <v>0</v>
      </c>
      <c r="H397" s="1">
        <v>52691</v>
      </c>
      <c r="I397" s="1">
        <v>12118</v>
      </c>
      <c r="J397" s="1"/>
    </row>
    <row r="398" spans="1:10" x14ac:dyDescent="0.25">
      <c r="A398" t="s">
        <v>788</v>
      </c>
      <c r="B398" t="s">
        <v>450</v>
      </c>
      <c r="C398" s="1">
        <f>16933+9+4+11532</f>
        <v>28478</v>
      </c>
      <c r="D398" s="1">
        <f>10+107+199+10</f>
        <v>326</v>
      </c>
      <c r="E398" s="1">
        <v>0</v>
      </c>
      <c r="F398" s="1">
        <v>0</v>
      </c>
      <c r="G398" s="1">
        <v>0</v>
      </c>
      <c r="H398" s="1">
        <v>20685</v>
      </c>
      <c r="I398" s="1">
        <v>5493</v>
      </c>
      <c r="J398" s="1"/>
    </row>
    <row r="399" spans="1:10" x14ac:dyDescent="0.25">
      <c r="A399" t="s">
        <v>795</v>
      </c>
      <c r="B399" t="s">
        <v>451</v>
      </c>
      <c r="C399" s="1">
        <f>37326+11+104+77866+177+13</f>
        <v>115497</v>
      </c>
      <c r="D399" s="1">
        <f>252+303+8+408+478+41</f>
        <v>1490</v>
      </c>
      <c r="E399" s="1">
        <v>0</v>
      </c>
      <c r="F399" s="1">
        <v>0</v>
      </c>
      <c r="G399" s="1">
        <v>0</v>
      </c>
      <c r="H399" s="1">
        <v>52347</v>
      </c>
      <c r="I399" s="1">
        <v>41790</v>
      </c>
      <c r="J399" s="1"/>
    </row>
    <row r="400" spans="1:10" x14ac:dyDescent="0.25">
      <c r="A400" t="s">
        <v>825</v>
      </c>
      <c r="B400" t="s">
        <v>452</v>
      </c>
      <c r="C400" s="1">
        <f>4126+1171</f>
        <v>5297</v>
      </c>
      <c r="D400" s="1">
        <v>0</v>
      </c>
      <c r="E400" s="1">
        <v>0</v>
      </c>
      <c r="F400" s="1">
        <v>0</v>
      </c>
      <c r="G400" s="1">
        <v>0</v>
      </c>
      <c r="H400" s="1">
        <v>5136</v>
      </c>
      <c r="I400" s="1">
        <v>1044</v>
      </c>
      <c r="J400" s="1"/>
    </row>
    <row r="401" spans="1:10" x14ac:dyDescent="0.25">
      <c r="A401" t="s">
        <v>101</v>
      </c>
      <c r="B401" t="s">
        <v>453</v>
      </c>
      <c r="C401" s="1">
        <f>24011+10+1+14+6900+1</f>
        <v>30937</v>
      </c>
      <c r="D401" s="1">
        <f>25+5+83+16</f>
        <v>129</v>
      </c>
      <c r="E401" s="1">
        <v>0</v>
      </c>
      <c r="F401" s="1">
        <v>0</v>
      </c>
      <c r="G401" s="1">
        <v>0</v>
      </c>
      <c r="H401" s="1">
        <v>18412</v>
      </c>
      <c r="I401" s="1">
        <v>5994</v>
      </c>
      <c r="J401" s="1"/>
    </row>
    <row r="402" spans="1:10" x14ac:dyDescent="0.25">
      <c r="A402" t="s">
        <v>265</v>
      </c>
      <c r="B402" t="s">
        <v>454</v>
      </c>
      <c r="C402" s="1">
        <f>45503+2+7563+375</f>
        <v>53443</v>
      </c>
      <c r="D402" s="1">
        <f>18+2+0</f>
        <v>20</v>
      </c>
      <c r="E402" s="1">
        <v>0</v>
      </c>
      <c r="F402" s="1">
        <v>0</v>
      </c>
      <c r="G402" s="1">
        <v>0</v>
      </c>
      <c r="H402" s="1">
        <v>81439</v>
      </c>
      <c r="I402" s="1">
        <v>5805</v>
      </c>
      <c r="J402" s="1"/>
    </row>
    <row r="403" spans="1:10" x14ac:dyDescent="0.25">
      <c r="A403" t="s">
        <v>248</v>
      </c>
      <c r="B403" t="s">
        <v>455</v>
      </c>
      <c r="C403" s="1"/>
      <c r="D403" s="1"/>
      <c r="E403" s="1"/>
      <c r="F403" s="1"/>
      <c r="G403" s="1"/>
      <c r="H403" s="1"/>
      <c r="I403" s="1"/>
      <c r="J403" s="1"/>
    </row>
    <row r="404" spans="1:10" x14ac:dyDescent="0.25">
      <c r="A404" t="s">
        <v>76</v>
      </c>
      <c r="B404" t="s">
        <v>456</v>
      </c>
      <c r="C404" s="1">
        <f>53954+1109+55+7760</f>
        <v>62878</v>
      </c>
      <c r="D404" s="1">
        <f>56+4+12+26</f>
        <v>98</v>
      </c>
      <c r="E404" s="1">
        <v>0</v>
      </c>
      <c r="F404" s="1">
        <v>0</v>
      </c>
      <c r="G404" s="1">
        <v>0</v>
      </c>
      <c r="H404" s="1">
        <v>125927</v>
      </c>
      <c r="I404" s="1">
        <v>6842</v>
      </c>
      <c r="J404" s="1"/>
    </row>
    <row r="405" spans="1:10" x14ac:dyDescent="0.25">
      <c r="A405" t="s">
        <v>76</v>
      </c>
      <c r="B405" t="s">
        <v>457</v>
      </c>
      <c r="C405" s="1">
        <f>23365+180+15990+2</f>
        <v>39537</v>
      </c>
      <c r="D405" s="1">
        <f>9+63+9+102+24</f>
        <v>207</v>
      </c>
      <c r="E405" s="1">
        <v>0</v>
      </c>
      <c r="F405" s="1">
        <v>0</v>
      </c>
      <c r="G405" s="1">
        <v>0</v>
      </c>
      <c r="H405" s="1">
        <v>22546</v>
      </c>
      <c r="I405" s="1">
        <v>13978</v>
      </c>
      <c r="J405" s="1"/>
    </row>
    <row r="406" spans="1:10" x14ac:dyDescent="0.25">
      <c r="A406" t="s">
        <v>146</v>
      </c>
      <c r="B406" t="s">
        <v>458</v>
      </c>
      <c r="C406" s="1">
        <f>4510+950+4+4486+1+3</f>
        <v>9954</v>
      </c>
      <c r="D406" s="1">
        <f>308+1+412+132+1+137</f>
        <v>991</v>
      </c>
      <c r="E406" s="1">
        <v>0</v>
      </c>
      <c r="F406" s="1">
        <v>0</v>
      </c>
      <c r="G406" s="1">
        <v>0</v>
      </c>
      <c r="H406" s="1">
        <v>31140</v>
      </c>
      <c r="I406" s="1">
        <v>4726</v>
      </c>
      <c r="J406" s="1"/>
    </row>
    <row r="407" spans="1:10" x14ac:dyDescent="0.25">
      <c r="A407" t="s">
        <v>83</v>
      </c>
      <c r="B407" t="s">
        <v>459</v>
      </c>
      <c r="C407" s="1"/>
      <c r="D407" s="1"/>
      <c r="E407" s="1"/>
      <c r="F407" s="1"/>
      <c r="G407" s="1"/>
      <c r="H407" s="1"/>
      <c r="I407" s="1"/>
      <c r="J407" s="1"/>
    </row>
    <row r="408" spans="1:10" x14ac:dyDescent="0.25">
      <c r="A408" t="s">
        <v>248</v>
      </c>
      <c r="B408" t="s">
        <v>460</v>
      </c>
      <c r="C408" s="1"/>
      <c r="D408" s="1"/>
      <c r="E408" s="1"/>
      <c r="F408" s="1"/>
      <c r="G408" s="1"/>
      <c r="H408" s="1"/>
      <c r="I408" s="1"/>
      <c r="J408" s="1"/>
    </row>
    <row r="409" spans="1:10" x14ac:dyDescent="0.25">
      <c r="A409" t="s">
        <v>248</v>
      </c>
      <c r="B409" t="s">
        <v>461</v>
      </c>
      <c r="C409" s="1"/>
      <c r="D409" s="1"/>
      <c r="E409" s="1"/>
      <c r="F409" s="1"/>
      <c r="G409" s="1"/>
      <c r="H409" s="1"/>
      <c r="I409" s="1"/>
      <c r="J409" s="1"/>
    </row>
    <row r="410" spans="1:10" x14ac:dyDescent="0.25">
      <c r="A410" t="s">
        <v>226</v>
      </c>
      <c r="B410" t="s">
        <v>462</v>
      </c>
      <c r="C410" s="1">
        <f>9333+1+1+14+1325+73+2</f>
        <v>10749</v>
      </c>
      <c r="D410" s="1">
        <f>1+39</f>
        <v>40</v>
      </c>
      <c r="E410" s="1">
        <v>0</v>
      </c>
      <c r="F410" s="1">
        <v>0</v>
      </c>
      <c r="G410" s="1">
        <v>0</v>
      </c>
      <c r="H410" s="1">
        <v>599</v>
      </c>
      <c r="I410" s="1">
        <v>1223</v>
      </c>
      <c r="J410" s="1"/>
    </row>
    <row r="411" spans="1:10" x14ac:dyDescent="0.25">
      <c r="A411" t="s">
        <v>826</v>
      </c>
      <c r="B411" t="s">
        <v>463</v>
      </c>
      <c r="C411" s="1"/>
      <c r="D411" s="1"/>
      <c r="E411" s="1"/>
      <c r="F411" s="1"/>
      <c r="G411" s="1"/>
      <c r="H411" s="1"/>
      <c r="I411" s="1"/>
      <c r="J411" s="1"/>
    </row>
    <row r="412" spans="1:10" x14ac:dyDescent="0.25">
      <c r="A412" t="s">
        <v>248</v>
      </c>
      <c r="B412" t="s">
        <v>464</v>
      </c>
      <c r="C412" s="1"/>
      <c r="D412" s="1"/>
      <c r="E412" s="1"/>
      <c r="F412" s="1"/>
      <c r="G412" s="1"/>
      <c r="H412" s="1"/>
      <c r="I412" s="1"/>
      <c r="J412" s="1"/>
    </row>
    <row r="413" spans="1:10" x14ac:dyDescent="0.25">
      <c r="A413" t="s">
        <v>101</v>
      </c>
      <c r="B413" t="s">
        <v>465</v>
      </c>
      <c r="C413" s="1">
        <f>12929+3+2+6507+2</f>
        <v>19443</v>
      </c>
      <c r="D413" s="1">
        <v>7</v>
      </c>
      <c r="E413" s="1">
        <v>0</v>
      </c>
      <c r="F413" s="1">
        <v>0</v>
      </c>
      <c r="G413" s="1">
        <v>0</v>
      </c>
      <c r="H413" s="1">
        <v>43622</v>
      </c>
      <c r="I413" s="1">
        <v>6576</v>
      </c>
      <c r="J413" s="1"/>
    </row>
    <row r="414" spans="1:10" x14ac:dyDescent="0.25">
      <c r="A414" t="s">
        <v>865</v>
      </c>
      <c r="B414" t="s">
        <v>466</v>
      </c>
      <c r="C414" s="1">
        <f>29537+11+111+6+18+12+4+54+214+42+4152+38</f>
        <v>34199</v>
      </c>
      <c r="D414" s="1">
        <f>11+34</f>
        <v>45</v>
      </c>
      <c r="E414" s="1">
        <v>0</v>
      </c>
      <c r="F414" s="1">
        <v>0</v>
      </c>
      <c r="G414" s="1">
        <v>0</v>
      </c>
      <c r="H414" s="1">
        <v>6790</v>
      </c>
      <c r="I414" s="1">
        <v>3828</v>
      </c>
      <c r="J414" s="1"/>
    </row>
    <row r="415" spans="1:10" x14ac:dyDescent="0.25">
      <c r="A415" t="s">
        <v>512</v>
      </c>
      <c r="B415" t="s">
        <v>467</v>
      </c>
      <c r="C415" s="1">
        <f>11921+16+2+3+7752</f>
        <v>19694</v>
      </c>
      <c r="D415" s="1">
        <f>8+20+33</f>
        <v>61</v>
      </c>
      <c r="E415" s="1">
        <v>0</v>
      </c>
      <c r="F415" s="1">
        <v>0</v>
      </c>
      <c r="G415" s="1">
        <v>0</v>
      </c>
      <c r="H415" s="1">
        <v>18268</v>
      </c>
      <c r="I415" s="1">
        <v>5862</v>
      </c>
      <c r="J415" s="1"/>
    </row>
    <row r="416" spans="1:10" x14ac:dyDescent="0.25">
      <c r="A416" s="27" t="s">
        <v>10</v>
      </c>
      <c r="B416" s="32" t="s">
        <v>781</v>
      </c>
      <c r="C416" s="1"/>
      <c r="D416" s="1"/>
      <c r="E416" s="1"/>
      <c r="F416" s="1"/>
      <c r="G416" s="1"/>
      <c r="H416" s="1"/>
      <c r="I416" s="1"/>
      <c r="J416" s="1"/>
    </row>
    <row r="417" spans="1:10" x14ac:dyDescent="0.25">
      <c r="A417" t="s">
        <v>806</v>
      </c>
      <c r="B417" t="s">
        <v>468</v>
      </c>
      <c r="C417" s="1">
        <f>5760+2+38+1+10+5568+17+1+1</f>
        <v>11398</v>
      </c>
      <c r="D417" s="1">
        <f>17+23+3+45</f>
        <v>88</v>
      </c>
      <c r="E417" s="1">
        <v>0</v>
      </c>
      <c r="F417" s="1">
        <v>0</v>
      </c>
      <c r="G417" s="1">
        <v>0</v>
      </c>
      <c r="H417" s="1">
        <v>3702</v>
      </c>
      <c r="I417" s="1">
        <v>4977</v>
      </c>
      <c r="J417" s="1"/>
    </row>
    <row r="418" spans="1:10" x14ac:dyDescent="0.25">
      <c r="A418" t="s">
        <v>817</v>
      </c>
      <c r="B418" t="s">
        <v>469</v>
      </c>
      <c r="C418" s="1">
        <f>196432+2+2027</f>
        <v>198461</v>
      </c>
      <c r="D418" s="1">
        <f>95+191+1+15</f>
        <v>302</v>
      </c>
      <c r="E418" s="1">
        <v>0</v>
      </c>
      <c r="F418" s="1">
        <v>0</v>
      </c>
      <c r="G418" s="1">
        <v>0</v>
      </c>
      <c r="H418" s="1">
        <v>40319</v>
      </c>
      <c r="I418" s="1">
        <v>1540</v>
      </c>
      <c r="J418" s="1"/>
    </row>
    <row r="419" spans="1:10" x14ac:dyDescent="0.25">
      <c r="A419" t="s">
        <v>791</v>
      </c>
      <c r="B419" t="s">
        <v>470</v>
      </c>
      <c r="C419" s="1"/>
      <c r="D419" s="1"/>
      <c r="E419" s="1"/>
      <c r="F419" s="1"/>
      <c r="G419" s="1"/>
      <c r="H419" s="1"/>
      <c r="I419" s="1"/>
      <c r="J419" s="1"/>
    </row>
    <row r="420" spans="1:10" x14ac:dyDescent="0.25">
      <c r="A420" t="s">
        <v>788</v>
      </c>
      <c r="B420" t="s">
        <v>471</v>
      </c>
      <c r="C420" s="1">
        <f>21937+25+5269</f>
        <v>27231</v>
      </c>
      <c r="D420" s="1">
        <f>89+39+22</f>
        <v>150</v>
      </c>
      <c r="E420" s="1">
        <v>0</v>
      </c>
      <c r="F420" s="1">
        <v>0</v>
      </c>
      <c r="G420" s="1">
        <v>0</v>
      </c>
      <c r="H420" s="1">
        <v>2041</v>
      </c>
      <c r="I420" s="1">
        <v>1688</v>
      </c>
      <c r="J420" s="1"/>
    </row>
    <row r="421" spans="1:10" x14ac:dyDescent="0.25">
      <c r="A421" t="s">
        <v>795</v>
      </c>
      <c r="B421" t="s">
        <v>472</v>
      </c>
      <c r="C421" s="1">
        <f>19971+10+180+9810+315</f>
        <v>30286</v>
      </c>
      <c r="D421" s="1">
        <f>581+121+127</f>
        <v>829</v>
      </c>
      <c r="E421" s="1">
        <v>0</v>
      </c>
      <c r="F421" s="1">
        <v>0</v>
      </c>
      <c r="G421" s="1">
        <v>0</v>
      </c>
      <c r="H421" s="1">
        <v>10449</v>
      </c>
      <c r="I421" s="1">
        <v>6284</v>
      </c>
      <c r="J421" s="1"/>
    </row>
    <row r="422" spans="1:10" x14ac:dyDescent="0.25">
      <c r="A422" t="s">
        <v>788</v>
      </c>
      <c r="B422" t="s">
        <v>473</v>
      </c>
      <c r="C422" s="1">
        <f>34566+11+3+1+2+4+16522</f>
        <v>51109</v>
      </c>
      <c r="D422" s="1">
        <f>315+22+40+631+1+2</f>
        <v>1011</v>
      </c>
      <c r="E422" s="1">
        <v>0</v>
      </c>
      <c r="F422" s="1">
        <v>0</v>
      </c>
      <c r="G422" s="1">
        <v>0</v>
      </c>
      <c r="H422" s="1">
        <v>22477</v>
      </c>
      <c r="I422" s="1">
        <v>15653</v>
      </c>
      <c r="J422" s="1"/>
    </row>
    <row r="423" spans="1:10" x14ac:dyDescent="0.25">
      <c r="A423" t="s">
        <v>817</v>
      </c>
      <c r="B423" t="s">
        <v>474</v>
      </c>
      <c r="C423" s="1">
        <f>13872+2+3+2+38034</f>
        <v>51913</v>
      </c>
      <c r="D423" s="1">
        <f>103+1+151+1</f>
        <v>256</v>
      </c>
      <c r="E423" s="1">
        <v>0</v>
      </c>
      <c r="F423" s="1">
        <v>0</v>
      </c>
      <c r="G423" s="1">
        <v>0</v>
      </c>
      <c r="H423" s="1">
        <v>195376</v>
      </c>
      <c r="I423" s="1">
        <v>27489</v>
      </c>
      <c r="J423" s="1"/>
    </row>
    <row r="424" spans="1:10" x14ac:dyDescent="0.25">
      <c r="A424" t="s">
        <v>512</v>
      </c>
      <c r="B424" t="s">
        <v>475</v>
      </c>
      <c r="C424" s="1">
        <f>5897+105+1+4+2+1993</f>
        <v>8002</v>
      </c>
      <c r="D424" s="1">
        <f>8+8+13</f>
        <v>29</v>
      </c>
      <c r="E424" s="1">
        <v>0</v>
      </c>
      <c r="F424" s="1">
        <v>0</v>
      </c>
      <c r="G424" s="1">
        <v>0</v>
      </c>
      <c r="H424" s="1">
        <v>24772</v>
      </c>
      <c r="I424" s="1">
        <v>1728</v>
      </c>
      <c r="J424" s="1"/>
    </row>
    <row r="425" spans="1:10" x14ac:dyDescent="0.25">
      <c r="A425" t="s">
        <v>146</v>
      </c>
      <c r="B425" t="s">
        <v>476</v>
      </c>
      <c r="C425" s="1">
        <f>26196+6+6+70+1+2+1+3+8253+1+1+1</f>
        <v>34541</v>
      </c>
      <c r="D425" s="1">
        <f>15+32</f>
        <v>47</v>
      </c>
      <c r="E425" s="1">
        <v>0</v>
      </c>
      <c r="F425" s="1">
        <v>0</v>
      </c>
      <c r="G425" s="1">
        <v>0</v>
      </c>
      <c r="H425" s="1">
        <v>12570</v>
      </c>
      <c r="I425" s="1">
        <v>7927</v>
      </c>
      <c r="J425" s="1"/>
    </row>
    <row r="426" spans="1:10" x14ac:dyDescent="0.25">
      <c r="A426" t="s">
        <v>76</v>
      </c>
      <c r="B426" t="s">
        <v>477</v>
      </c>
      <c r="C426" s="1">
        <f>29703+99+22118+76</f>
        <v>51996</v>
      </c>
      <c r="D426" s="1">
        <f>85+40+17</f>
        <v>142</v>
      </c>
      <c r="E426" s="1">
        <v>0</v>
      </c>
      <c r="F426" s="1">
        <v>0</v>
      </c>
      <c r="G426" s="1">
        <v>0</v>
      </c>
      <c r="H426" s="1">
        <v>33342</v>
      </c>
      <c r="I426" s="1">
        <v>17174</v>
      </c>
      <c r="J426" s="1"/>
    </row>
    <row r="427" spans="1:10" x14ac:dyDescent="0.25">
      <c r="A427" t="s">
        <v>76</v>
      </c>
      <c r="B427" t="s">
        <v>478</v>
      </c>
      <c r="C427" s="1">
        <f>29269+174+3+13841+412</f>
        <v>43699</v>
      </c>
      <c r="D427" s="1">
        <f>230+20</f>
        <v>250</v>
      </c>
      <c r="E427" s="1">
        <v>0</v>
      </c>
      <c r="F427" s="1">
        <v>0</v>
      </c>
      <c r="G427" s="1">
        <v>0</v>
      </c>
      <c r="H427" s="1">
        <v>20995</v>
      </c>
      <c r="I427" s="1">
        <v>11892</v>
      </c>
      <c r="J427" s="1"/>
    </row>
    <row r="428" spans="1:10" x14ac:dyDescent="0.25">
      <c r="A428" t="s">
        <v>823</v>
      </c>
      <c r="B428" t="s">
        <v>479</v>
      </c>
      <c r="C428" s="1">
        <f>21044+394+2700</f>
        <v>24138</v>
      </c>
      <c r="D428" s="1">
        <v>0</v>
      </c>
      <c r="E428" s="1">
        <v>0</v>
      </c>
      <c r="F428" s="1">
        <v>0</v>
      </c>
      <c r="G428" s="1">
        <v>0</v>
      </c>
      <c r="H428" s="1">
        <v>1975</v>
      </c>
      <c r="I428" s="1">
        <v>1852</v>
      </c>
      <c r="J428" s="1"/>
    </row>
    <row r="429" spans="1:10" x14ac:dyDescent="0.25">
      <c r="A429" t="s">
        <v>83</v>
      </c>
      <c r="B429" t="s">
        <v>480</v>
      </c>
      <c r="C429" s="1"/>
      <c r="D429" s="1"/>
      <c r="E429" s="1"/>
      <c r="F429" s="1"/>
      <c r="G429" s="1"/>
      <c r="H429" s="1"/>
      <c r="I429" s="1"/>
      <c r="J429" s="1"/>
    </row>
    <row r="430" spans="1:10" x14ac:dyDescent="0.25">
      <c r="A430" t="s">
        <v>512</v>
      </c>
      <c r="B430" t="s">
        <v>481</v>
      </c>
      <c r="C430" s="1">
        <f>14526+1+7+21+3100</f>
        <v>17655</v>
      </c>
      <c r="D430" s="1">
        <f>3+71+8</f>
        <v>82</v>
      </c>
      <c r="E430" s="1">
        <v>0</v>
      </c>
      <c r="F430" s="1">
        <v>0</v>
      </c>
      <c r="G430" s="1">
        <v>0</v>
      </c>
      <c r="H430" s="1">
        <v>2073</v>
      </c>
      <c r="I430" s="1">
        <v>2535</v>
      </c>
      <c r="J430" s="1"/>
    </row>
    <row r="431" spans="1:10" x14ac:dyDescent="0.25">
      <c r="A431" t="s">
        <v>824</v>
      </c>
      <c r="B431" t="s">
        <v>482</v>
      </c>
      <c r="C431" s="1"/>
      <c r="D431" s="1"/>
      <c r="E431" s="1"/>
      <c r="F431" s="1"/>
      <c r="G431" s="1"/>
      <c r="H431" s="1"/>
      <c r="I431" s="1"/>
      <c r="J431" s="1"/>
    </row>
    <row r="432" spans="1:10" x14ac:dyDescent="0.25">
      <c r="A432" t="s">
        <v>72</v>
      </c>
      <c r="B432" t="s">
        <v>483</v>
      </c>
      <c r="C432" s="1">
        <f>29351+5+3607+4</f>
        <v>32967</v>
      </c>
      <c r="D432" s="1">
        <f>15+8+5+61</f>
        <v>89</v>
      </c>
      <c r="E432" s="1">
        <v>0</v>
      </c>
      <c r="F432" s="1">
        <v>0</v>
      </c>
      <c r="G432" s="1">
        <v>0</v>
      </c>
      <c r="H432" s="1">
        <v>91459</v>
      </c>
      <c r="I432" s="1">
        <v>3445</v>
      </c>
      <c r="J432" s="1"/>
    </row>
    <row r="433" spans="1:10" x14ac:dyDescent="0.25">
      <c r="A433" t="s">
        <v>801</v>
      </c>
      <c r="B433" t="s">
        <v>484</v>
      </c>
      <c r="C433" s="1">
        <f>20875+47+7+6+14955+572+4</f>
        <v>36466</v>
      </c>
      <c r="D433" s="1">
        <f>1+17</f>
        <v>18</v>
      </c>
      <c r="E433" s="1">
        <v>0</v>
      </c>
      <c r="F433" s="1">
        <v>0</v>
      </c>
      <c r="G433" s="1">
        <v>0</v>
      </c>
      <c r="H433" s="1">
        <v>66385</v>
      </c>
      <c r="I433" s="1">
        <v>14221</v>
      </c>
      <c r="J433" s="1"/>
    </row>
    <row r="434" spans="1:10" x14ac:dyDescent="0.25">
      <c r="A434" t="s">
        <v>818</v>
      </c>
      <c r="B434" t="s">
        <v>485</v>
      </c>
      <c r="C434" s="1">
        <f>10837+2+6+131+9790</f>
        <v>20766</v>
      </c>
      <c r="D434" s="1">
        <v>1</v>
      </c>
      <c r="E434" s="1">
        <v>0</v>
      </c>
      <c r="F434" s="1">
        <v>0</v>
      </c>
      <c r="G434" s="1">
        <v>0</v>
      </c>
      <c r="H434" s="1">
        <v>14363</v>
      </c>
      <c r="I434" s="1">
        <v>5323</v>
      </c>
      <c r="J434" s="1"/>
    </row>
    <row r="435" spans="1:10" x14ac:dyDescent="0.25">
      <c r="A435" t="s">
        <v>797</v>
      </c>
      <c r="B435" t="s">
        <v>486</v>
      </c>
      <c r="C435" s="1"/>
      <c r="D435" s="1"/>
      <c r="E435" s="1"/>
      <c r="F435" s="1"/>
      <c r="G435" s="1"/>
      <c r="H435" s="1"/>
      <c r="I435" s="1"/>
      <c r="J435" s="1"/>
    </row>
    <row r="436" spans="1:10" x14ac:dyDescent="0.25">
      <c r="A436" t="s">
        <v>804</v>
      </c>
      <c r="B436" t="s">
        <v>487</v>
      </c>
      <c r="C436" s="1">
        <f>13476+6731+698</f>
        <v>20905</v>
      </c>
      <c r="D436" s="1">
        <f>5+14</f>
        <v>19</v>
      </c>
      <c r="E436" s="1">
        <v>0</v>
      </c>
      <c r="F436" s="1">
        <v>0</v>
      </c>
      <c r="G436" s="1">
        <v>0</v>
      </c>
      <c r="H436" s="1">
        <v>10296</v>
      </c>
      <c r="I436" s="1">
        <v>6698</v>
      </c>
      <c r="J436" s="1"/>
    </row>
    <row r="437" spans="1:10" x14ac:dyDescent="0.25">
      <c r="A437" t="s">
        <v>226</v>
      </c>
      <c r="B437" t="s">
        <v>488</v>
      </c>
      <c r="C437" s="1">
        <f>28925+96+14+8+14+8705</f>
        <v>37762</v>
      </c>
      <c r="D437" s="1">
        <f>4+60+29</f>
        <v>93</v>
      </c>
      <c r="E437" s="1">
        <v>0</v>
      </c>
      <c r="F437" s="1">
        <v>0</v>
      </c>
      <c r="G437" s="1">
        <v>0</v>
      </c>
      <c r="H437" s="1">
        <v>13985</v>
      </c>
      <c r="I437" s="1">
        <v>8058</v>
      </c>
      <c r="J437" s="1"/>
    </row>
    <row r="438" spans="1:10" x14ac:dyDescent="0.25">
      <c r="A438" t="s">
        <v>265</v>
      </c>
      <c r="B438" t="s">
        <v>489</v>
      </c>
      <c r="C438" s="1">
        <f>17658+7+8+153+1+5+24+1+8+3511</f>
        <v>21376</v>
      </c>
      <c r="D438" s="1">
        <f>24+1+2+28</f>
        <v>55</v>
      </c>
      <c r="E438" s="1">
        <v>0</v>
      </c>
      <c r="F438" s="1">
        <v>0</v>
      </c>
      <c r="G438" s="1">
        <v>0</v>
      </c>
      <c r="H438" s="1">
        <v>28522</v>
      </c>
      <c r="I438" s="1">
        <v>3075</v>
      </c>
      <c r="J438" s="1"/>
    </row>
    <row r="439" spans="1:10" x14ac:dyDescent="0.25">
      <c r="A439" t="s">
        <v>10</v>
      </c>
      <c r="B439" s="1" t="s">
        <v>490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/>
    </row>
    <row r="440" spans="1:10" x14ac:dyDescent="0.25">
      <c r="A440" t="s">
        <v>801</v>
      </c>
      <c r="B440" t="s">
        <v>491</v>
      </c>
      <c r="C440" s="1">
        <f>9682+33+7+15690+1+13+1</f>
        <v>25427</v>
      </c>
      <c r="D440" s="1">
        <f>36+406+229+2</f>
        <v>673</v>
      </c>
      <c r="E440" s="1">
        <v>0</v>
      </c>
      <c r="F440" s="1">
        <v>0</v>
      </c>
      <c r="G440" s="1">
        <v>0</v>
      </c>
      <c r="H440" s="1">
        <v>29150</v>
      </c>
      <c r="I440" s="1">
        <v>12263</v>
      </c>
      <c r="J440" s="1"/>
    </row>
    <row r="441" spans="1:10" x14ac:dyDescent="0.25">
      <c r="A441" t="s">
        <v>818</v>
      </c>
      <c r="B441" t="s">
        <v>492</v>
      </c>
      <c r="C441" s="1">
        <f>9086+7+5+17+3214</f>
        <v>12329</v>
      </c>
      <c r="D441" s="1">
        <f>1+42+8</f>
        <v>51</v>
      </c>
      <c r="E441" s="1">
        <v>0</v>
      </c>
      <c r="F441" s="1">
        <v>0</v>
      </c>
      <c r="G441" s="1">
        <v>0</v>
      </c>
      <c r="H441" s="1">
        <v>16376</v>
      </c>
      <c r="I441" s="1">
        <v>3072</v>
      </c>
      <c r="J441" s="1"/>
    </row>
    <row r="442" spans="1:10" x14ac:dyDescent="0.25">
      <c r="A442" t="s">
        <v>791</v>
      </c>
      <c r="B442" t="s">
        <v>493</v>
      </c>
      <c r="C442" s="1"/>
      <c r="D442" s="1"/>
      <c r="E442" s="1"/>
      <c r="F442" s="1"/>
      <c r="G442" s="1"/>
      <c r="H442" s="1"/>
      <c r="I442" s="1"/>
      <c r="J442" s="1"/>
    </row>
    <row r="443" spans="1:10" x14ac:dyDescent="0.25">
      <c r="A443" t="s">
        <v>138</v>
      </c>
      <c r="B443" t="s">
        <v>494</v>
      </c>
      <c r="C443" s="1">
        <f>7410+2+1+3047</f>
        <v>10460</v>
      </c>
      <c r="D443" s="1">
        <v>6</v>
      </c>
      <c r="E443" s="1">
        <v>0</v>
      </c>
      <c r="F443" s="1">
        <v>0</v>
      </c>
      <c r="G443" s="1">
        <v>0</v>
      </c>
      <c r="H443" s="1">
        <v>25211</v>
      </c>
      <c r="I443" s="1">
        <v>2867</v>
      </c>
      <c r="J443" s="1"/>
    </row>
    <row r="444" spans="1:10" x14ac:dyDescent="0.25">
      <c r="A444" t="s">
        <v>495</v>
      </c>
      <c r="B444" t="s">
        <v>496</v>
      </c>
      <c r="C444" s="1">
        <f>93585+1+1369+63+1+3+387+51220+1+1</f>
        <v>146631</v>
      </c>
      <c r="D444" s="1">
        <f>138+1+6+200+17+8</f>
        <v>370</v>
      </c>
      <c r="E444" s="1">
        <v>0</v>
      </c>
      <c r="F444" s="1">
        <v>0</v>
      </c>
      <c r="G444" s="1">
        <v>0</v>
      </c>
      <c r="H444" s="1">
        <v>35366</v>
      </c>
      <c r="I444" s="1">
        <v>39948</v>
      </c>
      <c r="J444" s="1"/>
    </row>
    <row r="445" spans="1:10" x14ac:dyDescent="0.25">
      <c r="A445" t="s">
        <v>791</v>
      </c>
      <c r="B445" t="s">
        <v>497</v>
      </c>
      <c r="C445" s="1"/>
      <c r="D445" s="1"/>
      <c r="E445" s="1"/>
      <c r="F445" s="1"/>
      <c r="G445" s="1"/>
      <c r="H445" s="1"/>
      <c r="I445" s="1"/>
      <c r="J445" s="1"/>
    </row>
    <row r="446" spans="1:10" x14ac:dyDescent="0.25">
      <c r="A446" s="27" t="s">
        <v>10</v>
      </c>
      <c r="B446" s="32" t="s">
        <v>782</v>
      </c>
      <c r="C446" s="1"/>
      <c r="D446" s="1"/>
      <c r="E446" s="1"/>
      <c r="F446" s="1"/>
      <c r="G446" s="1"/>
      <c r="H446" s="1"/>
      <c r="I446" s="1"/>
      <c r="J446" s="1"/>
    </row>
    <row r="447" spans="1:10" x14ac:dyDescent="0.25">
      <c r="A447" s="27" t="s">
        <v>10</v>
      </c>
      <c r="B447" s="32" t="s">
        <v>783</v>
      </c>
      <c r="C447" s="1"/>
      <c r="D447" s="1"/>
      <c r="E447" s="1"/>
      <c r="F447" s="1"/>
      <c r="G447" s="1"/>
      <c r="H447" s="1"/>
      <c r="I447" s="1"/>
      <c r="J447" s="1"/>
    </row>
    <row r="448" spans="1:10" x14ac:dyDescent="0.25">
      <c r="A448" s="27" t="s">
        <v>10</v>
      </c>
      <c r="B448" s="32" t="s">
        <v>784</v>
      </c>
      <c r="C448" s="1"/>
      <c r="D448" s="1"/>
      <c r="E448" s="1"/>
      <c r="F448" s="1"/>
      <c r="G448" s="1"/>
      <c r="H448" s="1"/>
      <c r="I448" s="1"/>
      <c r="J448" s="1"/>
    </row>
    <row r="449" spans="1:10" x14ac:dyDescent="0.25">
      <c r="A449" s="27" t="s">
        <v>10</v>
      </c>
      <c r="B449" s="32" t="s">
        <v>785</v>
      </c>
      <c r="C449" s="1"/>
      <c r="D449" s="1"/>
      <c r="E449" s="1"/>
      <c r="F449" s="1"/>
      <c r="G449" s="1"/>
      <c r="H449" s="1"/>
      <c r="I449" s="1"/>
      <c r="J449" s="1"/>
    </row>
    <row r="450" spans="1:10" x14ac:dyDescent="0.25">
      <c r="A450" t="s">
        <v>10</v>
      </c>
      <c r="B450" s="1" t="s">
        <v>498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/>
    </row>
    <row r="451" spans="1:10" x14ac:dyDescent="0.25">
      <c r="A451" s="27" t="s">
        <v>10</v>
      </c>
      <c r="B451" s="32" t="s">
        <v>786</v>
      </c>
      <c r="C451" s="1"/>
      <c r="D451" s="1"/>
      <c r="E451" s="1"/>
      <c r="F451" s="1"/>
      <c r="G451" s="1"/>
      <c r="H451" s="1"/>
      <c r="I451" s="1"/>
      <c r="J451" s="1"/>
    </row>
    <row r="452" spans="1:10" x14ac:dyDescent="0.25">
      <c r="A452" t="s">
        <v>10</v>
      </c>
      <c r="B452" s="1" t="s">
        <v>499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/>
    </row>
    <row r="453" spans="1:10" x14ac:dyDescent="0.25">
      <c r="A453" t="s">
        <v>10</v>
      </c>
      <c r="B453" s="1" t="s">
        <v>500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/>
    </row>
    <row r="454" spans="1:10" x14ac:dyDescent="0.25">
      <c r="A454" t="s">
        <v>76</v>
      </c>
      <c r="B454" t="s">
        <v>501</v>
      </c>
      <c r="C454" s="1">
        <v>6513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/>
    </row>
    <row r="455" spans="1:10" x14ac:dyDescent="0.25">
      <c r="A455" t="s">
        <v>817</v>
      </c>
      <c r="B455" t="s">
        <v>502</v>
      </c>
      <c r="C455" s="1">
        <v>502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/>
    </row>
    <row r="456" spans="1:10" x14ac:dyDescent="0.25">
      <c r="A456" t="s">
        <v>831</v>
      </c>
      <c r="B456" t="s">
        <v>503</v>
      </c>
      <c r="C456" s="1">
        <v>850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/>
    </row>
    <row r="457" spans="1:10" x14ac:dyDescent="0.25">
      <c r="A457" t="s">
        <v>76</v>
      </c>
      <c r="B457" t="s">
        <v>504</v>
      </c>
      <c r="C457" s="1">
        <v>9760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/>
    </row>
    <row r="458" spans="1:10" x14ac:dyDescent="0.25">
      <c r="A458" t="s">
        <v>817</v>
      </c>
      <c r="B458" t="s">
        <v>505</v>
      </c>
      <c r="C458" s="1">
        <v>3940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/>
    </row>
    <row r="459" spans="1:10" x14ac:dyDescent="0.25">
      <c r="A459" s="9" t="s">
        <v>824</v>
      </c>
      <c r="B459" s="10" t="s">
        <v>506</v>
      </c>
      <c r="C459" s="1"/>
      <c r="D459" s="1"/>
      <c r="E459" s="1"/>
      <c r="F459" s="1"/>
      <c r="G459" s="1"/>
      <c r="H459" s="1"/>
      <c r="I459" s="1"/>
      <c r="J459" s="1"/>
    </row>
    <row r="460" spans="1:10" x14ac:dyDescent="0.25">
      <c r="A460" t="s">
        <v>817</v>
      </c>
      <c r="B460" t="s">
        <v>507</v>
      </c>
      <c r="C460" s="1">
        <v>3225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/>
    </row>
    <row r="461" spans="1:10" x14ac:dyDescent="0.25">
      <c r="A461" t="s">
        <v>817</v>
      </c>
      <c r="B461" t="s">
        <v>508</v>
      </c>
      <c r="C461" s="1">
        <v>1945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/>
    </row>
    <row r="462" spans="1:10" x14ac:dyDescent="0.25">
      <c r="A462" t="s">
        <v>801</v>
      </c>
      <c r="B462" t="s">
        <v>509</v>
      </c>
      <c r="C462" s="1">
        <v>470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/>
    </row>
    <row r="463" spans="1:10" x14ac:dyDescent="0.25">
      <c r="A463" t="s">
        <v>801</v>
      </c>
      <c r="B463" t="s">
        <v>510</v>
      </c>
      <c r="C463" s="1">
        <v>11214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/>
    </row>
    <row r="464" spans="1:10" x14ac:dyDescent="0.25">
      <c r="A464" t="s">
        <v>831</v>
      </c>
      <c r="B464" t="s">
        <v>511</v>
      </c>
      <c r="C464" s="1">
        <v>709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/>
    </row>
    <row r="465" spans="1:10" x14ac:dyDescent="0.25">
      <c r="A465" t="s">
        <v>512</v>
      </c>
      <c r="B465" t="s">
        <v>513</v>
      </c>
      <c r="C465" s="1">
        <v>3606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/>
    </row>
    <row r="466" spans="1:10" x14ac:dyDescent="0.25">
      <c r="A466" t="s">
        <v>817</v>
      </c>
      <c r="B466" t="s">
        <v>514</v>
      </c>
      <c r="C466" s="1">
        <v>3204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/>
    </row>
    <row r="467" spans="1:10" x14ac:dyDescent="0.25">
      <c r="A467" t="s">
        <v>801</v>
      </c>
      <c r="B467" t="s">
        <v>515</v>
      </c>
      <c r="C467" s="1"/>
      <c r="D467" s="1"/>
      <c r="E467" s="1"/>
      <c r="F467" s="1"/>
      <c r="G467" s="1"/>
      <c r="H467" s="1"/>
      <c r="I467" s="1"/>
      <c r="J467" s="1"/>
    </row>
    <row r="468" spans="1:10" x14ac:dyDescent="0.25">
      <c r="A468" t="s">
        <v>848</v>
      </c>
      <c r="B468" t="s">
        <v>516</v>
      </c>
      <c r="C468" s="1"/>
      <c r="D468" s="1"/>
      <c r="E468" s="1"/>
      <c r="F468" s="1"/>
      <c r="G468" s="1"/>
      <c r="H468" s="1"/>
      <c r="I468" s="1"/>
      <c r="J468" s="1"/>
    </row>
    <row r="469" spans="1:10" x14ac:dyDescent="0.25">
      <c r="A469" t="s">
        <v>797</v>
      </c>
      <c r="B469" t="s">
        <v>517</v>
      </c>
      <c r="C469" s="1"/>
      <c r="D469" s="1"/>
      <c r="E469" s="1"/>
      <c r="F469" s="1"/>
      <c r="G469" s="1"/>
      <c r="H469" s="1"/>
      <c r="I469" s="1"/>
      <c r="J469" s="1"/>
    </row>
    <row r="470" spans="1:10" x14ac:dyDescent="0.25">
      <c r="A470" t="s">
        <v>811</v>
      </c>
      <c r="B470" t="s">
        <v>518</v>
      </c>
      <c r="C470" s="1"/>
      <c r="D470" s="1"/>
      <c r="E470" s="1"/>
      <c r="F470" s="1"/>
      <c r="G470" s="1"/>
      <c r="H470" s="1"/>
      <c r="I470" s="1"/>
      <c r="J470" s="1"/>
    </row>
    <row r="471" spans="1:10" x14ac:dyDescent="0.25">
      <c r="A471" t="s">
        <v>226</v>
      </c>
      <c r="B471" t="s">
        <v>519</v>
      </c>
      <c r="C471" s="1">
        <v>426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/>
    </row>
    <row r="472" spans="1:10" x14ac:dyDescent="0.25">
      <c r="A472" t="s">
        <v>76</v>
      </c>
      <c r="B472" t="s">
        <v>520</v>
      </c>
      <c r="C472" s="1">
        <v>4587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/>
    </row>
    <row r="473" spans="1:10" x14ac:dyDescent="0.25">
      <c r="A473" t="s">
        <v>831</v>
      </c>
      <c r="B473" t="s">
        <v>521</v>
      </c>
      <c r="C473" s="1">
        <v>17580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/>
    </row>
    <row r="474" spans="1:10" x14ac:dyDescent="0.25">
      <c r="A474" t="s">
        <v>72</v>
      </c>
      <c r="B474" t="s">
        <v>522</v>
      </c>
      <c r="C474" s="1">
        <v>732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/>
    </row>
    <row r="475" spans="1:10" x14ac:dyDescent="0.25">
      <c r="A475" t="s">
        <v>823</v>
      </c>
      <c r="B475" t="s">
        <v>523</v>
      </c>
      <c r="C475" s="1">
        <v>8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/>
    </row>
    <row r="476" spans="1:10" x14ac:dyDescent="0.25">
      <c r="A476" t="s">
        <v>248</v>
      </c>
      <c r="B476" t="s">
        <v>524</v>
      </c>
      <c r="C476" s="1"/>
      <c r="D476" s="1"/>
      <c r="E476" s="1"/>
      <c r="F476" s="1"/>
      <c r="G476" s="1"/>
      <c r="H476" s="1"/>
      <c r="I476" s="1"/>
      <c r="J476" s="1"/>
    </row>
    <row r="477" spans="1:10" x14ac:dyDescent="0.25">
      <c r="A477" t="s">
        <v>231</v>
      </c>
      <c r="B477" t="s">
        <v>525</v>
      </c>
      <c r="C477" s="1"/>
      <c r="D477" s="1"/>
      <c r="E477" s="1"/>
      <c r="F477" s="1"/>
      <c r="G477" s="1"/>
      <c r="H477" s="1"/>
      <c r="I477" s="1"/>
      <c r="J477" s="1"/>
    </row>
    <row r="478" spans="1:10" x14ac:dyDescent="0.25">
      <c r="A478" t="s">
        <v>76</v>
      </c>
      <c r="B478" t="s">
        <v>526</v>
      </c>
      <c r="C478" s="1"/>
      <c r="D478" s="1"/>
      <c r="E478" s="1"/>
      <c r="F478" s="1"/>
      <c r="G478" s="1"/>
      <c r="H478" s="1"/>
      <c r="I478" s="1"/>
      <c r="J478" s="1"/>
    </row>
    <row r="479" spans="1:10" x14ac:dyDescent="0.25">
      <c r="A479" t="s">
        <v>804</v>
      </c>
      <c r="B479" t="s">
        <v>527</v>
      </c>
      <c r="C479" s="1">
        <v>1572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/>
    </row>
    <row r="480" spans="1:10" x14ac:dyDescent="0.25">
      <c r="A480" t="s">
        <v>76</v>
      </c>
      <c r="B480" t="s">
        <v>528</v>
      </c>
      <c r="C480" s="1">
        <v>747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/>
    </row>
    <row r="481" spans="1:10" x14ac:dyDescent="0.25">
      <c r="A481" t="s">
        <v>801</v>
      </c>
      <c r="B481" t="s">
        <v>529</v>
      </c>
      <c r="C481" s="1">
        <v>2013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/>
    </row>
    <row r="482" spans="1:10" x14ac:dyDescent="0.25">
      <c r="A482" t="s">
        <v>795</v>
      </c>
      <c r="B482" t="s">
        <v>530</v>
      </c>
      <c r="C482" s="1">
        <v>58108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/>
    </row>
    <row r="483" spans="1:10" x14ac:dyDescent="0.25">
      <c r="A483" t="s">
        <v>848</v>
      </c>
      <c r="B483" t="s">
        <v>531</v>
      </c>
      <c r="C483" s="1"/>
      <c r="D483" s="1"/>
      <c r="E483" s="1"/>
      <c r="F483" s="1"/>
      <c r="G483" s="1"/>
      <c r="H483" s="1"/>
      <c r="I483" s="1"/>
      <c r="J483" s="1"/>
    </row>
    <row r="484" spans="1:10" x14ac:dyDescent="0.25">
      <c r="A484" t="s">
        <v>824</v>
      </c>
      <c r="B484" t="s">
        <v>532</v>
      </c>
      <c r="C484" s="1"/>
      <c r="D484" s="1"/>
      <c r="E484" s="1"/>
      <c r="F484" s="1"/>
      <c r="G484" s="1"/>
      <c r="H484" s="1"/>
      <c r="I484" s="1"/>
      <c r="J484" s="1"/>
    </row>
    <row r="485" spans="1:10" x14ac:dyDescent="0.25">
      <c r="A485" t="s">
        <v>76</v>
      </c>
      <c r="B485" t="s">
        <v>533</v>
      </c>
      <c r="C485" s="1">
        <v>688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/>
    </row>
    <row r="486" spans="1:10" x14ac:dyDescent="0.25">
      <c r="A486" t="s">
        <v>101</v>
      </c>
      <c r="B486" t="s">
        <v>534</v>
      </c>
      <c r="C486" s="1">
        <v>3284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/>
    </row>
    <row r="487" spans="1:10" x14ac:dyDescent="0.25">
      <c r="A487" t="s">
        <v>797</v>
      </c>
      <c r="B487" t="s">
        <v>535</v>
      </c>
      <c r="C487" s="1"/>
      <c r="D487" s="1"/>
      <c r="E487" s="1"/>
      <c r="F487" s="1"/>
      <c r="G487" s="1"/>
      <c r="H487" s="1"/>
      <c r="I487" s="1"/>
      <c r="J487" s="1"/>
    </row>
    <row r="488" spans="1:10" x14ac:dyDescent="0.25">
      <c r="A488" t="s">
        <v>120</v>
      </c>
      <c r="B488" t="s">
        <v>536</v>
      </c>
      <c r="C488" s="1">
        <v>2397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/>
    </row>
    <row r="489" spans="1:10" x14ac:dyDescent="0.25">
      <c r="A489" t="s">
        <v>817</v>
      </c>
      <c r="B489" t="s">
        <v>537</v>
      </c>
      <c r="C489" s="1">
        <v>21726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/>
    </row>
    <row r="490" spans="1:10" x14ac:dyDescent="0.25">
      <c r="A490" t="s">
        <v>811</v>
      </c>
      <c r="B490" t="s">
        <v>538</v>
      </c>
      <c r="C490" s="1"/>
      <c r="D490" s="1"/>
      <c r="E490" s="1"/>
      <c r="F490" s="1"/>
      <c r="G490" s="1"/>
      <c r="H490" s="1"/>
      <c r="I490" s="1"/>
      <c r="J490" s="1"/>
    </row>
    <row r="491" spans="1:10" x14ac:dyDescent="0.25">
      <c r="A491" t="s">
        <v>817</v>
      </c>
      <c r="B491" t="s">
        <v>539</v>
      </c>
      <c r="C491" s="1">
        <v>3917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/>
    </row>
    <row r="492" spans="1:10" x14ac:dyDescent="0.25">
      <c r="A492" t="s">
        <v>146</v>
      </c>
      <c r="B492" t="s">
        <v>540</v>
      </c>
      <c r="C492" s="1">
        <v>1711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/>
    </row>
    <row r="493" spans="1:10" x14ac:dyDescent="0.25">
      <c r="A493" t="s">
        <v>817</v>
      </c>
      <c r="B493" t="s">
        <v>541</v>
      </c>
      <c r="C493" s="1">
        <v>10909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/>
    </row>
    <row r="494" spans="1:10" x14ac:dyDescent="0.25">
      <c r="A494" t="s">
        <v>72</v>
      </c>
      <c r="B494" t="s">
        <v>542</v>
      </c>
      <c r="C494" s="1">
        <v>13554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/>
    </row>
    <row r="495" spans="1:10" x14ac:dyDescent="0.25">
      <c r="A495" t="s">
        <v>795</v>
      </c>
      <c r="B495" t="s">
        <v>543</v>
      </c>
      <c r="C495" s="1">
        <v>9019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/>
    </row>
    <row r="496" spans="1:10" x14ac:dyDescent="0.25">
      <c r="A496" t="s">
        <v>83</v>
      </c>
      <c r="B496" t="s">
        <v>544</v>
      </c>
      <c r="C496" s="1"/>
      <c r="D496" s="1"/>
      <c r="E496" s="1"/>
      <c r="F496" s="1"/>
      <c r="G496" s="1"/>
      <c r="H496" s="1"/>
      <c r="I496" s="1"/>
      <c r="J496" s="1"/>
    </row>
    <row r="497" spans="1:10" x14ac:dyDescent="0.25">
      <c r="A497" t="s">
        <v>134</v>
      </c>
      <c r="B497" t="s">
        <v>545</v>
      </c>
      <c r="C497" s="1">
        <v>3026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/>
    </row>
    <row r="498" spans="1:10" x14ac:dyDescent="0.25">
      <c r="A498" t="s">
        <v>76</v>
      </c>
      <c r="B498" t="s">
        <v>546</v>
      </c>
      <c r="C498" s="1">
        <v>555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/>
    </row>
    <row r="499" spans="1:10" x14ac:dyDescent="0.25">
      <c r="A499" t="s">
        <v>495</v>
      </c>
      <c r="B499" t="s">
        <v>547</v>
      </c>
      <c r="C499" s="1">
        <v>4899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/>
    </row>
    <row r="500" spans="1:10" x14ac:dyDescent="0.25">
      <c r="A500" t="s">
        <v>825</v>
      </c>
      <c r="B500" t="s">
        <v>548</v>
      </c>
      <c r="C500" s="1">
        <v>5104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/>
    </row>
    <row r="501" spans="1:10" x14ac:dyDescent="0.25">
      <c r="A501" t="s">
        <v>72</v>
      </c>
      <c r="B501" t="s">
        <v>549</v>
      </c>
      <c r="C501" s="1">
        <v>17784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/>
    </row>
    <row r="502" spans="1:10" x14ac:dyDescent="0.25">
      <c r="A502" t="s">
        <v>134</v>
      </c>
      <c r="B502" t="s">
        <v>550</v>
      </c>
      <c r="C502" s="1">
        <v>7300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/>
    </row>
    <row r="503" spans="1:10" x14ac:dyDescent="0.25">
      <c r="A503" t="s">
        <v>795</v>
      </c>
      <c r="B503" t="s">
        <v>551</v>
      </c>
      <c r="C503" s="1">
        <v>1973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/>
    </row>
    <row r="504" spans="1:10" x14ac:dyDescent="0.25">
      <c r="A504" t="s">
        <v>76</v>
      </c>
      <c r="B504" t="s">
        <v>552</v>
      </c>
      <c r="C504" s="1">
        <v>1311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/>
    </row>
    <row r="505" spans="1:10" x14ac:dyDescent="0.25">
      <c r="A505" t="s">
        <v>824</v>
      </c>
      <c r="B505" t="s">
        <v>553</v>
      </c>
      <c r="C505" s="1"/>
      <c r="D505" s="1"/>
      <c r="E505" s="1"/>
      <c r="F505" s="1"/>
      <c r="G505" s="1"/>
      <c r="H505" s="1"/>
      <c r="I505" s="1"/>
      <c r="J505" s="1"/>
    </row>
    <row r="506" spans="1:10" x14ac:dyDescent="0.25">
      <c r="A506" t="s">
        <v>512</v>
      </c>
      <c r="B506" t="s">
        <v>554</v>
      </c>
      <c r="C506" s="1">
        <v>7099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/>
    </row>
    <row r="507" spans="1:10" x14ac:dyDescent="0.25">
      <c r="A507" t="s">
        <v>788</v>
      </c>
      <c r="B507" t="s">
        <v>555</v>
      </c>
      <c r="C507" s="1">
        <v>50278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/>
    </row>
    <row r="508" spans="1:10" x14ac:dyDescent="0.25">
      <c r="A508" t="s">
        <v>101</v>
      </c>
      <c r="B508" t="s">
        <v>556</v>
      </c>
      <c r="C508" s="1">
        <v>13184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/>
    </row>
    <row r="509" spans="1:10" x14ac:dyDescent="0.25">
      <c r="A509" t="s">
        <v>796</v>
      </c>
      <c r="B509" t="s">
        <v>557</v>
      </c>
      <c r="C509" s="1">
        <f>1140</f>
        <v>1140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/>
    </row>
    <row r="510" spans="1:10" x14ac:dyDescent="0.25">
      <c r="A510" t="s">
        <v>817</v>
      </c>
      <c r="B510" t="s">
        <v>558</v>
      </c>
      <c r="C510" s="1">
        <v>1446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/>
    </row>
    <row r="511" spans="1:10" x14ac:dyDescent="0.25">
      <c r="A511" t="s">
        <v>76</v>
      </c>
      <c r="B511" t="s">
        <v>559</v>
      </c>
      <c r="C511" s="1">
        <v>2026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/>
    </row>
    <row r="512" spans="1:10" x14ac:dyDescent="0.25">
      <c r="A512" t="s">
        <v>801</v>
      </c>
      <c r="B512" t="s">
        <v>560</v>
      </c>
      <c r="C512" s="1">
        <v>13280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/>
    </row>
    <row r="513" spans="1:10" x14ac:dyDescent="0.25">
      <c r="A513" t="s">
        <v>796</v>
      </c>
      <c r="B513" t="s">
        <v>561</v>
      </c>
      <c r="C513" s="1">
        <f>6195</f>
        <v>6195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/>
    </row>
    <row r="514" spans="1:10" x14ac:dyDescent="0.25">
      <c r="A514" t="s">
        <v>817</v>
      </c>
      <c r="B514" t="s">
        <v>562</v>
      </c>
      <c r="C514" s="1">
        <v>3928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/>
    </row>
    <row r="515" spans="1:10" x14ac:dyDescent="0.25">
      <c r="A515" t="s">
        <v>248</v>
      </c>
      <c r="B515" t="s">
        <v>563</v>
      </c>
      <c r="C515" s="1"/>
      <c r="D515" s="1"/>
      <c r="E515" s="1"/>
      <c r="F515" s="1"/>
      <c r="G515" s="1"/>
      <c r="H515" s="1"/>
      <c r="I515" s="1"/>
      <c r="J515" s="1"/>
    </row>
    <row r="516" spans="1:10" x14ac:dyDescent="0.25">
      <c r="A516" t="s">
        <v>791</v>
      </c>
      <c r="B516" t="s">
        <v>564</v>
      </c>
      <c r="C516" s="1"/>
      <c r="D516" s="1"/>
      <c r="E516" s="1"/>
      <c r="F516" s="1"/>
      <c r="G516" s="1"/>
      <c r="H516" s="1"/>
      <c r="I516" s="1"/>
      <c r="J516" s="1"/>
    </row>
    <row r="517" spans="1:10" x14ac:dyDescent="0.25">
      <c r="A517" t="s">
        <v>69</v>
      </c>
      <c r="B517" t="s">
        <v>565</v>
      </c>
      <c r="C517" s="1">
        <v>5668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/>
    </row>
    <row r="518" spans="1:10" x14ac:dyDescent="0.25">
      <c r="A518" t="s">
        <v>794</v>
      </c>
      <c r="B518" t="s">
        <v>566</v>
      </c>
      <c r="C518" s="1">
        <v>1136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/>
    </row>
    <row r="519" spans="1:10" x14ac:dyDescent="0.25">
      <c r="A519" t="s">
        <v>797</v>
      </c>
      <c r="B519" t="s">
        <v>567</v>
      </c>
      <c r="C519" s="1"/>
      <c r="D519" s="1"/>
      <c r="E519" s="1"/>
      <c r="F519" s="1"/>
      <c r="G519" s="1"/>
      <c r="H519" s="1"/>
      <c r="I519" s="1"/>
      <c r="J519" s="1"/>
    </row>
    <row r="520" spans="1:10" x14ac:dyDescent="0.25">
      <c r="A520" t="s">
        <v>826</v>
      </c>
      <c r="B520" t="s">
        <v>568</v>
      </c>
      <c r="C520" s="1"/>
      <c r="D520" s="1"/>
      <c r="E520" s="1"/>
      <c r="F520" s="1"/>
      <c r="G520" s="1"/>
      <c r="H520" s="1"/>
      <c r="I520" s="1"/>
      <c r="J520" s="1"/>
    </row>
    <row r="521" spans="1:10" x14ac:dyDescent="0.25">
      <c r="A521" t="s">
        <v>864</v>
      </c>
      <c r="B521" t="s">
        <v>569</v>
      </c>
      <c r="C521" s="1">
        <v>5856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/>
    </row>
    <row r="522" spans="1:10" x14ac:dyDescent="0.25">
      <c r="A522" t="s">
        <v>826</v>
      </c>
      <c r="B522" t="s">
        <v>570</v>
      </c>
      <c r="C522" s="1"/>
      <c r="D522" s="1"/>
      <c r="E522" s="1"/>
      <c r="F522" s="1"/>
      <c r="G522" s="1"/>
      <c r="H522" s="1"/>
      <c r="I522" s="1"/>
      <c r="J522" s="1"/>
    </row>
    <row r="523" spans="1:10" x14ac:dyDescent="0.25">
      <c r="A523" t="s">
        <v>72</v>
      </c>
      <c r="B523" t="s">
        <v>571</v>
      </c>
      <c r="C523" s="1">
        <v>11961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/>
    </row>
    <row r="524" spans="1:10" x14ac:dyDescent="0.25">
      <c r="A524" t="s">
        <v>801</v>
      </c>
      <c r="B524" t="s">
        <v>572</v>
      </c>
      <c r="C524" s="1">
        <v>12413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/>
    </row>
    <row r="525" spans="1:10" x14ac:dyDescent="0.25">
      <c r="A525" t="s">
        <v>859</v>
      </c>
      <c r="B525" t="s">
        <v>573</v>
      </c>
      <c r="C525" s="1">
        <v>563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/>
    </row>
    <row r="526" spans="1:10" x14ac:dyDescent="0.25">
      <c r="A526" t="s">
        <v>816</v>
      </c>
      <c r="B526" t="s">
        <v>574</v>
      </c>
      <c r="C526" s="1">
        <v>7821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/>
    </row>
    <row r="527" spans="1:10" x14ac:dyDescent="0.25">
      <c r="A527" t="s">
        <v>864</v>
      </c>
      <c r="B527" t="s">
        <v>575</v>
      </c>
      <c r="C527" s="1">
        <v>15871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/>
    </row>
    <row r="528" spans="1:10" x14ac:dyDescent="0.25">
      <c r="A528" t="s">
        <v>146</v>
      </c>
      <c r="B528" t="s">
        <v>576</v>
      </c>
      <c r="C528" s="1">
        <v>1238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/>
    </row>
    <row r="529" spans="1:10" x14ac:dyDescent="0.25">
      <c r="A529" t="s">
        <v>794</v>
      </c>
      <c r="B529" t="s">
        <v>577</v>
      </c>
      <c r="C529" s="1">
        <v>1213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/>
    </row>
    <row r="530" spans="1:10" x14ac:dyDescent="0.25">
      <c r="A530" t="s">
        <v>146</v>
      </c>
      <c r="B530" t="s">
        <v>578</v>
      </c>
      <c r="C530" s="1">
        <v>9621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/>
    </row>
    <row r="531" spans="1:10" x14ac:dyDescent="0.25">
      <c r="A531" t="s">
        <v>832</v>
      </c>
      <c r="B531" t="s">
        <v>579</v>
      </c>
      <c r="C531" s="1"/>
      <c r="D531" s="1"/>
      <c r="E531" s="1"/>
      <c r="F531" s="1"/>
      <c r="G531" s="1"/>
      <c r="H531" s="1"/>
      <c r="I531" s="1"/>
      <c r="J531" s="1"/>
    </row>
    <row r="532" spans="1:10" x14ac:dyDescent="0.25">
      <c r="A532" t="s">
        <v>839</v>
      </c>
      <c r="B532" t="s">
        <v>580</v>
      </c>
      <c r="C532" s="1"/>
      <c r="D532" s="1"/>
      <c r="E532" s="1"/>
      <c r="F532" s="1"/>
      <c r="G532" s="1"/>
      <c r="H532" s="1"/>
      <c r="I532" s="1"/>
      <c r="J532" s="1"/>
    </row>
    <row r="533" spans="1:10" x14ac:dyDescent="0.25">
      <c r="A533" t="s">
        <v>794</v>
      </c>
      <c r="B533" t="s">
        <v>581</v>
      </c>
      <c r="C533" s="1">
        <v>15131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/>
    </row>
    <row r="534" spans="1:10" x14ac:dyDescent="0.25">
      <c r="A534" t="s">
        <v>794</v>
      </c>
      <c r="B534" t="s">
        <v>582</v>
      </c>
      <c r="C534" s="1">
        <v>8397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/>
    </row>
    <row r="535" spans="1:10" x14ac:dyDescent="0.25">
      <c r="A535" t="s">
        <v>794</v>
      </c>
      <c r="B535" t="s">
        <v>583</v>
      </c>
      <c r="C535" s="1">
        <v>1377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/>
    </row>
    <row r="536" spans="1:10" x14ac:dyDescent="0.25">
      <c r="A536" t="s">
        <v>120</v>
      </c>
      <c r="B536" t="s">
        <v>584</v>
      </c>
      <c r="C536" s="1">
        <v>188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/>
    </row>
    <row r="537" spans="1:10" x14ac:dyDescent="0.25">
      <c r="A537" t="s">
        <v>837</v>
      </c>
      <c r="B537" t="s">
        <v>585</v>
      </c>
      <c r="C537" s="1"/>
      <c r="D537" s="1"/>
      <c r="E537" s="1"/>
      <c r="F537" s="1"/>
      <c r="G537" s="1"/>
      <c r="H537" s="1"/>
      <c r="I537" s="1"/>
      <c r="J537" s="1"/>
    </row>
    <row r="538" spans="1:10" x14ac:dyDescent="0.25">
      <c r="A538" t="s">
        <v>794</v>
      </c>
      <c r="B538" t="s">
        <v>586</v>
      </c>
      <c r="C538" s="1">
        <v>5107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/>
    </row>
    <row r="539" spans="1:10" x14ac:dyDescent="0.25">
      <c r="A539" t="s">
        <v>836</v>
      </c>
      <c r="B539" t="s">
        <v>587</v>
      </c>
      <c r="C539" s="1"/>
      <c r="D539" s="1"/>
      <c r="E539" s="1"/>
      <c r="F539" s="1"/>
      <c r="G539" s="1"/>
      <c r="H539" s="1"/>
      <c r="I539" s="1"/>
      <c r="J539" s="1"/>
    </row>
    <row r="540" spans="1:10" x14ac:dyDescent="0.25">
      <c r="A540" t="s">
        <v>844</v>
      </c>
      <c r="B540" t="s">
        <v>588</v>
      </c>
      <c r="C540" s="1"/>
      <c r="D540" s="1"/>
      <c r="E540" s="1"/>
      <c r="F540" s="1"/>
      <c r="G540" s="1"/>
      <c r="H540" s="1"/>
      <c r="I540" s="1"/>
      <c r="J540" s="1"/>
    </row>
    <row r="541" spans="1:10" x14ac:dyDescent="0.25">
      <c r="A541" t="s">
        <v>838</v>
      </c>
      <c r="B541" t="s">
        <v>589</v>
      </c>
      <c r="C541" s="1"/>
      <c r="D541" s="1"/>
      <c r="E541" s="1"/>
      <c r="F541" s="1"/>
      <c r="G541" s="1"/>
      <c r="H541" s="1"/>
      <c r="I541" s="1"/>
      <c r="J541" s="1"/>
    </row>
    <row r="542" spans="1:10" x14ac:dyDescent="0.25">
      <c r="A542" t="s">
        <v>833</v>
      </c>
      <c r="B542" t="s">
        <v>590</v>
      </c>
      <c r="C542" s="1"/>
      <c r="D542" s="1"/>
      <c r="E542" s="1"/>
      <c r="F542" s="1"/>
      <c r="G542" s="1"/>
      <c r="H542" s="1"/>
      <c r="I542" s="1"/>
      <c r="J542" s="1"/>
    </row>
    <row r="543" spans="1:10" x14ac:dyDescent="0.25">
      <c r="A543" t="s">
        <v>845</v>
      </c>
      <c r="B543" t="s">
        <v>591</v>
      </c>
      <c r="C543" s="1"/>
      <c r="D543" s="1"/>
      <c r="E543" s="1"/>
      <c r="F543" s="1"/>
      <c r="G543" s="1"/>
      <c r="H543" s="1"/>
      <c r="I543" s="1"/>
      <c r="J543" s="1"/>
    </row>
    <row r="544" spans="1:10" x14ac:dyDescent="0.25">
      <c r="A544" t="s">
        <v>794</v>
      </c>
      <c r="B544" t="s">
        <v>592</v>
      </c>
      <c r="C544" s="1">
        <v>34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/>
    </row>
    <row r="545" spans="1:10" x14ac:dyDescent="0.25">
      <c r="A545" t="s">
        <v>843</v>
      </c>
      <c r="B545" t="s">
        <v>593</v>
      </c>
      <c r="C545" s="1"/>
      <c r="D545" s="1"/>
      <c r="E545" s="1"/>
      <c r="F545" s="1"/>
      <c r="G545" s="1"/>
      <c r="H545" s="1"/>
      <c r="I545" s="1"/>
      <c r="J545" s="1"/>
    </row>
    <row r="546" spans="1:10" x14ac:dyDescent="0.25">
      <c r="A546" t="s">
        <v>863</v>
      </c>
      <c r="B546" t="s">
        <v>594</v>
      </c>
      <c r="C546" s="1"/>
      <c r="D546" s="1"/>
      <c r="E546" s="1"/>
      <c r="F546" s="1"/>
      <c r="G546" s="1"/>
      <c r="H546" s="1"/>
      <c r="I546" s="1"/>
      <c r="J546" s="1"/>
    </row>
    <row r="547" spans="1:10" x14ac:dyDescent="0.25">
      <c r="A547" t="s">
        <v>804</v>
      </c>
      <c r="B547" t="s">
        <v>595</v>
      </c>
      <c r="C547" s="1">
        <v>1600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/>
    </row>
    <row r="548" spans="1:10" x14ac:dyDescent="0.25">
      <c r="A548" t="s">
        <v>795</v>
      </c>
      <c r="B548" t="s">
        <v>596</v>
      </c>
      <c r="C548" s="1">
        <v>4216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/>
    </row>
    <row r="549" spans="1:10" x14ac:dyDescent="0.25">
      <c r="A549" t="s">
        <v>101</v>
      </c>
      <c r="B549" t="s">
        <v>597</v>
      </c>
      <c r="C549" s="1">
        <v>7234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/>
    </row>
    <row r="550" spans="1:10" x14ac:dyDescent="0.25">
      <c r="A550" t="s">
        <v>835</v>
      </c>
      <c r="B550" t="s">
        <v>598</v>
      </c>
      <c r="C550" s="1"/>
      <c r="D550" s="1"/>
      <c r="E550" s="1"/>
      <c r="F550" s="1"/>
      <c r="G550" s="1"/>
      <c r="H550" s="1"/>
      <c r="I550" s="1"/>
      <c r="J550" s="1"/>
    </row>
    <row r="551" spans="1:10" x14ac:dyDescent="0.25">
      <c r="A551" t="s">
        <v>842</v>
      </c>
      <c r="B551" t="s">
        <v>599</v>
      </c>
      <c r="C551" s="1"/>
      <c r="D551" s="1"/>
      <c r="E551" s="1"/>
      <c r="F551" s="1"/>
      <c r="G551" s="1"/>
      <c r="H551" s="1"/>
      <c r="I551" s="1"/>
      <c r="J551" s="1"/>
    </row>
    <row r="552" spans="1:10" x14ac:dyDescent="0.25">
      <c r="A552" t="s">
        <v>226</v>
      </c>
      <c r="B552" t="s">
        <v>600</v>
      </c>
      <c r="C552" s="1">
        <v>1383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/>
    </row>
    <row r="553" spans="1:10" x14ac:dyDescent="0.25">
      <c r="A553" t="s">
        <v>817</v>
      </c>
      <c r="B553" t="s">
        <v>601</v>
      </c>
      <c r="C553" s="1">
        <v>8228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/>
    </row>
    <row r="554" spans="1:10" x14ac:dyDescent="0.25">
      <c r="A554" t="s">
        <v>788</v>
      </c>
      <c r="B554" t="s">
        <v>602</v>
      </c>
      <c r="C554" s="1">
        <v>14013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/>
    </row>
    <row r="555" spans="1:10" x14ac:dyDescent="0.25">
      <c r="A555" t="s">
        <v>859</v>
      </c>
      <c r="B555" t="s">
        <v>603</v>
      </c>
      <c r="C555" s="1">
        <v>588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/>
    </row>
    <row r="556" spans="1:10" x14ac:dyDescent="0.25">
      <c r="A556" t="s">
        <v>831</v>
      </c>
      <c r="B556" t="s">
        <v>604</v>
      </c>
      <c r="C556" s="1">
        <v>7416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/>
    </row>
    <row r="557" spans="1:10" x14ac:dyDescent="0.25">
      <c r="A557" t="s">
        <v>809</v>
      </c>
      <c r="B557" t="s">
        <v>605</v>
      </c>
      <c r="C557" s="1">
        <v>921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/>
    </row>
    <row r="558" spans="1:10" x14ac:dyDescent="0.25">
      <c r="A558" t="s">
        <v>817</v>
      </c>
      <c r="B558" t="s">
        <v>606</v>
      </c>
      <c r="C558" s="1">
        <v>36478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/>
    </row>
    <row r="559" spans="1:10" x14ac:dyDescent="0.25">
      <c r="A559" t="s">
        <v>824</v>
      </c>
      <c r="B559" t="s">
        <v>607</v>
      </c>
      <c r="C559" s="1"/>
      <c r="D559" s="1"/>
      <c r="E559" s="1"/>
      <c r="F559" s="1"/>
      <c r="G559" s="1"/>
      <c r="H559" s="1"/>
      <c r="I559" s="1"/>
      <c r="J559" s="1"/>
    </row>
    <row r="560" spans="1:10" x14ac:dyDescent="0.25">
      <c r="A560" t="s">
        <v>138</v>
      </c>
      <c r="B560" t="s">
        <v>608</v>
      </c>
      <c r="C560" s="1">
        <v>11158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/>
    </row>
    <row r="561" spans="1:10" x14ac:dyDescent="0.25">
      <c r="A561" t="s">
        <v>859</v>
      </c>
      <c r="B561" t="s">
        <v>609</v>
      </c>
      <c r="C561" s="1">
        <v>1116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/>
    </row>
    <row r="562" spans="1:10" x14ac:dyDescent="0.25">
      <c r="A562" t="s">
        <v>817</v>
      </c>
      <c r="B562" t="s">
        <v>610</v>
      </c>
      <c r="C562" s="1">
        <v>12092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/>
    </row>
    <row r="563" spans="1:10" x14ac:dyDescent="0.25">
      <c r="A563" t="s">
        <v>817</v>
      </c>
      <c r="B563" t="s">
        <v>611</v>
      </c>
      <c r="C563" s="1">
        <v>7930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/>
    </row>
    <row r="564" spans="1:10" x14ac:dyDescent="0.25">
      <c r="A564" t="s">
        <v>134</v>
      </c>
      <c r="B564" t="s">
        <v>612</v>
      </c>
      <c r="C564" s="1">
        <v>20445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/>
    </row>
    <row r="565" spans="1:10" x14ac:dyDescent="0.25">
      <c r="A565" t="s">
        <v>817</v>
      </c>
      <c r="B565" t="s">
        <v>613</v>
      </c>
      <c r="C565" s="1">
        <v>19310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/>
    </row>
    <row r="566" spans="1:10" x14ac:dyDescent="0.25">
      <c r="A566" t="s">
        <v>817</v>
      </c>
      <c r="B566" t="s">
        <v>614</v>
      </c>
      <c r="C566" s="1">
        <v>2029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/>
    </row>
    <row r="567" spans="1:10" x14ac:dyDescent="0.25">
      <c r="A567" t="s">
        <v>826</v>
      </c>
      <c r="B567" t="s">
        <v>615</v>
      </c>
      <c r="C567" s="1"/>
      <c r="D567" s="1"/>
      <c r="E567" s="1"/>
      <c r="F567" s="1"/>
      <c r="G567" s="1"/>
      <c r="H567" s="1"/>
      <c r="I567" s="1"/>
      <c r="J567" s="1"/>
    </row>
    <row r="568" spans="1:10" x14ac:dyDescent="0.25">
      <c r="A568" t="s">
        <v>101</v>
      </c>
      <c r="B568" t="s">
        <v>616</v>
      </c>
      <c r="C568" s="1">
        <v>4374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/>
    </row>
    <row r="569" spans="1:10" x14ac:dyDescent="0.25">
      <c r="A569" t="s">
        <v>811</v>
      </c>
      <c r="B569" t="s">
        <v>617</v>
      </c>
      <c r="C569" s="1"/>
      <c r="D569" s="1"/>
      <c r="E569" s="1"/>
      <c r="F569" s="1"/>
      <c r="G569" s="1"/>
      <c r="H569" s="1"/>
      <c r="I569" s="1"/>
      <c r="J569" s="1"/>
    </row>
    <row r="570" spans="1:10" x14ac:dyDescent="0.25">
      <c r="A570" t="s">
        <v>101</v>
      </c>
      <c r="B570" t="s">
        <v>618</v>
      </c>
      <c r="C570" s="1">
        <v>2475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/>
    </row>
    <row r="571" spans="1:10" x14ac:dyDescent="0.25">
      <c r="A571" t="s">
        <v>788</v>
      </c>
      <c r="B571" t="s">
        <v>619</v>
      </c>
      <c r="C571" s="1">
        <v>7394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/>
    </row>
    <row r="572" spans="1:10" x14ac:dyDescent="0.25">
      <c r="A572" t="s">
        <v>817</v>
      </c>
      <c r="B572" t="s">
        <v>620</v>
      </c>
      <c r="C572" s="1">
        <v>9605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/>
    </row>
    <row r="573" spans="1:10" x14ac:dyDescent="0.25">
      <c r="A573" t="s">
        <v>248</v>
      </c>
      <c r="B573" t="s">
        <v>621</v>
      </c>
      <c r="C573" s="1"/>
      <c r="D573" s="1"/>
      <c r="E573" s="1"/>
      <c r="F573" s="1"/>
      <c r="G573" s="1"/>
      <c r="H573" s="1"/>
      <c r="I573" s="1"/>
      <c r="J573" s="1"/>
    </row>
    <row r="574" spans="1:10" x14ac:dyDescent="0.25">
      <c r="A574" t="s">
        <v>831</v>
      </c>
      <c r="B574" t="s">
        <v>622</v>
      </c>
      <c r="C574" s="1">
        <v>15521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/>
    </row>
    <row r="575" spans="1:10" x14ac:dyDescent="0.25">
      <c r="A575" t="s">
        <v>823</v>
      </c>
      <c r="B575" t="s">
        <v>623</v>
      </c>
      <c r="C575" s="1">
        <v>1504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/>
    </row>
    <row r="576" spans="1:10" x14ac:dyDescent="0.25">
      <c r="A576" t="s">
        <v>817</v>
      </c>
      <c r="B576" t="s">
        <v>624</v>
      </c>
      <c r="C576" s="1">
        <v>3077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/>
    </row>
    <row r="577" spans="1:10" x14ac:dyDescent="0.25">
      <c r="A577" t="s">
        <v>76</v>
      </c>
      <c r="B577" t="s">
        <v>625</v>
      </c>
      <c r="C577" s="1">
        <v>11123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/>
    </row>
    <row r="578" spans="1:10" x14ac:dyDescent="0.25">
      <c r="A578" t="s">
        <v>69</v>
      </c>
      <c r="B578" t="s">
        <v>626</v>
      </c>
      <c r="C578" s="1">
        <v>24410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/>
    </row>
    <row r="579" spans="1:10" x14ac:dyDescent="0.25">
      <c r="A579" t="s">
        <v>83</v>
      </c>
      <c r="B579" t="s">
        <v>627</v>
      </c>
      <c r="C579" s="1"/>
      <c r="D579" s="1"/>
      <c r="E579" s="1"/>
      <c r="F579" s="1"/>
      <c r="G579" s="1"/>
      <c r="H579" s="1"/>
      <c r="I579" s="1"/>
      <c r="J579" s="1"/>
    </row>
    <row r="580" spans="1:10" x14ac:dyDescent="0.25">
      <c r="A580" t="s">
        <v>791</v>
      </c>
      <c r="B580" t="s">
        <v>628</v>
      </c>
      <c r="C580" s="1"/>
      <c r="D580" s="1"/>
      <c r="E580" s="1"/>
      <c r="F580" s="1"/>
      <c r="G580" s="1"/>
      <c r="H580" s="1"/>
      <c r="I580" s="1"/>
      <c r="J580" s="1"/>
    </row>
    <row r="581" spans="1:10" x14ac:dyDescent="0.25">
      <c r="A581" t="s">
        <v>797</v>
      </c>
      <c r="B581" t="s">
        <v>629</v>
      </c>
      <c r="C581" s="1"/>
      <c r="D581" s="1"/>
      <c r="E581" s="1"/>
      <c r="F581" s="1"/>
      <c r="G581" s="1"/>
      <c r="H581" s="1"/>
      <c r="I581" s="1"/>
      <c r="J581" s="1"/>
    </row>
    <row r="582" spans="1:10" x14ac:dyDescent="0.25">
      <c r="A582" t="s">
        <v>69</v>
      </c>
      <c r="B582" t="s">
        <v>630</v>
      </c>
      <c r="C582" s="1">
        <v>2991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/>
    </row>
    <row r="583" spans="1:10" x14ac:dyDescent="0.25">
      <c r="A583" t="s">
        <v>69</v>
      </c>
      <c r="B583" t="s">
        <v>631</v>
      </c>
      <c r="C583" s="1">
        <v>17126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/>
    </row>
    <row r="584" spans="1:10" x14ac:dyDescent="0.25">
      <c r="A584" t="s">
        <v>823</v>
      </c>
      <c r="B584" t="s">
        <v>632</v>
      </c>
      <c r="C584" s="1">
        <v>1083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/>
    </row>
    <row r="585" spans="1:10" x14ac:dyDescent="0.25">
      <c r="A585" t="s">
        <v>76</v>
      </c>
      <c r="B585" t="s">
        <v>633</v>
      </c>
      <c r="C585" s="1">
        <v>4334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/>
    </row>
    <row r="586" spans="1:10" x14ac:dyDescent="0.25">
      <c r="A586" t="s">
        <v>817</v>
      </c>
      <c r="B586" t="s">
        <v>634</v>
      </c>
      <c r="C586" s="1">
        <v>3514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/>
    </row>
    <row r="587" spans="1:10" x14ac:dyDescent="0.25">
      <c r="A587" t="s">
        <v>801</v>
      </c>
      <c r="B587" t="s">
        <v>635</v>
      </c>
      <c r="C587" s="1">
        <v>22338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/>
    </row>
    <row r="588" spans="1:10" x14ac:dyDescent="0.25">
      <c r="A588" t="s">
        <v>817</v>
      </c>
      <c r="B588" t="s">
        <v>636</v>
      </c>
      <c r="C588" s="1">
        <v>5531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/>
    </row>
    <row r="589" spans="1:10" x14ac:dyDescent="0.25">
      <c r="A589" t="s">
        <v>824</v>
      </c>
      <c r="B589" t="s">
        <v>637</v>
      </c>
      <c r="C589" s="1"/>
      <c r="D589" s="1"/>
      <c r="E589" s="1"/>
      <c r="F589" s="1"/>
      <c r="G589" s="1"/>
      <c r="H589" s="1"/>
      <c r="I589" s="1"/>
      <c r="J589" s="1"/>
    </row>
    <row r="590" spans="1:10" x14ac:dyDescent="0.25">
      <c r="A590" t="s">
        <v>818</v>
      </c>
      <c r="B590" t="s">
        <v>638</v>
      </c>
      <c r="C590" s="1">
        <v>11228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/>
    </row>
    <row r="591" spans="1:10" x14ac:dyDescent="0.25">
      <c r="A591" t="s">
        <v>817</v>
      </c>
      <c r="B591" t="s">
        <v>639</v>
      </c>
      <c r="C591" s="1">
        <v>10066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/>
    </row>
    <row r="592" spans="1:10" x14ac:dyDescent="0.25">
      <c r="A592" t="s">
        <v>811</v>
      </c>
      <c r="B592" t="s">
        <v>640</v>
      </c>
      <c r="C592" s="1"/>
      <c r="D592" s="1"/>
      <c r="E592" s="1"/>
      <c r="F592" s="1"/>
      <c r="G592" s="1"/>
      <c r="H592" s="1"/>
      <c r="I592" s="1"/>
      <c r="J592" s="1"/>
    </row>
    <row r="593" spans="1:10" x14ac:dyDescent="0.25">
      <c r="A593" t="s">
        <v>811</v>
      </c>
      <c r="B593" t="s">
        <v>641</v>
      </c>
      <c r="C593" s="1"/>
      <c r="D593" s="1"/>
      <c r="E593" s="1"/>
      <c r="F593" s="1"/>
      <c r="G593" s="1"/>
      <c r="H593" s="1"/>
      <c r="I593" s="1"/>
      <c r="J593" s="1"/>
    </row>
    <row r="594" spans="1:10" x14ac:dyDescent="0.25">
      <c r="A594" t="s">
        <v>76</v>
      </c>
      <c r="B594" t="s">
        <v>642</v>
      </c>
      <c r="C594" s="1">
        <v>1387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/>
    </row>
    <row r="595" spans="1:10" x14ac:dyDescent="0.25">
      <c r="A595" t="s">
        <v>817</v>
      </c>
      <c r="B595" t="s">
        <v>643</v>
      </c>
      <c r="C595" s="1">
        <v>560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/>
    </row>
    <row r="596" spans="1:10" x14ac:dyDescent="0.25">
      <c r="A596" t="s">
        <v>76</v>
      </c>
      <c r="B596" t="s">
        <v>644</v>
      </c>
      <c r="C596" s="1">
        <v>3893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/>
    </row>
    <row r="597" spans="1:10" x14ac:dyDescent="0.25">
      <c r="A597" t="s">
        <v>817</v>
      </c>
      <c r="B597" t="s">
        <v>645</v>
      </c>
      <c r="C597" s="1">
        <v>20241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/>
    </row>
    <row r="598" spans="1:10" x14ac:dyDescent="0.25">
      <c r="A598" t="s">
        <v>817</v>
      </c>
      <c r="B598" t="s">
        <v>646</v>
      </c>
      <c r="C598" s="1">
        <v>4272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/>
    </row>
    <row r="599" spans="1:10" x14ac:dyDescent="0.25">
      <c r="A599" t="s">
        <v>226</v>
      </c>
      <c r="B599" t="s">
        <v>647</v>
      </c>
      <c r="C599" s="1">
        <v>597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/>
    </row>
    <row r="600" spans="1:10" x14ac:dyDescent="0.25">
      <c r="A600" t="s">
        <v>831</v>
      </c>
      <c r="B600" t="s">
        <v>648</v>
      </c>
      <c r="C600" s="1">
        <v>14242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/>
    </row>
    <row r="601" spans="1:10" x14ac:dyDescent="0.25">
      <c r="A601" t="s">
        <v>818</v>
      </c>
      <c r="B601" t="s">
        <v>649</v>
      </c>
      <c r="C601" s="1">
        <v>4830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/>
    </row>
    <row r="602" spans="1:10" x14ac:dyDescent="0.25">
      <c r="A602" t="s">
        <v>817</v>
      </c>
      <c r="B602" t="s">
        <v>650</v>
      </c>
      <c r="C602" s="1">
        <v>7055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/>
    </row>
    <row r="603" spans="1:10" x14ac:dyDescent="0.25">
      <c r="A603" t="s">
        <v>817</v>
      </c>
      <c r="B603" t="s">
        <v>651</v>
      </c>
      <c r="C603" s="1">
        <v>6310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/>
    </row>
    <row r="604" spans="1:10" x14ac:dyDescent="0.25">
      <c r="A604" t="s">
        <v>817</v>
      </c>
      <c r="B604" t="s">
        <v>652</v>
      </c>
      <c r="C604" s="1"/>
      <c r="D604" s="1"/>
      <c r="E604" s="1"/>
      <c r="F604" s="1"/>
      <c r="G604" s="1"/>
      <c r="H604" s="1"/>
      <c r="I604" s="1"/>
      <c r="J604" s="1"/>
    </row>
    <row r="605" spans="1:10" x14ac:dyDescent="0.25">
      <c r="A605" t="s">
        <v>817</v>
      </c>
      <c r="B605" t="s">
        <v>653</v>
      </c>
      <c r="C605" s="1">
        <v>21310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/>
    </row>
    <row r="606" spans="1:10" x14ac:dyDescent="0.25">
      <c r="A606" t="s">
        <v>817</v>
      </c>
      <c r="B606" t="s">
        <v>654</v>
      </c>
      <c r="C606" s="1">
        <v>13537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/>
    </row>
    <row r="607" spans="1:10" x14ac:dyDescent="0.25">
      <c r="A607" t="s">
        <v>826</v>
      </c>
      <c r="B607" t="s">
        <v>655</v>
      </c>
      <c r="C607" s="1"/>
      <c r="D607" s="1"/>
      <c r="E607" s="1"/>
      <c r="F607" s="1"/>
      <c r="G607" s="1"/>
      <c r="H607" s="1"/>
      <c r="I607" s="1"/>
      <c r="J607" s="1"/>
    </row>
    <row r="608" spans="1:10" x14ac:dyDescent="0.25">
      <c r="A608" t="s">
        <v>817</v>
      </c>
      <c r="B608" t="s">
        <v>656</v>
      </c>
      <c r="C608" s="1">
        <v>4163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/>
    </row>
    <row r="609" spans="1:10" x14ac:dyDescent="0.25">
      <c r="A609" t="s">
        <v>811</v>
      </c>
      <c r="B609" t="s">
        <v>657</v>
      </c>
      <c r="C609" s="1"/>
      <c r="D609" s="1"/>
      <c r="E609" s="1"/>
      <c r="F609" s="1"/>
      <c r="G609" s="1"/>
      <c r="H609" s="1"/>
      <c r="I609" s="1"/>
      <c r="J609" s="1"/>
    </row>
    <row r="610" spans="1:10" s="2" customFormat="1" x14ac:dyDescent="0.25">
      <c r="A610" t="s">
        <v>817</v>
      </c>
      <c r="B610" t="s">
        <v>658</v>
      </c>
      <c r="C610" s="1">
        <v>22639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/>
    </row>
    <row r="611" spans="1:10" x14ac:dyDescent="0.25">
      <c r="A611" t="s">
        <v>860</v>
      </c>
      <c r="B611" t="s">
        <v>659</v>
      </c>
      <c r="C611" s="1"/>
      <c r="D611" s="1"/>
      <c r="E611" s="1"/>
      <c r="F611" s="1"/>
      <c r="G611" s="1"/>
      <c r="H611" s="1"/>
      <c r="I611" s="1"/>
      <c r="J611" s="1"/>
    </row>
    <row r="612" spans="1:10" x14ac:dyDescent="0.25">
      <c r="A612" t="s">
        <v>248</v>
      </c>
      <c r="B612" t="s">
        <v>660</v>
      </c>
      <c r="C612" s="1"/>
      <c r="D612" s="1"/>
      <c r="E612" s="1"/>
      <c r="F612" s="1"/>
      <c r="G612" s="1"/>
      <c r="H612" s="1"/>
      <c r="I612" s="1"/>
      <c r="J612" s="1"/>
    </row>
    <row r="613" spans="1:10" x14ac:dyDescent="0.25">
      <c r="A613" t="s">
        <v>861</v>
      </c>
      <c r="B613" t="s">
        <v>661</v>
      </c>
      <c r="C613" s="1"/>
      <c r="D613" s="1"/>
      <c r="E613" s="1"/>
      <c r="F613" s="1"/>
      <c r="G613" s="1"/>
      <c r="H613" s="1"/>
      <c r="I613" s="1"/>
      <c r="J613" s="1"/>
    </row>
    <row r="614" spans="1:10" x14ac:dyDescent="0.25">
      <c r="A614" t="s">
        <v>229</v>
      </c>
      <c r="B614" t="s">
        <v>662</v>
      </c>
      <c r="C614" s="1">
        <v>3696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/>
    </row>
    <row r="615" spans="1:10" x14ac:dyDescent="0.25">
      <c r="A615" t="s">
        <v>101</v>
      </c>
      <c r="B615" t="s">
        <v>663</v>
      </c>
      <c r="C615" s="1">
        <v>2150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/>
    </row>
    <row r="616" spans="1:10" x14ac:dyDescent="0.25">
      <c r="A616" t="s">
        <v>69</v>
      </c>
      <c r="B616" t="s">
        <v>664</v>
      </c>
      <c r="C616" s="1">
        <v>6236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/>
    </row>
    <row r="617" spans="1:10" x14ac:dyDescent="0.25">
      <c r="A617" t="s">
        <v>859</v>
      </c>
      <c r="B617" s="5" t="s">
        <v>665</v>
      </c>
      <c r="C617" s="6"/>
      <c r="D617" s="6"/>
      <c r="E617" s="6"/>
      <c r="F617" s="6"/>
      <c r="G617" s="6"/>
      <c r="H617" s="6"/>
      <c r="I617" s="6"/>
      <c r="J617" s="6"/>
    </row>
    <row r="618" spans="1:10" x14ac:dyDescent="0.25">
      <c r="A618" t="s">
        <v>804</v>
      </c>
      <c r="B618" t="s">
        <v>666</v>
      </c>
      <c r="C618" s="1">
        <v>9307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/>
    </row>
    <row r="619" spans="1:10" x14ac:dyDescent="0.25">
      <c r="A619" t="s">
        <v>853</v>
      </c>
      <c r="B619" t="s">
        <v>667</v>
      </c>
      <c r="C619" s="1"/>
      <c r="D619" s="1"/>
      <c r="E619" s="1"/>
      <c r="F619" s="1"/>
      <c r="G619" s="1"/>
      <c r="H619" s="1"/>
      <c r="I619" s="1"/>
      <c r="J619" s="1"/>
    </row>
    <row r="620" spans="1:10" x14ac:dyDescent="0.25">
      <c r="A620" t="s">
        <v>862</v>
      </c>
      <c r="B620" t="s">
        <v>668</v>
      </c>
      <c r="C620" s="1"/>
      <c r="D620" s="1"/>
      <c r="E620" s="1"/>
      <c r="F620" s="1"/>
      <c r="G620" s="1"/>
      <c r="H620" s="1"/>
      <c r="I620" s="1"/>
      <c r="J620" s="1"/>
    </row>
    <row r="621" spans="1:10" x14ac:dyDescent="0.25">
      <c r="A621" t="s">
        <v>847</v>
      </c>
      <c r="B621" t="s">
        <v>669</v>
      </c>
      <c r="C621" s="1"/>
      <c r="D621" s="1"/>
      <c r="E621" s="1"/>
      <c r="F621" s="1"/>
      <c r="G621" s="1"/>
      <c r="H621" s="1"/>
      <c r="I621" s="1"/>
      <c r="J621" s="1"/>
    </row>
    <row r="622" spans="1:10" x14ac:dyDescent="0.25">
      <c r="A622" t="s">
        <v>849</v>
      </c>
      <c r="B622" t="s">
        <v>670</v>
      </c>
      <c r="C622" s="1"/>
      <c r="D622" s="1"/>
      <c r="E622" s="1"/>
      <c r="F622" s="1"/>
      <c r="G622" s="1"/>
      <c r="H622" s="1"/>
      <c r="I622" s="1"/>
      <c r="J622" s="1"/>
    </row>
    <row r="623" spans="1:10" x14ac:dyDescent="0.25">
      <c r="A623" t="s">
        <v>226</v>
      </c>
      <c r="B623" t="s">
        <v>671</v>
      </c>
      <c r="C623" s="1">
        <v>24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/>
    </row>
    <row r="624" spans="1:10" x14ac:dyDescent="0.25">
      <c r="A624" t="s">
        <v>795</v>
      </c>
      <c r="B624" t="s">
        <v>672</v>
      </c>
      <c r="C624" s="1">
        <v>24102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/>
    </row>
    <row r="625" spans="1:10" x14ac:dyDescent="0.25">
      <c r="A625" t="s">
        <v>830</v>
      </c>
      <c r="B625" t="s">
        <v>673</v>
      </c>
      <c r="C625" s="1"/>
      <c r="D625" s="1"/>
      <c r="E625" s="1"/>
      <c r="F625" s="1"/>
      <c r="G625" s="1"/>
      <c r="H625" s="1"/>
      <c r="I625" s="1"/>
      <c r="J625" s="1"/>
    </row>
    <row r="626" spans="1:10" x14ac:dyDescent="0.25">
      <c r="A626" t="s">
        <v>795</v>
      </c>
      <c r="B626" t="s">
        <v>674</v>
      </c>
      <c r="C626" s="1">
        <v>21078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/>
    </row>
    <row r="627" spans="1:10" x14ac:dyDescent="0.25">
      <c r="A627" t="s">
        <v>854</v>
      </c>
      <c r="B627" t="s">
        <v>675</v>
      </c>
      <c r="C627" s="1"/>
      <c r="D627" s="1"/>
      <c r="E627" s="1"/>
      <c r="F627" s="1"/>
      <c r="G627" s="1"/>
      <c r="H627" s="1"/>
      <c r="I627" s="1"/>
      <c r="J627" s="1"/>
    </row>
    <row r="628" spans="1:10" x14ac:dyDescent="0.25">
      <c r="A628" t="s">
        <v>101</v>
      </c>
      <c r="B628" t="s">
        <v>676</v>
      </c>
      <c r="C628" s="1">
        <v>9868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/>
    </row>
    <row r="629" spans="1:10" x14ac:dyDescent="0.25">
      <c r="A629" t="s">
        <v>226</v>
      </c>
      <c r="B629" t="s">
        <v>677</v>
      </c>
      <c r="C629" s="1">
        <v>1818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/>
    </row>
    <row r="630" spans="1:10" x14ac:dyDescent="0.25">
      <c r="A630" t="s">
        <v>138</v>
      </c>
      <c r="B630" t="s">
        <v>678</v>
      </c>
      <c r="C630" s="1">
        <v>9875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/>
    </row>
    <row r="631" spans="1:10" x14ac:dyDescent="0.25">
      <c r="A631" t="s">
        <v>804</v>
      </c>
      <c r="B631" t="s">
        <v>679</v>
      </c>
      <c r="C631" s="1">
        <v>1912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/>
    </row>
    <row r="632" spans="1:10" x14ac:dyDescent="0.25">
      <c r="A632" s="9" t="s">
        <v>823</v>
      </c>
      <c r="B632" s="10" t="s">
        <v>680</v>
      </c>
      <c r="C632" s="1">
        <v>10326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/>
    </row>
    <row r="633" spans="1:10" x14ac:dyDescent="0.25">
      <c r="A633" t="s">
        <v>809</v>
      </c>
      <c r="B633" t="s">
        <v>681</v>
      </c>
      <c r="C633" s="1">
        <v>15942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/>
    </row>
    <row r="634" spans="1:10" x14ac:dyDescent="0.25">
      <c r="A634" t="s">
        <v>248</v>
      </c>
      <c r="B634" t="s">
        <v>682</v>
      </c>
      <c r="C634" s="1"/>
      <c r="D634" s="1"/>
      <c r="E634" s="1"/>
      <c r="F634" s="1"/>
      <c r="G634" s="1"/>
      <c r="H634" s="1"/>
      <c r="I634" s="1"/>
      <c r="J634" s="1"/>
    </row>
    <row r="635" spans="1:10" x14ac:dyDescent="0.25">
      <c r="A635" t="s">
        <v>795</v>
      </c>
      <c r="B635" t="s">
        <v>683</v>
      </c>
      <c r="C635" s="1">
        <v>14148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/>
    </row>
    <row r="636" spans="1:10" x14ac:dyDescent="0.25">
      <c r="A636" t="s">
        <v>795</v>
      </c>
      <c r="B636" t="s">
        <v>684</v>
      </c>
      <c r="C636" s="1">
        <v>40774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/>
    </row>
    <row r="637" spans="1:10" x14ac:dyDescent="0.25">
      <c r="A637" t="s">
        <v>795</v>
      </c>
      <c r="B637" t="s">
        <v>685</v>
      </c>
      <c r="C637" s="1">
        <v>4007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/>
    </row>
    <row r="638" spans="1:10" x14ac:dyDescent="0.25">
      <c r="A638" t="s">
        <v>851</v>
      </c>
      <c r="B638" t="s">
        <v>686</v>
      </c>
      <c r="C638" s="1"/>
      <c r="D638" s="1"/>
      <c r="E638" s="1"/>
      <c r="F638" s="1"/>
      <c r="G638" s="1"/>
      <c r="H638" s="1"/>
      <c r="I638" s="1"/>
      <c r="J638" s="1"/>
    </row>
    <row r="639" spans="1:10" x14ac:dyDescent="0.25">
      <c r="A639" t="s">
        <v>841</v>
      </c>
      <c r="B639" t="s">
        <v>687</v>
      </c>
      <c r="C639" s="1"/>
      <c r="D639" s="1"/>
      <c r="E639" s="1"/>
      <c r="F639" s="1"/>
      <c r="G639" s="1"/>
      <c r="H639" s="1"/>
      <c r="I639" s="1"/>
      <c r="J639" s="1"/>
    </row>
    <row r="640" spans="1:10" x14ac:dyDescent="0.25">
      <c r="A640" t="s">
        <v>859</v>
      </c>
      <c r="B640" t="s">
        <v>688</v>
      </c>
      <c r="C640" s="1">
        <v>745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/>
    </row>
    <row r="641" spans="1:10" x14ac:dyDescent="0.25">
      <c r="A641" t="s">
        <v>248</v>
      </c>
      <c r="B641" t="s">
        <v>689</v>
      </c>
      <c r="C641" s="1"/>
      <c r="D641" s="1"/>
      <c r="E641" s="1"/>
      <c r="F641" s="1"/>
      <c r="G641" s="1"/>
      <c r="H641" s="1"/>
      <c r="I641" s="1"/>
      <c r="J641" s="1"/>
    </row>
    <row r="642" spans="1:10" x14ac:dyDescent="0.25">
      <c r="A642" t="s">
        <v>831</v>
      </c>
      <c r="B642" t="s">
        <v>690</v>
      </c>
      <c r="C642" s="1">
        <v>6966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/>
    </row>
    <row r="643" spans="1:10" x14ac:dyDescent="0.25">
      <c r="A643" t="s">
        <v>840</v>
      </c>
      <c r="B643" t="s">
        <v>691</v>
      </c>
      <c r="C643" s="1"/>
      <c r="D643" s="1"/>
      <c r="E643" s="1"/>
      <c r="F643" s="1"/>
      <c r="G643" s="1"/>
      <c r="H643" s="1"/>
      <c r="I643" s="1"/>
      <c r="J643" s="1"/>
    </row>
    <row r="644" spans="1:10" x14ac:dyDescent="0.25">
      <c r="A644" t="s">
        <v>495</v>
      </c>
      <c r="B644" t="s">
        <v>692</v>
      </c>
      <c r="C644" s="1">
        <v>7982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/>
    </row>
    <row r="645" spans="1:10" x14ac:dyDescent="0.25">
      <c r="A645" t="s">
        <v>824</v>
      </c>
      <c r="B645" t="s">
        <v>693</v>
      </c>
      <c r="C645" s="1"/>
      <c r="D645" s="1"/>
      <c r="E645" s="1"/>
      <c r="F645" s="1"/>
      <c r="G645" s="1"/>
      <c r="H645" s="1"/>
      <c r="I645" s="1"/>
      <c r="J645" s="1"/>
    </row>
    <row r="646" spans="1:10" x14ac:dyDescent="0.25">
      <c r="A646" t="s">
        <v>795</v>
      </c>
      <c r="B646" t="s">
        <v>694</v>
      </c>
      <c r="C646" s="1">
        <v>2677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/>
    </row>
    <row r="647" spans="1:10" x14ac:dyDescent="0.25">
      <c r="A647" t="s">
        <v>72</v>
      </c>
      <c r="B647" t="s">
        <v>695</v>
      </c>
      <c r="C647" s="1">
        <v>2270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/>
    </row>
    <row r="648" spans="1:10" x14ac:dyDescent="0.25">
      <c r="A648" t="s">
        <v>795</v>
      </c>
      <c r="B648" t="s">
        <v>696</v>
      </c>
      <c r="C648" s="1">
        <v>7497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/>
    </row>
    <row r="649" spans="1:10" x14ac:dyDescent="0.25">
      <c r="A649" t="s">
        <v>831</v>
      </c>
      <c r="B649" t="s">
        <v>697</v>
      </c>
      <c r="C649" s="1">
        <v>6293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/>
    </row>
    <row r="650" spans="1:10" x14ac:dyDescent="0.25">
      <c r="A650" t="s">
        <v>829</v>
      </c>
      <c r="B650" t="s">
        <v>698</v>
      </c>
      <c r="C650" s="1"/>
      <c r="D650" s="1"/>
      <c r="E650" s="1"/>
      <c r="F650" s="1"/>
      <c r="G650" s="1"/>
      <c r="H650" s="1"/>
      <c r="I650" s="1"/>
      <c r="J650" s="1"/>
    </row>
    <row r="651" spans="1:10" x14ac:dyDescent="0.25">
      <c r="A651" t="s">
        <v>811</v>
      </c>
      <c r="B651" t="s">
        <v>699</v>
      </c>
      <c r="C651" s="1"/>
      <c r="D651" s="1"/>
      <c r="E651" s="1"/>
      <c r="F651" s="1"/>
      <c r="G651" s="1"/>
      <c r="H651" s="1"/>
      <c r="I651" s="1"/>
      <c r="J651" s="1"/>
    </row>
    <row r="652" spans="1:10" x14ac:dyDescent="0.25">
      <c r="A652" t="s">
        <v>856</v>
      </c>
      <c r="B652" t="s">
        <v>700</v>
      </c>
      <c r="C652" s="1"/>
      <c r="D652" s="1"/>
      <c r="E652" s="1"/>
      <c r="F652" s="1"/>
      <c r="G652" s="1"/>
      <c r="H652" s="1"/>
      <c r="I652" s="1"/>
      <c r="J652" s="1"/>
    </row>
    <row r="653" spans="1:10" x14ac:dyDescent="0.25">
      <c r="A653" t="s">
        <v>796</v>
      </c>
      <c r="B653" t="s">
        <v>701</v>
      </c>
      <c r="C653" s="1">
        <f>9010</f>
        <v>9010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/>
    </row>
    <row r="654" spans="1:10" x14ac:dyDescent="0.25">
      <c r="A654" t="s">
        <v>512</v>
      </c>
      <c r="B654" t="s">
        <v>702</v>
      </c>
      <c r="C654" s="1">
        <v>2038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/>
    </row>
    <row r="655" spans="1:10" x14ac:dyDescent="0.25">
      <c r="A655" t="s">
        <v>850</v>
      </c>
      <c r="B655" t="s">
        <v>703</v>
      </c>
      <c r="C655" s="1"/>
      <c r="D655" s="1"/>
      <c r="E655" s="1"/>
      <c r="F655" s="1"/>
      <c r="G655" s="1"/>
      <c r="H655" s="1"/>
      <c r="I655" s="1"/>
      <c r="J655" s="1"/>
    </row>
    <row r="656" spans="1:10" x14ac:dyDescent="0.25">
      <c r="A656" t="s">
        <v>146</v>
      </c>
      <c r="B656" t="s">
        <v>704</v>
      </c>
      <c r="C656" s="1">
        <v>6055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/>
    </row>
    <row r="657" spans="1:10" x14ac:dyDescent="0.25">
      <c r="A657" t="s">
        <v>846</v>
      </c>
      <c r="B657" t="s">
        <v>705</v>
      </c>
      <c r="C657" s="1"/>
      <c r="D657" s="1"/>
      <c r="E657" s="1"/>
      <c r="F657" s="1"/>
      <c r="G657" s="1"/>
      <c r="H657" s="1"/>
      <c r="I657" s="1"/>
      <c r="J657" s="1"/>
    </row>
    <row r="658" spans="1:10" x14ac:dyDescent="0.25">
      <c r="A658" t="s">
        <v>855</v>
      </c>
      <c r="B658" t="s">
        <v>706</v>
      </c>
      <c r="C658" s="1"/>
      <c r="D658" s="1"/>
      <c r="E658" s="1"/>
      <c r="F658" s="1"/>
      <c r="G658" s="1"/>
      <c r="H658" s="1"/>
      <c r="I658" s="1"/>
      <c r="J658" s="1"/>
    </row>
    <row r="659" spans="1:10" x14ac:dyDescent="0.25">
      <c r="A659" t="s">
        <v>794</v>
      </c>
      <c r="B659" t="s">
        <v>707</v>
      </c>
      <c r="C659" s="1">
        <v>2687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/>
    </row>
    <row r="660" spans="1:10" x14ac:dyDescent="0.25">
      <c r="A660" s="23" t="s">
        <v>108</v>
      </c>
      <c r="B660" s="23" t="s">
        <v>708</v>
      </c>
      <c r="C660" s="1"/>
      <c r="D660" s="1"/>
      <c r="E660" s="1"/>
      <c r="F660" s="1"/>
      <c r="G660" s="1"/>
      <c r="H660" s="1"/>
      <c r="I660" s="1"/>
      <c r="J660" s="1"/>
    </row>
    <row r="661" spans="1:10" x14ac:dyDescent="0.25">
      <c r="A661" t="s">
        <v>834</v>
      </c>
      <c r="B661" t="s">
        <v>709</v>
      </c>
      <c r="C661" s="1"/>
      <c r="D661" s="1"/>
      <c r="E661" s="1"/>
      <c r="F661" s="1"/>
      <c r="G661" s="1"/>
      <c r="H661" s="1"/>
      <c r="I661" s="1"/>
      <c r="J661" s="1"/>
    </row>
    <row r="662" spans="1:10" x14ac:dyDescent="0.25">
      <c r="A662" t="s">
        <v>852</v>
      </c>
      <c r="B662" t="s">
        <v>710</v>
      </c>
      <c r="C662" s="1"/>
      <c r="D662" s="1"/>
      <c r="E662" s="1"/>
      <c r="F662" s="1"/>
      <c r="G662" s="1"/>
      <c r="H662" s="1"/>
      <c r="I662" s="1"/>
      <c r="J662" s="1"/>
    </row>
    <row r="663" spans="1:10" x14ac:dyDescent="0.25">
      <c r="A663" t="s">
        <v>824</v>
      </c>
      <c r="B663" t="s">
        <v>711</v>
      </c>
      <c r="C663" s="1"/>
      <c r="D663" s="1"/>
      <c r="E663" s="1"/>
      <c r="F663" s="1"/>
      <c r="G663" s="1"/>
      <c r="H663" s="1"/>
      <c r="I663" s="1"/>
      <c r="J663" s="1"/>
    </row>
    <row r="664" spans="1:10" x14ac:dyDescent="0.25">
      <c r="A664" t="s">
        <v>817</v>
      </c>
      <c r="B664" t="s">
        <v>712</v>
      </c>
      <c r="C664" s="1">
        <v>5809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/>
    </row>
    <row r="665" spans="1:10" x14ac:dyDescent="0.25">
      <c r="A665" t="s">
        <v>857</v>
      </c>
      <c r="B665" t="s">
        <v>713</v>
      </c>
      <c r="C665" s="1"/>
      <c r="D665" s="1"/>
      <c r="E665" s="1"/>
      <c r="F665" s="1"/>
      <c r="G665" s="1"/>
      <c r="H665" s="1"/>
      <c r="I665" s="1"/>
      <c r="J665" s="1"/>
    </row>
    <row r="666" spans="1:10" x14ac:dyDescent="0.25">
      <c r="A666" t="s">
        <v>146</v>
      </c>
      <c r="B666" t="s">
        <v>714</v>
      </c>
      <c r="C666" s="1">
        <v>10943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/>
    </row>
    <row r="667" spans="1:10" x14ac:dyDescent="0.25">
      <c r="A667" t="s">
        <v>120</v>
      </c>
      <c r="B667" t="s">
        <v>715</v>
      </c>
      <c r="C667" s="1">
        <v>4891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/>
    </row>
    <row r="668" spans="1:10" x14ac:dyDescent="0.25">
      <c r="A668" t="s">
        <v>146</v>
      </c>
      <c r="B668" t="s">
        <v>716</v>
      </c>
      <c r="C668" s="1">
        <v>3004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/>
    </row>
    <row r="669" spans="1:10" x14ac:dyDescent="0.25">
      <c r="A669" t="s">
        <v>795</v>
      </c>
      <c r="B669" t="s">
        <v>717</v>
      </c>
      <c r="C669" s="1">
        <v>5600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/>
    </row>
    <row r="670" spans="1:10" x14ac:dyDescent="0.25">
      <c r="A670" t="s">
        <v>146</v>
      </c>
      <c r="B670" t="s">
        <v>718</v>
      </c>
      <c r="C670" s="1">
        <v>10152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/>
    </row>
    <row r="671" spans="1:10" x14ac:dyDescent="0.25">
      <c r="A671" t="s">
        <v>816</v>
      </c>
      <c r="B671" t="s">
        <v>719</v>
      </c>
      <c r="C671" s="1">
        <v>278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/>
    </row>
    <row r="672" spans="1:10" x14ac:dyDescent="0.25">
      <c r="A672" t="s">
        <v>817</v>
      </c>
      <c r="B672" t="s">
        <v>720</v>
      </c>
      <c r="C672" s="1">
        <v>16395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/>
    </row>
    <row r="673" spans="1:10" x14ac:dyDescent="0.25">
      <c r="A673" t="s">
        <v>864</v>
      </c>
      <c r="B673" t="s">
        <v>721</v>
      </c>
      <c r="C673" s="1">
        <v>26866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/>
    </row>
    <row r="674" spans="1:10" x14ac:dyDescent="0.25">
      <c r="A674" t="s">
        <v>146</v>
      </c>
      <c r="B674" t="s">
        <v>722</v>
      </c>
      <c r="C674" s="1">
        <v>2498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/>
    </row>
    <row r="675" spans="1:10" x14ac:dyDescent="0.25">
      <c r="A675" t="s">
        <v>858</v>
      </c>
      <c r="B675" t="s">
        <v>723</v>
      </c>
      <c r="C675" s="1"/>
      <c r="D675" s="1"/>
      <c r="E675" s="1"/>
      <c r="F675" s="1"/>
      <c r="G675" s="1"/>
      <c r="H675" s="1"/>
      <c r="I675" s="1"/>
      <c r="J675" s="1"/>
    </row>
    <row r="676" spans="1:10" x14ac:dyDescent="0.25">
      <c r="A676" t="s">
        <v>864</v>
      </c>
      <c r="B676" t="s">
        <v>724</v>
      </c>
      <c r="C676" s="1">
        <v>48890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/>
    </row>
    <row r="677" spans="1:10" x14ac:dyDescent="0.25">
      <c r="A677" t="s">
        <v>794</v>
      </c>
      <c r="B677" t="s">
        <v>725</v>
      </c>
      <c r="C677" s="1">
        <v>11131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/>
    </row>
    <row r="678" spans="1:10" x14ac:dyDescent="0.25">
      <c r="A678" t="s">
        <v>864</v>
      </c>
      <c r="B678" t="s">
        <v>726</v>
      </c>
      <c r="C678" s="1">
        <v>16064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/>
    </row>
    <row r="679" spans="1:10" x14ac:dyDescent="0.25">
      <c r="A679" t="s">
        <v>796</v>
      </c>
      <c r="B679" s="1" t="s">
        <v>727</v>
      </c>
      <c r="C679" s="1">
        <f>1140</f>
        <v>1140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/>
    </row>
    <row r="680" spans="1:10" x14ac:dyDescent="0.25">
      <c r="A680" t="s">
        <v>134</v>
      </c>
      <c r="B680" t="s">
        <v>728</v>
      </c>
      <c r="C680" s="1">
        <v>1222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/>
    </row>
    <row r="681" spans="1:10" x14ac:dyDescent="0.25">
      <c r="A681" t="s">
        <v>138</v>
      </c>
      <c r="B681" t="s">
        <v>729</v>
      </c>
      <c r="C681" s="1">
        <v>3607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/>
    </row>
    <row r="682" spans="1:10" x14ac:dyDescent="0.25">
      <c r="A682" t="s">
        <v>788</v>
      </c>
      <c r="B682" t="s">
        <v>730</v>
      </c>
      <c r="C682" s="1">
        <v>656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/>
    </row>
    <row r="683" spans="1:10" x14ac:dyDescent="0.25">
      <c r="A683" t="s">
        <v>831</v>
      </c>
      <c r="B683" t="s">
        <v>731</v>
      </c>
      <c r="C683" s="1">
        <v>1250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/>
    </row>
    <row r="684" spans="1:10" x14ac:dyDescent="0.25">
      <c r="A684" t="s">
        <v>138</v>
      </c>
      <c r="B684" t="s">
        <v>732</v>
      </c>
      <c r="C684" s="1">
        <v>3084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/>
    </row>
    <row r="685" spans="1:10" x14ac:dyDescent="0.25">
      <c r="A685" t="s">
        <v>809</v>
      </c>
      <c r="B685" t="s">
        <v>733</v>
      </c>
      <c r="C685" s="1">
        <v>10249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/>
    </row>
    <row r="686" spans="1:10" x14ac:dyDescent="0.25">
      <c r="A686" t="s">
        <v>806</v>
      </c>
      <c r="B686" t="s">
        <v>734</v>
      </c>
      <c r="C686" s="1">
        <v>718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/>
    </row>
    <row r="687" spans="1:10" x14ac:dyDescent="0.25">
      <c r="A687" t="s">
        <v>817</v>
      </c>
      <c r="B687" t="s">
        <v>735</v>
      </c>
      <c r="C687" s="1">
        <v>2583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/>
    </row>
    <row r="688" spans="1:10" x14ac:dyDescent="0.25">
      <c r="A688" t="s">
        <v>801</v>
      </c>
      <c r="B688" t="s">
        <v>736</v>
      </c>
      <c r="C688" s="1">
        <v>776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/>
    </row>
    <row r="689" spans="1:10" x14ac:dyDescent="0.25">
      <c r="A689" t="s">
        <v>138</v>
      </c>
      <c r="B689" t="s">
        <v>737</v>
      </c>
      <c r="C689" s="1">
        <v>6034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/>
    </row>
    <row r="690" spans="1:10" x14ac:dyDescent="0.25">
      <c r="A690" t="s">
        <v>138</v>
      </c>
      <c r="B690" t="s">
        <v>738</v>
      </c>
      <c r="C690" s="1">
        <v>5101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/>
    </row>
    <row r="691" spans="1:10" x14ac:dyDescent="0.25">
      <c r="A691" t="s">
        <v>248</v>
      </c>
      <c r="B691" t="s">
        <v>739</v>
      </c>
      <c r="C691" s="1"/>
      <c r="D691" s="1"/>
      <c r="E691" s="1"/>
      <c r="F691" s="1"/>
      <c r="G691" s="1"/>
      <c r="H691" s="1"/>
      <c r="I691" s="1"/>
      <c r="J691" s="1"/>
    </row>
    <row r="692" spans="1:10" x14ac:dyDescent="0.25">
      <c r="A692" t="s">
        <v>138</v>
      </c>
      <c r="B692" t="s">
        <v>740</v>
      </c>
      <c r="C692" s="1">
        <v>2249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/>
    </row>
    <row r="693" spans="1:10" x14ac:dyDescent="0.25">
      <c r="A693" t="s">
        <v>134</v>
      </c>
      <c r="B693" t="s">
        <v>741</v>
      </c>
      <c r="C693" s="1">
        <v>2576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/>
    </row>
    <row r="694" spans="1:10" x14ac:dyDescent="0.25">
      <c r="A694" t="s">
        <v>231</v>
      </c>
      <c r="B694" t="s">
        <v>742</v>
      </c>
      <c r="C694" s="1"/>
      <c r="D694" s="1"/>
      <c r="E694" s="1"/>
      <c r="F694" s="1"/>
      <c r="G694" s="1"/>
      <c r="H694" s="1"/>
      <c r="I694" s="1"/>
      <c r="J694" s="1"/>
    </row>
    <row r="695" spans="1:10" x14ac:dyDescent="0.25">
      <c r="A695" t="s">
        <v>83</v>
      </c>
      <c r="B695" t="s">
        <v>743</v>
      </c>
      <c r="C695" s="1"/>
      <c r="D695" s="1"/>
      <c r="E695" s="1"/>
      <c r="F695" s="1"/>
      <c r="G695" s="1"/>
      <c r="H695" s="1"/>
      <c r="I695" s="1"/>
      <c r="J695" s="1"/>
    </row>
    <row r="696" spans="1:10" x14ac:dyDescent="0.25">
      <c r="A696" t="s">
        <v>826</v>
      </c>
      <c r="B696" t="s">
        <v>744</v>
      </c>
      <c r="C696" s="1"/>
      <c r="D696" s="1"/>
      <c r="E696" s="1"/>
      <c r="F696" s="1"/>
      <c r="G696" s="1"/>
      <c r="H696" s="1"/>
      <c r="I696" s="1"/>
      <c r="J696" s="1"/>
    </row>
    <row r="697" spans="1:10" x14ac:dyDescent="0.25">
      <c r="A697" t="s">
        <v>811</v>
      </c>
      <c r="B697" t="s">
        <v>745</v>
      </c>
      <c r="C697" s="1"/>
      <c r="D697" s="1"/>
      <c r="E697" s="1"/>
      <c r="F697" s="1"/>
      <c r="G697" s="1"/>
      <c r="H697" s="1"/>
      <c r="I697" s="1"/>
      <c r="J697" s="1"/>
    </row>
    <row r="698" spans="1:10" x14ac:dyDescent="0.25">
      <c r="A698" t="s">
        <v>248</v>
      </c>
      <c r="B698" t="s">
        <v>746</v>
      </c>
      <c r="C698" s="1"/>
      <c r="D698" s="1"/>
      <c r="E698" s="1"/>
      <c r="F698" s="1"/>
      <c r="G698" s="1"/>
      <c r="H698" s="1"/>
      <c r="I698" s="1"/>
      <c r="J698" s="1"/>
    </row>
    <row r="699" spans="1:10" x14ac:dyDescent="0.25">
      <c r="A699" s="9" t="s">
        <v>801</v>
      </c>
      <c r="B699" s="10" t="s">
        <v>747</v>
      </c>
      <c r="C699" s="1">
        <f>2713+1</f>
        <v>2714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/>
    </row>
    <row r="700" spans="1:10" x14ac:dyDescent="0.25">
      <c r="A700" s="9" t="s">
        <v>809</v>
      </c>
      <c r="B700" s="10" t="s">
        <v>748</v>
      </c>
      <c r="C700" s="1">
        <f>7210+2+4+2+128+1+1+164</f>
        <v>7512</v>
      </c>
      <c r="D700" s="1">
        <f>122+11</f>
        <v>133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/>
    </row>
    <row r="701" spans="1:10" x14ac:dyDescent="0.25">
      <c r="A701" s="9" t="s">
        <v>823</v>
      </c>
      <c r="B701" s="10" t="s">
        <v>749</v>
      </c>
      <c r="C701" s="1">
        <f>24542+12+307+2</f>
        <v>24863</v>
      </c>
      <c r="D701" s="1">
        <f>2+9</f>
        <v>11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/>
    </row>
    <row r="702" spans="1:10" x14ac:dyDescent="0.25">
      <c r="A702" t="s">
        <v>226</v>
      </c>
      <c r="B702" t="s">
        <v>750</v>
      </c>
      <c r="C702" s="1">
        <f>1500+5</f>
        <v>1505</v>
      </c>
      <c r="D702" s="1">
        <v>27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/>
    </row>
    <row r="703" spans="1:10" x14ac:dyDescent="0.25">
      <c r="A703" t="s">
        <v>811</v>
      </c>
      <c r="B703" t="s">
        <v>751</v>
      </c>
      <c r="C703" s="1"/>
      <c r="D703" s="1"/>
      <c r="E703" s="1"/>
      <c r="F703" s="1"/>
      <c r="G703" s="1"/>
      <c r="H703" s="1"/>
      <c r="I703" s="1"/>
      <c r="J703" s="1"/>
    </row>
    <row r="704" spans="1:10" x14ac:dyDescent="0.25">
      <c r="A704" t="s">
        <v>797</v>
      </c>
      <c r="B704" t="s">
        <v>752</v>
      </c>
      <c r="C704" s="1"/>
      <c r="D704" s="1"/>
      <c r="E704" s="1"/>
      <c r="F704" s="1"/>
      <c r="G704" s="1"/>
      <c r="H704" s="1"/>
      <c r="I704" s="1"/>
      <c r="J704" s="1"/>
    </row>
    <row r="705" spans="1:10" x14ac:dyDescent="0.25">
      <c r="A705" t="s">
        <v>69</v>
      </c>
      <c r="B705" t="s">
        <v>753</v>
      </c>
      <c r="C705" s="1">
        <v>23054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/>
    </row>
    <row r="706" spans="1:10" x14ac:dyDescent="0.25">
      <c r="A706" t="s">
        <v>824</v>
      </c>
      <c r="B706" t="s">
        <v>754</v>
      </c>
      <c r="C706" s="1"/>
      <c r="D706" s="1"/>
      <c r="E706" s="1"/>
      <c r="F706" s="1"/>
      <c r="G706" s="1"/>
      <c r="H706" s="1"/>
      <c r="I706" s="1"/>
      <c r="J706" s="1"/>
    </row>
    <row r="707" spans="1:10" x14ac:dyDescent="0.25">
      <c r="A707" t="s">
        <v>817</v>
      </c>
      <c r="B707" t="s">
        <v>755</v>
      </c>
      <c r="C707" s="1">
        <f>31390+4+46+1+61+4+43</f>
        <v>31549</v>
      </c>
      <c r="D707" s="1">
        <f>31+1+5+4</f>
        <v>41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/>
    </row>
    <row r="708" spans="1:10" x14ac:dyDescent="0.25">
      <c r="A708" t="s">
        <v>794</v>
      </c>
      <c r="B708" t="s">
        <v>756</v>
      </c>
      <c r="C708" s="1">
        <f>20468+23+4</f>
        <v>20495</v>
      </c>
      <c r="D708" s="1">
        <f>117+2</f>
        <v>119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/>
    </row>
    <row r="709" spans="1:10" x14ac:dyDescent="0.25">
      <c r="A709" t="s">
        <v>120</v>
      </c>
      <c r="B709" t="s">
        <v>757</v>
      </c>
      <c r="C709" s="1">
        <f>15298+3+54+1+16</f>
        <v>15372</v>
      </c>
      <c r="D709" s="1">
        <v>56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/>
    </row>
    <row r="710" spans="1:10" x14ac:dyDescent="0.25">
      <c r="A710" t="s">
        <v>788</v>
      </c>
      <c r="B710" t="s">
        <v>758</v>
      </c>
      <c r="C710" s="1">
        <f>11524+1111</f>
        <v>12635</v>
      </c>
      <c r="D710" s="1">
        <v>1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/>
    </row>
    <row r="711" spans="1:10" x14ac:dyDescent="0.25">
      <c r="A711" t="s">
        <v>146</v>
      </c>
      <c r="B711" t="s">
        <v>759</v>
      </c>
      <c r="C711" s="1">
        <v>48072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/>
    </row>
    <row r="712" spans="1:10" x14ac:dyDescent="0.25">
      <c r="A712" t="s">
        <v>795</v>
      </c>
      <c r="B712" t="s">
        <v>760</v>
      </c>
      <c r="C712" s="1">
        <v>27336</v>
      </c>
      <c r="D712" s="1">
        <v>17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/>
    </row>
    <row r="713" spans="1:10" x14ac:dyDescent="0.25">
      <c r="A713" t="s">
        <v>248</v>
      </c>
      <c r="B713" t="s">
        <v>761</v>
      </c>
      <c r="C713" s="1"/>
      <c r="D713" s="1"/>
      <c r="E713" s="1"/>
      <c r="F713" s="1"/>
      <c r="G713" s="1"/>
      <c r="H713" s="1"/>
      <c r="I713" s="1"/>
      <c r="J713" s="1"/>
    </row>
    <row r="714" spans="1:10" x14ac:dyDescent="0.25">
      <c r="A714" t="s">
        <v>796</v>
      </c>
      <c r="B714" t="s">
        <v>762</v>
      </c>
      <c r="C714" s="1">
        <f>294</f>
        <v>294</v>
      </c>
      <c r="D714" s="1">
        <v>2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/>
    </row>
    <row r="715" spans="1:10" x14ac:dyDescent="0.25">
      <c r="A715" t="s">
        <v>138</v>
      </c>
      <c r="B715" t="s">
        <v>763</v>
      </c>
      <c r="C715" s="1"/>
      <c r="D715" s="1"/>
      <c r="E715" s="1"/>
      <c r="F715" s="1"/>
      <c r="G715" s="1"/>
      <c r="H715" s="1"/>
      <c r="I715" s="1"/>
      <c r="J715" s="1"/>
    </row>
    <row r="716" spans="1:10" x14ac:dyDescent="0.25">
      <c r="A716" t="s">
        <v>265</v>
      </c>
      <c r="B716" t="s">
        <v>764</v>
      </c>
      <c r="C716" s="1">
        <v>5820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/>
    </row>
    <row r="717" spans="1:10" x14ac:dyDescent="0.25">
      <c r="A717" t="s">
        <v>823</v>
      </c>
      <c r="B717" t="s">
        <v>765</v>
      </c>
      <c r="C717" s="1">
        <f>11800+18+2</f>
        <v>11820</v>
      </c>
      <c r="D717" s="1">
        <v>51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/>
    </row>
    <row r="718" spans="1:10" x14ac:dyDescent="0.25">
      <c r="A718" t="s">
        <v>83</v>
      </c>
      <c r="B718" t="s">
        <v>766</v>
      </c>
      <c r="C718" s="1"/>
      <c r="D718" s="1"/>
      <c r="E718" s="1"/>
      <c r="F718" s="1"/>
      <c r="G718" s="1"/>
      <c r="H718" s="1"/>
      <c r="I718" s="1"/>
      <c r="J718" s="1"/>
    </row>
    <row r="719" spans="1:10" x14ac:dyDescent="0.25">
      <c r="A719" t="s">
        <v>864</v>
      </c>
      <c r="B719" t="s">
        <v>767</v>
      </c>
      <c r="C719" s="1">
        <v>8784</v>
      </c>
      <c r="D719" s="1">
        <v>19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/>
    </row>
    <row r="720" spans="1:10" x14ac:dyDescent="0.25">
      <c r="A720" t="s">
        <v>76</v>
      </c>
      <c r="B720" t="s">
        <v>768</v>
      </c>
      <c r="C720" s="1">
        <f>19480+3</f>
        <v>19483</v>
      </c>
      <c r="D720" s="1">
        <f>66+2</f>
        <v>68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/>
    </row>
    <row r="721" spans="1:10" x14ac:dyDescent="0.25">
      <c r="A721" s="53" t="s">
        <v>101</v>
      </c>
      <c r="B721" s="55" t="s">
        <v>769</v>
      </c>
      <c r="C721" s="1">
        <v>13221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/>
    </row>
    <row r="722" spans="1:10" x14ac:dyDescent="0.25">
      <c r="A722" s="53" t="s">
        <v>831</v>
      </c>
      <c r="B722" s="55" t="s">
        <v>770</v>
      </c>
      <c r="C722" s="1">
        <v>775</v>
      </c>
      <c r="D722" s="1">
        <v>1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/>
    </row>
    <row r="723" spans="1:10" x14ac:dyDescent="0.25">
      <c r="A723" s="53" t="s">
        <v>512</v>
      </c>
      <c r="B723" s="55" t="s">
        <v>771</v>
      </c>
      <c r="C723" s="1">
        <v>3495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/>
    </row>
    <row r="724" spans="1:10" x14ac:dyDescent="0.25">
      <c r="A724" s="53" t="s">
        <v>848</v>
      </c>
      <c r="B724" s="55" t="s">
        <v>772</v>
      </c>
      <c r="C724" s="1"/>
      <c r="D724" s="1"/>
      <c r="E724" s="1"/>
      <c r="F724" s="1"/>
      <c r="G724" s="1"/>
      <c r="H724" s="1"/>
      <c r="I724" s="1"/>
      <c r="J724" s="1"/>
    </row>
    <row r="725" spans="1:10" x14ac:dyDescent="0.25">
      <c r="A725" s="53" t="s">
        <v>796</v>
      </c>
      <c r="B725" s="55" t="s">
        <v>773</v>
      </c>
      <c r="C725" s="1">
        <f>2518</f>
        <v>2518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/>
    </row>
    <row r="726" spans="1:10" x14ac:dyDescent="0.25">
      <c r="A726" s="53" t="s">
        <v>826</v>
      </c>
      <c r="B726" s="55" t="s">
        <v>774</v>
      </c>
      <c r="C726" s="1"/>
      <c r="D726" s="1"/>
      <c r="E726" s="1"/>
      <c r="F726" s="1"/>
      <c r="G726" s="1"/>
      <c r="H726" s="1"/>
      <c r="I726" s="1"/>
      <c r="J726" s="1"/>
    </row>
    <row r="727" spans="1:10" x14ac:dyDescent="0.25">
      <c r="A727" s="53" t="s">
        <v>805</v>
      </c>
      <c r="B727" s="55" t="s">
        <v>775</v>
      </c>
      <c r="C727" s="1"/>
      <c r="D727" s="1"/>
      <c r="E727" s="1"/>
      <c r="F727" s="1"/>
      <c r="G727" s="1"/>
      <c r="H727" s="1"/>
      <c r="I727" s="1"/>
      <c r="J727" s="1"/>
    </row>
    <row r="728" spans="1:10" x14ac:dyDescent="0.25">
      <c r="A728" s="58" t="s">
        <v>805</v>
      </c>
      <c r="B728" s="59" t="s">
        <v>776</v>
      </c>
      <c r="C728" s="1"/>
      <c r="D728" s="1"/>
      <c r="E728" s="1"/>
      <c r="F728" s="1"/>
      <c r="G728" s="1"/>
      <c r="H728" s="1"/>
      <c r="I728" s="1"/>
      <c r="J728" s="1"/>
    </row>
    <row r="729" spans="1:10" x14ac:dyDescent="0.25">
      <c r="A729" s="54" t="s">
        <v>805</v>
      </c>
      <c r="B729" s="56" t="s">
        <v>777</v>
      </c>
      <c r="C729" s="1"/>
      <c r="D729" s="1"/>
      <c r="E729" s="1"/>
      <c r="F729" s="1"/>
      <c r="G729" s="1"/>
      <c r="H729" s="1"/>
      <c r="I729" s="1"/>
      <c r="J729" s="1"/>
    </row>
  </sheetData>
  <conditionalFormatting sqref="A709:B709">
    <cfRule type="expression" dxfId="83" priority="7">
      <formula>A709&lt;&gt;N709</formula>
    </cfRule>
  </conditionalFormatting>
  <conditionalFormatting sqref="B709">
    <cfRule type="expression" dxfId="82" priority="6">
      <formula>B709&lt;&gt;#REF!</formula>
    </cfRule>
  </conditionalFormatting>
  <conditionalFormatting sqref="B721:B729">
    <cfRule type="expression" dxfId="81" priority="1">
      <formula>B721&lt;&gt;M721</formula>
    </cfRule>
  </conditionalFormatting>
  <conditionalFormatting sqref="B710:C710">
    <cfRule type="expression" dxfId="80" priority="4">
      <formula>B710&lt;&gt;#REF!</formula>
    </cfRule>
  </conditionalFormatting>
  <conditionalFormatting sqref="B712:C712">
    <cfRule type="expression" dxfId="79" priority="3">
      <formula>B712&lt;&gt;#REF!</formula>
    </cfRule>
  </conditionalFormatting>
  <pageMargins left="0.7" right="0.7" top="0.75" bottom="0.75" header="0.3" footer="0.3"/>
  <pageSetup paperSize="9" orientation="portrait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FCFDFDC7-DC4D-4343-966E-069BB5F32C0B}">
            <xm:f>A721&lt;&gt;'202212 DICIEMBRE'!#REF!</xm:f>
            <x14:dxf>
              <fill>
                <patternFill>
                  <bgColor theme="7" tint="0.39994506668294322"/>
                </patternFill>
              </fill>
            </x14:dxf>
          </x14:cfRule>
          <xm:sqref>A721:B729</xm:sqref>
        </x14:conditionalFormatting>
        <x14:conditionalFormatting xmlns:xm="http://schemas.microsoft.com/office/excel/2006/main">
          <x14:cfRule type="expression" priority="5" id="{4474385D-B9CF-4103-9959-80AACB273835}">
            <xm:f>A710&lt;&gt;'202210 OCTUBRE'!#REF!</xm:f>
            <x14:dxf>
              <fill>
                <patternFill>
                  <bgColor theme="7" tint="0.39994506668294322"/>
                </patternFill>
              </fill>
            </x14:dxf>
          </x14:cfRule>
          <xm:sqref>A710:I720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98696-13D7-418D-A8B1-05CC689702AF}">
  <sheetPr>
    <tabColor rgb="FF92D050"/>
  </sheetPr>
  <dimension ref="A1:J729"/>
  <sheetViews>
    <sheetView topLeftCell="A416" workbookViewId="0">
      <selection activeCell="B451" sqref="B451"/>
    </sheetView>
  </sheetViews>
  <sheetFormatPr baseColWidth="10" defaultColWidth="11.42578125" defaultRowHeight="15" x14ac:dyDescent="0.25"/>
  <cols>
    <col min="1" max="1" width="11.85546875" bestFit="1" customWidth="1"/>
    <col min="2" max="2" width="14.42578125" bestFit="1" customWidth="1"/>
    <col min="3" max="3" width="12.5703125" bestFit="1" customWidth="1"/>
    <col min="4" max="4" width="12.7109375" bestFit="1" customWidth="1"/>
    <col min="5" max="5" width="9" bestFit="1" customWidth="1"/>
    <col min="6" max="6" width="16.140625" bestFit="1" customWidth="1"/>
    <col min="7" max="7" width="16.42578125" bestFit="1" customWidth="1"/>
    <col min="8" max="9" width="10.28515625" bestFit="1" customWidth="1"/>
    <col min="10" max="10" width="18" bestFit="1" customWidth="1"/>
    <col min="11" max="11" width="20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76</v>
      </c>
      <c r="B2" t="s">
        <v>11</v>
      </c>
      <c r="C2" s="1"/>
      <c r="D2" s="1"/>
      <c r="E2" s="1"/>
      <c r="F2" s="1"/>
      <c r="G2" s="1"/>
      <c r="H2" s="1"/>
      <c r="I2" s="1"/>
      <c r="J2" s="1"/>
    </row>
    <row r="3" spans="1:10" x14ac:dyDescent="0.25">
      <c r="A3" t="s">
        <v>796</v>
      </c>
      <c r="B3" t="s">
        <v>12</v>
      </c>
      <c r="C3" s="1"/>
      <c r="D3" s="1"/>
      <c r="E3" s="1"/>
      <c r="F3" s="1"/>
      <c r="G3" s="1"/>
      <c r="H3" s="1"/>
      <c r="I3" s="1"/>
      <c r="J3" s="1"/>
    </row>
    <row r="4" spans="1:10" x14ac:dyDescent="0.25">
      <c r="A4" t="s">
        <v>76</v>
      </c>
      <c r="B4" t="s">
        <v>13</v>
      </c>
      <c r="C4" s="1"/>
      <c r="D4" s="1"/>
      <c r="E4" s="1"/>
      <c r="F4" s="1"/>
      <c r="G4" s="1"/>
      <c r="H4" s="1"/>
      <c r="I4" s="1"/>
      <c r="J4" s="1"/>
    </row>
    <row r="5" spans="1:10" x14ac:dyDescent="0.25">
      <c r="A5" t="s">
        <v>801</v>
      </c>
      <c r="B5" t="s">
        <v>14</v>
      </c>
      <c r="C5" s="1"/>
      <c r="D5" s="1"/>
      <c r="E5" s="1"/>
      <c r="F5" s="1"/>
      <c r="G5" s="1"/>
      <c r="H5" s="1"/>
      <c r="I5" s="1"/>
      <c r="J5" s="1"/>
    </row>
    <row r="6" spans="1:10" x14ac:dyDescent="0.25">
      <c r="A6" t="s">
        <v>826</v>
      </c>
      <c r="B6" t="s">
        <v>15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3915</v>
      </c>
      <c r="I6" s="1">
        <v>0</v>
      </c>
      <c r="J6" s="1"/>
    </row>
    <row r="7" spans="1:10" x14ac:dyDescent="0.25">
      <c r="A7" t="s">
        <v>796</v>
      </c>
      <c r="B7" t="s">
        <v>16</v>
      </c>
      <c r="C7" s="1"/>
      <c r="D7" s="1"/>
      <c r="E7" s="1"/>
      <c r="F7" s="1"/>
      <c r="G7" s="1"/>
      <c r="H7" s="1"/>
      <c r="I7" s="1"/>
      <c r="J7" s="1"/>
    </row>
    <row r="8" spans="1:10" x14ac:dyDescent="0.25">
      <c r="A8" t="s">
        <v>83</v>
      </c>
      <c r="B8" t="s">
        <v>17</v>
      </c>
      <c r="C8" s="1"/>
      <c r="D8" s="1"/>
      <c r="E8" s="1"/>
      <c r="F8" s="1"/>
      <c r="G8" s="1"/>
      <c r="H8" s="1"/>
      <c r="I8" s="1"/>
      <c r="J8" s="1"/>
    </row>
    <row r="9" spans="1:10" x14ac:dyDescent="0.25">
      <c r="A9" t="s">
        <v>803</v>
      </c>
      <c r="B9" s="1" t="s">
        <v>18</v>
      </c>
      <c r="C9" s="1"/>
      <c r="D9" s="1"/>
      <c r="E9" s="1"/>
      <c r="F9" s="1"/>
      <c r="G9" s="1"/>
      <c r="H9" s="1"/>
      <c r="I9" s="1"/>
      <c r="J9" s="1"/>
    </row>
    <row r="10" spans="1:10" x14ac:dyDescent="0.25">
      <c r="A10" t="s">
        <v>76</v>
      </c>
      <c r="B10" t="s">
        <v>19</v>
      </c>
      <c r="C10" s="1"/>
      <c r="D10" s="1"/>
      <c r="E10" s="1"/>
      <c r="F10" s="1"/>
      <c r="G10" s="1"/>
      <c r="H10" s="1"/>
      <c r="I10" s="1"/>
      <c r="J10" s="1"/>
    </row>
    <row r="11" spans="1:10" x14ac:dyDescent="0.25">
      <c r="A11" t="s">
        <v>83</v>
      </c>
      <c r="B11" t="s">
        <v>20</v>
      </c>
      <c r="C11" s="1"/>
      <c r="D11" s="1"/>
      <c r="E11" s="1"/>
      <c r="F11" s="1"/>
      <c r="G11" s="1"/>
      <c r="H11" s="1"/>
      <c r="I11" s="1"/>
      <c r="J11" s="1"/>
    </row>
    <row r="12" spans="1:10" x14ac:dyDescent="0.25">
      <c r="A12" t="s">
        <v>248</v>
      </c>
      <c r="B12" t="s">
        <v>21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2425</v>
      </c>
      <c r="I12" s="1">
        <v>0</v>
      </c>
      <c r="J12" s="1"/>
    </row>
    <row r="13" spans="1:10" x14ac:dyDescent="0.25">
      <c r="A13" t="s">
        <v>83</v>
      </c>
      <c r="B13" t="s">
        <v>22</v>
      </c>
      <c r="C13" s="1"/>
      <c r="D13" s="1"/>
      <c r="E13" s="1"/>
      <c r="F13" s="1"/>
      <c r="G13" s="1"/>
      <c r="H13" s="1"/>
      <c r="I13" s="1"/>
      <c r="J13" s="1"/>
    </row>
    <row r="14" spans="1:10" x14ac:dyDescent="0.25">
      <c r="A14" t="s">
        <v>801</v>
      </c>
      <c r="B14" t="s">
        <v>23</v>
      </c>
      <c r="C14" s="1"/>
      <c r="D14" s="1"/>
      <c r="E14" s="1"/>
      <c r="F14" s="1"/>
      <c r="G14" s="1"/>
      <c r="H14" s="1"/>
      <c r="I14" s="1"/>
      <c r="J14" s="1"/>
    </row>
    <row r="15" spans="1:10" x14ac:dyDescent="0.25">
      <c r="A15" t="s">
        <v>796</v>
      </c>
      <c r="B15" t="s">
        <v>24</v>
      </c>
      <c r="C15" s="1"/>
      <c r="D15" s="1"/>
      <c r="E15" s="1"/>
      <c r="F15" s="1"/>
      <c r="G15" s="1"/>
      <c r="H15" s="1"/>
      <c r="I15" s="1"/>
      <c r="J15" s="1"/>
    </row>
    <row r="16" spans="1:10" x14ac:dyDescent="0.25">
      <c r="A16" t="s">
        <v>804</v>
      </c>
      <c r="B16" t="s">
        <v>25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726</v>
      </c>
      <c r="I16" s="1">
        <v>0</v>
      </c>
      <c r="J16" s="1"/>
    </row>
    <row r="17" spans="1:10" x14ac:dyDescent="0.25">
      <c r="A17" t="s">
        <v>248</v>
      </c>
      <c r="B17" t="s">
        <v>26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71368</v>
      </c>
      <c r="I17" s="1">
        <v>0</v>
      </c>
      <c r="J17" s="1"/>
    </row>
    <row r="18" spans="1:10" x14ac:dyDescent="0.25">
      <c r="A18" t="s">
        <v>805</v>
      </c>
      <c r="B18" t="s">
        <v>27</v>
      </c>
      <c r="C18" s="1"/>
      <c r="D18" s="1"/>
      <c r="E18" s="1"/>
      <c r="F18" s="1"/>
      <c r="G18" s="1"/>
      <c r="H18" s="1"/>
      <c r="I18" s="1"/>
      <c r="J18" s="1"/>
    </row>
    <row r="19" spans="1:10" x14ac:dyDescent="0.25">
      <c r="A19" t="s">
        <v>805</v>
      </c>
      <c r="B19" t="s">
        <v>28</v>
      </c>
      <c r="C19" s="1"/>
      <c r="D19" s="1"/>
      <c r="E19" s="1"/>
      <c r="F19" s="1"/>
      <c r="G19" s="1"/>
      <c r="H19" s="1"/>
      <c r="I19" s="1"/>
      <c r="J19" s="1"/>
    </row>
    <row r="20" spans="1:10" x14ac:dyDescent="0.25">
      <c r="A20" t="s">
        <v>806</v>
      </c>
      <c r="B20" t="s">
        <v>29</v>
      </c>
      <c r="C20" s="1"/>
      <c r="D20" s="1"/>
      <c r="E20" s="1"/>
      <c r="F20" s="1"/>
      <c r="G20" s="1"/>
      <c r="H20" s="1"/>
      <c r="I20" s="1"/>
      <c r="J20" s="1"/>
    </row>
    <row r="21" spans="1:10" x14ac:dyDescent="0.25">
      <c r="A21" t="s">
        <v>805</v>
      </c>
      <c r="B21" t="s">
        <v>30</v>
      </c>
      <c r="C21" s="1"/>
      <c r="D21" s="1"/>
      <c r="E21" s="1"/>
      <c r="F21" s="1"/>
      <c r="G21" s="1"/>
      <c r="H21" s="1"/>
      <c r="I21" s="1"/>
      <c r="J21" s="1"/>
    </row>
    <row r="22" spans="1:10" x14ac:dyDescent="0.25">
      <c r="A22" t="s">
        <v>829</v>
      </c>
      <c r="B22" t="s">
        <v>32</v>
      </c>
      <c r="C22" s="1"/>
      <c r="D22" s="1"/>
      <c r="E22" s="1"/>
      <c r="F22" s="1"/>
      <c r="G22" s="1"/>
      <c r="H22" s="1"/>
      <c r="I22" s="1"/>
      <c r="J22" s="1"/>
    </row>
    <row r="23" spans="1:10" x14ac:dyDescent="0.25">
      <c r="A23" t="s">
        <v>830</v>
      </c>
      <c r="B23" t="s">
        <v>34</v>
      </c>
      <c r="C23" s="1"/>
      <c r="D23" s="1"/>
      <c r="E23" s="1"/>
      <c r="F23" s="1"/>
      <c r="G23" s="1"/>
      <c r="H23" s="1"/>
      <c r="I23" s="1"/>
      <c r="J23" s="1"/>
    </row>
    <row r="24" spans="1:10" x14ac:dyDescent="0.25">
      <c r="A24" t="s">
        <v>831</v>
      </c>
      <c r="B24" t="s">
        <v>35</v>
      </c>
      <c r="C24" s="1">
        <f>4884+1069</f>
        <v>5953</v>
      </c>
      <c r="D24" s="1">
        <v>0</v>
      </c>
      <c r="E24" s="1">
        <v>0</v>
      </c>
      <c r="F24" s="1">
        <v>0</v>
      </c>
      <c r="G24" s="1">
        <v>0</v>
      </c>
      <c r="H24" s="1">
        <v>1867</v>
      </c>
      <c r="I24" s="1">
        <v>817</v>
      </c>
      <c r="J24" s="1"/>
    </row>
    <row r="25" spans="1:10" x14ac:dyDescent="0.25">
      <c r="A25" t="s">
        <v>832</v>
      </c>
      <c r="B25" t="s">
        <v>37</v>
      </c>
      <c r="C25" s="1"/>
      <c r="D25" s="1"/>
      <c r="E25" s="1"/>
      <c r="F25" s="1"/>
      <c r="G25" s="1"/>
      <c r="H25" s="1"/>
      <c r="I25" s="1"/>
      <c r="J25" s="1"/>
    </row>
    <row r="26" spans="1:10" x14ac:dyDescent="0.25">
      <c r="A26" t="s">
        <v>833</v>
      </c>
      <c r="B26" t="s">
        <v>39</v>
      </c>
      <c r="C26" s="1"/>
      <c r="D26" s="1"/>
      <c r="E26" s="1"/>
      <c r="F26" s="1"/>
      <c r="G26" s="1"/>
      <c r="H26" s="1"/>
      <c r="I26" s="1"/>
      <c r="J26" s="1"/>
    </row>
    <row r="27" spans="1:10" x14ac:dyDescent="0.25">
      <c r="A27" t="s">
        <v>834</v>
      </c>
      <c r="B27" t="s">
        <v>41</v>
      </c>
      <c r="C27" s="1"/>
      <c r="D27" s="1"/>
      <c r="E27" s="1"/>
      <c r="F27" s="1"/>
      <c r="G27" s="1"/>
      <c r="H27" s="1"/>
      <c r="I27" s="1"/>
      <c r="J27" s="1"/>
    </row>
    <row r="28" spans="1:10" x14ac:dyDescent="0.25">
      <c r="A28" t="s">
        <v>835</v>
      </c>
      <c r="B28" t="s">
        <v>42</v>
      </c>
      <c r="C28" s="1"/>
      <c r="D28" s="1"/>
      <c r="E28" s="1"/>
      <c r="F28" s="1"/>
      <c r="G28" s="1"/>
      <c r="H28" s="1"/>
      <c r="I28" s="1"/>
      <c r="J28" s="1"/>
    </row>
    <row r="29" spans="1:10" x14ac:dyDescent="0.25">
      <c r="A29" t="s">
        <v>836</v>
      </c>
      <c r="B29" t="s">
        <v>44</v>
      </c>
      <c r="C29" s="1"/>
      <c r="D29" s="1"/>
      <c r="E29" s="1"/>
      <c r="F29" s="1"/>
      <c r="G29" s="1"/>
      <c r="H29" s="1"/>
      <c r="I29" s="1"/>
      <c r="J29" s="1"/>
    </row>
    <row r="30" spans="1:10" x14ac:dyDescent="0.25">
      <c r="A30" t="s">
        <v>837</v>
      </c>
      <c r="B30" t="s">
        <v>46</v>
      </c>
      <c r="C30" s="1"/>
      <c r="D30" s="1"/>
      <c r="E30" s="1"/>
      <c r="F30" s="1"/>
      <c r="G30" s="1"/>
      <c r="H30" s="1"/>
      <c r="I30" s="1"/>
      <c r="J30" s="1"/>
    </row>
    <row r="31" spans="1:10" x14ac:dyDescent="0.25">
      <c r="A31" t="s">
        <v>838</v>
      </c>
      <c r="B31" t="s">
        <v>48</v>
      </c>
      <c r="C31" s="1"/>
      <c r="D31" s="1"/>
      <c r="E31" s="1"/>
      <c r="F31" s="1"/>
      <c r="G31" s="1"/>
      <c r="H31" s="1"/>
      <c r="I31" s="1"/>
      <c r="J31" s="1"/>
    </row>
    <row r="32" spans="1:10" x14ac:dyDescent="0.25">
      <c r="A32" t="s">
        <v>839</v>
      </c>
      <c r="B32" t="s">
        <v>49</v>
      </c>
      <c r="C32" s="1">
        <f>861+80</f>
        <v>941</v>
      </c>
      <c r="D32" s="1">
        <v>5</v>
      </c>
      <c r="E32" s="1">
        <v>0</v>
      </c>
      <c r="F32" s="1">
        <v>0</v>
      </c>
      <c r="G32" s="1">
        <v>0</v>
      </c>
      <c r="H32" s="1">
        <v>36</v>
      </c>
      <c r="I32" s="1">
        <v>86</v>
      </c>
      <c r="J32" s="1"/>
    </row>
    <row r="33" spans="1:10" x14ac:dyDescent="0.25">
      <c r="A33" t="s">
        <v>840</v>
      </c>
      <c r="B33" t="s">
        <v>51</v>
      </c>
      <c r="C33" s="1"/>
      <c r="D33" s="1"/>
      <c r="E33" s="1"/>
      <c r="F33" s="1"/>
      <c r="G33" s="1"/>
      <c r="H33" s="1"/>
      <c r="I33" s="1"/>
      <c r="J33" s="1"/>
    </row>
    <row r="34" spans="1:10" x14ac:dyDescent="0.25">
      <c r="A34" t="s">
        <v>841</v>
      </c>
      <c r="B34" t="s">
        <v>53</v>
      </c>
      <c r="C34" s="1"/>
      <c r="D34" s="1"/>
      <c r="E34" s="1"/>
      <c r="F34" s="1"/>
      <c r="G34" s="1"/>
      <c r="H34" s="1"/>
      <c r="I34" s="1"/>
      <c r="J34" s="1"/>
    </row>
    <row r="35" spans="1:10" x14ac:dyDescent="0.25">
      <c r="A35" t="s">
        <v>842</v>
      </c>
      <c r="B35" t="s">
        <v>55</v>
      </c>
      <c r="C35" s="1"/>
      <c r="D35" s="1"/>
      <c r="E35" s="1"/>
      <c r="F35" s="1"/>
      <c r="G35" s="1"/>
      <c r="H35" s="1"/>
      <c r="I35" s="1"/>
      <c r="J35" s="1"/>
    </row>
    <row r="36" spans="1:10" x14ac:dyDescent="0.25">
      <c r="A36" t="s">
        <v>788</v>
      </c>
      <c r="B36" t="s">
        <v>56</v>
      </c>
      <c r="C36" s="1">
        <f>42310+1+1+1+2+3+23419</f>
        <v>65737</v>
      </c>
      <c r="D36" s="1">
        <f>93+85+1</f>
        <v>179</v>
      </c>
      <c r="E36" s="1">
        <v>0</v>
      </c>
      <c r="F36" s="1">
        <v>0</v>
      </c>
      <c r="G36" s="1">
        <v>0</v>
      </c>
      <c r="H36" s="1">
        <v>16238</v>
      </c>
      <c r="I36" s="1">
        <v>16890</v>
      </c>
      <c r="J36" s="1"/>
    </row>
    <row r="37" spans="1:10" x14ac:dyDescent="0.25">
      <c r="A37" t="s">
        <v>495</v>
      </c>
      <c r="B37" t="s">
        <v>57</v>
      </c>
      <c r="C37" s="1"/>
      <c r="D37" s="1"/>
      <c r="E37" s="1"/>
      <c r="F37" s="1"/>
      <c r="G37" s="1"/>
      <c r="H37" s="1"/>
      <c r="I37" s="1"/>
      <c r="J37" s="1"/>
    </row>
    <row r="38" spans="1:10" x14ac:dyDescent="0.25">
      <c r="A38" t="s">
        <v>248</v>
      </c>
      <c r="B38" t="s">
        <v>58</v>
      </c>
      <c r="C38" s="1">
        <f>6260+26+93+1940</f>
        <v>8319</v>
      </c>
      <c r="D38" s="1">
        <f>15+1</f>
        <v>16</v>
      </c>
      <c r="E38" s="1">
        <v>0</v>
      </c>
      <c r="F38" s="1">
        <v>0</v>
      </c>
      <c r="G38" s="1">
        <v>0</v>
      </c>
      <c r="H38" s="1">
        <v>9414</v>
      </c>
      <c r="I38" s="1">
        <v>1672</v>
      </c>
      <c r="J38" s="1"/>
    </row>
    <row r="39" spans="1:10" x14ac:dyDescent="0.25">
      <c r="A39" t="s">
        <v>843</v>
      </c>
      <c r="B39" t="s">
        <v>60</v>
      </c>
      <c r="C39" s="1"/>
      <c r="D39" s="1"/>
      <c r="E39" s="1"/>
      <c r="F39" s="1"/>
      <c r="G39" s="1"/>
      <c r="H39" s="1"/>
      <c r="I39" s="1"/>
      <c r="J39" s="1"/>
    </row>
    <row r="40" spans="1:10" x14ac:dyDescent="0.25">
      <c r="A40" t="s">
        <v>844</v>
      </c>
      <c r="B40" t="s">
        <v>62</v>
      </c>
      <c r="C40" s="1"/>
      <c r="D40" s="1"/>
      <c r="E40" s="1"/>
      <c r="F40" s="1"/>
      <c r="G40" s="1"/>
      <c r="H40" s="1"/>
      <c r="I40" s="1"/>
      <c r="J40" s="1"/>
    </row>
    <row r="41" spans="1:10" x14ac:dyDescent="0.25">
      <c r="A41" t="s">
        <v>845</v>
      </c>
      <c r="B41" t="s">
        <v>63</v>
      </c>
      <c r="C41" s="1"/>
      <c r="D41" s="1"/>
      <c r="E41" s="1"/>
      <c r="F41" s="1"/>
      <c r="G41" s="1"/>
      <c r="H41" s="1"/>
      <c r="I41" s="1"/>
      <c r="J41" s="1"/>
    </row>
    <row r="42" spans="1:10" x14ac:dyDescent="0.25">
      <c r="A42" t="s">
        <v>846</v>
      </c>
      <c r="B42" s="10" t="s">
        <v>64</v>
      </c>
      <c r="C42" s="1"/>
      <c r="D42" s="1"/>
      <c r="E42" s="1"/>
      <c r="F42" s="1"/>
      <c r="G42" s="1"/>
      <c r="H42" s="1"/>
      <c r="I42" s="1"/>
      <c r="J42" s="1"/>
    </row>
    <row r="43" spans="1:10" x14ac:dyDescent="0.25">
      <c r="A43" t="s">
        <v>788</v>
      </c>
      <c r="B43" t="s">
        <v>65</v>
      </c>
      <c r="C43" s="1">
        <f>6426+2+2+2+1866</f>
        <v>8298</v>
      </c>
      <c r="D43" s="1">
        <f>101+2</f>
        <v>103</v>
      </c>
      <c r="E43" s="1">
        <v>0</v>
      </c>
      <c r="F43" s="1">
        <v>0</v>
      </c>
      <c r="G43" s="1">
        <v>0</v>
      </c>
      <c r="H43" s="1">
        <v>6753</v>
      </c>
      <c r="I43" s="1">
        <v>1695</v>
      </c>
      <c r="J43" s="1"/>
    </row>
    <row r="44" spans="1:10" x14ac:dyDescent="0.25">
      <c r="A44" t="s">
        <v>76</v>
      </c>
      <c r="B44" t="s">
        <v>66</v>
      </c>
      <c r="C44" s="1"/>
      <c r="D44" s="1"/>
      <c r="E44" s="1"/>
      <c r="F44" s="1"/>
      <c r="G44" s="1"/>
      <c r="H44" s="1"/>
      <c r="I44" s="1"/>
      <c r="J44" s="1"/>
    </row>
    <row r="45" spans="1:10" x14ac:dyDescent="0.25">
      <c r="A45" t="s">
        <v>67</v>
      </c>
      <c r="B45" t="s">
        <v>68</v>
      </c>
      <c r="C45" s="1">
        <f>8180+63+956</f>
        <v>9199</v>
      </c>
      <c r="D45" s="1">
        <v>146</v>
      </c>
      <c r="E45" s="1">
        <v>0</v>
      </c>
      <c r="F45" s="1">
        <v>0</v>
      </c>
      <c r="G45" s="1">
        <v>0</v>
      </c>
      <c r="H45" s="1">
        <v>3009</v>
      </c>
      <c r="I45" s="1">
        <v>754</v>
      </c>
      <c r="J45" s="1"/>
    </row>
    <row r="46" spans="1:10" x14ac:dyDescent="0.25">
      <c r="A46" t="s">
        <v>76</v>
      </c>
      <c r="B46" t="s">
        <v>70</v>
      </c>
      <c r="C46" s="1"/>
      <c r="D46" s="1"/>
      <c r="E46" s="1"/>
      <c r="F46" s="1"/>
      <c r="G46" s="1"/>
      <c r="H46" s="1"/>
      <c r="I46" s="1"/>
      <c r="J46" s="1"/>
    </row>
    <row r="47" spans="1:10" x14ac:dyDescent="0.25">
      <c r="A47" t="s">
        <v>803</v>
      </c>
      <c r="B47" s="23" t="s">
        <v>71</v>
      </c>
      <c r="C47" s="1"/>
      <c r="D47" s="1"/>
      <c r="E47" s="1"/>
      <c r="F47" s="1"/>
      <c r="G47" s="1"/>
      <c r="H47" s="1"/>
      <c r="I47" s="1"/>
      <c r="J47" s="1"/>
    </row>
    <row r="48" spans="1:10" x14ac:dyDescent="0.25">
      <c r="A48" t="s">
        <v>72</v>
      </c>
      <c r="B48" t="s">
        <v>73</v>
      </c>
      <c r="C48" s="1">
        <f>9771+13+8+1924</f>
        <v>11716</v>
      </c>
      <c r="D48" s="1">
        <v>100</v>
      </c>
      <c r="E48" s="1">
        <v>0</v>
      </c>
      <c r="F48" s="1">
        <v>0</v>
      </c>
      <c r="G48" s="1">
        <v>0</v>
      </c>
      <c r="H48" s="1">
        <v>8730</v>
      </c>
      <c r="I48" s="1">
        <v>1700</v>
      </c>
      <c r="J48" s="1"/>
    </row>
    <row r="49" spans="1:10" x14ac:dyDescent="0.25">
      <c r="A49" t="s">
        <v>809</v>
      </c>
      <c r="B49" t="s">
        <v>74</v>
      </c>
      <c r="C49" s="1"/>
      <c r="D49" s="1"/>
      <c r="E49" s="1"/>
      <c r="F49" s="1"/>
      <c r="G49" s="1"/>
      <c r="H49" s="1"/>
      <c r="I49" s="1"/>
      <c r="J49" s="1"/>
    </row>
    <row r="50" spans="1:10" x14ac:dyDescent="0.25">
      <c r="A50" t="s">
        <v>146</v>
      </c>
      <c r="B50" t="s">
        <v>75</v>
      </c>
      <c r="C50" s="1">
        <f>3724+7899</f>
        <v>11623</v>
      </c>
      <c r="D50" s="1">
        <f>3+6</f>
        <v>9</v>
      </c>
      <c r="E50" s="1">
        <v>0</v>
      </c>
      <c r="F50" s="1">
        <v>0</v>
      </c>
      <c r="G50" s="1">
        <v>0</v>
      </c>
      <c r="H50" s="1">
        <v>9722</v>
      </c>
      <c r="I50" s="1">
        <v>7574</v>
      </c>
      <c r="J50" s="1"/>
    </row>
    <row r="51" spans="1:10" x14ac:dyDescent="0.25">
      <c r="A51" t="s">
        <v>76</v>
      </c>
      <c r="B51" t="s">
        <v>77</v>
      </c>
      <c r="C51" s="1"/>
      <c r="D51" s="1"/>
      <c r="E51" s="1"/>
      <c r="F51" s="1"/>
      <c r="G51" s="1"/>
      <c r="H51" s="1"/>
      <c r="I51" s="1"/>
      <c r="J51" s="1"/>
    </row>
    <row r="52" spans="1:10" x14ac:dyDescent="0.25">
      <c r="A52" t="s">
        <v>801</v>
      </c>
      <c r="B52" t="s">
        <v>78</v>
      </c>
      <c r="C52" s="1"/>
      <c r="D52" s="1"/>
      <c r="E52" s="1"/>
      <c r="F52" s="1"/>
      <c r="G52" s="1"/>
      <c r="H52" s="1"/>
      <c r="I52" s="1"/>
      <c r="J52" s="1"/>
    </row>
    <row r="53" spans="1:10" x14ac:dyDescent="0.25">
      <c r="A53" t="s">
        <v>847</v>
      </c>
      <c r="B53" t="s">
        <v>79</v>
      </c>
      <c r="C53" s="1"/>
      <c r="D53" s="1"/>
      <c r="E53" s="1"/>
      <c r="F53" s="1"/>
      <c r="G53" s="1"/>
      <c r="H53" s="1"/>
      <c r="I53" s="1"/>
      <c r="J53" s="1"/>
    </row>
    <row r="54" spans="1:10" x14ac:dyDescent="0.25">
      <c r="A54" t="s">
        <v>226</v>
      </c>
      <c r="B54" t="s">
        <v>80</v>
      </c>
      <c r="C54" s="1">
        <f>2664+1+15+2023</f>
        <v>4703</v>
      </c>
      <c r="D54" s="1">
        <v>7</v>
      </c>
      <c r="E54" s="1">
        <v>0</v>
      </c>
      <c r="F54" s="1">
        <v>0</v>
      </c>
      <c r="G54" s="1">
        <v>0</v>
      </c>
      <c r="H54" s="1">
        <v>2610</v>
      </c>
      <c r="I54" s="1">
        <v>2024</v>
      </c>
      <c r="J54" s="1"/>
    </row>
    <row r="55" spans="1:10" x14ac:dyDescent="0.25">
      <c r="A55" t="s">
        <v>826</v>
      </c>
      <c r="B55" t="s">
        <v>81</v>
      </c>
      <c r="C55" s="1">
        <f>6755+2+1+65+1712</f>
        <v>8535</v>
      </c>
      <c r="D55" s="1">
        <v>0</v>
      </c>
      <c r="E55" s="1">
        <v>0</v>
      </c>
      <c r="F55" s="1">
        <v>0</v>
      </c>
      <c r="G55" s="1">
        <v>0</v>
      </c>
      <c r="H55" s="1">
        <v>2560</v>
      </c>
      <c r="I55" s="1">
        <v>1451</v>
      </c>
      <c r="J55" s="1"/>
    </row>
    <row r="56" spans="1:10" x14ac:dyDescent="0.25">
      <c r="A56" t="s">
        <v>76</v>
      </c>
      <c r="B56" t="s">
        <v>82</v>
      </c>
      <c r="C56" s="1"/>
      <c r="D56" s="1"/>
      <c r="E56" s="1"/>
      <c r="F56" s="1"/>
      <c r="G56" s="1"/>
      <c r="H56" s="1"/>
      <c r="I56" s="1"/>
      <c r="J56" s="1"/>
    </row>
    <row r="57" spans="1:10" x14ac:dyDescent="0.25">
      <c r="A57" t="s">
        <v>83</v>
      </c>
      <c r="B57" t="s">
        <v>84</v>
      </c>
      <c r="C57" s="1"/>
      <c r="D57" s="1"/>
      <c r="E57" s="1"/>
      <c r="F57" s="1"/>
      <c r="G57" s="1"/>
      <c r="H57" s="1"/>
      <c r="I57" s="1"/>
      <c r="J57" s="1"/>
    </row>
    <row r="58" spans="1:10" x14ac:dyDescent="0.25">
      <c r="A58" t="s">
        <v>809</v>
      </c>
      <c r="B58" t="s">
        <v>85</v>
      </c>
      <c r="C58" s="1"/>
      <c r="D58" s="1"/>
      <c r="E58" s="1"/>
      <c r="F58" s="1"/>
      <c r="G58" s="1"/>
      <c r="H58" s="1"/>
      <c r="I58" s="1"/>
      <c r="J58" s="1"/>
    </row>
    <row r="59" spans="1:10" x14ac:dyDescent="0.25">
      <c r="A59" t="s">
        <v>811</v>
      </c>
      <c r="B59" t="s">
        <v>86</v>
      </c>
      <c r="C59" s="1">
        <f>18208+150+6+229+2+24260+2</f>
        <v>42857</v>
      </c>
      <c r="D59" s="1">
        <f>1056+28+11+883+6789+58</f>
        <v>8825</v>
      </c>
      <c r="E59" s="1">
        <v>0</v>
      </c>
      <c r="F59" s="1">
        <v>0</v>
      </c>
      <c r="G59" s="1">
        <v>0</v>
      </c>
      <c r="H59" s="1">
        <v>4958</v>
      </c>
      <c r="I59" s="1">
        <v>23782</v>
      </c>
      <c r="J59" s="1"/>
    </row>
    <row r="60" spans="1:10" x14ac:dyDescent="0.25">
      <c r="A60" t="s">
        <v>811</v>
      </c>
      <c r="B60" t="s">
        <v>87</v>
      </c>
      <c r="C60" s="1">
        <f>12638+1+7+17+36+8+276+17+1+1+6+266+4084</f>
        <v>17358</v>
      </c>
      <c r="D60" s="1">
        <f>614+1306+52</f>
        <v>1972</v>
      </c>
      <c r="E60" s="1">
        <v>0</v>
      </c>
      <c r="F60" s="1">
        <v>0</v>
      </c>
      <c r="G60" s="1">
        <v>0</v>
      </c>
      <c r="H60" s="1">
        <v>5141</v>
      </c>
      <c r="I60" s="1">
        <v>4784</v>
      </c>
      <c r="J60" s="1"/>
    </row>
    <row r="61" spans="1:10" x14ac:dyDescent="0.25">
      <c r="A61" t="s">
        <v>791</v>
      </c>
      <c r="B61" t="s">
        <v>88</v>
      </c>
      <c r="C61" s="1">
        <f>7651+10+18+4830</f>
        <v>12509</v>
      </c>
      <c r="D61" s="1">
        <f>363+14+92</f>
        <v>469</v>
      </c>
      <c r="E61" s="1">
        <v>0</v>
      </c>
      <c r="F61" s="1">
        <v>0</v>
      </c>
      <c r="G61" s="1">
        <v>0</v>
      </c>
      <c r="H61" s="1">
        <v>2195</v>
      </c>
      <c r="I61" s="1">
        <v>4514</v>
      </c>
      <c r="J61" s="1"/>
    </row>
    <row r="62" spans="1:10" x14ac:dyDescent="0.25">
      <c r="A62" t="s">
        <v>809</v>
      </c>
      <c r="B62" t="s">
        <v>89</v>
      </c>
      <c r="C62" s="1"/>
      <c r="D62" s="1"/>
      <c r="E62" s="1"/>
      <c r="F62" s="1"/>
      <c r="G62" s="1"/>
      <c r="H62" s="1"/>
      <c r="I62" s="1"/>
      <c r="J62" s="1"/>
    </row>
    <row r="63" spans="1:10" x14ac:dyDescent="0.25">
      <c r="A63" t="s">
        <v>848</v>
      </c>
      <c r="B63" t="s">
        <v>90</v>
      </c>
      <c r="C63" s="1">
        <f>12722+54+67+1+99+15555</f>
        <v>28498</v>
      </c>
      <c r="D63" s="1">
        <f>8+19+72</f>
        <v>99</v>
      </c>
      <c r="E63" s="1">
        <v>0</v>
      </c>
      <c r="F63" s="1">
        <v>0</v>
      </c>
      <c r="G63" s="1">
        <v>0</v>
      </c>
      <c r="H63" s="1">
        <v>4939</v>
      </c>
      <c r="I63" s="1">
        <v>14861</v>
      </c>
      <c r="J63" s="1"/>
    </row>
    <row r="64" spans="1:10" x14ac:dyDescent="0.25">
      <c r="A64" t="s">
        <v>811</v>
      </c>
      <c r="B64" t="s">
        <v>91</v>
      </c>
      <c r="C64" s="1">
        <f>44575+256+2+2+95535+1</f>
        <v>140371</v>
      </c>
      <c r="D64" s="1">
        <f>1402+1+108+1024+87</f>
        <v>2622</v>
      </c>
      <c r="E64" s="1">
        <v>0</v>
      </c>
      <c r="F64" s="1">
        <v>0</v>
      </c>
      <c r="G64" s="1">
        <v>0</v>
      </c>
      <c r="H64" s="1">
        <v>50243</v>
      </c>
      <c r="I64" s="1">
        <v>74671</v>
      </c>
      <c r="J64" s="1"/>
    </row>
    <row r="65" spans="1:10" x14ac:dyDescent="0.25">
      <c r="A65" t="s">
        <v>826</v>
      </c>
      <c r="B65" t="s">
        <v>92</v>
      </c>
      <c r="C65" s="1">
        <f>32763+11+56+145+1+12+17+613+5688</f>
        <v>39306</v>
      </c>
      <c r="D65" s="1">
        <f>463+43+452+66+1</f>
        <v>1025</v>
      </c>
      <c r="E65" s="1">
        <v>0</v>
      </c>
      <c r="F65" s="1">
        <v>0</v>
      </c>
      <c r="G65" s="1">
        <v>0</v>
      </c>
      <c r="H65" s="1">
        <v>2897</v>
      </c>
      <c r="I65" s="1">
        <v>5323</v>
      </c>
      <c r="J65" s="1"/>
    </row>
    <row r="66" spans="1:10" x14ac:dyDescent="0.25">
      <c r="A66" t="s">
        <v>849</v>
      </c>
      <c r="B66" t="s">
        <v>93</v>
      </c>
      <c r="C66" s="1"/>
      <c r="D66" s="1"/>
      <c r="E66" s="1"/>
      <c r="F66" s="1"/>
      <c r="G66" s="1"/>
      <c r="H66" s="1"/>
      <c r="I66" s="1"/>
      <c r="J66" s="1"/>
    </row>
    <row r="67" spans="1:10" x14ac:dyDescent="0.25">
      <c r="A67" t="s">
        <v>791</v>
      </c>
      <c r="B67" t="s">
        <v>94</v>
      </c>
      <c r="C67" s="1">
        <f>6984+17+25+16+3+24+1028</f>
        <v>8097</v>
      </c>
      <c r="D67" s="1">
        <f>43+9+1</f>
        <v>53</v>
      </c>
      <c r="E67" s="1">
        <v>0</v>
      </c>
      <c r="F67" s="1">
        <v>0</v>
      </c>
      <c r="G67" s="1">
        <v>0</v>
      </c>
      <c r="H67" s="1">
        <v>4483</v>
      </c>
      <c r="I67" s="1">
        <v>790</v>
      </c>
      <c r="J67" s="1"/>
    </row>
    <row r="68" spans="1:10" x14ac:dyDescent="0.25">
      <c r="A68" t="s">
        <v>848</v>
      </c>
      <c r="B68" t="s">
        <v>95</v>
      </c>
      <c r="C68" s="1">
        <f>1570+386</f>
        <v>1956</v>
      </c>
      <c r="D68" s="1">
        <f>18+4</f>
        <v>22</v>
      </c>
      <c r="E68" s="1">
        <v>0</v>
      </c>
      <c r="F68" s="1">
        <v>0</v>
      </c>
      <c r="G68" s="1">
        <v>0</v>
      </c>
      <c r="H68" s="1">
        <v>565</v>
      </c>
      <c r="I68" s="1">
        <v>227</v>
      </c>
      <c r="J68" s="1"/>
    </row>
    <row r="69" spans="1:10" x14ac:dyDescent="0.25">
      <c r="A69" t="s">
        <v>826</v>
      </c>
      <c r="B69" t="s">
        <v>96</v>
      </c>
      <c r="C69" s="1">
        <f>4223+14+8+1410</f>
        <v>5655</v>
      </c>
      <c r="D69" s="1">
        <f>82+10+28</f>
        <v>120</v>
      </c>
      <c r="E69" s="1">
        <v>0</v>
      </c>
      <c r="F69" s="1">
        <v>0</v>
      </c>
      <c r="G69" s="1">
        <v>0</v>
      </c>
      <c r="H69" s="1">
        <v>927</v>
      </c>
      <c r="I69" s="1">
        <v>1013</v>
      </c>
      <c r="J69" s="1"/>
    </row>
    <row r="70" spans="1:10" x14ac:dyDescent="0.25">
      <c r="A70" t="s">
        <v>850</v>
      </c>
      <c r="B70" t="s">
        <v>98</v>
      </c>
      <c r="C70" s="1"/>
      <c r="D70" s="1"/>
      <c r="E70" s="1"/>
      <c r="F70" s="1"/>
      <c r="G70" s="1"/>
      <c r="H70" s="1"/>
      <c r="I70" s="1"/>
      <c r="J70" s="1"/>
    </row>
    <row r="71" spans="1:10" x14ac:dyDescent="0.25">
      <c r="A71" t="s">
        <v>851</v>
      </c>
      <c r="B71" t="s">
        <v>100</v>
      </c>
      <c r="C71" s="1"/>
      <c r="D71" s="1"/>
      <c r="E71" s="1"/>
      <c r="F71" s="1"/>
      <c r="G71" s="1"/>
      <c r="H71" s="1"/>
      <c r="I71" s="1"/>
      <c r="J71" s="1"/>
    </row>
    <row r="72" spans="1:10" x14ac:dyDescent="0.25">
      <c r="A72" t="s">
        <v>101</v>
      </c>
      <c r="B72" t="s">
        <v>102</v>
      </c>
      <c r="C72" s="1">
        <f>22162+16+6+5756</f>
        <v>27940</v>
      </c>
      <c r="D72" s="1">
        <v>2</v>
      </c>
      <c r="E72" s="1">
        <v>0</v>
      </c>
      <c r="F72" s="1">
        <v>0</v>
      </c>
      <c r="G72" s="1">
        <v>0</v>
      </c>
      <c r="H72" s="1">
        <v>18577</v>
      </c>
      <c r="I72" s="1">
        <v>4217</v>
      </c>
      <c r="J72" s="1"/>
    </row>
    <row r="73" spans="1:10" x14ac:dyDescent="0.25">
      <c r="A73" t="s">
        <v>512</v>
      </c>
      <c r="B73" t="s">
        <v>103</v>
      </c>
      <c r="C73" s="1">
        <f>7966+1+2557</f>
        <v>10524</v>
      </c>
      <c r="D73" s="1">
        <v>0</v>
      </c>
      <c r="E73" s="1">
        <v>0</v>
      </c>
      <c r="F73" s="1">
        <v>0</v>
      </c>
      <c r="G73" s="1">
        <v>0</v>
      </c>
      <c r="H73" s="1">
        <v>312</v>
      </c>
      <c r="I73" s="1">
        <v>1871</v>
      </c>
      <c r="J73" s="1"/>
    </row>
    <row r="74" spans="1:10" x14ac:dyDescent="0.25">
      <c r="A74" t="s">
        <v>852</v>
      </c>
      <c r="B74" t="s">
        <v>105</v>
      </c>
      <c r="C74" s="1"/>
      <c r="D74" s="1"/>
      <c r="E74" s="1"/>
      <c r="F74" s="1"/>
      <c r="G74" s="1"/>
      <c r="H74" s="1"/>
      <c r="I74" s="1"/>
      <c r="J74" s="1"/>
    </row>
    <row r="75" spans="1:10" x14ac:dyDescent="0.25">
      <c r="A75" t="s">
        <v>853</v>
      </c>
      <c r="B75" t="s">
        <v>107</v>
      </c>
      <c r="C75" s="1"/>
      <c r="D75" s="1"/>
      <c r="E75" s="1"/>
      <c r="F75" s="1"/>
      <c r="G75" s="1"/>
      <c r="H75" s="1"/>
      <c r="I75" s="1"/>
      <c r="J75" s="1"/>
    </row>
    <row r="76" spans="1:10" x14ac:dyDescent="0.25">
      <c r="A76" t="s">
        <v>854</v>
      </c>
      <c r="B76" t="s">
        <v>109</v>
      </c>
      <c r="C76" s="1"/>
      <c r="D76" s="1"/>
      <c r="E76" s="1"/>
      <c r="F76" s="1"/>
      <c r="G76" s="1"/>
      <c r="H76" s="1"/>
      <c r="I76" s="1"/>
      <c r="J76" s="1"/>
    </row>
    <row r="77" spans="1:10" x14ac:dyDescent="0.25">
      <c r="A77" t="s">
        <v>855</v>
      </c>
      <c r="B77" t="s">
        <v>111</v>
      </c>
      <c r="C77" s="1"/>
      <c r="D77" s="1"/>
      <c r="E77" s="1"/>
      <c r="F77" s="1"/>
      <c r="G77" s="1"/>
      <c r="H77" s="1"/>
      <c r="I77" s="1"/>
      <c r="J77" s="1"/>
    </row>
    <row r="78" spans="1:10" x14ac:dyDescent="0.25">
      <c r="A78" t="s">
        <v>101</v>
      </c>
      <c r="B78" t="s">
        <v>112</v>
      </c>
      <c r="C78" s="1">
        <f>20470+25+141+14+1601</f>
        <v>22251</v>
      </c>
      <c r="D78" s="1">
        <f>5+3</f>
        <v>8</v>
      </c>
      <c r="E78" s="1">
        <v>0</v>
      </c>
      <c r="F78" s="1">
        <v>0</v>
      </c>
      <c r="G78" s="1">
        <v>0</v>
      </c>
      <c r="H78" s="1">
        <v>33814</v>
      </c>
      <c r="I78" s="1">
        <v>1421</v>
      </c>
      <c r="J78" s="1"/>
    </row>
    <row r="79" spans="1:10" x14ac:dyDescent="0.25">
      <c r="A79" t="s">
        <v>856</v>
      </c>
      <c r="B79" t="s">
        <v>114</v>
      </c>
      <c r="C79" s="1"/>
      <c r="D79" s="1"/>
      <c r="E79" s="1"/>
      <c r="F79" s="1"/>
      <c r="G79" s="1"/>
      <c r="H79" s="1"/>
      <c r="I79" s="1"/>
      <c r="J79" s="1"/>
    </row>
    <row r="80" spans="1:10" x14ac:dyDescent="0.25">
      <c r="A80" t="s">
        <v>857</v>
      </c>
      <c r="B80" t="s">
        <v>116</v>
      </c>
      <c r="C80" s="1"/>
      <c r="D80" s="1"/>
      <c r="E80" s="1"/>
      <c r="F80" s="1"/>
      <c r="G80" s="1"/>
      <c r="H80" s="1"/>
      <c r="I80" s="1"/>
      <c r="J80" s="1"/>
    </row>
    <row r="81" spans="1:10" x14ac:dyDescent="0.25">
      <c r="A81" t="s">
        <v>823</v>
      </c>
      <c r="B81" t="s">
        <v>117</v>
      </c>
      <c r="C81" s="1">
        <f>8445+2575</f>
        <v>11020</v>
      </c>
      <c r="D81" s="1">
        <v>0</v>
      </c>
      <c r="E81" s="1">
        <v>0</v>
      </c>
      <c r="F81" s="1">
        <v>0</v>
      </c>
      <c r="G81" s="1">
        <v>0</v>
      </c>
      <c r="H81" s="1">
        <v>44</v>
      </c>
      <c r="I81" s="1">
        <v>2219</v>
      </c>
      <c r="J81" s="1"/>
    </row>
    <row r="82" spans="1:10" x14ac:dyDescent="0.25">
      <c r="A82" t="s">
        <v>858</v>
      </c>
      <c r="B82" t="s">
        <v>119</v>
      </c>
      <c r="C82" s="1"/>
      <c r="D82" s="1"/>
      <c r="E82" s="1"/>
      <c r="F82" s="1"/>
      <c r="G82" s="1"/>
      <c r="H82" s="1"/>
      <c r="I82" s="1"/>
      <c r="J82" s="1"/>
    </row>
    <row r="83" spans="1:10" x14ac:dyDescent="0.25">
      <c r="A83" t="s">
        <v>859</v>
      </c>
      <c r="B83" t="s">
        <v>121</v>
      </c>
      <c r="C83" s="1"/>
      <c r="D83" s="1"/>
      <c r="E83" s="1"/>
      <c r="F83" s="1"/>
      <c r="G83" s="1"/>
      <c r="H83" s="1"/>
      <c r="I83" s="1"/>
      <c r="J83" s="1"/>
    </row>
    <row r="84" spans="1:10" x14ac:dyDescent="0.25">
      <c r="A84" t="s">
        <v>860</v>
      </c>
      <c r="B84" t="s">
        <v>122</v>
      </c>
      <c r="C84" s="1"/>
      <c r="D84" s="1"/>
      <c r="E84" s="1"/>
      <c r="F84" s="1"/>
      <c r="G84" s="1"/>
      <c r="H84" s="1"/>
      <c r="I84" s="1"/>
      <c r="J84" s="1"/>
    </row>
    <row r="85" spans="1:10" x14ac:dyDescent="0.25">
      <c r="A85" t="s">
        <v>861</v>
      </c>
      <c r="B85" t="s">
        <v>124</v>
      </c>
      <c r="C85" s="1"/>
      <c r="D85" s="1"/>
      <c r="E85" s="1"/>
      <c r="F85" s="1"/>
      <c r="G85" s="1"/>
      <c r="H85" s="1"/>
      <c r="I85" s="1"/>
      <c r="J85" s="1"/>
    </row>
    <row r="86" spans="1:10" x14ac:dyDescent="0.25">
      <c r="A86" t="s">
        <v>823</v>
      </c>
      <c r="B86" t="s">
        <v>125</v>
      </c>
      <c r="C86" s="1">
        <f>42437+2269</f>
        <v>44706</v>
      </c>
      <c r="D86" s="1">
        <v>0</v>
      </c>
      <c r="E86" s="1">
        <v>0</v>
      </c>
      <c r="F86" s="1">
        <v>0</v>
      </c>
      <c r="G86" s="1">
        <v>0</v>
      </c>
      <c r="H86" s="1">
        <v>575</v>
      </c>
      <c r="I86" s="1">
        <v>1286</v>
      </c>
      <c r="J86" s="1"/>
    </row>
    <row r="87" spans="1:10" x14ac:dyDescent="0.25">
      <c r="A87" t="s">
        <v>248</v>
      </c>
      <c r="B87" t="s">
        <v>126</v>
      </c>
      <c r="C87" s="1">
        <f>10343+2+3435</f>
        <v>13780</v>
      </c>
      <c r="D87" s="1">
        <f>8+1+1</f>
        <v>10</v>
      </c>
      <c r="E87" s="1">
        <v>0</v>
      </c>
      <c r="F87" s="1">
        <v>0</v>
      </c>
      <c r="G87" s="1">
        <v>0</v>
      </c>
      <c r="H87" s="1">
        <v>17225</v>
      </c>
      <c r="I87" s="1">
        <v>2942</v>
      </c>
      <c r="J87" s="1"/>
    </row>
    <row r="88" spans="1:10" x14ac:dyDescent="0.25">
      <c r="A88" t="s">
        <v>862</v>
      </c>
      <c r="B88" t="s">
        <v>127</v>
      </c>
      <c r="C88" s="1"/>
      <c r="D88" s="1"/>
      <c r="E88" s="1"/>
      <c r="F88" s="1"/>
      <c r="G88" s="1"/>
      <c r="H88" s="1"/>
      <c r="I88" s="1"/>
      <c r="J88" s="1"/>
    </row>
    <row r="89" spans="1:10" x14ac:dyDescent="0.25">
      <c r="A89" t="s">
        <v>863</v>
      </c>
      <c r="B89" t="s">
        <v>129</v>
      </c>
      <c r="C89" s="1"/>
      <c r="D89" s="1"/>
      <c r="E89" s="1"/>
      <c r="F89" s="1"/>
      <c r="G89" s="1"/>
      <c r="H89" s="1"/>
      <c r="I89" s="1"/>
      <c r="J89" s="1"/>
    </row>
    <row r="90" spans="1:10" x14ac:dyDescent="0.25">
      <c r="A90" t="s">
        <v>794</v>
      </c>
      <c r="B90" t="s">
        <v>130</v>
      </c>
      <c r="C90" s="1"/>
      <c r="D90" s="1"/>
      <c r="E90" s="1"/>
      <c r="F90" s="1"/>
      <c r="G90" s="1"/>
      <c r="H90" s="1"/>
      <c r="I90" s="1"/>
      <c r="J90" s="1"/>
    </row>
    <row r="91" spans="1:10" x14ac:dyDescent="0.25">
      <c r="A91" t="s">
        <v>864</v>
      </c>
      <c r="B91" t="s">
        <v>132</v>
      </c>
      <c r="C91" s="1">
        <f>12504+6120</f>
        <v>18624</v>
      </c>
      <c r="D91" s="1">
        <f>6+1+24</f>
        <v>31</v>
      </c>
      <c r="E91" s="1">
        <v>0</v>
      </c>
      <c r="F91" s="1">
        <v>0</v>
      </c>
      <c r="G91" s="1">
        <v>0</v>
      </c>
      <c r="H91" s="1">
        <v>27479</v>
      </c>
      <c r="I91" s="1">
        <v>5345</v>
      </c>
      <c r="J91" s="1"/>
    </row>
    <row r="92" spans="1:10" x14ac:dyDescent="0.25">
      <c r="A92" t="s">
        <v>512</v>
      </c>
      <c r="B92" t="s">
        <v>133</v>
      </c>
      <c r="C92" s="1">
        <f>6947+2+2988</f>
        <v>9937</v>
      </c>
      <c r="D92" s="1">
        <v>0</v>
      </c>
      <c r="E92" s="1">
        <v>0</v>
      </c>
      <c r="F92" s="1">
        <v>0</v>
      </c>
      <c r="G92" s="1">
        <v>0</v>
      </c>
      <c r="H92" s="1">
        <v>1855</v>
      </c>
      <c r="I92" s="1">
        <v>2175</v>
      </c>
      <c r="J92" s="1"/>
    </row>
    <row r="93" spans="1:10" x14ac:dyDescent="0.25">
      <c r="A93" t="s">
        <v>134</v>
      </c>
      <c r="B93" t="s">
        <v>135</v>
      </c>
      <c r="C93" s="1">
        <f>14154+58+9382</f>
        <v>23594</v>
      </c>
      <c r="D93" s="1">
        <f>7+3</f>
        <v>10</v>
      </c>
      <c r="E93" s="1">
        <v>0</v>
      </c>
      <c r="F93" s="1">
        <v>0</v>
      </c>
      <c r="G93" s="1">
        <v>0</v>
      </c>
      <c r="H93" s="1">
        <v>37253</v>
      </c>
      <c r="I93" s="1">
        <v>7686</v>
      </c>
      <c r="J93" s="1"/>
    </row>
    <row r="94" spans="1:10" x14ac:dyDescent="0.25">
      <c r="A94" t="s">
        <v>795</v>
      </c>
      <c r="B94" t="s">
        <v>136</v>
      </c>
      <c r="C94" s="1">
        <f>6723+16+4+2924</f>
        <v>9667</v>
      </c>
      <c r="D94" s="1">
        <f>105+36+26+7</f>
        <v>174</v>
      </c>
      <c r="E94" s="1">
        <v>0</v>
      </c>
      <c r="F94" s="1">
        <v>0</v>
      </c>
      <c r="G94" s="1">
        <v>0</v>
      </c>
      <c r="H94" s="1">
        <v>3414</v>
      </c>
      <c r="I94" s="1">
        <v>2799</v>
      </c>
      <c r="J94" s="1"/>
    </row>
    <row r="95" spans="1:10" x14ac:dyDescent="0.25">
      <c r="A95" t="s">
        <v>120</v>
      </c>
      <c r="B95" t="s">
        <v>137</v>
      </c>
      <c r="C95" s="1">
        <f>28289+685+7+99+2038</f>
        <v>31118</v>
      </c>
      <c r="D95" s="1">
        <f>92+1</f>
        <v>93</v>
      </c>
      <c r="E95" s="1">
        <v>0</v>
      </c>
      <c r="F95" s="1">
        <v>0</v>
      </c>
      <c r="G95" s="1">
        <v>0</v>
      </c>
      <c r="H95" s="1">
        <v>22423</v>
      </c>
      <c r="I95" s="1">
        <v>1671</v>
      </c>
      <c r="J95" s="1"/>
    </row>
    <row r="96" spans="1:10" x14ac:dyDescent="0.25">
      <c r="A96" t="s">
        <v>138</v>
      </c>
      <c r="B96" t="s">
        <v>139</v>
      </c>
      <c r="C96" s="1"/>
      <c r="D96" s="1"/>
      <c r="E96" s="1"/>
      <c r="F96" s="1"/>
      <c r="G96" s="1"/>
      <c r="H96" s="1"/>
      <c r="I96" s="1"/>
      <c r="J96" s="1"/>
    </row>
    <row r="97" spans="1:10" x14ac:dyDescent="0.25">
      <c r="A97" t="s">
        <v>806</v>
      </c>
      <c r="B97" t="s">
        <v>141</v>
      </c>
      <c r="C97" s="1">
        <f>857+8+57</f>
        <v>922</v>
      </c>
      <c r="D97" s="1">
        <v>0</v>
      </c>
      <c r="E97" s="1">
        <v>0</v>
      </c>
      <c r="F97" s="1">
        <v>0</v>
      </c>
      <c r="G97" s="1">
        <v>0</v>
      </c>
      <c r="H97" s="1">
        <v>263</v>
      </c>
      <c r="I97" s="1">
        <v>62</v>
      </c>
      <c r="J97" s="1"/>
    </row>
    <row r="98" spans="1:10" x14ac:dyDescent="0.25">
      <c r="A98" t="s">
        <v>67</v>
      </c>
      <c r="B98" t="s">
        <v>142</v>
      </c>
      <c r="C98" s="1">
        <f>9894+2+1751+21+1122</f>
        <v>12790</v>
      </c>
      <c r="D98" s="1">
        <f>27+1</f>
        <v>28</v>
      </c>
      <c r="E98" s="1">
        <v>0</v>
      </c>
      <c r="F98" s="1">
        <v>0</v>
      </c>
      <c r="G98" s="1">
        <v>0</v>
      </c>
      <c r="H98" s="1">
        <v>4869</v>
      </c>
      <c r="I98" s="1">
        <v>993</v>
      </c>
      <c r="J98" s="1"/>
    </row>
    <row r="99" spans="1:10" x14ac:dyDescent="0.25">
      <c r="A99" t="s">
        <v>823</v>
      </c>
      <c r="B99" t="s">
        <v>143</v>
      </c>
      <c r="C99" s="1">
        <f>7151+4320</f>
        <v>11471</v>
      </c>
      <c r="D99" s="1">
        <v>0</v>
      </c>
      <c r="E99" s="1">
        <v>0</v>
      </c>
      <c r="F99" s="1">
        <v>0</v>
      </c>
      <c r="G99" s="1">
        <v>0</v>
      </c>
      <c r="H99" s="1">
        <v>243</v>
      </c>
      <c r="I99" s="1">
        <v>549</v>
      </c>
      <c r="J99" s="1"/>
    </row>
    <row r="100" spans="1:10" x14ac:dyDescent="0.25">
      <c r="A100" t="s">
        <v>848</v>
      </c>
      <c r="B100" t="s">
        <v>144</v>
      </c>
      <c r="C100" s="1">
        <f>4381+2156</f>
        <v>6537</v>
      </c>
      <c r="D100" s="1">
        <f>227+5</f>
        <v>232</v>
      </c>
      <c r="E100" s="1">
        <v>0</v>
      </c>
      <c r="F100" s="1">
        <v>0</v>
      </c>
      <c r="G100" s="1">
        <v>0</v>
      </c>
      <c r="H100" s="1">
        <v>1313</v>
      </c>
      <c r="I100" s="1">
        <v>1928</v>
      </c>
      <c r="J100" s="1"/>
    </row>
    <row r="101" spans="1:10" x14ac:dyDescent="0.25">
      <c r="A101" t="s">
        <v>816</v>
      </c>
      <c r="B101" t="s">
        <v>145</v>
      </c>
      <c r="C101" s="1"/>
      <c r="D101" s="1"/>
      <c r="E101" s="1"/>
      <c r="F101" s="1"/>
      <c r="G101" s="1"/>
      <c r="H101" s="1"/>
      <c r="I101" s="1"/>
      <c r="J101" s="1"/>
    </row>
    <row r="102" spans="1:10" x14ac:dyDescent="0.25">
      <c r="A102" t="s">
        <v>146</v>
      </c>
      <c r="B102" t="s">
        <v>147</v>
      </c>
      <c r="C102" s="1">
        <f>27501+40+11547</f>
        <v>39088</v>
      </c>
      <c r="D102" s="1">
        <f>48+2+2+2</f>
        <v>54</v>
      </c>
      <c r="E102" s="1">
        <v>0</v>
      </c>
      <c r="F102" s="1">
        <v>0</v>
      </c>
      <c r="G102" s="1">
        <v>0</v>
      </c>
      <c r="H102" s="1">
        <v>24170</v>
      </c>
      <c r="I102" s="1">
        <v>9810</v>
      </c>
      <c r="J102" s="1"/>
    </row>
    <row r="103" spans="1:10" x14ac:dyDescent="0.25">
      <c r="A103" t="s">
        <v>804</v>
      </c>
      <c r="B103" t="s">
        <v>148</v>
      </c>
      <c r="C103" s="1"/>
      <c r="D103" s="1"/>
      <c r="E103" s="1"/>
      <c r="F103" s="1"/>
      <c r="G103" s="1"/>
      <c r="H103" s="1"/>
      <c r="I103" s="1"/>
      <c r="J103" s="1"/>
    </row>
    <row r="104" spans="1:10" x14ac:dyDescent="0.25">
      <c r="A104" t="s">
        <v>817</v>
      </c>
      <c r="B104" t="s">
        <v>149</v>
      </c>
      <c r="C104" s="1">
        <f>6762+1+5317+2</f>
        <v>12082</v>
      </c>
      <c r="D104" s="1">
        <f>319+31+37+2</f>
        <v>389</v>
      </c>
      <c r="E104" s="1">
        <v>0</v>
      </c>
      <c r="F104" s="1">
        <v>0</v>
      </c>
      <c r="G104" s="1">
        <v>0</v>
      </c>
      <c r="H104" s="1">
        <v>16954</v>
      </c>
      <c r="I104" s="1">
        <v>4660</v>
      </c>
      <c r="J104" s="1"/>
    </row>
    <row r="105" spans="1:10" x14ac:dyDescent="0.25">
      <c r="A105" t="s">
        <v>831</v>
      </c>
      <c r="B105" t="s">
        <v>151</v>
      </c>
      <c r="C105" s="1">
        <f>2898+1+39+773</f>
        <v>3711</v>
      </c>
      <c r="D105" s="1">
        <v>0</v>
      </c>
      <c r="E105" s="1">
        <v>0</v>
      </c>
      <c r="F105" s="1">
        <v>0</v>
      </c>
      <c r="G105" s="1">
        <v>0</v>
      </c>
      <c r="H105" s="1">
        <v>722</v>
      </c>
      <c r="I105" s="1">
        <v>575</v>
      </c>
      <c r="J105" s="1"/>
    </row>
    <row r="106" spans="1:10" x14ac:dyDescent="0.25">
      <c r="A106" t="s">
        <v>146</v>
      </c>
      <c r="B106" t="s">
        <v>152</v>
      </c>
      <c r="C106" s="1">
        <f>5853+4+1+7434</f>
        <v>13292</v>
      </c>
      <c r="D106" s="1">
        <f>9+24</f>
        <v>33</v>
      </c>
      <c r="E106" s="1">
        <v>0</v>
      </c>
      <c r="F106" s="1">
        <v>0</v>
      </c>
      <c r="G106" s="1">
        <v>0</v>
      </c>
      <c r="H106" s="1">
        <v>6617</v>
      </c>
      <c r="I106" s="1">
        <v>5000</v>
      </c>
      <c r="J106" s="1"/>
    </row>
    <row r="107" spans="1:10" x14ac:dyDescent="0.25">
      <c r="A107" t="s">
        <v>495</v>
      </c>
      <c r="B107" t="s">
        <v>153</v>
      </c>
      <c r="C107" s="1"/>
      <c r="D107" s="1"/>
      <c r="E107" s="1"/>
      <c r="F107" s="1"/>
      <c r="G107" s="1"/>
      <c r="H107" s="1"/>
      <c r="I107" s="1"/>
      <c r="J107" s="1"/>
    </row>
    <row r="108" spans="1:10" x14ac:dyDescent="0.25">
      <c r="A108" t="s">
        <v>76</v>
      </c>
      <c r="B108" t="s">
        <v>154</v>
      </c>
      <c r="C108" s="1"/>
      <c r="D108" s="1"/>
      <c r="E108" s="1"/>
      <c r="F108" s="1"/>
      <c r="G108" s="1"/>
      <c r="H108" s="1"/>
      <c r="I108" s="1"/>
      <c r="J108" s="1"/>
    </row>
    <row r="109" spans="1:10" x14ac:dyDescent="0.25">
      <c r="A109" t="s">
        <v>83</v>
      </c>
      <c r="B109" t="s">
        <v>155</v>
      </c>
      <c r="C109" s="1"/>
      <c r="D109" s="1"/>
      <c r="E109" s="1"/>
      <c r="F109" s="1"/>
      <c r="G109" s="1"/>
      <c r="H109" s="1"/>
      <c r="I109" s="1"/>
      <c r="J109" s="1"/>
    </row>
    <row r="110" spans="1:10" x14ac:dyDescent="0.25">
      <c r="A110" t="s">
        <v>138</v>
      </c>
      <c r="B110" t="s">
        <v>156</v>
      </c>
      <c r="C110" s="1"/>
      <c r="D110" s="1"/>
      <c r="E110" s="1"/>
      <c r="F110" s="1"/>
      <c r="G110" s="1"/>
      <c r="H110" s="1"/>
      <c r="I110" s="1"/>
      <c r="J110" s="1"/>
    </row>
    <row r="111" spans="1:10" x14ac:dyDescent="0.25">
      <c r="A111" t="s">
        <v>831</v>
      </c>
      <c r="B111" t="s">
        <v>157</v>
      </c>
      <c r="C111" s="1">
        <f>4046+7+1641</f>
        <v>5694</v>
      </c>
      <c r="D111" s="1">
        <v>0</v>
      </c>
      <c r="E111" s="1">
        <v>0</v>
      </c>
      <c r="F111" s="1">
        <v>0</v>
      </c>
      <c r="G111" s="1">
        <v>0</v>
      </c>
      <c r="H111" s="1">
        <v>3148</v>
      </c>
      <c r="I111" s="1">
        <v>1493</v>
      </c>
      <c r="J111" s="1"/>
    </row>
    <row r="112" spans="1:10" x14ac:dyDescent="0.25">
      <c r="A112" t="s">
        <v>818</v>
      </c>
      <c r="B112" t="s">
        <v>158</v>
      </c>
      <c r="C112" s="1"/>
      <c r="D112" s="1"/>
      <c r="E112" s="1"/>
      <c r="F112" s="1"/>
      <c r="G112" s="1"/>
      <c r="H112" s="1"/>
      <c r="I112" s="1"/>
      <c r="J112" s="1"/>
    </row>
    <row r="113" spans="1:10" x14ac:dyDescent="0.25">
      <c r="A113" t="s">
        <v>134</v>
      </c>
      <c r="B113" t="s">
        <v>159</v>
      </c>
      <c r="C113" s="1">
        <f>1397+4+131</f>
        <v>1532</v>
      </c>
      <c r="D113" s="1">
        <v>70</v>
      </c>
      <c r="E113" s="1">
        <v>0</v>
      </c>
      <c r="F113" s="1">
        <v>0</v>
      </c>
      <c r="G113" s="1">
        <v>0</v>
      </c>
      <c r="H113" s="1">
        <v>1279</v>
      </c>
      <c r="I113" s="1">
        <v>94</v>
      </c>
      <c r="J113" s="1"/>
    </row>
    <row r="114" spans="1:10" x14ac:dyDescent="0.25">
      <c r="A114" t="s">
        <v>795</v>
      </c>
      <c r="B114" t="s">
        <v>160</v>
      </c>
      <c r="C114" s="1">
        <f>18689+9183</f>
        <v>27872</v>
      </c>
      <c r="D114" s="1">
        <f>156+55+7+129+448+462</f>
        <v>1257</v>
      </c>
      <c r="E114" s="1">
        <v>0</v>
      </c>
      <c r="F114" s="1">
        <v>0</v>
      </c>
      <c r="G114" s="1">
        <v>0</v>
      </c>
      <c r="H114" s="1">
        <v>2428</v>
      </c>
      <c r="I114" s="1">
        <v>6253</v>
      </c>
      <c r="J114" s="1"/>
    </row>
    <row r="115" spans="1:10" x14ac:dyDescent="0.25">
      <c r="A115" t="s">
        <v>226</v>
      </c>
      <c r="B115" t="s">
        <v>161</v>
      </c>
      <c r="C115" s="1">
        <f>2176+25+44+237</f>
        <v>2482</v>
      </c>
      <c r="D115" s="1">
        <v>1</v>
      </c>
      <c r="E115" s="1">
        <v>0</v>
      </c>
      <c r="F115" s="1">
        <v>0</v>
      </c>
      <c r="G115" s="1">
        <v>0</v>
      </c>
      <c r="H115" s="1">
        <v>1092</v>
      </c>
      <c r="I115" s="1">
        <v>233</v>
      </c>
      <c r="J115" s="1"/>
    </row>
    <row r="116" spans="1:10" x14ac:dyDescent="0.25">
      <c r="A116" t="s">
        <v>791</v>
      </c>
      <c r="B116" t="s">
        <v>162</v>
      </c>
      <c r="C116" s="1">
        <f>4193+3+34+3+1489</f>
        <v>5722</v>
      </c>
      <c r="D116" s="1">
        <f>2+8</f>
        <v>10</v>
      </c>
      <c r="E116" s="1">
        <v>0</v>
      </c>
      <c r="F116" s="1">
        <v>0</v>
      </c>
      <c r="G116" s="1">
        <v>0</v>
      </c>
      <c r="H116" s="1">
        <v>4502</v>
      </c>
      <c r="I116" s="1">
        <v>1469</v>
      </c>
      <c r="J116" s="1"/>
    </row>
    <row r="117" spans="1:10" x14ac:dyDescent="0.25">
      <c r="A117" t="s">
        <v>811</v>
      </c>
      <c r="B117" t="s">
        <v>163</v>
      </c>
      <c r="C117" s="1">
        <f>14909+4+1+28+15455</f>
        <v>30397</v>
      </c>
      <c r="D117" s="1">
        <f>1072+5+115+23</f>
        <v>1215</v>
      </c>
      <c r="E117" s="1">
        <v>0</v>
      </c>
      <c r="F117" s="1">
        <v>0</v>
      </c>
      <c r="G117" s="1">
        <v>0</v>
      </c>
      <c r="H117" s="1">
        <v>25796</v>
      </c>
      <c r="I117" s="1">
        <v>13096</v>
      </c>
      <c r="J117" s="1"/>
    </row>
    <row r="118" spans="1:10" x14ac:dyDescent="0.25">
      <c r="A118" t="s">
        <v>138</v>
      </c>
      <c r="B118" t="s">
        <v>164</v>
      </c>
      <c r="C118" s="1"/>
      <c r="D118" s="1"/>
      <c r="E118" s="1"/>
      <c r="F118" s="1"/>
      <c r="G118" s="1"/>
      <c r="H118" s="1"/>
      <c r="I118" s="1"/>
      <c r="J118" s="1"/>
    </row>
    <row r="119" spans="1:10" x14ac:dyDescent="0.25">
      <c r="A119" t="s">
        <v>83</v>
      </c>
      <c r="B119" t="s">
        <v>165</v>
      </c>
      <c r="C119" s="1"/>
      <c r="D119" s="1"/>
      <c r="E119" s="1"/>
      <c r="F119" s="1"/>
      <c r="G119" s="1"/>
      <c r="H119" s="1"/>
      <c r="I119" s="1"/>
      <c r="J119" s="1"/>
    </row>
    <row r="120" spans="1:10" x14ac:dyDescent="0.25">
      <c r="A120" t="s">
        <v>818</v>
      </c>
      <c r="B120" t="s">
        <v>166</v>
      </c>
      <c r="C120" s="1"/>
      <c r="D120" s="1"/>
      <c r="E120" s="1"/>
      <c r="F120" s="1"/>
      <c r="G120" s="1"/>
      <c r="H120" s="1"/>
      <c r="I120" s="1"/>
      <c r="J120" s="1"/>
    </row>
    <row r="121" spans="1:10" x14ac:dyDescent="0.25">
      <c r="A121" t="s">
        <v>801</v>
      </c>
      <c r="B121" t="s">
        <v>167</v>
      </c>
      <c r="C121" s="1"/>
      <c r="D121" s="1"/>
      <c r="E121" s="1"/>
      <c r="F121" s="1"/>
      <c r="G121" s="1"/>
      <c r="H121" s="1"/>
      <c r="I121" s="1"/>
      <c r="J121" s="1"/>
    </row>
    <row r="122" spans="1:10" x14ac:dyDescent="0.25">
      <c r="A122" t="s">
        <v>826</v>
      </c>
      <c r="B122" t="s">
        <v>168</v>
      </c>
      <c r="C122" s="1">
        <f>21460+4+42+409+6+1+12+261+1544</f>
        <v>23739</v>
      </c>
      <c r="D122" s="1">
        <f>150+7+2</f>
        <v>159</v>
      </c>
      <c r="E122" s="1">
        <v>0</v>
      </c>
      <c r="F122" s="1">
        <v>0</v>
      </c>
      <c r="G122" s="1">
        <v>0</v>
      </c>
      <c r="H122" s="1">
        <v>8533</v>
      </c>
      <c r="I122" s="1">
        <v>1490</v>
      </c>
      <c r="J122" s="1"/>
    </row>
    <row r="123" spans="1:10" x14ac:dyDescent="0.25">
      <c r="A123" t="s">
        <v>848</v>
      </c>
      <c r="B123" t="s">
        <v>169</v>
      </c>
      <c r="C123" s="1">
        <f>3611+31+2+27+1480</f>
        <v>5151</v>
      </c>
      <c r="D123" s="1">
        <f>73+2</f>
        <v>75</v>
      </c>
      <c r="E123" s="1">
        <v>0</v>
      </c>
      <c r="F123" s="1">
        <v>0</v>
      </c>
      <c r="G123" s="1">
        <v>0</v>
      </c>
      <c r="H123" s="1">
        <v>732</v>
      </c>
      <c r="I123" s="1">
        <v>1417</v>
      </c>
      <c r="J123" s="1"/>
    </row>
    <row r="124" spans="1:10" x14ac:dyDescent="0.25">
      <c r="A124" t="s">
        <v>811</v>
      </c>
      <c r="B124" t="s">
        <v>170</v>
      </c>
      <c r="C124" s="1">
        <f>8133+43+3732</f>
        <v>11908</v>
      </c>
      <c r="D124" s="1">
        <f>147+3+1+3</f>
        <v>154</v>
      </c>
      <c r="E124" s="1">
        <v>0</v>
      </c>
      <c r="F124" s="1">
        <v>0</v>
      </c>
      <c r="G124" s="1">
        <v>0</v>
      </c>
      <c r="H124" s="1">
        <v>8265</v>
      </c>
      <c r="I124" s="1">
        <v>3345</v>
      </c>
      <c r="J124" s="1"/>
    </row>
    <row r="125" spans="1:10" x14ac:dyDescent="0.25">
      <c r="A125" t="s">
        <v>512</v>
      </c>
      <c r="B125" t="s">
        <v>171</v>
      </c>
      <c r="C125" s="1">
        <f>2415+1643</f>
        <v>4058</v>
      </c>
      <c r="D125" s="1">
        <v>0</v>
      </c>
      <c r="E125" s="1">
        <v>0</v>
      </c>
      <c r="F125" s="1">
        <v>0</v>
      </c>
      <c r="G125" s="1">
        <v>0</v>
      </c>
      <c r="H125" s="1">
        <v>2994</v>
      </c>
      <c r="I125" s="1">
        <v>873</v>
      </c>
      <c r="J125" s="1"/>
    </row>
    <row r="126" spans="1:10" x14ac:dyDescent="0.25">
      <c r="A126" t="s">
        <v>848</v>
      </c>
      <c r="B126" t="s">
        <v>172</v>
      </c>
      <c r="C126" s="1">
        <f>1199+1577</f>
        <v>2776</v>
      </c>
      <c r="D126" s="1">
        <v>1</v>
      </c>
      <c r="E126" s="1">
        <v>0</v>
      </c>
      <c r="F126" s="1">
        <v>0</v>
      </c>
      <c r="G126" s="1">
        <v>0</v>
      </c>
      <c r="H126" s="1">
        <v>10</v>
      </c>
      <c r="I126" s="1">
        <v>224</v>
      </c>
      <c r="J126" s="1"/>
    </row>
    <row r="127" spans="1:10" x14ac:dyDescent="0.25">
      <c r="A127" t="s">
        <v>801</v>
      </c>
      <c r="B127" t="s">
        <v>173</v>
      </c>
      <c r="C127" s="1"/>
      <c r="D127" s="1"/>
      <c r="E127" s="1"/>
      <c r="F127" s="1"/>
      <c r="G127" s="1"/>
      <c r="H127" s="1"/>
      <c r="I127" s="1"/>
      <c r="J127" s="1"/>
    </row>
    <row r="128" spans="1:10" x14ac:dyDescent="0.25">
      <c r="A128" t="s">
        <v>864</v>
      </c>
      <c r="B128" t="s">
        <v>174</v>
      </c>
      <c r="C128" s="1">
        <f>5055+1912</f>
        <v>6967</v>
      </c>
      <c r="D128" s="1">
        <f>2+14</f>
        <v>16</v>
      </c>
      <c r="E128" s="1">
        <v>0</v>
      </c>
      <c r="F128" s="1">
        <v>0</v>
      </c>
      <c r="G128" s="1">
        <v>0</v>
      </c>
      <c r="H128" s="1">
        <v>5874</v>
      </c>
      <c r="I128" s="1">
        <v>1782</v>
      </c>
      <c r="J128" s="1"/>
    </row>
    <row r="129" spans="1:10" x14ac:dyDescent="0.25">
      <c r="A129" t="s">
        <v>226</v>
      </c>
      <c r="B129" t="s">
        <v>175</v>
      </c>
      <c r="C129" s="1">
        <f>1768+24+8+72</f>
        <v>1872</v>
      </c>
      <c r="D129" s="1">
        <v>344</v>
      </c>
      <c r="E129" s="1">
        <v>0</v>
      </c>
      <c r="F129" s="1">
        <v>0</v>
      </c>
      <c r="G129" s="1">
        <v>0</v>
      </c>
      <c r="H129" s="1">
        <v>516</v>
      </c>
      <c r="I129" s="1">
        <v>65</v>
      </c>
      <c r="J129" s="1"/>
    </row>
    <row r="130" spans="1:10" x14ac:dyDescent="0.25">
      <c r="A130" t="s">
        <v>794</v>
      </c>
      <c r="B130" t="s">
        <v>176</v>
      </c>
      <c r="C130" s="1"/>
      <c r="D130" s="1"/>
      <c r="E130" s="1"/>
      <c r="F130" s="1"/>
      <c r="G130" s="1"/>
      <c r="H130" s="1"/>
      <c r="I130" s="1"/>
      <c r="J130" s="1"/>
    </row>
    <row r="131" spans="1:10" x14ac:dyDescent="0.25">
      <c r="A131" t="s">
        <v>248</v>
      </c>
      <c r="B131" t="s">
        <v>177</v>
      </c>
      <c r="C131" s="1">
        <f>8296+3+1+12+2+15+5+15+2073</f>
        <v>10422</v>
      </c>
      <c r="D131" s="1">
        <v>2</v>
      </c>
      <c r="E131" s="1">
        <v>0</v>
      </c>
      <c r="F131" s="1">
        <v>0</v>
      </c>
      <c r="G131" s="1">
        <v>0</v>
      </c>
      <c r="H131" s="1">
        <v>9752</v>
      </c>
      <c r="I131" s="1">
        <v>1308</v>
      </c>
      <c r="J131" s="1"/>
    </row>
    <row r="132" spans="1:10" x14ac:dyDescent="0.25">
      <c r="A132" t="s">
        <v>83</v>
      </c>
      <c r="B132" t="s">
        <v>178</v>
      </c>
      <c r="C132" s="1"/>
      <c r="D132" s="1"/>
      <c r="E132" s="1"/>
      <c r="F132" s="1"/>
      <c r="G132" s="1"/>
      <c r="H132" s="1"/>
      <c r="I132" s="1"/>
      <c r="J132" s="1"/>
    </row>
    <row r="133" spans="1:10" x14ac:dyDescent="0.25">
      <c r="A133" t="s">
        <v>823</v>
      </c>
      <c r="B133" t="s">
        <v>179</v>
      </c>
      <c r="C133" s="1">
        <f>15431+1+7672</f>
        <v>23104</v>
      </c>
      <c r="D133" s="1">
        <f>2+1+4</f>
        <v>7</v>
      </c>
      <c r="E133" s="1">
        <v>0</v>
      </c>
      <c r="F133" s="1">
        <v>0</v>
      </c>
      <c r="G133" s="1">
        <v>0</v>
      </c>
      <c r="H133" s="1">
        <v>12406</v>
      </c>
      <c r="I133" s="1">
        <v>6478</v>
      </c>
      <c r="J133" s="1"/>
    </row>
    <row r="134" spans="1:10" x14ac:dyDescent="0.25">
      <c r="A134" t="s">
        <v>795</v>
      </c>
      <c r="B134" t="s">
        <v>180</v>
      </c>
      <c r="C134" s="1">
        <f>57650+16+16195</f>
        <v>73861</v>
      </c>
      <c r="D134" s="1">
        <f>23+23</f>
        <v>46</v>
      </c>
      <c r="E134" s="1">
        <v>0</v>
      </c>
      <c r="F134" s="1">
        <v>0</v>
      </c>
      <c r="G134" s="1">
        <v>0</v>
      </c>
      <c r="H134" s="1">
        <v>33168</v>
      </c>
      <c r="I134" s="1">
        <v>14846</v>
      </c>
      <c r="J134" s="1"/>
    </row>
    <row r="135" spans="1:10" x14ac:dyDescent="0.25">
      <c r="A135" t="s">
        <v>791</v>
      </c>
      <c r="B135" t="s">
        <v>181</v>
      </c>
      <c r="C135" s="1">
        <f>1537+2559</f>
        <v>4096</v>
      </c>
      <c r="D135" s="1">
        <f>465+39+1</f>
        <v>505</v>
      </c>
      <c r="E135" s="1">
        <v>0</v>
      </c>
      <c r="F135" s="1">
        <v>0</v>
      </c>
      <c r="G135" s="1">
        <v>0</v>
      </c>
      <c r="H135" s="1">
        <v>5255</v>
      </c>
      <c r="I135" s="1">
        <v>1234</v>
      </c>
      <c r="J135" s="1"/>
    </row>
    <row r="136" spans="1:10" x14ac:dyDescent="0.25">
      <c r="A136" t="s">
        <v>83</v>
      </c>
      <c r="B136" t="s">
        <v>182</v>
      </c>
      <c r="C136" s="1"/>
      <c r="D136" s="1"/>
      <c r="E136" s="1"/>
      <c r="F136" s="1"/>
      <c r="G136" s="1"/>
      <c r="H136" s="1"/>
      <c r="I136" s="1"/>
      <c r="J136" s="1"/>
    </row>
    <row r="137" spans="1:10" x14ac:dyDescent="0.25">
      <c r="A137" t="s">
        <v>817</v>
      </c>
      <c r="B137" t="s">
        <v>183</v>
      </c>
      <c r="C137" s="1">
        <f>1620+11+10+1880</f>
        <v>3521</v>
      </c>
      <c r="D137" s="1">
        <f>8+11+1</f>
        <v>20</v>
      </c>
      <c r="E137" s="1">
        <v>0</v>
      </c>
      <c r="F137" s="1">
        <v>0</v>
      </c>
      <c r="G137" s="1">
        <v>0</v>
      </c>
      <c r="H137" s="1">
        <v>8816</v>
      </c>
      <c r="I137" s="1">
        <v>1577</v>
      </c>
      <c r="J137" s="1"/>
    </row>
    <row r="138" spans="1:10" x14ac:dyDescent="0.25">
      <c r="A138" t="s">
        <v>67</v>
      </c>
      <c r="B138" t="s">
        <v>184</v>
      </c>
      <c r="C138" s="1">
        <f>19388+447+17+3404</f>
        <v>23256</v>
      </c>
      <c r="D138" s="1">
        <f>92+84+18</f>
        <v>194</v>
      </c>
      <c r="E138" s="1">
        <v>0</v>
      </c>
      <c r="F138" s="1">
        <v>0</v>
      </c>
      <c r="G138" s="1">
        <v>0</v>
      </c>
      <c r="H138" s="1">
        <v>29709</v>
      </c>
      <c r="I138" s="1">
        <v>3075</v>
      </c>
      <c r="J138" s="1"/>
    </row>
    <row r="139" spans="1:10" x14ac:dyDescent="0.25">
      <c r="A139" t="s">
        <v>865</v>
      </c>
      <c r="B139" t="s">
        <v>186</v>
      </c>
      <c r="C139" s="1">
        <f>5319+1+1+3967</f>
        <v>9288</v>
      </c>
      <c r="D139" s="1">
        <v>0</v>
      </c>
      <c r="E139" s="1">
        <v>0</v>
      </c>
      <c r="F139" s="1">
        <v>0</v>
      </c>
      <c r="G139" s="1">
        <v>0</v>
      </c>
      <c r="H139" s="1">
        <v>10061</v>
      </c>
      <c r="I139" s="1">
        <v>2393</v>
      </c>
      <c r="J139" s="1"/>
    </row>
    <row r="140" spans="1:10" x14ac:dyDescent="0.25">
      <c r="A140" t="s">
        <v>512</v>
      </c>
      <c r="B140" t="s">
        <v>187</v>
      </c>
      <c r="C140" s="1">
        <f>8462+112+29+27+2094</f>
        <v>10724</v>
      </c>
      <c r="D140" s="1">
        <v>0</v>
      </c>
      <c r="E140" s="1">
        <v>0</v>
      </c>
      <c r="F140" s="1">
        <v>0</v>
      </c>
      <c r="G140" s="1">
        <v>0</v>
      </c>
      <c r="H140" s="1">
        <v>9845</v>
      </c>
      <c r="I140" s="1">
        <v>1770</v>
      </c>
      <c r="J140" s="1"/>
    </row>
    <row r="141" spans="1:10" x14ac:dyDescent="0.25">
      <c r="A141" t="s">
        <v>231</v>
      </c>
      <c r="B141" t="s">
        <v>189</v>
      </c>
      <c r="C141" s="1">
        <f>19927+8+214+51+3657</f>
        <v>23857</v>
      </c>
      <c r="D141" s="1">
        <f>2+32+33</f>
        <v>67</v>
      </c>
      <c r="E141" s="1">
        <v>0</v>
      </c>
      <c r="F141" s="1">
        <v>0</v>
      </c>
      <c r="G141" s="1">
        <v>0</v>
      </c>
      <c r="H141" s="1">
        <v>1968</v>
      </c>
      <c r="I141" s="1">
        <v>3138</v>
      </c>
      <c r="J141" s="1"/>
    </row>
    <row r="142" spans="1:10" x14ac:dyDescent="0.25">
      <c r="A142" t="s">
        <v>83</v>
      </c>
      <c r="B142" t="s">
        <v>190</v>
      </c>
      <c r="C142" s="1"/>
      <c r="D142" s="1"/>
      <c r="E142" s="1"/>
      <c r="F142" s="1"/>
      <c r="G142" s="1"/>
      <c r="H142" s="1"/>
      <c r="I142" s="1"/>
      <c r="J142" s="1"/>
    </row>
    <row r="143" spans="1:10" x14ac:dyDescent="0.25">
      <c r="A143" t="s">
        <v>76</v>
      </c>
      <c r="B143" t="s">
        <v>191</v>
      </c>
      <c r="C143" s="1"/>
      <c r="D143" s="1"/>
      <c r="E143" s="1"/>
      <c r="F143" s="1"/>
      <c r="G143" s="1"/>
      <c r="H143" s="1"/>
      <c r="I143" s="1"/>
      <c r="J143" s="1"/>
    </row>
    <row r="144" spans="1:10" x14ac:dyDescent="0.25">
      <c r="A144" t="s">
        <v>101</v>
      </c>
      <c r="B144" t="s">
        <v>192</v>
      </c>
      <c r="C144" s="1">
        <f>29472+5+7+5714</f>
        <v>35198</v>
      </c>
      <c r="D144" s="1">
        <v>253</v>
      </c>
      <c r="E144" s="1">
        <v>0</v>
      </c>
      <c r="F144" s="1">
        <v>0</v>
      </c>
      <c r="G144" s="1">
        <v>0</v>
      </c>
      <c r="H144" s="1">
        <v>39398</v>
      </c>
      <c r="I144" s="1">
        <v>3968</v>
      </c>
      <c r="J144" s="1"/>
    </row>
    <row r="145" spans="1:10" x14ac:dyDescent="0.25">
      <c r="A145" t="s">
        <v>831</v>
      </c>
      <c r="B145" t="s">
        <v>193</v>
      </c>
      <c r="C145" s="1">
        <f>1262+165</f>
        <v>1427</v>
      </c>
      <c r="D145" s="1">
        <v>0</v>
      </c>
      <c r="E145" s="1">
        <v>0</v>
      </c>
      <c r="F145" s="1">
        <v>0</v>
      </c>
      <c r="G145" s="1">
        <v>0</v>
      </c>
      <c r="H145" s="1">
        <v>300</v>
      </c>
      <c r="I145" s="1">
        <v>148</v>
      </c>
      <c r="J145" s="1"/>
    </row>
    <row r="146" spans="1:10" x14ac:dyDescent="0.25">
      <c r="A146" t="s">
        <v>811</v>
      </c>
      <c r="B146" t="s">
        <v>194</v>
      </c>
      <c r="C146" s="1">
        <f>35804+45+3+4557</f>
        <v>40409</v>
      </c>
      <c r="D146" s="1">
        <f>115+150+4</f>
        <v>269</v>
      </c>
      <c r="E146" s="1">
        <v>0</v>
      </c>
      <c r="F146" s="1">
        <v>0</v>
      </c>
      <c r="G146" s="1">
        <v>0</v>
      </c>
      <c r="H146" s="1">
        <v>1485</v>
      </c>
      <c r="I146" s="1">
        <v>3630</v>
      </c>
      <c r="J146" s="1"/>
    </row>
    <row r="147" spans="1:10" x14ac:dyDescent="0.25">
      <c r="A147" t="s">
        <v>76</v>
      </c>
      <c r="B147" t="s">
        <v>195</v>
      </c>
      <c r="C147" s="1"/>
      <c r="D147" s="1"/>
      <c r="E147" s="1"/>
      <c r="F147" s="1"/>
      <c r="G147" s="1"/>
      <c r="H147" s="1"/>
      <c r="I147" s="1"/>
      <c r="J147" s="1"/>
    </row>
    <row r="148" spans="1:10" x14ac:dyDescent="0.25">
      <c r="A148" t="s">
        <v>788</v>
      </c>
      <c r="B148" t="s">
        <v>196</v>
      </c>
      <c r="C148" s="1">
        <f>15242+5+4+1+13350</f>
        <v>28602</v>
      </c>
      <c r="D148" s="1">
        <f>1+2+95+298</f>
        <v>396</v>
      </c>
      <c r="E148" s="1">
        <v>0</v>
      </c>
      <c r="F148" s="1">
        <v>0</v>
      </c>
      <c r="G148" s="1">
        <v>0</v>
      </c>
      <c r="H148" s="1">
        <v>40028</v>
      </c>
      <c r="I148" s="1">
        <v>10787</v>
      </c>
      <c r="J148" s="1"/>
    </row>
    <row r="149" spans="1:10" x14ac:dyDescent="0.25">
      <c r="A149" t="s">
        <v>817</v>
      </c>
      <c r="B149" t="s">
        <v>197</v>
      </c>
      <c r="C149" s="1">
        <f>4572+30+43+9840</f>
        <v>14485</v>
      </c>
      <c r="D149" s="1">
        <f>8+5+25+63</f>
        <v>101</v>
      </c>
      <c r="E149" s="1">
        <v>0</v>
      </c>
      <c r="F149" s="1">
        <v>0</v>
      </c>
      <c r="G149" s="1">
        <v>0</v>
      </c>
      <c r="H149" s="1">
        <v>29194</v>
      </c>
      <c r="I149" s="1">
        <v>8603</v>
      </c>
      <c r="J149" s="1"/>
    </row>
    <row r="150" spans="1:10" x14ac:dyDescent="0.25">
      <c r="A150" t="s">
        <v>817</v>
      </c>
      <c r="B150" t="s">
        <v>198</v>
      </c>
      <c r="C150" s="1">
        <f>3551+1+10212</f>
        <v>13764</v>
      </c>
      <c r="D150" s="1">
        <f>4+3+11+102+60</f>
        <v>180</v>
      </c>
      <c r="E150" s="1">
        <v>0</v>
      </c>
      <c r="F150" s="1">
        <v>0</v>
      </c>
      <c r="G150" s="1">
        <v>0</v>
      </c>
      <c r="H150" s="1">
        <v>14010</v>
      </c>
      <c r="I150" s="1">
        <v>10159</v>
      </c>
      <c r="J150" s="1"/>
    </row>
    <row r="151" spans="1:10" x14ac:dyDescent="0.25">
      <c r="A151" t="s">
        <v>69</v>
      </c>
      <c r="B151" t="s">
        <v>199</v>
      </c>
      <c r="C151" s="1"/>
      <c r="D151" s="1"/>
      <c r="E151" s="1"/>
      <c r="F151" s="1"/>
      <c r="G151" s="1"/>
      <c r="H151" s="1"/>
      <c r="I151" s="1"/>
      <c r="J151" s="1"/>
    </row>
    <row r="152" spans="1:10" x14ac:dyDescent="0.25">
      <c r="A152" t="s">
        <v>76</v>
      </c>
      <c r="B152" t="s">
        <v>200</v>
      </c>
      <c r="C152" s="1"/>
      <c r="D152" s="1"/>
      <c r="E152" s="1"/>
      <c r="F152" s="1"/>
      <c r="G152" s="1"/>
      <c r="H152" s="1"/>
      <c r="I152" s="1"/>
      <c r="J152" s="1"/>
    </row>
    <row r="153" spans="1:10" x14ac:dyDescent="0.25">
      <c r="A153" t="s">
        <v>120</v>
      </c>
      <c r="B153" t="s">
        <v>201</v>
      </c>
      <c r="C153" s="1">
        <f>12258+4192</f>
        <v>16450</v>
      </c>
      <c r="D153" s="1">
        <f>111+193+18</f>
        <v>322</v>
      </c>
      <c r="E153" s="1">
        <v>0</v>
      </c>
      <c r="F153" s="1">
        <v>0</v>
      </c>
      <c r="G153" s="1">
        <v>0</v>
      </c>
      <c r="H153" s="1">
        <v>4349</v>
      </c>
      <c r="I153" s="1">
        <v>2398</v>
      </c>
      <c r="J153" s="1"/>
    </row>
    <row r="154" spans="1:10" x14ac:dyDescent="0.25">
      <c r="A154" t="s">
        <v>495</v>
      </c>
      <c r="B154" t="s">
        <v>202</v>
      </c>
      <c r="C154" s="1"/>
      <c r="D154" s="1"/>
      <c r="E154" s="1"/>
      <c r="F154" s="1"/>
      <c r="G154" s="1"/>
      <c r="H154" s="1"/>
      <c r="I154" s="1"/>
      <c r="J154" s="1"/>
    </row>
    <row r="155" spans="1:10" x14ac:dyDescent="0.25">
      <c r="A155" t="s">
        <v>788</v>
      </c>
      <c r="B155" t="s">
        <v>203</v>
      </c>
      <c r="C155" s="1">
        <f>26644+10+3+3+30480</f>
        <v>57140</v>
      </c>
      <c r="D155" s="1">
        <f>10+3+2+2</f>
        <v>17</v>
      </c>
      <c r="E155" s="1">
        <v>0</v>
      </c>
      <c r="F155" s="1">
        <v>0</v>
      </c>
      <c r="G155" s="1">
        <v>0</v>
      </c>
      <c r="H155" s="1">
        <v>6094</v>
      </c>
      <c r="I155" s="1">
        <v>5663</v>
      </c>
      <c r="J155" s="1"/>
    </row>
    <row r="156" spans="1:10" x14ac:dyDescent="0.25">
      <c r="A156" t="s">
        <v>72</v>
      </c>
      <c r="B156" t="s">
        <v>204</v>
      </c>
      <c r="C156" s="1">
        <f>12225+13+8+1121</f>
        <v>13367</v>
      </c>
      <c r="D156" s="1">
        <v>35</v>
      </c>
      <c r="E156" s="1">
        <v>0</v>
      </c>
      <c r="F156" s="1">
        <v>0</v>
      </c>
      <c r="G156" s="1">
        <v>0</v>
      </c>
      <c r="H156" s="1">
        <v>1975</v>
      </c>
      <c r="I156" s="1">
        <v>1047</v>
      </c>
      <c r="J156" s="1"/>
    </row>
    <row r="157" spans="1:10" x14ac:dyDescent="0.25">
      <c r="A157" t="s">
        <v>76</v>
      </c>
      <c r="B157" t="s">
        <v>205</v>
      </c>
      <c r="C157" s="1"/>
      <c r="D157" s="1"/>
      <c r="E157" s="1"/>
      <c r="F157" s="1"/>
      <c r="G157" s="1"/>
      <c r="H157" s="1"/>
      <c r="I157" s="1"/>
      <c r="J157" s="1"/>
    </row>
    <row r="158" spans="1:10" x14ac:dyDescent="0.25">
      <c r="A158" t="s">
        <v>864</v>
      </c>
      <c r="B158" t="s">
        <v>206</v>
      </c>
      <c r="C158" s="1">
        <f>3511+237+10316+1007</f>
        <v>15071</v>
      </c>
      <c r="D158" s="1">
        <f>3+4+7</f>
        <v>14</v>
      </c>
      <c r="E158" s="1">
        <v>0</v>
      </c>
      <c r="F158" s="1">
        <v>0</v>
      </c>
      <c r="G158" s="1">
        <v>0</v>
      </c>
      <c r="H158" s="1">
        <v>10717</v>
      </c>
      <c r="I158" s="1">
        <v>10729</v>
      </c>
      <c r="J158" s="1"/>
    </row>
    <row r="159" spans="1:10" x14ac:dyDescent="0.25">
      <c r="A159" t="s">
        <v>76</v>
      </c>
      <c r="B159" t="s">
        <v>207</v>
      </c>
      <c r="C159" s="1"/>
      <c r="D159" s="1"/>
      <c r="E159" s="1"/>
      <c r="F159" s="1"/>
      <c r="G159" s="1"/>
      <c r="H159" s="1"/>
      <c r="I159" s="1"/>
      <c r="J159" s="1"/>
    </row>
    <row r="160" spans="1:10" x14ac:dyDescent="0.25">
      <c r="A160" t="s">
        <v>265</v>
      </c>
      <c r="B160" t="s">
        <v>208</v>
      </c>
      <c r="C160" s="1"/>
      <c r="D160" s="1"/>
      <c r="E160" s="1"/>
      <c r="F160" s="1"/>
      <c r="G160" s="1"/>
      <c r="H160" s="1"/>
      <c r="I160" s="1"/>
      <c r="J160" s="1"/>
    </row>
    <row r="161" spans="1:10" x14ac:dyDescent="0.25">
      <c r="A161" t="s">
        <v>801</v>
      </c>
      <c r="B161" t="s">
        <v>209</v>
      </c>
      <c r="C161" s="1"/>
      <c r="D161" s="1"/>
      <c r="E161" s="1"/>
      <c r="F161" s="1"/>
      <c r="G161" s="1"/>
      <c r="H161" s="1"/>
      <c r="I161" s="1"/>
      <c r="J161" s="1"/>
    </row>
    <row r="162" spans="1:10" x14ac:dyDescent="0.25">
      <c r="A162" t="s">
        <v>72</v>
      </c>
      <c r="B162" t="s">
        <v>210</v>
      </c>
      <c r="C162" s="1">
        <f>13707+42+5+1+17+9191</f>
        <v>22963</v>
      </c>
      <c r="D162" s="1">
        <f>33+34+1</f>
        <v>68</v>
      </c>
      <c r="E162" s="1">
        <v>0</v>
      </c>
      <c r="F162" s="1">
        <v>0</v>
      </c>
      <c r="G162" s="1">
        <v>0</v>
      </c>
      <c r="H162" s="1">
        <v>19214</v>
      </c>
      <c r="I162" s="1">
        <v>8625</v>
      </c>
      <c r="J162" s="1"/>
    </row>
    <row r="163" spans="1:10" x14ac:dyDescent="0.25">
      <c r="A163" t="s">
        <v>817</v>
      </c>
      <c r="B163" t="s">
        <v>211</v>
      </c>
      <c r="C163" s="1">
        <f>1795+38+4+52400+1</f>
        <v>54238</v>
      </c>
      <c r="D163" s="1">
        <f>87+122+36</f>
        <v>245</v>
      </c>
      <c r="E163" s="1">
        <v>0</v>
      </c>
      <c r="F163" s="1">
        <v>0</v>
      </c>
      <c r="G163" s="1">
        <v>0</v>
      </c>
      <c r="H163" s="1">
        <v>33570</v>
      </c>
      <c r="I163" s="1">
        <v>47437</v>
      </c>
      <c r="J163" s="1"/>
    </row>
    <row r="164" spans="1:10" x14ac:dyDescent="0.25">
      <c r="A164" t="s">
        <v>72</v>
      </c>
      <c r="B164" t="s">
        <v>212</v>
      </c>
      <c r="C164" s="1">
        <f>16262+4+2128</f>
        <v>18394</v>
      </c>
      <c r="D164" s="1">
        <v>1</v>
      </c>
      <c r="E164" s="1">
        <v>0</v>
      </c>
      <c r="F164" s="1">
        <v>0</v>
      </c>
      <c r="G164" s="1">
        <v>0</v>
      </c>
      <c r="H164" s="1">
        <v>3344</v>
      </c>
      <c r="I164" s="1">
        <v>2101</v>
      </c>
      <c r="J164" s="1"/>
    </row>
    <row r="165" spans="1:10" x14ac:dyDescent="0.25">
      <c r="A165" t="s">
        <v>134</v>
      </c>
      <c r="B165" t="s">
        <v>213</v>
      </c>
      <c r="C165" s="1">
        <f>4071+514</f>
        <v>4585</v>
      </c>
      <c r="D165" s="1">
        <v>0</v>
      </c>
      <c r="E165" s="1">
        <v>0</v>
      </c>
      <c r="F165" s="1">
        <v>0</v>
      </c>
      <c r="G165" s="1">
        <v>0</v>
      </c>
      <c r="H165" s="1">
        <v>16819</v>
      </c>
      <c r="I165" s="1">
        <v>498</v>
      </c>
      <c r="J165" s="1"/>
    </row>
    <row r="166" spans="1:10" x14ac:dyDescent="0.25">
      <c r="A166" t="s">
        <v>495</v>
      </c>
      <c r="B166" t="s">
        <v>214</v>
      </c>
      <c r="C166" s="1">
        <f>20126+120+14+7901</f>
        <v>28161</v>
      </c>
      <c r="D166" s="1">
        <f>402+2+108+2+2</f>
        <v>516</v>
      </c>
      <c r="E166" s="1">
        <v>0</v>
      </c>
      <c r="F166" s="1">
        <v>0</v>
      </c>
      <c r="G166" s="1">
        <v>0</v>
      </c>
      <c r="H166" s="1">
        <v>15246</v>
      </c>
      <c r="I166" s="1">
        <v>6675</v>
      </c>
      <c r="J166" s="1"/>
    </row>
    <row r="167" spans="1:10" x14ac:dyDescent="0.25">
      <c r="A167" t="s">
        <v>146</v>
      </c>
      <c r="B167" t="s">
        <v>215</v>
      </c>
      <c r="C167" s="1">
        <f>29863+115+1+5+2+12366</f>
        <v>42352</v>
      </c>
      <c r="D167" s="1">
        <f>6+6</f>
        <v>12</v>
      </c>
      <c r="E167" s="1">
        <v>0</v>
      </c>
      <c r="F167" s="1">
        <v>0</v>
      </c>
      <c r="G167" s="1">
        <v>0</v>
      </c>
      <c r="H167" s="1">
        <v>28683</v>
      </c>
      <c r="I167" s="1">
        <v>11425</v>
      </c>
      <c r="J167" s="1"/>
    </row>
    <row r="168" spans="1:10" x14ac:dyDescent="0.25">
      <c r="A168" t="s">
        <v>138</v>
      </c>
      <c r="B168" t="s">
        <v>216</v>
      </c>
      <c r="C168" s="1"/>
      <c r="D168" s="1"/>
      <c r="E168" s="1"/>
      <c r="F168" s="1"/>
      <c r="G168" s="1"/>
      <c r="H168" s="1"/>
      <c r="I168" s="1"/>
      <c r="J168" s="1"/>
    </row>
    <row r="169" spans="1:10" x14ac:dyDescent="0.25">
      <c r="A169" t="s">
        <v>794</v>
      </c>
      <c r="B169" t="s">
        <v>217</v>
      </c>
      <c r="C169" s="1"/>
      <c r="D169" s="1"/>
      <c r="E169" s="1"/>
      <c r="F169" s="1"/>
      <c r="G169" s="1"/>
      <c r="H169" s="1"/>
      <c r="I169" s="1"/>
      <c r="J169" s="1"/>
    </row>
    <row r="170" spans="1:10" x14ac:dyDescent="0.25">
      <c r="A170" t="s">
        <v>265</v>
      </c>
      <c r="B170" t="s">
        <v>218</v>
      </c>
      <c r="C170" s="1"/>
      <c r="D170" s="1"/>
      <c r="E170" s="1"/>
      <c r="F170" s="1"/>
      <c r="G170" s="1"/>
      <c r="H170" s="1"/>
      <c r="I170" s="1"/>
      <c r="J170" s="1"/>
    </row>
    <row r="171" spans="1:10" x14ac:dyDescent="0.25">
      <c r="A171" t="s">
        <v>801</v>
      </c>
      <c r="B171" t="s">
        <v>219</v>
      </c>
      <c r="C171" s="1"/>
      <c r="D171" s="1"/>
      <c r="E171" s="1"/>
      <c r="F171" s="1"/>
      <c r="G171" s="1"/>
      <c r="H171" s="1"/>
      <c r="I171" s="1"/>
      <c r="J171" s="1"/>
    </row>
    <row r="172" spans="1:10" x14ac:dyDescent="0.25">
      <c r="A172" s="9" t="s">
        <v>831</v>
      </c>
      <c r="B172" s="10" t="s">
        <v>220</v>
      </c>
      <c r="C172" s="1">
        <f>1426+275</f>
        <v>1701</v>
      </c>
      <c r="D172" s="1">
        <v>0</v>
      </c>
      <c r="E172" s="1">
        <v>0</v>
      </c>
      <c r="F172" s="1">
        <v>0</v>
      </c>
      <c r="G172" s="1">
        <v>0</v>
      </c>
      <c r="H172" s="1">
        <v>2309</v>
      </c>
      <c r="I172" s="1">
        <v>279</v>
      </c>
      <c r="J172" s="1"/>
    </row>
    <row r="173" spans="1:10" x14ac:dyDescent="0.25">
      <c r="A173" t="s">
        <v>794</v>
      </c>
      <c r="B173" t="s">
        <v>221</v>
      </c>
      <c r="C173" s="1"/>
      <c r="D173" s="1"/>
      <c r="E173" s="1"/>
      <c r="F173" s="1"/>
      <c r="G173" s="1"/>
      <c r="H173" s="1"/>
      <c r="I173" s="1"/>
      <c r="J173" s="1"/>
    </row>
    <row r="174" spans="1:10" x14ac:dyDescent="0.25">
      <c r="A174" t="s">
        <v>120</v>
      </c>
      <c r="B174" t="s">
        <v>222</v>
      </c>
      <c r="C174" s="1">
        <f>27754+2+2624</f>
        <v>30380</v>
      </c>
      <c r="D174" s="1">
        <f>14+4</f>
        <v>18</v>
      </c>
      <c r="E174" s="1">
        <v>0</v>
      </c>
      <c r="F174" s="1">
        <v>0</v>
      </c>
      <c r="G174" s="1">
        <v>0</v>
      </c>
      <c r="H174" s="1">
        <v>2240</v>
      </c>
      <c r="I174" s="1">
        <v>1612</v>
      </c>
      <c r="J174" s="1"/>
    </row>
    <row r="175" spans="1:10" x14ac:dyDescent="0.25">
      <c r="A175" t="s">
        <v>848</v>
      </c>
      <c r="B175" t="s">
        <v>223</v>
      </c>
      <c r="C175" s="1">
        <f>3658+676</f>
        <v>4334</v>
      </c>
      <c r="D175" s="1">
        <v>13</v>
      </c>
      <c r="E175" s="1">
        <v>0</v>
      </c>
      <c r="F175" s="1">
        <v>0</v>
      </c>
      <c r="G175" s="1">
        <v>0</v>
      </c>
      <c r="H175" s="1">
        <v>629</v>
      </c>
      <c r="I175" s="1">
        <v>500</v>
      </c>
      <c r="J175" s="1"/>
    </row>
    <row r="176" spans="1:10" x14ac:dyDescent="0.25">
      <c r="A176" t="s">
        <v>825</v>
      </c>
      <c r="B176" t="s">
        <v>224</v>
      </c>
      <c r="C176" s="1">
        <f>7069+158+4+1390</f>
        <v>8621</v>
      </c>
      <c r="D176" s="1">
        <f>32+12+1</f>
        <v>45</v>
      </c>
      <c r="E176" s="1">
        <v>0</v>
      </c>
      <c r="F176" s="1">
        <v>0</v>
      </c>
      <c r="G176" s="1">
        <v>0</v>
      </c>
      <c r="H176" s="1">
        <v>5581</v>
      </c>
      <c r="I176" s="1">
        <v>1176</v>
      </c>
      <c r="J176" s="1"/>
    </row>
    <row r="177" spans="1:10" x14ac:dyDescent="0.25">
      <c r="A177" s="23" t="s">
        <v>805</v>
      </c>
      <c r="B177" s="23" t="s">
        <v>225</v>
      </c>
      <c r="C177" s="1"/>
      <c r="D177" s="1"/>
      <c r="E177" s="1"/>
      <c r="F177" s="1"/>
      <c r="G177" s="1"/>
      <c r="H177" s="1"/>
      <c r="I177" s="1"/>
      <c r="J177" s="1"/>
    </row>
    <row r="178" spans="1:10" x14ac:dyDescent="0.25">
      <c r="A178" t="s">
        <v>226</v>
      </c>
      <c r="B178" t="s">
        <v>227</v>
      </c>
      <c r="C178" s="1">
        <f>7963+1+3+2998</f>
        <v>10965</v>
      </c>
      <c r="D178" s="1">
        <v>17</v>
      </c>
      <c r="E178" s="1">
        <v>0</v>
      </c>
      <c r="F178" s="1">
        <v>0</v>
      </c>
      <c r="G178" s="1">
        <v>0</v>
      </c>
      <c r="H178" s="1">
        <v>5595</v>
      </c>
      <c r="I178" s="1">
        <v>2705</v>
      </c>
      <c r="J178" s="1"/>
    </row>
    <row r="179" spans="1:10" x14ac:dyDescent="0.25">
      <c r="A179" t="s">
        <v>226</v>
      </c>
      <c r="B179" t="s">
        <v>228</v>
      </c>
      <c r="C179" s="1">
        <f>11260+1+2678</f>
        <v>13939</v>
      </c>
      <c r="D179" s="1">
        <f>19+2+1</f>
        <v>22</v>
      </c>
      <c r="E179" s="1">
        <v>0</v>
      </c>
      <c r="F179" s="1">
        <v>0</v>
      </c>
      <c r="G179" s="1">
        <v>0</v>
      </c>
      <c r="H179" s="1">
        <v>14184</v>
      </c>
      <c r="I179" s="1">
        <v>2465</v>
      </c>
      <c r="J179" s="1"/>
    </row>
    <row r="180" spans="1:10" x14ac:dyDescent="0.25">
      <c r="A180" t="s">
        <v>229</v>
      </c>
      <c r="B180" t="s">
        <v>230</v>
      </c>
      <c r="C180" s="1">
        <f>4530+1+1425</f>
        <v>5956</v>
      </c>
      <c r="D180" s="1">
        <f>10+11+1</f>
        <v>22</v>
      </c>
      <c r="E180" s="1">
        <v>0</v>
      </c>
      <c r="F180" s="1">
        <v>0</v>
      </c>
      <c r="G180" s="1">
        <v>0</v>
      </c>
      <c r="H180" s="1">
        <v>5980</v>
      </c>
      <c r="I180" s="1">
        <v>1256</v>
      </c>
      <c r="J180" s="1"/>
    </row>
    <row r="181" spans="1:10" x14ac:dyDescent="0.25">
      <c r="A181" t="s">
        <v>231</v>
      </c>
      <c r="B181" t="s">
        <v>232</v>
      </c>
      <c r="C181" s="1">
        <f>5250+1+1+544</f>
        <v>5796</v>
      </c>
      <c r="D181" s="1">
        <v>0</v>
      </c>
      <c r="E181" s="1">
        <v>0</v>
      </c>
      <c r="F181" s="1">
        <v>0</v>
      </c>
      <c r="G181" s="1">
        <v>0</v>
      </c>
      <c r="H181" s="1">
        <v>418</v>
      </c>
      <c r="I181" s="1">
        <v>365</v>
      </c>
      <c r="J181" s="1"/>
    </row>
    <row r="182" spans="1:10" x14ac:dyDescent="0.25">
      <c r="A182" t="s">
        <v>248</v>
      </c>
      <c r="B182" t="s">
        <v>233</v>
      </c>
      <c r="C182" s="1">
        <f>1190+39+151+3</f>
        <v>1383</v>
      </c>
      <c r="D182" s="1">
        <v>3</v>
      </c>
      <c r="E182" s="1">
        <v>0</v>
      </c>
      <c r="F182" s="1">
        <v>0</v>
      </c>
      <c r="G182" s="1">
        <v>0</v>
      </c>
      <c r="H182" s="1">
        <v>2746</v>
      </c>
      <c r="I182" s="1">
        <v>138</v>
      </c>
      <c r="J182" s="1"/>
    </row>
    <row r="183" spans="1:10" x14ac:dyDescent="0.25">
      <c r="A183" t="s">
        <v>69</v>
      </c>
      <c r="B183" t="s">
        <v>234</v>
      </c>
      <c r="C183" s="1"/>
      <c r="D183" s="1"/>
      <c r="E183" s="1"/>
      <c r="F183" s="1"/>
      <c r="G183" s="1"/>
      <c r="H183" s="1"/>
      <c r="I183" s="1"/>
      <c r="J183" s="1"/>
    </row>
    <row r="184" spans="1:10" x14ac:dyDescent="0.25">
      <c r="A184" t="s">
        <v>795</v>
      </c>
      <c r="B184" t="s">
        <v>235</v>
      </c>
      <c r="C184" s="1">
        <f>9985+12929</f>
        <v>22914</v>
      </c>
      <c r="D184" s="1">
        <f>29+1</f>
        <v>30</v>
      </c>
      <c r="E184" s="1">
        <v>0</v>
      </c>
      <c r="F184" s="1">
        <v>0</v>
      </c>
      <c r="G184" s="1">
        <v>0</v>
      </c>
      <c r="H184" s="1">
        <v>536</v>
      </c>
      <c r="I184" s="1">
        <v>11597</v>
      </c>
      <c r="J184" s="1"/>
    </row>
    <row r="185" spans="1:10" x14ac:dyDescent="0.25">
      <c r="A185" t="s">
        <v>795</v>
      </c>
      <c r="B185" t="s">
        <v>236</v>
      </c>
      <c r="C185" s="1">
        <f>7691+1+192+2+8212+1</f>
        <v>16099</v>
      </c>
      <c r="D185" s="1">
        <f>19+1+4+77+6</f>
        <v>107</v>
      </c>
      <c r="E185" s="1">
        <v>0</v>
      </c>
      <c r="F185" s="1">
        <v>0</v>
      </c>
      <c r="G185" s="1">
        <v>0</v>
      </c>
      <c r="H185" s="1">
        <v>13641</v>
      </c>
      <c r="I185" s="1">
        <v>6577</v>
      </c>
      <c r="J185" s="1"/>
    </row>
    <row r="186" spans="1:10" x14ac:dyDescent="0.25">
      <c r="A186" t="s">
        <v>801</v>
      </c>
      <c r="B186" t="s">
        <v>237</v>
      </c>
      <c r="C186" s="1"/>
      <c r="D186" s="1"/>
      <c r="E186" s="1"/>
      <c r="F186" s="1"/>
      <c r="G186" s="1"/>
      <c r="H186" s="1"/>
      <c r="I186" s="1"/>
      <c r="J186" s="1"/>
    </row>
    <row r="187" spans="1:10" x14ac:dyDescent="0.25">
      <c r="A187" t="s">
        <v>788</v>
      </c>
      <c r="B187" t="s">
        <v>238</v>
      </c>
      <c r="C187" s="1">
        <f>3179+325</f>
        <v>3504</v>
      </c>
      <c r="D187" s="1">
        <v>0</v>
      </c>
      <c r="E187" s="1">
        <v>0</v>
      </c>
      <c r="F187" s="1">
        <v>0</v>
      </c>
      <c r="G187" s="1">
        <v>0</v>
      </c>
      <c r="H187" s="1">
        <v>1592</v>
      </c>
      <c r="I187" s="1">
        <v>321</v>
      </c>
      <c r="J187" s="1"/>
    </row>
    <row r="188" spans="1:10" x14ac:dyDescent="0.25">
      <c r="A188" t="s">
        <v>791</v>
      </c>
      <c r="B188" t="s">
        <v>239</v>
      </c>
      <c r="C188" s="1">
        <f>3942+1259</f>
        <v>5201</v>
      </c>
      <c r="D188" s="1">
        <v>0</v>
      </c>
      <c r="E188" s="1">
        <v>0</v>
      </c>
      <c r="F188" s="1">
        <v>0</v>
      </c>
      <c r="G188" s="1">
        <v>0</v>
      </c>
      <c r="H188" s="1">
        <v>2408</v>
      </c>
      <c r="I188" s="1">
        <v>885</v>
      </c>
      <c r="J188" s="1"/>
    </row>
    <row r="189" spans="1:10" x14ac:dyDescent="0.25">
      <c r="A189" t="s">
        <v>801</v>
      </c>
      <c r="B189" t="s">
        <v>240</v>
      </c>
      <c r="C189" s="1"/>
      <c r="D189" s="1"/>
      <c r="E189" s="1"/>
      <c r="F189" s="1"/>
      <c r="G189" s="1"/>
      <c r="H189" s="1"/>
      <c r="I189" s="1"/>
      <c r="J189" s="1"/>
    </row>
    <row r="190" spans="1:10" x14ac:dyDescent="0.25">
      <c r="A190" t="s">
        <v>788</v>
      </c>
      <c r="B190" t="s">
        <v>241</v>
      </c>
      <c r="C190" s="1">
        <f>31417+528+3+10720</f>
        <v>42668</v>
      </c>
      <c r="D190" s="1">
        <f>8+12</f>
        <v>20</v>
      </c>
      <c r="E190" s="1">
        <v>0</v>
      </c>
      <c r="F190" s="1">
        <v>0</v>
      </c>
      <c r="G190" s="1">
        <v>0</v>
      </c>
      <c r="H190" s="1">
        <v>13141</v>
      </c>
      <c r="I190" s="1">
        <v>9136</v>
      </c>
      <c r="J190" s="1"/>
    </row>
    <row r="191" spans="1:10" x14ac:dyDescent="0.25">
      <c r="A191" t="s">
        <v>138</v>
      </c>
      <c r="B191" t="s">
        <v>242</v>
      </c>
      <c r="C191" s="1"/>
      <c r="D191" s="1"/>
      <c r="E191" s="1"/>
      <c r="F191" s="1"/>
      <c r="G191" s="1"/>
      <c r="H191" s="1"/>
      <c r="I191" s="1"/>
      <c r="J191" s="1"/>
    </row>
    <row r="192" spans="1:10" x14ac:dyDescent="0.25">
      <c r="A192" t="s">
        <v>512</v>
      </c>
      <c r="B192" t="s">
        <v>243</v>
      </c>
      <c r="C192" s="1">
        <f>4039+1+518</f>
        <v>4558</v>
      </c>
      <c r="D192" s="1">
        <v>6</v>
      </c>
      <c r="E192" s="1">
        <v>0</v>
      </c>
      <c r="F192" s="1">
        <v>0</v>
      </c>
      <c r="G192" s="1">
        <v>0</v>
      </c>
      <c r="H192" s="1">
        <v>186</v>
      </c>
      <c r="I192" s="1">
        <v>414</v>
      </c>
      <c r="J192" s="1"/>
    </row>
    <row r="193" spans="1:10" x14ac:dyDescent="0.25">
      <c r="A193" t="s">
        <v>796</v>
      </c>
      <c r="B193" t="s">
        <v>244</v>
      </c>
      <c r="C193" s="1"/>
      <c r="D193" s="1"/>
      <c r="E193" s="1"/>
      <c r="F193" s="1"/>
      <c r="G193" s="1"/>
      <c r="H193" s="1"/>
      <c r="I193" s="1"/>
      <c r="J193" s="1"/>
    </row>
    <row r="194" spans="1:10" x14ac:dyDescent="0.25">
      <c r="A194" t="s">
        <v>146</v>
      </c>
      <c r="B194" t="s">
        <v>245</v>
      </c>
      <c r="C194" s="1">
        <f>5833+23+5+1129</f>
        <v>6990</v>
      </c>
      <c r="D194" s="1">
        <f>11+1+1</f>
        <v>13</v>
      </c>
      <c r="E194" s="1">
        <v>0</v>
      </c>
      <c r="F194" s="1">
        <v>0</v>
      </c>
      <c r="G194" s="1">
        <v>0</v>
      </c>
      <c r="H194" s="1">
        <v>12845</v>
      </c>
      <c r="I194" s="1">
        <v>1113</v>
      </c>
      <c r="J194" s="1"/>
    </row>
    <row r="195" spans="1:10" x14ac:dyDescent="0.25">
      <c r="A195" t="s">
        <v>831</v>
      </c>
      <c r="B195" t="s">
        <v>246</v>
      </c>
      <c r="C195" s="1">
        <f>1897+657</f>
        <v>2554</v>
      </c>
      <c r="D195" s="1">
        <v>8</v>
      </c>
      <c r="E195" s="1">
        <v>0</v>
      </c>
      <c r="F195" s="1">
        <v>0</v>
      </c>
      <c r="G195" s="1">
        <v>0</v>
      </c>
      <c r="H195" s="1">
        <v>653</v>
      </c>
      <c r="I195" s="1">
        <v>425</v>
      </c>
      <c r="J195" s="1"/>
    </row>
    <row r="196" spans="1:10" x14ac:dyDescent="0.25">
      <c r="A196" t="s">
        <v>791</v>
      </c>
      <c r="B196" t="s">
        <v>247</v>
      </c>
      <c r="C196" s="1">
        <f>1084+4283</f>
        <v>5367</v>
      </c>
      <c r="D196" s="1">
        <f>3+302</f>
        <v>305</v>
      </c>
      <c r="E196" s="1">
        <v>0</v>
      </c>
      <c r="F196" s="1">
        <v>0</v>
      </c>
      <c r="G196" s="1">
        <v>0</v>
      </c>
      <c r="H196" s="1">
        <v>1836</v>
      </c>
      <c r="I196" s="1">
        <v>3491</v>
      </c>
      <c r="J196" s="1"/>
    </row>
    <row r="197" spans="1:10" x14ac:dyDescent="0.25">
      <c r="A197" t="s">
        <v>248</v>
      </c>
      <c r="B197" t="s">
        <v>249</v>
      </c>
      <c r="C197" s="1">
        <f>20578+4+1+10+3+4580</f>
        <v>25176</v>
      </c>
      <c r="D197" s="1">
        <f>45+4+30+20</f>
        <v>99</v>
      </c>
      <c r="E197" s="1">
        <v>0</v>
      </c>
      <c r="F197" s="1">
        <v>0</v>
      </c>
      <c r="G197" s="1">
        <v>0</v>
      </c>
      <c r="H197" s="1">
        <v>32588</v>
      </c>
      <c r="I197" s="1">
        <v>4121</v>
      </c>
      <c r="J197" s="1"/>
    </row>
    <row r="198" spans="1:10" x14ac:dyDescent="0.25">
      <c r="A198" t="s">
        <v>865</v>
      </c>
      <c r="B198" t="s">
        <v>250</v>
      </c>
      <c r="C198" s="1">
        <f>3946+8+19+920</f>
        <v>4893</v>
      </c>
      <c r="D198" s="1">
        <f>9+2+1+1</f>
        <v>13</v>
      </c>
      <c r="E198" s="1">
        <v>0</v>
      </c>
      <c r="F198" s="1">
        <v>0</v>
      </c>
      <c r="G198" s="1">
        <v>0</v>
      </c>
      <c r="H198" s="1">
        <v>4764</v>
      </c>
      <c r="I198" s="1">
        <v>846</v>
      </c>
      <c r="J198" s="1"/>
    </row>
    <row r="199" spans="1:10" x14ac:dyDescent="0.25">
      <c r="A199" t="s">
        <v>248</v>
      </c>
      <c r="B199" t="s">
        <v>251</v>
      </c>
      <c r="C199" s="1">
        <f>14895+3+3386</f>
        <v>18284</v>
      </c>
      <c r="D199" s="1">
        <f>215+142+3</f>
        <v>360</v>
      </c>
      <c r="E199" s="1">
        <v>0</v>
      </c>
      <c r="F199" s="1">
        <v>0</v>
      </c>
      <c r="G199" s="1">
        <v>0</v>
      </c>
      <c r="H199" s="1">
        <v>22285</v>
      </c>
      <c r="I199" s="1">
        <v>2797</v>
      </c>
      <c r="J199" s="1"/>
    </row>
    <row r="200" spans="1:10" x14ac:dyDescent="0.25">
      <c r="A200" t="s">
        <v>795</v>
      </c>
      <c r="B200" t="s">
        <v>252</v>
      </c>
      <c r="C200" s="1">
        <f>10387+60+8+2+9038</f>
        <v>19495</v>
      </c>
      <c r="D200" s="1">
        <f>10+14+1+27</f>
        <v>52</v>
      </c>
      <c r="E200" s="1">
        <v>0</v>
      </c>
      <c r="F200" s="1">
        <v>0</v>
      </c>
      <c r="G200" s="1">
        <v>0</v>
      </c>
      <c r="H200" s="1">
        <v>8320</v>
      </c>
      <c r="I200" s="1">
        <v>6026</v>
      </c>
      <c r="J200" s="1"/>
    </row>
    <row r="201" spans="1:10" x14ac:dyDescent="0.25">
      <c r="A201" t="s">
        <v>248</v>
      </c>
      <c r="B201" t="s">
        <v>253</v>
      </c>
      <c r="C201" s="1">
        <f>20720+56+8+8+5315</f>
        <v>26107</v>
      </c>
      <c r="D201" s="1">
        <f>58+1+54+48</f>
        <v>161</v>
      </c>
      <c r="E201" s="1">
        <v>0</v>
      </c>
      <c r="F201" s="1">
        <v>0</v>
      </c>
      <c r="G201" s="1">
        <v>0</v>
      </c>
      <c r="H201" s="1">
        <v>7297</v>
      </c>
      <c r="I201" s="1">
        <v>4461</v>
      </c>
      <c r="J201" s="1"/>
    </row>
    <row r="202" spans="1:10" x14ac:dyDescent="0.25">
      <c r="A202" t="s">
        <v>823</v>
      </c>
      <c r="B202" t="s">
        <v>254</v>
      </c>
      <c r="C202" s="1">
        <f>3800+3077</f>
        <v>6877</v>
      </c>
      <c r="D202" s="1">
        <v>4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/>
    </row>
    <row r="203" spans="1:10" x14ac:dyDescent="0.25">
      <c r="A203" t="s">
        <v>67</v>
      </c>
      <c r="B203" t="s">
        <v>255</v>
      </c>
      <c r="C203" s="1">
        <f>17556+2+13+2233</f>
        <v>19804</v>
      </c>
      <c r="D203" s="1">
        <f>14+2</f>
        <v>16</v>
      </c>
      <c r="E203" s="1">
        <v>0</v>
      </c>
      <c r="F203" s="1">
        <v>0</v>
      </c>
      <c r="G203" s="1">
        <v>0</v>
      </c>
      <c r="H203" s="1">
        <v>10617</v>
      </c>
      <c r="I203" s="1">
        <v>1916</v>
      </c>
      <c r="J203" s="1"/>
    </row>
    <row r="204" spans="1:10" x14ac:dyDescent="0.25">
      <c r="A204" t="s">
        <v>72</v>
      </c>
      <c r="B204" t="s">
        <v>256</v>
      </c>
      <c r="C204" s="1">
        <f>8073+1+2+27+1840</f>
        <v>9943</v>
      </c>
      <c r="D204" s="1">
        <v>1</v>
      </c>
      <c r="E204" s="1">
        <v>0</v>
      </c>
      <c r="F204" s="1">
        <v>0</v>
      </c>
      <c r="G204" s="1">
        <v>0</v>
      </c>
      <c r="H204" s="1">
        <v>4263</v>
      </c>
      <c r="I204" s="1">
        <v>1769</v>
      </c>
      <c r="J204" s="1"/>
    </row>
    <row r="205" spans="1:10" x14ac:dyDescent="0.25">
      <c r="A205" t="s">
        <v>138</v>
      </c>
      <c r="B205" t="s">
        <v>257</v>
      </c>
      <c r="C205" s="1"/>
      <c r="D205" s="1"/>
      <c r="E205" s="1"/>
      <c r="F205" s="1"/>
      <c r="G205" s="1"/>
      <c r="H205" s="1"/>
      <c r="I205" s="1"/>
      <c r="J205" s="1"/>
    </row>
    <row r="206" spans="1:10" x14ac:dyDescent="0.25">
      <c r="A206" t="s">
        <v>817</v>
      </c>
      <c r="B206" t="s">
        <v>258</v>
      </c>
      <c r="C206" s="1">
        <f>12309+68+7+8906+1</f>
        <v>21291</v>
      </c>
      <c r="D206" s="1">
        <f>272+3</f>
        <v>275</v>
      </c>
      <c r="E206" s="1">
        <v>0</v>
      </c>
      <c r="F206" s="1">
        <v>0</v>
      </c>
      <c r="G206" s="1">
        <v>0</v>
      </c>
      <c r="H206" s="1">
        <v>84756</v>
      </c>
      <c r="I206" s="1">
        <v>7025</v>
      </c>
      <c r="J206" s="1"/>
    </row>
    <row r="207" spans="1:10" x14ac:dyDescent="0.25">
      <c r="A207" t="s">
        <v>795</v>
      </c>
      <c r="B207" t="s">
        <v>259</v>
      </c>
      <c r="C207" s="1">
        <f>33388+13232+25003+490</f>
        <v>72113</v>
      </c>
      <c r="D207" s="1">
        <f>433+3+9+35</f>
        <v>480</v>
      </c>
      <c r="E207" s="1">
        <v>0</v>
      </c>
      <c r="F207" s="1">
        <v>0</v>
      </c>
      <c r="G207" s="1">
        <v>0</v>
      </c>
      <c r="H207" s="1">
        <v>22201</v>
      </c>
      <c r="I207" s="1">
        <v>21043</v>
      </c>
      <c r="J207" s="1"/>
    </row>
    <row r="208" spans="1:10" x14ac:dyDescent="0.25">
      <c r="A208" t="s">
        <v>864</v>
      </c>
      <c r="B208" t="s">
        <v>260</v>
      </c>
      <c r="C208" s="1">
        <f>12556+4+139+6+9815</f>
        <v>22520</v>
      </c>
      <c r="D208" s="1">
        <f>99+168+12</f>
        <v>279</v>
      </c>
      <c r="E208" s="1">
        <v>0</v>
      </c>
      <c r="F208" s="1">
        <v>0</v>
      </c>
      <c r="G208" s="1">
        <v>0</v>
      </c>
      <c r="H208" s="1">
        <v>10875</v>
      </c>
      <c r="I208" s="1">
        <v>8089</v>
      </c>
      <c r="J208" s="1"/>
    </row>
    <row r="209" spans="1:10" x14ac:dyDescent="0.25">
      <c r="A209" t="s">
        <v>826</v>
      </c>
      <c r="B209" t="s">
        <v>261</v>
      </c>
      <c r="C209" s="1">
        <f>409+1+6+599</f>
        <v>1015</v>
      </c>
      <c r="D209" s="1">
        <v>0</v>
      </c>
      <c r="E209" s="1">
        <v>0</v>
      </c>
      <c r="F209" s="1">
        <v>0</v>
      </c>
      <c r="G209" s="1">
        <v>0</v>
      </c>
      <c r="H209" s="1">
        <v>642</v>
      </c>
      <c r="I209" s="1">
        <v>356</v>
      </c>
      <c r="J209" s="1"/>
    </row>
    <row r="210" spans="1:10" x14ac:dyDescent="0.25">
      <c r="A210" t="s">
        <v>801</v>
      </c>
      <c r="B210" t="s">
        <v>262</v>
      </c>
      <c r="C210" s="1"/>
      <c r="D210" s="1"/>
      <c r="E210" s="1"/>
      <c r="F210" s="1"/>
      <c r="G210" s="1"/>
      <c r="H210" s="1"/>
      <c r="I210" s="1"/>
      <c r="J210" s="1"/>
    </row>
    <row r="211" spans="1:10" x14ac:dyDescent="0.25">
      <c r="A211" t="s">
        <v>120</v>
      </c>
      <c r="B211" t="s">
        <v>263</v>
      </c>
      <c r="C211" s="1">
        <f>10716+48+6+2+14+438</f>
        <v>11224</v>
      </c>
      <c r="D211" s="1">
        <v>0</v>
      </c>
      <c r="E211" s="1">
        <v>0</v>
      </c>
      <c r="F211" s="1">
        <v>0</v>
      </c>
      <c r="G211" s="1">
        <v>0</v>
      </c>
      <c r="H211" s="1">
        <v>775</v>
      </c>
      <c r="I211" s="1">
        <v>330</v>
      </c>
      <c r="J211" s="1"/>
    </row>
    <row r="212" spans="1:10" x14ac:dyDescent="0.25">
      <c r="A212" t="s">
        <v>806</v>
      </c>
      <c r="B212" t="s">
        <v>264</v>
      </c>
      <c r="C212" s="1">
        <f>6520+1+20+125+1653</f>
        <v>8319</v>
      </c>
      <c r="D212" s="1">
        <v>5</v>
      </c>
      <c r="E212" s="1">
        <v>0</v>
      </c>
      <c r="F212" s="1">
        <v>0</v>
      </c>
      <c r="G212" s="1">
        <v>0</v>
      </c>
      <c r="H212" s="1">
        <v>2912</v>
      </c>
      <c r="I212" s="1">
        <v>1210</v>
      </c>
      <c r="J212" s="1"/>
    </row>
    <row r="213" spans="1:10" x14ac:dyDescent="0.25">
      <c r="A213" t="s">
        <v>265</v>
      </c>
      <c r="B213" t="s">
        <v>266</v>
      </c>
      <c r="C213" s="1"/>
      <c r="D213" s="1"/>
      <c r="E213" s="1"/>
      <c r="F213" s="1"/>
      <c r="G213" s="1"/>
      <c r="H213" s="1"/>
      <c r="I213" s="1"/>
      <c r="J213" s="1"/>
    </row>
    <row r="214" spans="1:10" x14ac:dyDescent="0.25">
      <c r="A214" t="s">
        <v>797</v>
      </c>
      <c r="B214" t="s">
        <v>267</v>
      </c>
      <c r="C214" s="1"/>
      <c r="D214" s="1"/>
      <c r="E214" s="1"/>
      <c r="F214" s="1"/>
      <c r="G214" s="1"/>
      <c r="H214" s="1"/>
      <c r="I214" s="1"/>
      <c r="J214" s="1"/>
    </row>
    <row r="215" spans="1:10" x14ac:dyDescent="0.25">
      <c r="A215" t="s">
        <v>831</v>
      </c>
      <c r="B215" t="s">
        <v>268</v>
      </c>
      <c r="C215" s="1">
        <f>7922+3528</f>
        <v>11450</v>
      </c>
      <c r="D215" s="1">
        <f>203+49</f>
        <v>252</v>
      </c>
      <c r="E215" s="1">
        <v>0</v>
      </c>
      <c r="F215" s="1">
        <v>0</v>
      </c>
      <c r="G215" s="1">
        <v>0</v>
      </c>
      <c r="H215" s="1">
        <v>3407</v>
      </c>
      <c r="I215" s="1">
        <v>3262</v>
      </c>
      <c r="J215" s="1"/>
    </row>
    <row r="216" spans="1:10" x14ac:dyDescent="0.25">
      <c r="A216" t="s">
        <v>794</v>
      </c>
      <c r="B216" t="s">
        <v>269</v>
      </c>
      <c r="C216" s="1"/>
      <c r="D216" s="1"/>
      <c r="E216" s="1"/>
      <c r="F216" s="1"/>
      <c r="G216" s="1"/>
      <c r="H216" s="1"/>
      <c r="I216" s="1"/>
      <c r="J216" s="1"/>
    </row>
    <row r="217" spans="1:10" x14ac:dyDescent="0.25">
      <c r="A217" s="9" t="s">
        <v>809</v>
      </c>
      <c r="B217" s="10" t="s">
        <v>270</v>
      </c>
      <c r="C217" s="1"/>
      <c r="D217" s="1"/>
      <c r="E217" s="1"/>
      <c r="F217" s="1"/>
      <c r="G217" s="1"/>
      <c r="H217" s="1"/>
      <c r="I217" s="1"/>
      <c r="J217" s="1"/>
    </row>
    <row r="218" spans="1:10" x14ac:dyDescent="0.25">
      <c r="A218" s="9" t="s">
        <v>248</v>
      </c>
      <c r="B218" s="10" t="s">
        <v>271</v>
      </c>
      <c r="C218" s="1">
        <f>42853+3+56+32+12352</f>
        <v>55296</v>
      </c>
      <c r="D218" s="1">
        <f>1246+2+10+6</f>
        <v>1264</v>
      </c>
      <c r="E218" s="1">
        <v>0</v>
      </c>
      <c r="F218" s="1">
        <v>0</v>
      </c>
      <c r="G218" s="1">
        <v>0</v>
      </c>
      <c r="H218" s="1">
        <v>74190</v>
      </c>
      <c r="I218" s="1">
        <v>9321</v>
      </c>
      <c r="J218" s="1"/>
    </row>
    <row r="219" spans="1:10" x14ac:dyDescent="0.25">
      <c r="A219" t="s">
        <v>823</v>
      </c>
      <c r="B219" t="s">
        <v>272</v>
      </c>
      <c r="C219" s="1">
        <f>15208+1+1+5+37+88963</f>
        <v>104215</v>
      </c>
      <c r="D219" s="1">
        <f>84+33</f>
        <v>117</v>
      </c>
      <c r="E219" s="1">
        <v>0</v>
      </c>
      <c r="F219" s="1">
        <v>0</v>
      </c>
      <c r="G219" s="1">
        <v>0</v>
      </c>
      <c r="H219" s="1">
        <v>4438</v>
      </c>
      <c r="I219" s="1">
        <v>6698</v>
      </c>
      <c r="J219" s="1"/>
    </row>
    <row r="220" spans="1:10" x14ac:dyDescent="0.25">
      <c r="A220" t="s">
        <v>146</v>
      </c>
      <c r="B220" t="s">
        <v>273</v>
      </c>
      <c r="C220" s="1">
        <f>5199+1+1207+8+6214</f>
        <v>12629</v>
      </c>
      <c r="D220" s="1">
        <f>2+175+2+8</f>
        <v>187</v>
      </c>
      <c r="E220" s="1">
        <v>0</v>
      </c>
      <c r="F220" s="1">
        <v>0</v>
      </c>
      <c r="G220" s="1">
        <v>0</v>
      </c>
      <c r="H220" s="1">
        <v>29805</v>
      </c>
      <c r="I220" s="1">
        <v>5723</v>
      </c>
      <c r="J220" s="1"/>
    </row>
    <row r="221" spans="1:10" x14ac:dyDescent="0.25">
      <c r="A221" t="s">
        <v>788</v>
      </c>
      <c r="B221" t="s">
        <v>274</v>
      </c>
      <c r="C221" s="1">
        <f>11907+348+6+5036</f>
        <v>17297</v>
      </c>
      <c r="D221" s="1">
        <f>27+1</f>
        <v>28</v>
      </c>
      <c r="E221" s="1">
        <v>0</v>
      </c>
      <c r="F221" s="1">
        <v>0</v>
      </c>
      <c r="G221" s="1">
        <v>0</v>
      </c>
      <c r="H221" s="1">
        <v>18765</v>
      </c>
      <c r="I221" s="1">
        <v>3498</v>
      </c>
      <c r="J221" s="1"/>
    </row>
    <row r="222" spans="1:10" x14ac:dyDescent="0.25">
      <c r="A222" t="s">
        <v>805</v>
      </c>
      <c r="B222" t="s">
        <v>275</v>
      </c>
      <c r="C222" s="1"/>
      <c r="D222" s="1"/>
      <c r="E222" s="1"/>
      <c r="F222" s="1"/>
      <c r="G222" s="1"/>
      <c r="H222" s="1"/>
      <c r="I222" s="1"/>
      <c r="J222" s="1"/>
    </row>
    <row r="223" spans="1:10" x14ac:dyDescent="0.25">
      <c r="A223" s="23" t="s">
        <v>805</v>
      </c>
      <c r="B223" s="24" t="s">
        <v>276</v>
      </c>
      <c r="C223" s="1"/>
      <c r="D223" s="1"/>
      <c r="E223" s="1"/>
      <c r="F223" s="1"/>
      <c r="G223" s="1"/>
      <c r="H223" s="1"/>
      <c r="I223" s="1"/>
      <c r="J223" s="1"/>
    </row>
    <row r="224" spans="1:10" x14ac:dyDescent="0.25">
      <c r="A224" t="s">
        <v>76</v>
      </c>
      <c r="B224" t="s">
        <v>277</v>
      </c>
      <c r="C224" s="1"/>
      <c r="D224" s="1"/>
      <c r="E224" s="1"/>
      <c r="F224" s="1"/>
      <c r="G224" s="1"/>
      <c r="H224" s="1"/>
      <c r="I224" s="1"/>
      <c r="J224" s="1"/>
    </row>
    <row r="225" spans="1:10" x14ac:dyDescent="0.25">
      <c r="A225" t="s">
        <v>823</v>
      </c>
      <c r="B225" t="s">
        <v>278</v>
      </c>
      <c r="C225" s="1">
        <v>18832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/>
    </row>
    <row r="226" spans="1:10" x14ac:dyDescent="0.25">
      <c r="A226" t="s">
        <v>120</v>
      </c>
      <c r="B226" t="s">
        <v>279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f>11286+941+1+2</f>
        <v>12230</v>
      </c>
      <c r="I226" s="1">
        <v>0</v>
      </c>
      <c r="J226" s="1"/>
    </row>
    <row r="227" spans="1:10" x14ac:dyDescent="0.25">
      <c r="A227" t="s">
        <v>495</v>
      </c>
      <c r="B227" t="s">
        <v>280</v>
      </c>
      <c r="C227" s="1"/>
      <c r="D227" s="1"/>
      <c r="E227" s="1"/>
      <c r="F227" s="1"/>
      <c r="G227" s="1"/>
      <c r="H227" s="1"/>
      <c r="I227" s="1"/>
      <c r="J227" s="1"/>
    </row>
    <row r="228" spans="1:10" x14ac:dyDescent="0.25">
      <c r="A228" t="s">
        <v>791</v>
      </c>
      <c r="B228" t="s">
        <v>281</v>
      </c>
      <c r="C228" s="1">
        <v>1171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/>
    </row>
    <row r="229" spans="1:10" x14ac:dyDescent="0.25">
      <c r="A229" t="s">
        <v>801</v>
      </c>
      <c r="B229" t="s">
        <v>282</v>
      </c>
      <c r="C229" s="1"/>
      <c r="D229" s="1"/>
      <c r="E229" s="1"/>
      <c r="F229" s="1"/>
      <c r="G229" s="1"/>
      <c r="H229" s="1"/>
      <c r="I229" s="1"/>
      <c r="J229" s="1"/>
    </row>
    <row r="230" spans="1:10" x14ac:dyDescent="0.25">
      <c r="A230" t="s">
        <v>795</v>
      </c>
      <c r="B230" t="s">
        <v>283</v>
      </c>
      <c r="C230" s="1">
        <f>119464+16</f>
        <v>119480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/>
    </row>
    <row r="231" spans="1:10" x14ac:dyDescent="0.25">
      <c r="A231" t="s">
        <v>811</v>
      </c>
      <c r="B231" t="s">
        <v>284</v>
      </c>
      <c r="C231" s="1">
        <v>71586</v>
      </c>
      <c r="D231" s="1">
        <f>611+38+1858</f>
        <v>2507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/>
    </row>
    <row r="232" spans="1:10" x14ac:dyDescent="0.25">
      <c r="A232" t="s">
        <v>120</v>
      </c>
      <c r="B232" t="s">
        <v>285</v>
      </c>
      <c r="C232" s="1">
        <f>16781+5</f>
        <v>16786</v>
      </c>
      <c r="D232" s="1">
        <v>132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/>
    </row>
    <row r="233" spans="1:10" x14ac:dyDescent="0.25">
      <c r="A233" t="s">
        <v>101</v>
      </c>
      <c r="B233" t="s">
        <v>286</v>
      </c>
      <c r="C233" s="1">
        <f>14458+2+2</f>
        <v>14462</v>
      </c>
      <c r="D233" s="1">
        <v>191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/>
    </row>
    <row r="234" spans="1:10" x14ac:dyDescent="0.25">
      <c r="A234" t="s">
        <v>226</v>
      </c>
      <c r="B234" t="s">
        <v>287</v>
      </c>
      <c r="C234" s="1">
        <f>10815+24+2</f>
        <v>10841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/>
    </row>
    <row r="235" spans="1:10" x14ac:dyDescent="0.25">
      <c r="A235" t="s">
        <v>120</v>
      </c>
      <c r="B235" t="s">
        <v>288</v>
      </c>
      <c r="C235" s="1">
        <v>2702</v>
      </c>
      <c r="D235" s="1">
        <v>2</v>
      </c>
      <c r="E235" s="1">
        <v>0</v>
      </c>
      <c r="F235" s="1">
        <f>21786+2+2</f>
        <v>21790</v>
      </c>
      <c r="G235" s="1">
        <v>46</v>
      </c>
      <c r="H235" s="1">
        <v>0</v>
      </c>
      <c r="I235" s="1">
        <v>0</v>
      </c>
      <c r="J235" s="1"/>
    </row>
    <row r="236" spans="1:10" x14ac:dyDescent="0.25">
      <c r="A236" t="s">
        <v>826</v>
      </c>
      <c r="B236" t="s">
        <v>289</v>
      </c>
      <c r="C236" s="1">
        <f>1401+47+2</f>
        <v>1450</v>
      </c>
      <c r="D236" s="1">
        <f>101+1</f>
        <v>102</v>
      </c>
      <c r="E236" s="1">
        <v>0</v>
      </c>
      <c r="F236" s="1">
        <f>5840+40+17</f>
        <v>5897</v>
      </c>
      <c r="G236" s="1">
        <f>23+1</f>
        <v>24</v>
      </c>
      <c r="H236" s="1">
        <v>0</v>
      </c>
      <c r="I236" s="1">
        <v>0</v>
      </c>
      <c r="J236" s="1"/>
    </row>
    <row r="237" spans="1:10" x14ac:dyDescent="0.25">
      <c r="A237" t="s">
        <v>791</v>
      </c>
      <c r="B237" t="s">
        <v>290</v>
      </c>
      <c r="C237" s="1">
        <f>2499+13+2+12</f>
        <v>2526</v>
      </c>
      <c r="D237" s="1">
        <f>402+4</f>
        <v>406</v>
      </c>
      <c r="E237" s="1">
        <v>0</v>
      </c>
      <c r="F237" s="1">
        <f>11516+7+31+15+142+1+7+154</f>
        <v>11873</v>
      </c>
      <c r="G237" s="1">
        <v>32</v>
      </c>
      <c r="H237" s="1">
        <v>0</v>
      </c>
      <c r="I237" s="1">
        <v>0</v>
      </c>
      <c r="J237" s="1"/>
    </row>
    <row r="238" spans="1:10" x14ac:dyDescent="0.25">
      <c r="A238" t="s">
        <v>826</v>
      </c>
      <c r="B238" t="s">
        <v>291</v>
      </c>
      <c r="C238" s="1">
        <f>573+2</f>
        <v>575</v>
      </c>
      <c r="D238" s="1">
        <v>0</v>
      </c>
      <c r="E238" s="1">
        <v>0</v>
      </c>
      <c r="F238" s="1">
        <f>4253+22</f>
        <v>4275</v>
      </c>
      <c r="G238" s="1">
        <v>0</v>
      </c>
      <c r="H238" s="1">
        <v>0</v>
      </c>
      <c r="I238" s="1">
        <v>0</v>
      </c>
      <c r="J238" s="1"/>
    </row>
    <row r="239" spans="1:10" x14ac:dyDescent="0.25">
      <c r="A239" t="s">
        <v>226</v>
      </c>
      <c r="B239" t="s">
        <v>292</v>
      </c>
      <c r="C239" s="1">
        <f>543+2+1</f>
        <v>546</v>
      </c>
      <c r="D239" s="1">
        <v>0</v>
      </c>
      <c r="E239" s="1">
        <v>0</v>
      </c>
      <c r="F239" s="1">
        <f>5037+5+57+21+5+5</f>
        <v>5130</v>
      </c>
      <c r="G239" s="1">
        <v>2</v>
      </c>
      <c r="H239" s="1">
        <v>0</v>
      </c>
      <c r="I239" s="1">
        <v>0</v>
      </c>
      <c r="J239" s="1"/>
    </row>
    <row r="240" spans="1:10" x14ac:dyDescent="0.25">
      <c r="A240" t="s">
        <v>495</v>
      </c>
      <c r="B240" t="s">
        <v>293</v>
      </c>
      <c r="C240" s="1"/>
      <c r="D240" s="1"/>
      <c r="E240" s="1"/>
      <c r="F240" s="1"/>
      <c r="G240" s="1"/>
      <c r="H240" s="1"/>
      <c r="I240" s="1"/>
      <c r="J240" s="1"/>
    </row>
    <row r="241" spans="1:10" x14ac:dyDescent="0.25">
      <c r="A241" t="s">
        <v>248</v>
      </c>
      <c r="B241" t="s">
        <v>294</v>
      </c>
      <c r="C241" s="1">
        <v>228</v>
      </c>
      <c r="D241" s="1">
        <v>0</v>
      </c>
      <c r="E241" s="1">
        <v>0</v>
      </c>
      <c r="F241" s="1">
        <f>5496+7+2+85</f>
        <v>5590</v>
      </c>
      <c r="G241" s="1">
        <v>0</v>
      </c>
      <c r="H241" s="1">
        <v>0</v>
      </c>
      <c r="I241" s="1">
        <v>0</v>
      </c>
      <c r="J241" s="1"/>
    </row>
    <row r="242" spans="1:10" x14ac:dyDescent="0.25">
      <c r="A242" t="s">
        <v>865</v>
      </c>
      <c r="B242" t="s">
        <v>295</v>
      </c>
      <c r="C242" s="1">
        <v>272</v>
      </c>
      <c r="D242" s="1">
        <v>0</v>
      </c>
      <c r="E242" s="1">
        <v>0</v>
      </c>
      <c r="F242" s="1">
        <f>7031+3+3+2+8</f>
        <v>7047</v>
      </c>
      <c r="G242" s="1">
        <v>8</v>
      </c>
      <c r="H242" s="1">
        <v>0</v>
      </c>
      <c r="I242" s="1">
        <v>0</v>
      </c>
      <c r="J242" s="1"/>
    </row>
    <row r="243" spans="1:10" x14ac:dyDescent="0.25">
      <c r="A243" t="s">
        <v>831</v>
      </c>
      <c r="B243" t="s">
        <v>296</v>
      </c>
      <c r="C243" s="1">
        <v>457</v>
      </c>
      <c r="D243" s="1">
        <v>0</v>
      </c>
      <c r="E243" s="1">
        <v>0</v>
      </c>
      <c r="F243" s="1">
        <f>8084+6+5+57+200</f>
        <v>8352</v>
      </c>
      <c r="G243" s="1">
        <v>2</v>
      </c>
      <c r="H243" s="1">
        <v>0</v>
      </c>
      <c r="I243" s="1">
        <v>0</v>
      </c>
      <c r="J243" s="1"/>
    </row>
    <row r="244" spans="1:10" x14ac:dyDescent="0.25">
      <c r="A244" t="s">
        <v>818</v>
      </c>
      <c r="B244" t="s">
        <v>297</v>
      </c>
      <c r="C244" s="1"/>
      <c r="D244" s="1"/>
      <c r="E244" s="1"/>
      <c r="F244" s="1"/>
      <c r="G244" s="1"/>
      <c r="H244" s="1"/>
      <c r="I244" s="1"/>
      <c r="J244" s="1"/>
    </row>
    <row r="245" spans="1:10" x14ac:dyDescent="0.25">
      <c r="A245" t="s">
        <v>811</v>
      </c>
      <c r="B245" t="s">
        <v>298</v>
      </c>
      <c r="C245" s="1">
        <f>2533+2+19+1+1+1+67</f>
        <v>2624</v>
      </c>
      <c r="D245" s="1">
        <v>52</v>
      </c>
      <c r="E245" s="1">
        <v>0</v>
      </c>
      <c r="F245" s="1">
        <f>7512+4+12+3+104</f>
        <v>7635</v>
      </c>
      <c r="G245" s="1">
        <f>28+1</f>
        <v>29</v>
      </c>
      <c r="H245" s="1">
        <v>0</v>
      </c>
      <c r="I245" s="1">
        <v>0</v>
      </c>
      <c r="J245" s="1"/>
    </row>
    <row r="246" spans="1:10" x14ac:dyDescent="0.25">
      <c r="A246" t="s">
        <v>72</v>
      </c>
      <c r="B246" t="s">
        <v>299</v>
      </c>
      <c r="C246" s="1">
        <f>1154+459</f>
        <v>1613</v>
      </c>
      <c r="D246" s="1">
        <v>0</v>
      </c>
      <c r="E246" s="1">
        <v>0</v>
      </c>
      <c r="F246" s="1">
        <f>5897+4+894+5</f>
        <v>6800</v>
      </c>
      <c r="G246" s="1">
        <v>19</v>
      </c>
      <c r="H246" s="1">
        <v>0</v>
      </c>
      <c r="I246" s="1">
        <v>0</v>
      </c>
      <c r="J246" s="1"/>
    </row>
    <row r="247" spans="1:10" x14ac:dyDescent="0.25">
      <c r="A247" t="s">
        <v>67</v>
      </c>
      <c r="B247" t="s">
        <v>300</v>
      </c>
      <c r="C247" s="1"/>
      <c r="D247" s="1"/>
      <c r="E247" s="1"/>
      <c r="F247" s="1"/>
      <c r="G247" s="1"/>
      <c r="H247" s="1"/>
      <c r="I247" s="1"/>
      <c r="J247" s="1"/>
    </row>
    <row r="248" spans="1:10" x14ac:dyDescent="0.25">
      <c r="A248" t="s">
        <v>798</v>
      </c>
      <c r="B248" t="s">
        <v>301</v>
      </c>
      <c r="C248" s="1"/>
      <c r="D248" s="1"/>
      <c r="E248" s="1"/>
      <c r="F248" s="1"/>
      <c r="G248" s="1"/>
      <c r="H248" s="1"/>
      <c r="I248" s="1"/>
      <c r="J248" s="1"/>
    </row>
    <row r="249" spans="1:10" x14ac:dyDescent="0.25">
      <c r="A249" t="s">
        <v>824</v>
      </c>
      <c r="B249" s="5" t="s">
        <v>302</v>
      </c>
      <c r="C249" s="6"/>
      <c r="D249" s="6"/>
      <c r="E249" s="6"/>
      <c r="F249" s="6"/>
      <c r="G249" s="6"/>
      <c r="H249" s="6"/>
      <c r="I249" s="6"/>
      <c r="J249" s="6"/>
    </row>
    <row r="250" spans="1:10" x14ac:dyDescent="0.25">
      <c r="A250" t="s">
        <v>788</v>
      </c>
      <c r="B250" t="s">
        <v>303</v>
      </c>
      <c r="C250" s="1">
        <v>772</v>
      </c>
      <c r="D250" s="1">
        <v>0</v>
      </c>
      <c r="E250" s="1">
        <v>0</v>
      </c>
      <c r="F250" s="1">
        <f>8146+1</f>
        <v>8147</v>
      </c>
      <c r="G250" s="1">
        <v>0</v>
      </c>
      <c r="H250" s="1">
        <v>0</v>
      </c>
      <c r="I250" s="1">
        <v>0</v>
      </c>
      <c r="J250" s="1"/>
    </row>
    <row r="251" spans="1:10" x14ac:dyDescent="0.25">
      <c r="A251" t="s">
        <v>120</v>
      </c>
      <c r="B251" t="s">
        <v>304</v>
      </c>
      <c r="C251" s="1">
        <v>851</v>
      </c>
      <c r="D251" s="1">
        <v>0</v>
      </c>
      <c r="E251" s="1">
        <v>0</v>
      </c>
      <c r="F251" s="1">
        <f>7805+52+139+1+7</f>
        <v>8004</v>
      </c>
      <c r="G251" s="1">
        <v>7</v>
      </c>
      <c r="H251" s="1">
        <v>0</v>
      </c>
      <c r="I251" s="1">
        <v>0</v>
      </c>
      <c r="J251" s="1"/>
    </row>
    <row r="252" spans="1:10" x14ac:dyDescent="0.25">
      <c r="A252" t="s">
        <v>229</v>
      </c>
      <c r="B252" t="s">
        <v>306</v>
      </c>
      <c r="C252" s="1">
        <v>1340</v>
      </c>
      <c r="D252" s="1">
        <v>0</v>
      </c>
      <c r="E252" s="1">
        <v>0</v>
      </c>
      <c r="F252" s="1">
        <f>1863+23+2</f>
        <v>1888</v>
      </c>
      <c r="G252" s="1">
        <v>59</v>
      </c>
      <c r="H252" s="1">
        <v>0</v>
      </c>
      <c r="I252" s="1">
        <v>0</v>
      </c>
      <c r="J252" s="1"/>
    </row>
    <row r="253" spans="1:10" x14ac:dyDescent="0.25">
      <c r="A253" t="s">
        <v>512</v>
      </c>
      <c r="B253" t="s">
        <v>307</v>
      </c>
      <c r="C253" s="1">
        <f>376+4</f>
        <v>380</v>
      </c>
      <c r="D253" s="1">
        <v>9</v>
      </c>
      <c r="E253" s="1">
        <v>0</v>
      </c>
      <c r="F253" s="1">
        <f>3967+13</f>
        <v>3980</v>
      </c>
      <c r="G253" s="1">
        <v>38</v>
      </c>
      <c r="H253" s="1">
        <v>0</v>
      </c>
      <c r="I253" s="1">
        <v>0</v>
      </c>
      <c r="J253" s="1"/>
    </row>
    <row r="254" spans="1:10" x14ac:dyDescent="0.25">
      <c r="A254" t="s">
        <v>791</v>
      </c>
      <c r="B254" t="s">
        <v>308</v>
      </c>
      <c r="C254" s="1">
        <f>486+2+6+1+8</f>
        <v>503</v>
      </c>
      <c r="D254" s="1">
        <v>0</v>
      </c>
      <c r="E254" s="1">
        <v>0</v>
      </c>
      <c r="F254" s="1">
        <f>4037+1+2+19</f>
        <v>4059</v>
      </c>
      <c r="G254" s="1">
        <v>0</v>
      </c>
      <c r="H254" s="1">
        <v>0</v>
      </c>
      <c r="I254" s="1">
        <v>0</v>
      </c>
      <c r="J254" s="1"/>
    </row>
    <row r="255" spans="1:10" x14ac:dyDescent="0.25">
      <c r="A255" t="s">
        <v>841</v>
      </c>
      <c r="B255" t="s">
        <v>309</v>
      </c>
      <c r="C255" s="1"/>
      <c r="D255" s="1"/>
      <c r="E255" s="1"/>
      <c r="F255" s="1"/>
      <c r="G255" s="1"/>
      <c r="H255" s="1"/>
      <c r="I255" s="1"/>
      <c r="J255" s="1"/>
    </row>
    <row r="256" spans="1:10" x14ac:dyDescent="0.25">
      <c r="A256" t="s">
        <v>831</v>
      </c>
      <c r="B256" t="s">
        <v>310</v>
      </c>
      <c r="C256" s="1">
        <v>91</v>
      </c>
      <c r="D256" s="1">
        <v>0</v>
      </c>
      <c r="E256" s="1">
        <v>0</v>
      </c>
      <c r="F256" s="1">
        <v>710</v>
      </c>
      <c r="G256" s="1">
        <v>0</v>
      </c>
      <c r="H256" s="1">
        <v>0</v>
      </c>
      <c r="I256" s="1">
        <v>0</v>
      </c>
      <c r="J256" s="1"/>
    </row>
    <row r="257" spans="1:10" x14ac:dyDescent="0.25">
      <c r="A257" t="s">
        <v>864</v>
      </c>
      <c r="B257" t="s">
        <v>311</v>
      </c>
      <c r="C257" s="1">
        <f>619+13</f>
        <v>632</v>
      </c>
      <c r="D257" s="1">
        <v>0</v>
      </c>
      <c r="E257" s="1">
        <v>0</v>
      </c>
      <c r="F257" s="1">
        <f>3245+2+42+37</f>
        <v>3326</v>
      </c>
      <c r="G257" s="1">
        <v>0</v>
      </c>
      <c r="H257" s="1">
        <v>0</v>
      </c>
      <c r="I257" s="1">
        <v>0</v>
      </c>
      <c r="J257" s="1"/>
    </row>
    <row r="258" spans="1:10" x14ac:dyDescent="0.25">
      <c r="A258" t="s">
        <v>838</v>
      </c>
      <c r="B258" t="s">
        <v>312</v>
      </c>
      <c r="C258" s="1"/>
      <c r="D258" s="1"/>
      <c r="E258" s="1"/>
      <c r="F258" s="1"/>
      <c r="G258" s="1"/>
      <c r="H258" s="1"/>
      <c r="I258" s="1"/>
      <c r="J258" s="1"/>
    </row>
    <row r="259" spans="1:10" x14ac:dyDescent="0.25">
      <c r="A259" t="s">
        <v>794</v>
      </c>
      <c r="B259" t="s">
        <v>313</v>
      </c>
      <c r="C259" s="1"/>
      <c r="D259" s="1"/>
      <c r="E259" s="1"/>
      <c r="F259" s="1"/>
      <c r="G259" s="1"/>
      <c r="H259" s="1"/>
      <c r="I259" s="1"/>
      <c r="J259" s="1"/>
    </row>
    <row r="260" spans="1:10" x14ac:dyDescent="0.25">
      <c r="A260" t="s">
        <v>830</v>
      </c>
      <c r="B260" t="s">
        <v>314</v>
      </c>
      <c r="C260" s="1"/>
      <c r="D260" s="1"/>
      <c r="E260" s="1"/>
      <c r="F260" s="1"/>
      <c r="G260" s="1"/>
      <c r="H260" s="1"/>
      <c r="I260" s="1"/>
      <c r="J260" s="1"/>
    </row>
    <row r="261" spans="1:10" x14ac:dyDescent="0.25">
      <c r="A261" t="s">
        <v>844</v>
      </c>
      <c r="B261" t="s">
        <v>315</v>
      </c>
      <c r="C261" s="1"/>
      <c r="D261" s="1"/>
      <c r="E261" s="1"/>
      <c r="F261" s="1"/>
      <c r="G261" s="1"/>
      <c r="H261" s="1"/>
      <c r="I261" s="1"/>
      <c r="J261" s="1"/>
    </row>
    <row r="262" spans="1:10" x14ac:dyDescent="0.25">
      <c r="A262" t="s">
        <v>836</v>
      </c>
      <c r="B262" t="s">
        <v>316</v>
      </c>
      <c r="C262" s="1"/>
      <c r="D262" s="1"/>
      <c r="E262" s="1"/>
      <c r="F262" s="1"/>
      <c r="G262" s="1"/>
      <c r="H262" s="1"/>
      <c r="I262" s="1"/>
      <c r="J262" s="1"/>
    </row>
    <row r="263" spans="1:10" x14ac:dyDescent="0.25">
      <c r="A263" t="s">
        <v>845</v>
      </c>
      <c r="B263" t="s">
        <v>317</v>
      </c>
      <c r="C263" s="1"/>
      <c r="D263" s="1"/>
      <c r="E263" s="1"/>
      <c r="F263" s="1"/>
      <c r="G263" s="1"/>
      <c r="H263" s="1"/>
      <c r="I263" s="1"/>
      <c r="J263" s="1"/>
    </row>
    <row r="264" spans="1:10" x14ac:dyDescent="0.25">
      <c r="A264" t="s">
        <v>846</v>
      </c>
      <c r="B264" t="s">
        <v>318</v>
      </c>
      <c r="C264" s="1"/>
      <c r="D264" s="1"/>
      <c r="E264" s="1"/>
      <c r="F264" s="1"/>
      <c r="G264" s="1"/>
      <c r="H264" s="1"/>
      <c r="I264" s="1"/>
      <c r="J264" s="1"/>
    </row>
    <row r="265" spans="1:10" x14ac:dyDescent="0.25">
      <c r="A265" t="s">
        <v>804</v>
      </c>
      <c r="B265" t="s">
        <v>319</v>
      </c>
      <c r="C265" s="1">
        <f>2985+2</f>
        <v>2987</v>
      </c>
      <c r="D265" s="1">
        <v>0</v>
      </c>
      <c r="E265" s="1">
        <v>0</v>
      </c>
      <c r="F265" s="1">
        <f>2490+4</f>
        <v>2494</v>
      </c>
      <c r="G265" s="1">
        <v>0</v>
      </c>
      <c r="H265" s="1">
        <v>0</v>
      </c>
      <c r="I265" s="1">
        <v>0</v>
      </c>
      <c r="J265" s="1"/>
    </row>
    <row r="266" spans="1:10" x14ac:dyDescent="0.25">
      <c r="A266" t="s">
        <v>809</v>
      </c>
      <c r="B266" t="s">
        <v>320</v>
      </c>
      <c r="C266" s="1"/>
      <c r="D266" s="1"/>
      <c r="E266" s="1"/>
      <c r="F266" s="1"/>
      <c r="G266" s="1"/>
      <c r="H266" s="1"/>
      <c r="I266" s="1"/>
      <c r="J266" s="1"/>
    </row>
    <row r="267" spans="1:10" x14ac:dyDescent="0.25">
      <c r="A267" t="s">
        <v>801</v>
      </c>
      <c r="B267" t="s">
        <v>321</v>
      </c>
      <c r="C267" s="1"/>
      <c r="D267" s="1"/>
      <c r="E267" s="1"/>
      <c r="F267" s="1"/>
      <c r="G267" s="1"/>
      <c r="H267" s="1"/>
      <c r="I267" s="1"/>
      <c r="J267" s="1"/>
    </row>
    <row r="268" spans="1:10" x14ac:dyDescent="0.25">
      <c r="A268" t="s">
        <v>138</v>
      </c>
      <c r="B268" t="s">
        <v>322</v>
      </c>
      <c r="C268" s="1"/>
      <c r="D268" s="1"/>
      <c r="E268" s="1"/>
      <c r="F268" s="1"/>
      <c r="G268" s="1"/>
      <c r="H268" s="1"/>
      <c r="I268" s="1"/>
      <c r="J268" s="1"/>
    </row>
    <row r="269" spans="1:10" x14ac:dyDescent="0.25">
      <c r="A269" t="s">
        <v>83</v>
      </c>
      <c r="B269" t="s">
        <v>323</v>
      </c>
      <c r="C269" s="1"/>
      <c r="D269" s="1"/>
      <c r="E269" s="1"/>
      <c r="F269" s="1"/>
      <c r="G269" s="1"/>
      <c r="H269" s="1"/>
      <c r="I269" s="1"/>
      <c r="J269" s="1"/>
    </row>
    <row r="270" spans="1:10" x14ac:dyDescent="0.25">
      <c r="A270" t="s">
        <v>825</v>
      </c>
      <c r="B270" t="s">
        <v>324</v>
      </c>
      <c r="C270" s="1">
        <f>1875+15</f>
        <v>1890</v>
      </c>
      <c r="D270" s="1">
        <v>23</v>
      </c>
      <c r="E270" s="1">
        <v>0</v>
      </c>
      <c r="F270" s="1">
        <f>4856+3+1+67+10</f>
        <v>4937</v>
      </c>
      <c r="G270" s="1">
        <v>109</v>
      </c>
      <c r="H270" s="1">
        <v>0</v>
      </c>
      <c r="I270" s="1">
        <v>0</v>
      </c>
      <c r="J270" s="1"/>
    </row>
    <row r="271" spans="1:10" x14ac:dyDescent="0.25">
      <c r="A271" t="s">
        <v>248</v>
      </c>
      <c r="B271" t="s">
        <v>325</v>
      </c>
      <c r="C271" s="1">
        <v>689</v>
      </c>
      <c r="D271" s="1">
        <v>0</v>
      </c>
      <c r="E271" s="1">
        <v>0</v>
      </c>
      <c r="F271" s="1">
        <v>1053</v>
      </c>
      <c r="G271" s="1">
        <v>0</v>
      </c>
      <c r="H271" s="1">
        <v>0</v>
      </c>
      <c r="I271" s="1">
        <v>0</v>
      </c>
      <c r="J271" s="1"/>
    </row>
    <row r="272" spans="1:10" x14ac:dyDescent="0.25">
      <c r="A272" t="s">
        <v>83</v>
      </c>
      <c r="B272" t="s">
        <v>326</v>
      </c>
      <c r="C272" s="1"/>
      <c r="D272" s="1"/>
      <c r="E272" s="1"/>
      <c r="F272" s="1"/>
      <c r="G272" s="1"/>
      <c r="H272" s="1"/>
      <c r="I272" s="1"/>
      <c r="J272" s="1"/>
    </row>
    <row r="273" spans="1:10" x14ac:dyDescent="0.25">
      <c r="A273" t="s">
        <v>795</v>
      </c>
      <c r="B273" t="s">
        <v>327</v>
      </c>
      <c r="C273" s="1">
        <v>193</v>
      </c>
      <c r="D273" s="1">
        <v>0</v>
      </c>
      <c r="E273" s="1">
        <v>0</v>
      </c>
      <c r="F273" s="1">
        <v>865</v>
      </c>
      <c r="G273" s="1">
        <v>43</v>
      </c>
      <c r="H273" s="1">
        <v>0</v>
      </c>
      <c r="I273" s="1">
        <v>0</v>
      </c>
      <c r="J273" s="1"/>
    </row>
    <row r="274" spans="1:10" x14ac:dyDescent="0.25">
      <c r="A274" t="s">
        <v>76</v>
      </c>
      <c r="B274" t="s">
        <v>329</v>
      </c>
      <c r="C274" s="1"/>
      <c r="D274" s="1"/>
      <c r="E274" s="1"/>
      <c r="F274" s="1"/>
      <c r="G274" s="1"/>
      <c r="H274" s="1"/>
      <c r="I274" s="1"/>
      <c r="J274" s="1"/>
    </row>
    <row r="275" spans="1:10" x14ac:dyDescent="0.25">
      <c r="A275" t="s">
        <v>809</v>
      </c>
      <c r="B275" t="s">
        <v>330</v>
      </c>
      <c r="C275" s="1"/>
      <c r="D275" s="1"/>
      <c r="E275" s="1"/>
      <c r="F275" s="1"/>
      <c r="G275" s="1"/>
      <c r="H275" s="1"/>
      <c r="I275" s="1"/>
      <c r="J275" s="1"/>
    </row>
    <row r="276" spans="1:10" x14ac:dyDescent="0.25">
      <c r="A276" t="s">
        <v>839</v>
      </c>
      <c r="B276" t="s">
        <v>331</v>
      </c>
      <c r="C276" s="1">
        <v>463</v>
      </c>
      <c r="D276" s="1">
        <v>2</v>
      </c>
      <c r="E276" s="1">
        <v>0</v>
      </c>
      <c r="F276" s="1">
        <f>1825+1+10+6</f>
        <v>1842</v>
      </c>
      <c r="G276" s="1">
        <v>9</v>
      </c>
      <c r="H276" s="1">
        <v>0</v>
      </c>
      <c r="I276" s="1">
        <v>0</v>
      </c>
      <c r="J276" s="1"/>
    </row>
    <row r="277" spans="1:10" x14ac:dyDescent="0.25">
      <c r="A277" t="s">
        <v>248</v>
      </c>
      <c r="B277" t="s">
        <v>332</v>
      </c>
      <c r="C277" s="1">
        <v>100</v>
      </c>
      <c r="D277" s="1">
        <v>0</v>
      </c>
      <c r="E277" s="1">
        <v>0</v>
      </c>
      <c r="F277" s="1">
        <v>51</v>
      </c>
      <c r="G277" s="1">
        <v>0</v>
      </c>
      <c r="H277" s="1">
        <v>0</v>
      </c>
      <c r="I277" s="1">
        <v>0</v>
      </c>
      <c r="J277" s="1"/>
    </row>
    <row r="278" spans="1:10" x14ac:dyDescent="0.25">
      <c r="A278" t="s">
        <v>862</v>
      </c>
      <c r="B278" t="s">
        <v>333</v>
      </c>
      <c r="C278" s="1"/>
      <c r="D278" s="1"/>
      <c r="E278" s="1"/>
      <c r="F278" s="1"/>
      <c r="G278" s="1"/>
      <c r="H278" s="1"/>
      <c r="I278" s="1"/>
      <c r="J278" s="1"/>
    </row>
    <row r="279" spans="1:10" x14ac:dyDescent="0.25">
      <c r="A279" t="s">
        <v>857</v>
      </c>
      <c r="B279" t="s">
        <v>334</v>
      </c>
      <c r="C279" s="1"/>
      <c r="D279" s="1"/>
      <c r="E279" s="1"/>
      <c r="F279" s="1"/>
      <c r="G279" s="1"/>
      <c r="H279" s="1"/>
      <c r="I279" s="1"/>
      <c r="J279" s="1"/>
    </row>
    <row r="280" spans="1:10" x14ac:dyDescent="0.25">
      <c r="A280" t="s">
        <v>265</v>
      </c>
      <c r="B280" t="s">
        <v>335</v>
      </c>
      <c r="C280" s="1"/>
      <c r="D280" s="1"/>
      <c r="E280" s="1"/>
      <c r="F280" s="1"/>
      <c r="G280" s="1"/>
      <c r="H280" s="1"/>
      <c r="I280" s="1"/>
      <c r="J280" s="1"/>
    </row>
    <row r="281" spans="1:10" x14ac:dyDescent="0.25">
      <c r="A281" t="s">
        <v>855</v>
      </c>
      <c r="B281" t="s">
        <v>336</v>
      </c>
      <c r="C281" s="1"/>
      <c r="D281" s="1"/>
      <c r="E281" s="1"/>
      <c r="F281" s="1"/>
      <c r="G281" s="1"/>
      <c r="H281" s="1"/>
      <c r="I281" s="1"/>
      <c r="J281" s="1"/>
    </row>
    <row r="282" spans="1:10" x14ac:dyDescent="0.25">
      <c r="A282" t="s">
        <v>806</v>
      </c>
      <c r="B282" t="s">
        <v>337</v>
      </c>
      <c r="C282" s="1">
        <f>3134+12+21+19</f>
        <v>3186</v>
      </c>
      <c r="D282" s="1">
        <v>50</v>
      </c>
      <c r="E282" s="1">
        <v>0</v>
      </c>
      <c r="F282" s="1">
        <f>15880+2+202+3+2+2+11</f>
        <v>16102</v>
      </c>
      <c r="G282" s="1">
        <f>101+1+5</f>
        <v>107</v>
      </c>
      <c r="H282" s="1">
        <v>0</v>
      </c>
      <c r="I282" s="1">
        <v>0</v>
      </c>
      <c r="J282" s="1"/>
    </row>
    <row r="283" spans="1:10" x14ac:dyDescent="0.25">
      <c r="A283" t="s">
        <v>852</v>
      </c>
      <c r="B283" t="s">
        <v>338</v>
      </c>
      <c r="C283" s="1"/>
      <c r="D283" s="1"/>
      <c r="E283" s="1"/>
      <c r="F283" s="1"/>
      <c r="G283" s="1"/>
      <c r="H283" s="1"/>
      <c r="I283" s="1"/>
      <c r="J283" s="1"/>
    </row>
    <row r="284" spans="1:10" x14ac:dyDescent="0.25">
      <c r="A284" t="s">
        <v>860</v>
      </c>
      <c r="B284" t="s">
        <v>339</v>
      </c>
      <c r="C284" s="1"/>
      <c r="D284" s="1"/>
      <c r="E284" s="1"/>
      <c r="F284" s="1"/>
      <c r="G284" s="1"/>
      <c r="H284" s="1"/>
      <c r="I284" s="1"/>
      <c r="J284" s="1"/>
    </row>
    <row r="285" spans="1:10" x14ac:dyDescent="0.25">
      <c r="A285" t="s">
        <v>861</v>
      </c>
      <c r="B285" t="s">
        <v>340</v>
      </c>
      <c r="C285" s="1"/>
      <c r="D285" s="1"/>
      <c r="E285" s="1"/>
      <c r="F285" s="1"/>
      <c r="G285" s="1"/>
      <c r="H285" s="1"/>
      <c r="I285" s="1"/>
      <c r="J285" s="1"/>
    </row>
    <row r="286" spans="1:10" x14ac:dyDescent="0.25">
      <c r="A286" t="s">
        <v>834</v>
      </c>
      <c r="B286" t="s">
        <v>341</v>
      </c>
      <c r="C286" s="1"/>
      <c r="D286" s="1"/>
      <c r="E286" s="1"/>
      <c r="F286" s="1"/>
      <c r="G286" s="1"/>
      <c r="H286" s="1"/>
      <c r="I286" s="1"/>
      <c r="J286" s="1"/>
    </row>
    <row r="287" spans="1:10" x14ac:dyDescent="0.25">
      <c r="A287" t="s">
        <v>850</v>
      </c>
      <c r="B287" t="s">
        <v>342</v>
      </c>
      <c r="C287" s="1"/>
      <c r="D287" s="1"/>
      <c r="E287" s="1"/>
      <c r="F287" s="1"/>
      <c r="G287" s="1"/>
      <c r="H287" s="1"/>
      <c r="I287" s="1"/>
      <c r="J287" s="1"/>
    </row>
    <row r="288" spans="1:10" x14ac:dyDescent="0.25">
      <c r="A288" t="s">
        <v>801</v>
      </c>
      <c r="B288" t="s">
        <v>343</v>
      </c>
      <c r="C288" s="1"/>
      <c r="D288" s="1"/>
      <c r="E288" s="1"/>
      <c r="F288" s="1"/>
      <c r="G288" s="1"/>
      <c r="H288" s="1"/>
      <c r="I288" s="1"/>
      <c r="J288" s="1"/>
    </row>
    <row r="289" spans="1:10" x14ac:dyDescent="0.25">
      <c r="A289" t="s">
        <v>138</v>
      </c>
      <c r="B289" t="s">
        <v>344</v>
      </c>
      <c r="C289" s="1"/>
      <c r="D289" s="1"/>
      <c r="E289" s="1"/>
      <c r="F289" s="1"/>
      <c r="G289" s="1"/>
      <c r="H289" s="1"/>
      <c r="I289" s="1"/>
      <c r="J289" s="1"/>
    </row>
    <row r="290" spans="1:10" x14ac:dyDescent="0.25">
      <c r="A290" t="s">
        <v>806</v>
      </c>
      <c r="B290" t="s">
        <v>345</v>
      </c>
      <c r="C290" s="1"/>
      <c r="D290" s="1"/>
      <c r="E290" s="1"/>
      <c r="F290" s="1"/>
      <c r="G290" s="1"/>
      <c r="H290" s="1"/>
      <c r="I290" s="1"/>
      <c r="J290" s="1"/>
    </row>
    <row r="291" spans="1:10" x14ac:dyDescent="0.25">
      <c r="A291" t="s">
        <v>69</v>
      </c>
      <c r="B291" t="s">
        <v>346</v>
      </c>
      <c r="C291" s="1"/>
      <c r="D291" s="1"/>
      <c r="E291" s="1"/>
      <c r="F291" s="1"/>
      <c r="G291" s="1"/>
      <c r="H291" s="1"/>
      <c r="I291" s="1"/>
      <c r="J291" s="1"/>
    </row>
    <row r="292" spans="1:10" x14ac:dyDescent="0.25">
      <c r="A292" t="s">
        <v>83</v>
      </c>
      <c r="B292" t="s">
        <v>347</v>
      </c>
      <c r="C292" s="1"/>
      <c r="D292" s="1"/>
      <c r="E292" s="1"/>
      <c r="F292" s="1"/>
      <c r="G292" s="1"/>
      <c r="H292" s="1"/>
      <c r="I292" s="1"/>
      <c r="J292" s="1"/>
    </row>
    <row r="293" spans="1:10" x14ac:dyDescent="0.25">
      <c r="A293" t="s">
        <v>101</v>
      </c>
      <c r="B293" t="s">
        <v>348</v>
      </c>
      <c r="C293" s="1">
        <v>1185</v>
      </c>
      <c r="D293" s="1">
        <v>22</v>
      </c>
      <c r="E293" s="1">
        <v>0</v>
      </c>
      <c r="F293" s="1">
        <f>10052+1+9+21</f>
        <v>10083</v>
      </c>
      <c r="G293" s="1">
        <v>10</v>
      </c>
      <c r="H293" s="1">
        <v>0</v>
      </c>
      <c r="I293" s="1">
        <v>0</v>
      </c>
      <c r="J293" s="1"/>
    </row>
    <row r="294" spans="1:10" x14ac:dyDescent="0.25">
      <c r="A294" t="s">
        <v>797</v>
      </c>
      <c r="B294" t="s">
        <v>349</v>
      </c>
      <c r="C294" s="1">
        <v>513</v>
      </c>
      <c r="D294" s="1">
        <v>0</v>
      </c>
      <c r="E294" s="1">
        <v>0</v>
      </c>
      <c r="F294" s="1">
        <v>4961</v>
      </c>
      <c r="G294" s="1">
        <v>0</v>
      </c>
      <c r="H294" s="1">
        <v>0</v>
      </c>
      <c r="I294" s="1">
        <v>0</v>
      </c>
      <c r="J294" s="1"/>
    </row>
    <row r="295" spans="1:10" x14ac:dyDescent="0.25">
      <c r="A295" t="s">
        <v>811</v>
      </c>
      <c r="B295" t="s">
        <v>350</v>
      </c>
      <c r="C295" s="1">
        <f>1237+15</f>
        <v>1252</v>
      </c>
      <c r="D295" s="1">
        <v>82</v>
      </c>
      <c r="E295" s="1">
        <v>0</v>
      </c>
      <c r="F295" s="1">
        <f>11761+2+46</f>
        <v>11809</v>
      </c>
      <c r="G295" s="1">
        <v>77</v>
      </c>
      <c r="H295" s="1">
        <v>0</v>
      </c>
      <c r="I295" s="1">
        <v>0</v>
      </c>
      <c r="J295" s="1"/>
    </row>
    <row r="296" spans="1:10" x14ac:dyDescent="0.25">
      <c r="A296" t="s">
        <v>837</v>
      </c>
      <c r="B296" t="s">
        <v>351</v>
      </c>
      <c r="C296" s="1"/>
      <c r="D296" s="1"/>
      <c r="E296" s="1"/>
      <c r="F296" s="1"/>
      <c r="G296" s="1"/>
      <c r="H296" s="1"/>
      <c r="I296" s="1"/>
      <c r="J296" s="1"/>
    </row>
    <row r="297" spans="1:10" x14ac:dyDescent="0.25">
      <c r="A297" t="s">
        <v>824</v>
      </c>
      <c r="B297" t="s">
        <v>352</v>
      </c>
      <c r="C297" s="1">
        <f>796+9</f>
        <v>805</v>
      </c>
      <c r="D297" s="1">
        <v>0</v>
      </c>
      <c r="E297" s="1">
        <v>0</v>
      </c>
      <c r="F297" s="1">
        <f>3743+90+40</f>
        <v>3873</v>
      </c>
      <c r="G297" s="1">
        <v>1</v>
      </c>
      <c r="H297" s="1">
        <v>0</v>
      </c>
      <c r="I297" s="1">
        <v>0</v>
      </c>
      <c r="J297" s="1"/>
    </row>
    <row r="298" spans="1:10" x14ac:dyDescent="0.25">
      <c r="A298" t="s">
        <v>829</v>
      </c>
      <c r="B298" t="s">
        <v>353</v>
      </c>
      <c r="C298" s="1"/>
      <c r="D298" s="1"/>
      <c r="E298" s="1"/>
      <c r="F298" s="1"/>
      <c r="G298" s="1"/>
      <c r="H298" s="1"/>
      <c r="I298" s="1"/>
      <c r="J298" s="1"/>
    </row>
    <row r="299" spans="1:10" x14ac:dyDescent="0.25">
      <c r="A299" t="s">
        <v>832</v>
      </c>
      <c r="B299" t="s">
        <v>354</v>
      </c>
      <c r="C299" s="1"/>
      <c r="D299" s="1"/>
      <c r="E299" s="1"/>
      <c r="F299" s="1"/>
      <c r="G299" s="1"/>
      <c r="H299" s="1"/>
      <c r="I299" s="1"/>
      <c r="J299" s="1"/>
    </row>
    <row r="300" spans="1:10" x14ac:dyDescent="0.25">
      <c r="A300" t="s">
        <v>833</v>
      </c>
      <c r="B300" t="s">
        <v>355</v>
      </c>
      <c r="C300" s="1"/>
      <c r="D300" s="1"/>
      <c r="E300" s="1"/>
      <c r="F300" s="1"/>
      <c r="G300" s="1"/>
      <c r="H300" s="1"/>
      <c r="I300" s="1"/>
      <c r="J300" s="1"/>
    </row>
    <row r="301" spans="1:10" x14ac:dyDescent="0.25">
      <c r="A301" t="s">
        <v>840</v>
      </c>
      <c r="B301" t="s">
        <v>356</v>
      </c>
      <c r="C301" s="1"/>
      <c r="D301" s="1"/>
      <c r="E301" s="1"/>
      <c r="F301" s="1"/>
      <c r="G301" s="1"/>
      <c r="H301" s="1"/>
      <c r="I301" s="1"/>
      <c r="J301" s="1"/>
    </row>
    <row r="302" spans="1:10" x14ac:dyDescent="0.25">
      <c r="A302" t="s">
        <v>843</v>
      </c>
      <c r="B302" t="s">
        <v>357</v>
      </c>
      <c r="C302" s="1"/>
      <c r="D302" s="1"/>
      <c r="E302" s="1"/>
      <c r="F302" s="1"/>
      <c r="G302" s="1"/>
      <c r="H302" s="1"/>
      <c r="I302" s="1"/>
      <c r="J302" s="1"/>
    </row>
    <row r="303" spans="1:10" x14ac:dyDescent="0.25">
      <c r="A303" t="s">
        <v>791</v>
      </c>
      <c r="B303" t="s">
        <v>358</v>
      </c>
      <c r="C303" s="1">
        <f>6698+2+42+125+11+2+6+120</f>
        <v>7006</v>
      </c>
      <c r="D303" s="1">
        <v>1</v>
      </c>
      <c r="E303" s="1">
        <v>0</v>
      </c>
      <c r="F303" s="1">
        <f>14397+100+23+1+29+17+3+1+1+299</f>
        <v>14871</v>
      </c>
      <c r="G303" s="1">
        <f>14+27</f>
        <v>41</v>
      </c>
      <c r="H303" s="1">
        <v>0</v>
      </c>
      <c r="I303" s="1">
        <v>0</v>
      </c>
      <c r="J303" s="1"/>
    </row>
    <row r="304" spans="1:10" x14ac:dyDescent="0.25">
      <c r="A304" t="s">
        <v>842</v>
      </c>
      <c r="B304" t="s">
        <v>359</v>
      </c>
      <c r="C304" s="1"/>
      <c r="D304" s="1"/>
      <c r="E304" s="1"/>
      <c r="F304" s="1"/>
      <c r="G304" s="1"/>
      <c r="H304" s="1"/>
      <c r="I304" s="1"/>
      <c r="J304" s="1"/>
    </row>
    <row r="305" spans="1:10" x14ac:dyDescent="0.25">
      <c r="A305" t="s">
        <v>835</v>
      </c>
      <c r="B305" t="s">
        <v>360</v>
      </c>
      <c r="C305" s="1"/>
      <c r="D305" s="1"/>
      <c r="E305" s="1"/>
      <c r="F305" s="1"/>
      <c r="G305" s="1"/>
      <c r="H305" s="1"/>
      <c r="I305" s="1"/>
      <c r="J305" s="1"/>
    </row>
    <row r="306" spans="1:10" x14ac:dyDescent="0.25">
      <c r="A306" t="s">
        <v>826</v>
      </c>
      <c r="B306" t="s">
        <v>361</v>
      </c>
      <c r="C306" s="1">
        <f>5556+8+2+139+36+36</f>
        <v>5777</v>
      </c>
      <c r="D306" s="1">
        <v>57</v>
      </c>
      <c r="E306" s="1">
        <v>0</v>
      </c>
      <c r="F306" s="1">
        <f>19615+2+202+1+6+112</f>
        <v>19938</v>
      </c>
      <c r="G306" s="1">
        <f>338+3</f>
        <v>341</v>
      </c>
      <c r="H306" s="1">
        <v>0</v>
      </c>
      <c r="I306" s="1">
        <v>0</v>
      </c>
      <c r="J306" s="1"/>
    </row>
    <row r="307" spans="1:10" x14ac:dyDescent="0.25">
      <c r="A307" t="s">
        <v>67</v>
      </c>
      <c r="B307" t="s">
        <v>362</v>
      </c>
      <c r="C307" s="1"/>
      <c r="D307" s="1"/>
      <c r="E307" s="1"/>
      <c r="F307" s="1"/>
      <c r="G307" s="1"/>
      <c r="H307" s="1"/>
      <c r="I307" s="1"/>
      <c r="J307" s="1"/>
    </row>
    <row r="308" spans="1:10" x14ac:dyDescent="0.25">
      <c r="A308" t="s">
        <v>831</v>
      </c>
      <c r="B308" t="s">
        <v>363</v>
      </c>
      <c r="C308" s="1">
        <f>137+12</f>
        <v>149</v>
      </c>
      <c r="D308" s="1">
        <v>0</v>
      </c>
      <c r="E308" s="1">
        <v>0</v>
      </c>
      <c r="F308" s="1">
        <f>1764+52+1+111+1+1+4+9</f>
        <v>1943</v>
      </c>
      <c r="G308" s="1">
        <v>2</v>
      </c>
      <c r="H308" s="1">
        <v>0</v>
      </c>
      <c r="I308" s="1">
        <v>0</v>
      </c>
      <c r="J308" s="1"/>
    </row>
    <row r="309" spans="1:10" x14ac:dyDescent="0.25">
      <c r="A309" t="s">
        <v>248</v>
      </c>
      <c r="B309" t="s">
        <v>364</v>
      </c>
      <c r="C309" s="1">
        <v>626</v>
      </c>
      <c r="D309" s="1">
        <v>0</v>
      </c>
      <c r="E309" s="1">
        <v>0</v>
      </c>
      <c r="F309" s="1">
        <v>4841</v>
      </c>
      <c r="G309" s="1">
        <v>0</v>
      </c>
      <c r="H309" s="1">
        <v>0</v>
      </c>
      <c r="I309" s="1">
        <v>0</v>
      </c>
      <c r="J309" s="1"/>
    </row>
    <row r="310" spans="1:10" x14ac:dyDescent="0.25">
      <c r="A310" t="s">
        <v>791</v>
      </c>
      <c r="B310" t="s">
        <v>365</v>
      </c>
      <c r="C310" s="1">
        <f>3700+26+2+88</f>
        <v>3816</v>
      </c>
      <c r="D310" s="1">
        <f>151+46</f>
        <v>197</v>
      </c>
      <c r="E310" s="1">
        <v>0</v>
      </c>
      <c r="F310" s="1">
        <f>5985+6+1+47</f>
        <v>6039</v>
      </c>
      <c r="G310" s="1">
        <v>398</v>
      </c>
      <c r="H310" s="1">
        <v>0</v>
      </c>
      <c r="I310" s="1">
        <v>0</v>
      </c>
      <c r="J310" s="1"/>
    </row>
    <row r="311" spans="1:10" x14ac:dyDescent="0.25">
      <c r="A311" t="s">
        <v>797</v>
      </c>
      <c r="B311" t="s">
        <v>366</v>
      </c>
      <c r="C311" s="1">
        <f>312+7+3</f>
        <v>322</v>
      </c>
      <c r="D311" s="1">
        <v>0</v>
      </c>
      <c r="E311" s="1">
        <v>0</v>
      </c>
      <c r="F311" s="1">
        <f>1273+3+2+34</f>
        <v>1312</v>
      </c>
      <c r="G311" s="1">
        <f>32+4+2</f>
        <v>38</v>
      </c>
      <c r="H311" s="1">
        <v>0</v>
      </c>
      <c r="I311" s="1">
        <v>0</v>
      </c>
      <c r="J311" s="1"/>
    </row>
    <row r="312" spans="1:10" x14ac:dyDescent="0.25">
      <c r="A312" t="s">
        <v>120</v>
      </c>
      <c r="B312" t="s">
        <v>367</v>
      </c>
      <c r="C312" s="1">
        <f>3161+4</f>
        <v>3165</v>
      </c>
      <c r="D312" s="1">
        <v>20</v>
      </c>
      <c r="E312" s="1">
        <v>0</v>
      </c>
      <c r="F312" s="1">
        <f>16821+2+1</f>
        <v>16824</v>
      </c>
      <c r="G312" s="1">
        <f>155+111+11</f>
        <v>277</v>
      </c>
      <c r="H312" s="1">
        <v>0</v>
      </c>
      <c r="I312" s="1">
        <v>0</v>
      </c>
      <c r="J312" s="1"/>
    </row>
    <row r="313" spans="1:10" x14ac:dyDescent="0.25">
      <c r="A313" t="s">
        <v>231</v>
      </c>
      <c r="B313" t="s">
        <v>368</v>
      </c>
      <c r="C313" s="1">
        <f>2520+35+5</f>
        <v>2560</v>
      </c>
      <c r="D313" s="1">
        <v>0</v>
      </c>
      <c r="E313" s="1">
        <v>0</v>
      </c>
      <c r="F313" s="1">
        <f>11677+4+2+130+16+30+1+125</f>
        <v>11985</v>
      </c>
      <c r="G313" s="1">
        <v>1</v>
      </c>
      <c r="H313" s="1">
        <v>0</v>
      </c>
      <c r="I313" s="1">
        <v>0</v>
      </c>
      <c r="J313" s="1"/>
    </row>
    <row r="314" spans="1:10" x14ac:dyDescent="0.25">
      <c r="A314" t="s">
        <v>809</v>
      </c>
      <c r="B314" t="s">
        <v>369</v>
      </c>
      <c r="C314" s="1"/>
      <c r="D314" s="1"/>
      <c r="E314" s="1"/>
      <c r="F314" s="1"/>
      <c r="G314" s="1"/>
      <c r="H314" s="1"/>
      <c r="I314" s="1"/>
      <c r="J314" s="1"/>
    </row>
    <row r="315" spans="1:10" x14ac:dyDescent="0.25">
      <c r="A315" t="s">
        <v>848</v>
      </c>
      <c r="B315" t="s">
        <v>370</v>
      </c>
      <c r="C315" s="1">
        <v>766</v>
      </c>
      <c r="D315" s="1">
        <v>47</v>
      </c>
      <c r="E315" s="1">
        <v>0</v>
      </c>
      <c r="F315" s="1">
        <f>5108+24+103</f>
        <v>5235</v>
      </c>
      <c r="G315" s="1">
        <f>1+6</f>
        <v>7</v>
      </c>
      <c r="H315" s="1">
        <v>0</v>
      </c>
      <c r="I315" s="1">
        <v>0</v>
      </c>
      <c r="J315" s="1"/>
    </row>
    <row r="316" spans="1:10" x14ac:dyDescent="0.25">
      <c r="A316" t="s">
        <v>226</v>
      </c>
      <c r="B316" t="s">
        <v>371</v>
      </c>
      <c r="C316" s="1">
        <f>1158+2+31+2+1</f>
        <v>1194</v>
      </c>
      <c r="D316" s="1">
        <v>2</v>
      </c>
      <c r="E316" s="1">
        <v>0</v>
      </c>
      <c r="F316" s="1">
        <f>9791+1+3+67+661+15+6+1+149</f>
        <v>10694</v>
      </c>
      <c r="G316" s="1">
        <v>15</v>
      </c>
      <c r="H316" s="1">
        <v>0</v>
      </c>
      <c r="I316" s="1">
        <v>0</v>
      </c>
      <c r="J316" s="1"/>
    </row>
    <row r="317" spans="1:10" x14ac:dyDescent="0.25">
      <c r="A317" t="s">
        <v>797</v>
      </c>
      <c r="B317" t="s">
        <v>372</v>
      </c>
      <c r="C317" s="1">
        <f>528+5+34+1+21</f>
        <v>589</v>
      </c>
      <c r="D317" s="1">
        <v>10</v>
      </c>
      <c r="E317" s="1">
        <v>0</v>
      </c>
      <c r="F317" s="1">
        <f>4714+8+8+2+140</f>
        <v>4872</v>
      </c>
      <c r="G317" s="1">
        <v>138</v>
      </c>
      <c r="H317" s="1">
        <v>0</v>
      </c>
      <c r="I317" s="1">
        <v>0</v>
      </c>
      <c r="J317" s="1"/>
    </row>
    <row r="318" spans="1:10" x14ac:dyDescent="0.25">
      <c r="A318" t="s">
        <v>791</v>
      </c>
      <c r="B318" t="s">
        <v>373</v>
      </c>
      <c r="C318" s="1">
        <f>1660+72+4+3</f>
        <v>1739</v>
      </c>
      <c r="D318" s="1">
        <v>0</v>
      </c>
      <c r="E318" s="1">
        <v>0</v>
      </c>
      <c r="F318" s="1">
        <f>6277+1+210+747</f>
        <v>7235</v>
      </c>
      <c r="G318" s="1">
        <f>4+2</f>
        <v>6</v>
      </c>
      <c r="H318" s="1">
        <v>0</v>
      </c>
      <c r="I318" s="1">
        <v>0</v>
      </c>
      <c r="J318" s="1"/>
    </row>
    <row r="319" spans="1:10" x14ac:dyDescent="0.25">
      <c r="A319" t="s">
        <v>826</v>
      </c>
      <c r="B319" t="s">
        <v>374</v>
      </c>
      <c r="C319" s="1">
        <f>1449+165</f>
        <v>1614</v>
      </c>
      <c r="D319" s="1">
        <v>8</v>
      </c>
      <c r="E319" s="1">
        <v>0</v>
      </c>
      <c r="F319" s="1">
        <f>7313+815+4</f>
        <v>8132</v>
      </c>
      <c r="G319" s="1">
        <f>11+57</f>
        <v>68</v>
      </c>
      <c r="H319" s="1">
        <v>0</v>
      </c>
      <c r="I319" s="1">
        <v>0</v>
      </c>
      <c r="J319" s="1"/>
    </row>
    <row r="320" spans="1:10" x14ac:dyDescent="0.25">
      <c r="A320" t="s">
        <v>512</v>
      </c>
      <c r="B320" t="s">
        <v>375</v>
      </c>
      <c r="C320" s="1">
        <v>583</v>
      </c>
      <c r="D320" s="1">
        <v>0</v>
      </c>
      <c r="E320" s="1">
        <v>0</v>
      </c>
      <c r="F320" s="1">
        <f>5660+1</f>
        <v>5661</v>
      </c>
      <c r="G320" s="1">
        <v>53</v>
      </c>
      <c r="H320" s="1">
        <v>0</v>
      </c>
      <c r="I320" s="1">
        <v>0</v>
      </c>
      <c r="J320" s="1"/>
    </row>
    <row r="321" spans="1:10" x14ac:dyDescent="0.25">
      <c r="A321" t="s">
        <v>817</v>
      </c>
      <c r="B321" t="s">
        <v>376</v>
      </c>
      <c r="C321" s="1">
        <f>1455+22</f>
        <v>1477</v>
      </c>
      <c r="D321" s="1">
        <v>15</v>
      </c>
      <c r="E321" s="1">
        <v>0</v>
      </c>
      <c r="F321" s="1">
        <f>1501+5+3</f>
        <v>1509</v>
      </c>
      <c r="G321" s="1">
        <v>0</v>
      </c>
      <c r="H321" s="1">
        <v>0</v>
      </c>
      <c r="I321" s="1">
        <v>0</v>
      </c>
      <c r="J321" s="1"/>
    </row>
    <row r="322" spans="1:10" x14ac:dyDescent="0.25">
      <c r="A322" t="s">
        <v>83</v>
      </c>
      <c r="B322" t="s">
        <v>377</v>
      </c>
      <c r="C322" s="1"/>
      <c r="D322" s="1"/>
      <c r="E322" s="1"/>
      <c r="F322" s="1"/>
      <c r="G322" s="1"/>
      <c r="H322" s="1"/>
      <c r="I322" s="1"/>
      <c r="J322" s="1"/>
    </row>
    <row r="323" spans="1:10" x14ac:dyDescent="0.25">
      <c r="A323" t="s">
        <v>795</v>
      </c>
      <c r="B323" t="s">
        <v>378</v>
      </c>
      <c r="C323" s="1">
        <v>1583</v>
      </c>
      <c r="D323" s="1">
        <v>0</v>
      </c>
      <c r="E323" s="1">
        <v>0</v>
      </c>
      <c r="F323" s="1">
        <f>5876+1+1+2+1</f>
        <v>5881</v>
      </c>
      <c r="G323" s="1">
        <f>1+4</f>
        <v>5</v>
      </c>
      <c r="H323" s="1">
        <v>0</v>
      </c>
      <c r="I323" s="1">
        <v>0</v>
      </c>
      <c r="J323" s="1"/>
    </row>
    <row r="324" spans="1:10" x14ac:dyDescent="0.25">
      <c r="A324" t="s">
        <v>858</v>
      </c>
      <c r="B324" t="s">
        <v>379</v>
      </c>
      <c r="C324" s="1"/>
      <c r="D324" s="1"/>
      <c r="E324" s="1"/>
      <c r="F324" s="1"/>
      <c r="G324" s="1"/>
      <c r="H324" s="1"/>
      <c r="I324" s="1"/>
      <c r="J324" s="1"/>
    </row>
    <row r="325" spans="1:10" x14ac:dyDescent="0.25">
      <c r="A325" t="s">
        <v>848</v>
      </c>
      <c r="B325" t="s">
        <v>380</v>
      </c>
      <c r="C325" s="1">
        <v>709</v>
      </c>
      <c r="D325" s="1">
        <v>0</v>
      </c>
      <c r="E325" s="1">
        <v>0</v>
      </c>
      <c r="F325" s="1">
        <f>4504+47</f>
        <v>4551</v>
      </c>
      <c r="G325" s="1">
        <v>0</v>
      </c>
      <c r="H325" s="1">
        <v>0</v>
      </c>
      <c r="I325" s="1">
        <v>0</v>
      </c>
      <c r="J325" s="1"/>
    </row>
    <row r="326" spans="1:10" x14ac:dyDescent="0.25">
      <c r="A326" t="s">
        <v>863</v>
      </c>
      <c r="B326" t="s">
        <v>381</v>
      </c>
      <c r="C326" s="1"/>
      <c r="D326" s="1"/>
      <c r="E326" s="1"/>
      <c r="F326" s="1"/>
      <c r="G326" s="1"/>
      <c r="H326" s="1"/>
      <c r="I326" s="1"/>
      <c r="J326" s="1"/>
    </row>
    <row r="327" spans="1:10" x14ac:dyDescent="0.25">
      <c r="A327" t="s">
        <v>854</v>
      </c>
      <c r="B327" t="s">
        <v>382</v>
      </c>
      <c r="C327" s="1"/>
      <c r="D327" s="1"/>
      <c r="E327" s="1"/>
      <c r="F327" s="1"/>
      <c r="G327" s="1"/>
      <c r="H327" s="1"/>
      <c r="I327" s="1"/>
      <c r="J327" s="1"/>
    </row>
    <row r="328" spans="1:10" x14ac:dyDescent="0.25">
      <c r="A328" t="s">
        <v>853</v>
      </c>
      <c r="B328" t="s">
        <v>383</v>
      </c>
      <c r="C328" s="1"/>
      <c r="D328" s="1"/>
      <c r="E328" s="1"/>
      <c r="F328" s="1"/>
      <c r="G328" s="1"/>
      <c r="H328" s="1"/>
      <c r="I328" s="1"/>
      <c r="J328" s="1"/>
    </row>
    <row r="329" spans="1:10" x14ac:dyDescent="0.25">
      <c r="A329" t="s">
        <v>851</v>
      </c>
      <c r="B329" t="s">
        <v>384</v>
      </c>
      <c r="C329" s="1"/>
      <c r="D329" s="1"/>
      <c r="E329" s="1"/>
      <c r="F329" s="1"/>
      <c r="G329" s="1"/>
      <c r="H329" s="1"/>
      <c r="I329" s="1"/>
      <c r="J329" s="1"/>
    </row>
    <row r="330" spans="1:10" x14ac:dyDescent="0.25">
      <c r="A330" t="s">
        <v>856</v>
      </c>
      <c r="B330" t="s">
        <v>385</v>
      </c>
      <c r="C330" s="1"/>
      <c r="D330" s="1"/>
      <c r="E330" s="1"/>
      <c r="F330" s="1"/>
      <c r="G330" s="1"/>
      <c r="H330" s="1"/>
      <c r="I330" s="1"/>
      <c r="J330" s="1"/>
    </row>
    <row r="331" spans="1:10" x14ac:dyDescent="0.25">
      <c r="A331" t="s">
        <v>847</v>
      </c>
      <c r="B331" t="s">
        <v>386</v>
      </c>
      <c r="C331" s="1"/>
      <c r="D331" s="1"/>
      <c r="E331" s="1"/>
      <c r="F331" s="1"/>
      <c r="G331" s="1"/>
      <c r="H331" s="1"/>
      <c r="I331" s="1"/>
      <c r="J331" s="1"/>
    </row>
    <row r="332" spans="1:10" x14ac:dyDescent="0.25">
      <c r="A332" t="s">
        <v>849</v>
      </c>
      <c r="B332" t="s">
        <v>387</v>
      </c>
      <c r="C332" s="1"/>
      <c r="D332" s="1"/>
      <c r="E332" s="1"/>
      <c r="F332" s="1"/>
      <c r="G332" s="1"/>
      <c r="H332" s="1"/>
      <c r="I332" s="1"/>
      <c r="J332" s="1"/>
    </row>
    <row r="333" spans="1:10" x14ac:dyDescent="0.25">
      <c r="A333" s="9" t="s">
        <v>794</v>
      </c>
      <c r="B333" s="10" t="s">
        <v>388</v>
      </c>
      <c r="C333" s="1"/>
      <c r="D333" s="1"/>
      <c r="E333" s="1"/>
      <c r="F333" s="1"/>
      <c r="G333" s="1"/>
      <c r="H333" s="1"/>
      <c r="I333" s="1"/>
      <c r="J333" s="1"/>
    </row>
    <row r="334" spans="1:10" x14ac:dyDescent="0.25">
      <c r="A334" s="9" t="s">
        <v>805</v>
      </c>
      <c r="B334" s="10" t="s">
        <v>389</v>
      </c>
      <c r="C334" s="1"/>
      <c r="D334" s="1"/>
      <c r="E334" s="1"/>
      <c r="F334" s="1"/>
      <c r="G334" s="1"/>
      <c r="H334" s="1"/>
      <c r="I334" s="1"/>
      <c r="J334" s="1"/>
    </row>
    <row r="335" spans="1:10" x14ac:dyDescent="0.25">
      <c r="A335" t="s">
        <v>10</v>
      </c>
      <c r="B335" s="1" t="s">
        <v>390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/>
    </row>
    <row r="336" spans="1:10" x14ac:dyDescent="0.25">
      <c r="A336" t="s">
        <v>226</v>
      </c>
      <c r="B336" t="s">
        <v>391</v>
      </c>
      <c r="C336" s="1"/>
      <c r="D336" s="1"/>
      <c r="E336" s="1"/>
      <c r="F336" s="1"/>
      <c r="G336" s="1"/>
      <c r="H336" s="1"/>
      <c r="I336" s="1"/>
      <c r="J336" s="1"/>
    </row>
    <row r="337" spans="1:10" x14ac:dyDescent="0.25">
      <c r="A337" t="s">
        <v>798</v>
      </c>
      <c r="B337" t="s">
        <v>392</v>
      </c>
      <c r="C337" s="1"/>
      <c r="D337" s="1"/>
      <c r="E337" s="1"/>
      <c r="F337" s="1"/>
      <c r="G337" s="1"/>
      <c r="H337" s="1"/>
      <c r="I337" s="1"/>
      <c r="J337" s="1"/>
    </row>
    <row r="338" spans="1:10" x14ac:dyDescent="0.25">
      <c r="A338" t="s">
        <v>10</v>
      </c>
      <c r="B338" s="1" t="s">
        <v>393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/>
    </row>
    <row r="339" spans="1:10" x14ac:dyDescent="0.25">
      <c r="A339" t="s">
        <v>10</v>
      </c>
      <c r="B339" s="1" t="s">
        <v>394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/>
    </row>
    <row r="340" spans="1:10" x14ac:dyDescent="0.25">
      <c r="A340" s="27" t="s">
        <v>10</v>
      </c>
      <c r="B340" s="32" t="s">
        <v>778</v>
      </c>
      <c r="C340" s="1"/>
      <c r="D340" s="1"/>
      <c r="E340" s="1"/>
      <c r="F340" s="1"/>
      <c r="G340" s="1"/>
      <c r="H340" s="1"/>
      <c r="I340" s="1"/>
      <c r="J340" s="1"/>
    </row>
    <row r="341" spans="1:10" x14ac:dyDescent="0.25">
      <c r="A341" t="s">
        <v>69</v>
      </c>
      <c r="B341" t="s">
        <v>395</v>
      </c>
      <c r="C341" s="1"/>
      <c r="D341" s="1"/>
      <c r="E341" s="1"/>
      <c r="F341" s="1"/>
      <c r="G341" s="1"/>
      <c r="H341" s="1"/>
      <c r="I341" s="1"/>
      <c r="J341" s="1"/>
    </row>
    <row r="342" spans="1:10" x14ac:dyDescent="0.25">
      <c r="A342" t="s">
        <v>796</v>
      </c>
      <c r="B342" s="1" t="s">
        <v>396</v>
      </c>
      <c r="C342" s="1"/>
      <c r="D342" s="1"/>
      <c r="E342" s="1"/>
      <c r="F342" s="1"/>
      <c r="G342" s="1"/>
      <c r="H342" s="1"/>
      <c r="I342" s="1"/>
      <c r="J342" s="1"/>
    </row>
    <row r="343" spans="1:10" x14ac:dyDescent="0.25">
      <c r="A343" t="s">
        <v>512</v>
      </c>
      <c r="B343" t="s">
        <v>397</v>
      </c>
      <c r="C343" s="1"/>
      <c r="D343" s="1"/>
      <c r="E343" s="1"/>
      <c r="F343" s="1"/>
      <c r="G343" s="1"/>
      <c r="H343" s="1"/>
      <c r="I343" s="1"/>
      <c r="J343" s="1"/>
    </row>
    <row r="344" spans="1:10" x14ac:dyDescent="0.25">
      <c r="A344" t="s">
        <v>805</v>
      </c>
      <c r="B344" t="s">
        <v>398</v>
      </c>
      <c r="C344" s="1"/>
      <c r="D344" s="1"/>
      <c r="E344" s="1"/>
      <c r="F344" s="1"/>
      <c r="G344" s="1"/>
      <c r="H344" s="1"/>
      <c r="I344" s="1"/>
      <c r="J344" s="1"/>
    </row>
    <row r="345" spans="1:10" x14ac:dyDescent="0.25">
      <c r="A345" t="s">
        <v>10</v>
      </c>
      <c r="B345" s="1" t="s">
        <v>399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/>
    </row>
    <row r="346" spans="1:10" x14ac:dyDescent="0.25">
      <c r="A346" t="s">
        <v>805</v>
      </c>
      <c r="B346" t="s">
        <v>400</v>
      </c>
      <c r="C346" s="1"/>
      <c r="D346" s="1"/>
      <c r="E346" s="1"/>
      <c r="F346" s="1"/>
      <c r="G346" s="1"/>
      <c r="H346" s="1"/>
      <c r="I346" s="1"/>
      <c r="J346" s="1"/>
    </row>
    <row r="347" spans="1:10" x14ac:dyDescent="0.25">
      <c r="A347" t="s">
        <v>10</v>
      </c>
      <c r="B347" s="1" t="s">
        <v>401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/>
    </row>
    <row r="348" spans="1:10" x14ac:dyDescent="0.25">
      <c r="A348" s="23" t="s">
        <v>805</v>
      </c>
      <c r="B348" s="23" t="s">
        <v>402</v>
      </c>
      <c r="C348" s="1"/>
      <c r="D348" s="1"/>
      <c r="E348" s="1"/>
      <c r="F348" s="1"/>
      <c r="G348" s="1"/>
      <c r="H348" s="1"/>
      <c r="I348" s="1"/>
      <c r="J348" s="1"/>
    </row>
    <row r="349" spans="1:10" x14ac:dyDescent="0.25">
      <c r="A349" t="s">
        <v>10</v>
      </c>
      <c r="B349" s="1" t="s">
        <v>403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/>
    </row>
    <row r="350" spans="1:10" x14ac:dyDescent="0.25">
      <c r="A350" t="s">
        <v>797</v>
      </c>
      <c r="B350" t="s">
        <v>404</v>
      </c>
      <c r="C350" s="1">
        <f>258+1+173</f>
        <v>432</v>
      </c>
      <c r="D350" s="1">
        <v>2</v>
      </c>
      <c r="E350" s="1">
        <v>0</v>
      </c>
      <c r="F350" s="1">
        <v>0</v>
      </c>
      <c r="G350" s="1">
        <v>0</v>
      </c>
      <c r="H350" s="1">
        <v>618</v>
      </c>
      <c r="I350" s="1">
        <v>177</v>
      </c>
      <c r="J350" s="1"/>
    </row>
    <row r="351" spans="1:10" x14ac:dyDescent="0.25">
      <c r="A351" t="s">
        <v>83</v>
      </c>
      <c r="B351" t="s">
        <v>405</v>
      </c>
      <c r="C351" s="1"/>
      <c r="D351" s="1"/>
      <c r="E351" s="1"/>
      <c r="F351" s="1"/>
      <c r="G351" s="1"/>
      <c r="H351" s="1"/>
      <c r="I351" s="1"/>
      <c r="J351" s="1"/>
    </row>
    <row r="352" spans="1:10" x14ac:dyDescent="0.25">
      <c r="A352" t="s">
        <v>248</v>
      </c>
      <c r="B352" t="s">
        <v>406</v>
      </c>
      <c r="C352" s="1">
        <f>24856+10+77+124+8+7+1+81+8239</f>
        <v>33403</v>
      </c>
      <c r="D352" s="1">
        <f>581+77+3+91+27</f>
        <v>779</v>
      </c>
      <c r="E352" s="1">
        <v>0</v>
      </c>
      <c r="F352" s="1">
        <v>0</v>
      </c>
      <c r="G352" s="1">
        <v>0</v>
      </c>
      <c r="H352" s="1">
        <v>69963</v>
      </c>
      <c r="I352" s="1">
        <v>5539</v>
      </c>
      <c r="J352" s="1"/>
    </row>
    <row r="353" spans="1:10" x14ac:dyDescent="0.25">
      <c r="A353" s="27" t="s">
        <v>10</v>
      </c>
      <c r="B353" s="32" t="s">
        <v>779</v>
      </c>
      <c r="C353" s="1"/>
      <c r="D353" s="1"/>
      <c r="E353" s="1"/>
      <c r="F353" s="1"/>
      <c r="G353" s="1"/>
      <c r="H353" s="1"/>
      <c r="I353" s="1"/>
      <c r="J353" s="1"/>
    </row>
    <row r="354" spans="1:10" x14ac:dyDescent="0.25">
      <c r="A354" t="s">
        <v>848</v>
      </c>
      <c r="B354" t="s">
        <v>407</v>
      </c>
      <c r="C354" s="1">
        <f>10996+4+8+1561+6</f>
        <v>12575</v>
      </c>
      <c r="D354" s="1">
        <f>50+17</f>
        <v>67</v>
      </c>
      <c r="E354" s="1">
        <v>0</v>
      </c>
      <c r="F354" s="1">
        <v>0</v>
      </c>
      <c r="G354" s="1">
        <v>0</v>
      </c>
      <c r="H354" s="1">
        <v>1998</v>
      </c>
      <c r="I354" s="1">
        <v>1540</v>
      </c>
      <c r="J354" s="1"/>
    </row>
    <row r="355" spans="1:10" x14ac:dyDescent="0.25">
      <c r="A355" t="s">
        <v>801</v>
      </c>
      <c r="B355" t="s">
        <v>408</v>
      </c>
      <c r="C355" s="1"/>
      <c r="D355" s="1"/>
      <c r="E355" s="1"/>
      <c r="F355" s="1"/>
      <c r="G355" s="1"/>
      <c r="H355" s="1"/>
      <c r="I355" s="1"/>
      <c r="J355" s="1"/>
    </row>
    <row r="356" spans="1:10" x14ac:dyDescent="0.25">
      <c r="A356" t="s">
        <v>811</v>
      </c>
      <c r="B356" t="s">
        <v>409</v>
      </c>
      <c r="C356" s="1">
        <f>38861+5+381+19+25993+2</f>
        <v>65261</v>
      </c>
      <c r="D356" s="1">
        <f>83+76+50+69</f>
        <v>278</v>
      </c>
      <c r="E356" s="1">
        <v>0</v>
      </c>
      <c r="F356" s="1">
        <v>0</v>
      </c>
      <c r="G356" s="1">
        <v>0</v>
      </c>
      <c r="H356" s="1">
        <v>38972</v>
      </c>
      <c r="I356" s="1">
        <v>22705</v>
      </c>
      <c r="J356" s="1"/>
    </row>
    <row r="357" spans="1:10" x14ac:dyDescent="0.25">
      <c r="A357" t="s">
        <v>83</v>
      </c>
      <c r="B357" t="s">
        <v>410</v>
      </c>
      <c r="C357" s="1"/>
      <c r="D357" s="1"/>
      <c r="E357" s="1"/>
      <c r="F357" s="1"/>
      <c r="G357" s="1"/>
      <c r="H357" s="1"/>
      <c r="I357" s="1"/>
      <c r="J357" s="1"/>
    </row>
    <row r="358" spans="1:10" x14ac:dyDescent="0.25">
      <c r="A358" t="s">
        <v>120</v>
      </c>
      <c r="B358" t="s">
        <v>411</v>
      </c>
      <c r="C358" s="1">
        <f>24221+11+16833</f>
        <v>41065</v>
      </c>
      <c r="D358" s="1">
        <f>3+17+2</f>
        <v>22</v>
      </c>
      <c r="E358" s="1">
        <v>0</v>
      </c>
      <c r="F358" s="1">
        <v>0</v>
      </c>
      <c r="G358" s="1">
        <v>0</v>
      </c>
      <c r="H358" s="1">
        <v>14101</v>
      </c>
      <c r="I358" s="1">
        <v>13582</v>
      </c>
      <c r="J358" s="1"/>
    </row>
    <row r="359" spans="1:10" x14ac:dyDescent="0.25">
      <c r="A359" t="s">
        <v>134</v>
      </c>
      <c r="B359" t="s">
        <v>412</v>
      </c>
      <c r="C359" s="1">
        <f>4509+1630+1</f>
        <v>6140</v>
      </c>
      <c r="D359" s="1">
        <f>12+8</f>
        <v>20</v>
      </c>
      <c r="E359" s="1">
        <v>0</v>
      </c>
      <c r="F359" s="1">
        <v>0</v>
      </c>
      <c r="G359" s="1">
        <v>0</v>
      </c>
      <c r="H359" s="1">
        <v>5047</v>
      </c>
      <c r="I359" s="1">
        <v>1290</v>
      </c>
      <c r="J359" s="1"/>
    </row>
    <row r="360" spans="1:10" x14ac:dyDescent="0.25">
      <c r="A360" t="s">
        <v>120</v>
      </c>
      <c r="B360" t="s">
        <v>413</v>
      </c>
      <c r="C360" s="1">
        <f>14088+2+3719</f>
        <v>17809</v>
      </c>
      <c r="D360" s="1">
        <f>4+5+1+3</f>
        <v>13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/>
    </row>
    <row r="361" spans="1:10" x14ac:dyDescent="0.25">
      <c r="A361" t="s">
        <v>138</v>
      </c>
      <c r="B361" t="s">
        <v>414</v>
      </c>
      <c r="C361" s="1"/>
      <c r="D361" s="1"/>
      <c r="E361" s="1"/>
      <c r="F361" s="1"/>
      <c r="G361" s="1"/>
      <c r="H361" s="1"/>
      <c r="I361" s="1"/>
      <c r="J361" s="1"/>
    </row>
    <row r="362" spans="1:10" x14ac:dyDescent="0.25">
      <c r="A362" t="s">
        <v>796</v>
      </c>
      <c r="B362" t="s">
        <v>415</v>
      </c>
      <c r="C362" s="1"/>
      <c r="D362" s="1"/>
      <c r="E362" s="1"/>
      <c r="F362" s="1"/>
      <c r="G362" s="1"/>
      <c r="H362" s="1"/>
      <c r="I362" s="1"/>
      <c r="J362" s="1"/>
    </row>
    <row r="363" spans="1:10" x14ac:dyDescent="0.25">
      <c r="A363" t="s">
        <v>226</v>
      </c>
      <c r="B363" t="s">
        <v>416</v>
      </c>
      <c r="C363" s="1">
        <f>5327+4+10+5+15+1582+1</f>
        <v>6944</v>
      </c>
      <c r="D363" s="1">
        <f>3+1</f>
        <v>4</v>
      </c>
      <c r="E363" s="1">
        <v>0</v>
      </c>
      <c r="F363" s="1">
        <v>0</v>
      </c>
      <c r="G363" s="1">
        <v>0</v>
      </c>
      <c r="H363" s="1">
        <v>34223</v>
      </c>
      <c r="I363" s="1">
        <v>1477</v>
      </c>
      <c r="J363" s="1"/>
    </row>
    <row r="364" spans="1:10" x14ac:dyDescent="0.25">
      <c r="A364" t="s">
        <v>138</v>
      </c>
      <c r="B364" t="s">
        <v>417</v>
      </c>
      <c r="C364" s="1"/>
      <c r="D364" s="1"/>
      <c r="E364" s="1"/>
      <c r="F364" s="1"/>
      <c r="G364" s="1"/>
      <c r="H364" s="1"/>
      <c r="I364" s="1"/>
      <c r="J364" s="1"/>
    </row>
    <row r="365" spans="1:10" x14ac:dyDescent="0.25">
      <c r="A365" t="s">
        <v>138</v>
      </c>
      <c r="B365" t="s">
        <v>418</v>
      </c>
      <c r="C365" s="1"/>
      <c r="D365" s="1"/>
      <c r="E365" s="1"/>
      <c r="F365" s="1"/>
      <c r="G365" s="1"/>
      <c r="H365" s="1"/>
      <c r="I365" s="1"/>
      <c r="J365" s="1"/>
    </row>
    <row r="366" spans="1:10" x14ac:dyDescent="0.25">
      <c r="A366" t="s">
        <v>796</v>
      </c>
      <c r="B366" t="s">
        <v>419</v>
      </c>
      <c r="C366" s="1"/>
      <c r="D366" s="1"/>
      <c r="E366" s="1"/>
      <c r="F366" s="1"/>
      <c r="G366" s="1"/>
      <c r="H366" s="1"/>
      <c r="I366" s="1"/>
      <c r="J366" s="1"/>
    </row>
    <row r="367" spans="1:10" x14ac:dyDescent="0.25">
      <c r="A367" t="s">
        <v>831</v>
      </c>
      <c r="B367" t="s">
        <v>420</v>
      </c>
      <c r="C367" s="1">
        <f>7147+2+26+12+2+5+10040+62+1+10+3739+1+1</f>
        <v>21048</v>
      </c>
      <c r="D367" s="1">
        <f>1+19+2+24</f>
        <v>46</v>
      </c>
      <c r="E367" s="1">
        <v>0</v>
      </c>
      <c r="F367" s="1">
        <v>0</v>
      </c>
      <c r="G367" s="1">
        <v>0</v>
      </c>
      <c r="H367" s="1">
        <v>23647</v>
      </c>
      <c r="I367" s="1">
        <v>11454</v>
      </c>
      <c r="J367" s="1"/>
    </row>
    <row r="368" spans="1:10" x14ac:dyDescent="0.25">
      <c r="A368" t="s">
        <v>69</v>
      </c>
      <c r="B368" t="s">
        <v>421</v>
      </c>
      <c r="C368" s="1"/>
      <c r="D368" s="1"/>
      <c r="E368" s="1"/>
      <c r="F368" s="1"/>
      <c r="G368" s="1"/>
      <c r="H368" s="1"/>
      <c r="I368" s="1"/>
      <c r="J368" s="1"/>
    </row>
    <row r="369" spans="1:10" x14ac:dyDescent="0.25">
      <c r="A369" t="s">
        <v>146</v>
      </c>
      <c r="B369" t="s">
        <v>422</v>
      </c>
      <c r="C369" s="1">
        <f>3359+43+346+15298</f>
        <v>19046</v>
      </c>
      <c r="D369" s="1">
        <f>4+72+17+239</f>
        <v>332</v>
      </c>
      <c r="E369" s="1">
        <v>0</v>
      </c>
      <c r="F369" s="1">
        <v>0</v>
      </c>
      <c r="G369" s="1">
        <v>0</v>
      </c>
      <c r="H369" s="1">
        <v>20953</v>
      </c>
      <c r="I369" s="1">
        <v>10965</v>
      </c>
      <c r="J369" s="1"/>
    </row>
    <row r="370" spans="1:10" x14ac:dyDescent="0.25">
      <c r="A370" t="s">
        <v>146</v>
      </c>
      <c r="B370" t="s">
        <v>423</v>
      </c>
      <c r="C370" s="1">
        <f>5170+171+4946</f>
        <v>10287</v>
      </c>
      <c r="D370" s="1">
        <f>19+4</f>
        <v>23</v>
      </c>
      <c r="E370" s="1">
        <v>0</v>
      </c>
      <c r="F370" s="1">
        <v>0</v>
      </c>
      <c r="G370" s="1">
        <v>0</v>
      </c>
      <c r="H370" s="1">
        <v>5025</v>
      </c>
      <c r="I370" s="1">
        <v>3894</v>
      </c>
      <c r="J370" s="1"/>
    </row>
    <row r="371" spans="1:10" x14ac:dyDescent="0.25">
      <c r="A371" t="s">
        <v>76</v>
      </c>
      <c r="B371" t="s">
        <v>424</v>
      </c>
      <c r="C371" s="1"/>
      <c r="D371" s="1"/>
      <c r="E371" s="1"/>
      <c r="F371" s="1"/>
      <c r="G371" s="1"/>
      <c r="H371" s="1"/>
      <c r="I371" s="1"/>
      <c r="J371" s="1"/>
    </row>
    <row r="372" spans="1:10" x14ac:dyDescent="0.25">
      <c r="A372" t="s">
        <v>795</v>
      </c>
      <c r="B372" t="s">
        <v>425</v>
      </c>
      <c r="C372" s="1">
        <f>85158+1+1+3+26892+370+2</f>
        <v>112427</v>
      </c>
      <c r="D372" s="1">
        <f>9+26+15+7</f>
        <v>57</v>
      </c>
      <c r="E372" s="1">
        <v>0</v>
      </c>
      <c r="F372" s="1">
        <v>0</v>
      </c>
      <c r="G372" s="1">
        <v>0</v>
      </c>
      <c r="H372" s="1">
        <v>67203</v>
      </c>
      <c r="I372" s="1">
        <v>25245</v>
      </c>
      <c r="J372" s="1"/>
    </row>
    <row r="373" spans="1:10" x14ac:dyDescent="0.25">
      <c r="A373" t="s">
        <v>824</v>
      </c>
      <c r="B373" t="s">
        <v>426</v>
      </c>
      <c r="C373" s="1">
        <f>15804+1+78+4+12676</f>
        <v>28563</v>
      </c>
      <c r="D373" s="1">
        <f>73+30</f>
        <v>103</v>
      </c>
      <c r="E373" s="1">
        <v>0</v>
      </c>
      <c r="F373" s="1">
        <v>0</v>
      </c>
      <c r="G373" s="1">
        <v>0</v>
      </c>
      <c r="H373" s="1">
        <v>18668</v>
      </c>
      <c r="I373" s="1">
        <v>11273</v>
      </c>
      <c r="J373" s="1"/>
    </row>
    <row r="374" spans="1:10" x14ac:dyDescent="0.25">
      <c r="A374" t="s">
        <v>788</v>
      </c>
      <c r="B374" t="s">
        <v>427</v>
      </c>
      <c r="C374" s="1">
        <f>41197+20+22796</f>
        <v>64013</v>
      </c>
      <c r="D374" s="1">
        <f>39+69+2</f>
        <v>110</v>
      </c>
      <c r="E374" s="1">
        <v>0</v>
      </c>
      <c r="F374" s="1">
        <v>0</v>
      </c>
      <c r="G374" s="1">
        <v>0</v>
      </c>
      <c r="H374" s="1">
        <v>75217</v>
      </c>
      <c r="I374" s="1">
        <v>22242</v>
      </c>
      <c r="J374" s="1"/>
    </row>
    <row r="375" spans="1:10" x14ac:dyDescent="0.25">
      <c r="A375" t="s">
        <v>226</v>
      </c>
      <c r="B375" t="s">
        <v>428</v>
      </c>
      <c r="C375" s="1">
        <f>7156+20+10+4468+7</f>
        <v>11661</v>
      </c>
      <c r="D375" s="1">
        <v>5</v>
      </c>
      <c r="E375" s="1">
        <v>0</v>
      </c>
      <c r="F375" s="1">
        <v>0</v>
      </c>
      <c r="G375" s="1">
        <v>0</v>
      </c>
      <c r="H375" s="1">
        <v>10965</v>
      </c>
      <c r="I375" s="1">
        <v>2846</v>
      </c>
      <c r="J375" s="1"/>
    </row>
    <row r="376" spans="1:10" x14ac:dyDescent="0.25">
      <c r="A376" t="s">
        <v>791</v>
      </c>
      <c r="B376" t="s">
        <v>429</v>
      </c>
      <c r="C376" s="1">
        <f>1641+2+2+73+1452</f>
        <v>3170</v>
      </c>
      <c r="D376" s="1">
        <v>17</v>
      </c>
      <c r="E376" s="1">
        <v>0</v>
      </c>
      <c r="F376" s="1">
        <v>0</v>
      </c>
      <c r="G376" s="1">
        <v>0</v>
      </c>
      <c r="H376" s="1">
        <v>156</v>
      </c>
      <c r="I376" s="1">
        <v>947</v>
      </c>
      <c r="J376" s="1"/>
    </row>
    <row r="377" spans="1:10" x14ac:dyDescent="0.25">
      <c r="A377" t="s">
        <v>788</v>
      </c>
      <c r="B377" t="s">
        <v>430</v>
      </c>
      <c r="C377" s="1">
        <f>10818+12052</f>
        <v>22870</v>
      </c>
      <c r="D377" s="1">
        <v>0</v>
      </c>
      <c r="E377" s="1">
        <v>0</v>
      </c>
      <c r="F377" s="1">
        <v>0</v>
      </c>
      <c r="G377" s="1">
        <v>0</v>
      </c>
      <c r="H377" s="1">
        <v>8477</v>
      </c>
      <c r="I377" s="1">
        <v>4330</v>
      </c>
      <c r="J377" s="1"/>
    </row>
    <row r="378" spans="1:10" x14ac:dyDescent="0.25">
      <c r="A378" t="s">
        <v>10</v>
      </c>
      <c r="B378" s="1" t="s">
        <v>431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/>
    </row>
    <row r="379" spans="1:10" x14ac:dyDescent="0.25">
      <c r="A379" t="s">
        <v>69</v>
      </c>
      <c r="B379" t="s">
        <v>432</v>
      </c>
      <c r="C379" s="1"/>
      <c r="D379" s="1"/>
      <c r="E379" s="1"/>
      <c r="F379" s="1"/>
      <c r="G379" s="1"/>
      <c r="H379" s="1"/>
      <c r="I379" s="1"/>
      <c r="J379" s="1"/>
    </row>
    <row r="380" spans="1:10" x14ac:dyDescent="0.25">
      <c r="A380" t="s">
        <v>226</v>
      </c>
      <c r="B380" t="s">
        <v>433</v>
      </c>
      <c r="C380" s="1">
        <f>21108+91+17+1+1+9302+8</f>
        <v>30528</v>
      </c>
      <c r="D380" s="1">
        <f>15+86</f>
        <v>101</v>
      </c>
      <c r="E380" s="1">
        <v>0</v>
      </c>
      <c r="F380" s="1">
        <v>0</v>
      </c>
      <c r="G380" s="1">
        <v>0</v>
      </c>
      <c r="H380" s="1">
        <v>9808</v>
      </c>
      <c r="I380" s="1">
        <v>7766</v>
      </c>
      <c r="J380" s="1"/>
    </row>
    <row r="381" spans="1:10" x14ac:dyDescent="0.25">
      <c r="A381" t="s">
        <v>864</v>
      </c>
      <c r="B381" t="s">
        <v>434</v>
      </c>
      <c r="C381" s="1">
        <f>7147+7694</f>
        <v>14841</v>
      </c>
      <c r="D381" s="1">
        <f>2+1+54</f>
        <v>57</v>
      </c>
      <c r="E381" s="1">
        <v>0</v>
      </c>
      <c r="F381" s="1">
        <v>0</v>
      </c>
      <c r="G381" s="1">
        <v>0</v>
      </c>
      <c r="H381" s="1">
        <v>10134</v>
      </c>
      <c r="I381" s="1">
        <v>6706</v>
      </c>
      <c r="J381" s="1"/>
    </row>
    <row r="382" spans="1:10" x14ac:dyDescent="0.25">
      <c r="A382" t="s">
        <v>809</v>
      </c>
      <c r="B382" t="s">
        <v>435</v>
      </c>
      <c r="C382" s="1"/>
      <c r="D382" s="1"/>
      <c r="E382" s="1"/>
      <c r="F382" s="1"/>
      <c r="G382" s="1"/>
      <c r="H382" s="1"/>
      <c r="I382" s="1"/>
      <c r="J382" s="1"/>
    </row>
    <row r="383" spans="1:10" x14ac:dyDescent="0.25">
      <c r="A383" t="s">
        <v>138</v>
      </c>
      <c r="B383" t="s">
        <v>436</v>
      </c>
      <c r="C383" s="1"/>
      <c r="D383" s="1"/>
      <c r="E383" s="1"/>
      <c r="F383" s="1"/>
      <c r="G383" s="1"/>
      <c r="H383" s="1"/>
      <c r="I383" s="1"/>
      <c r="J383" s="1"/>
    </row>
    <row r="384" spans="1:10" x14ac:dyDescent="0.25">
      <c r="A384" t="s">
        <v>229</v>
      </c>
      <c r="B384" t="s">
        <v>437</v>
      </c>
      <c r="C384" s="1">
        <f>18766+4+1+116+4+18+7464</f>
        <v>26373</v>
      </c>
      <c r="D384" s="1">
        <f>4+21+9+7</f>
        <v>41</v>
      </c>
      <c r="E384" s="1">
        <v>0</v>
      </c>
      <c r="F384" s="1">
        <v>0</v>
      </c>
      <c r="G384" s="1">
        <v>0</v>
      </c>
      <c r="H384" s="1">
        <v>54806</v>
      </c>
      <c r="I384" s="1">
        <v>6347</v>
      </c>
      <c r="J384" s="1"/>
    </row>
    <row r="385" spans="1:10" x14ac:dyDescent="0.25">
      <c r="A385" t="s">
        <v>801</v>
      </c>
      <c r="B385" t="s">
        <v>438</v>
      </c>
      <c r="C385" s="1"/>
      <c r="D385" s="1"/>
      <c r="E385" s="1"/>
      <c r="F385" s="1"/>
      <c r="G385" s="1"/>
      <c r="H385" s="1"/>
      <c r="I385" s="1"/>
      <c r="J385" s="1"/>
    </row>
    <row r="386" spans="1:10" x14ac:dyDescent="0.25">
      <c r="A386" s="27" t="s">
        <v>10</v>
      </c>
      <c r="B386" s="32" t="s">
        <v>780</v>
      </c>
      <c r="C386" s="1"/>
      <c r="D386" s="1"/>
      <c r="E386" s="1"/>
      <c r="F386" s="1"/>
      <c r="G386" s="1"/>
      <c r="H386" s="1"/>
      <c r="I386" s="1"/>
      <c r="J386" s="1"/>
    </row>
    <row r="387" spans="1:10" x14ac:dyDescent="0.25">
      <c r="A387" t="s">
        <v>69</v>
      </c>
      <c r="B387" t="s">
        <v>439</v>
      </c>
      <c r="C387" s="1"/>
      <c r="D387" s="1"/>
      <c r="E387" s="1"/>
      <c r="F387" s="1"/>
      <c r="G387" s="1"/>
      <c r="H387" s="1"/>
      <c r="I387" s="1"/>
      <c r="J387" s="1"/>
    </row>
    <row r="388" spans="1:10" x14ac:dyDescent="0.25">
      <c r="A388" t="s">
        <v>83</v>
      </c>
      <c r="B388" t="s">
        <v>440</v>
      </c>
      <c r="C388" s="1"/>
      <c r="D388" s="1"/>
      <c r="E388" s="1"/>
      <c r="F388" s="1"/>
      <c r="G388" s="1"/>
      <c r="H388" s="1"/>
      <c r="I388" s="1"/>
      <c r="J388" s="1"/>
    </row>
    <row r="389" spans="1:10" x14ac:dyDescent="0.25">
      <c r="A389" t="s">
        <v>809</v>
      </c>
      <c r="B389" t="s">
        <v>441</v>
      </c>
      <c r="C389" s="1"/>
      <c r="D389" s="1"/>
      <c r="E389" s="1"/>
      <c r="F389" s="1"/>
      <c r="G389" s="1"/>
      <c r="H389" s="1"/>
      <c r="I389" s="1"/>
      <c r="J389" s="1"/>
    </row>
    <row r="390" spans="1:10" x14ac:dyDescent="0.25">
      <c r="A390" t="s">
        <v>794</v>
      </c>
      <c r="B390" t="s">
        <v>442</v>
      </c>
      <c r="C390" s="1"/>
      <c r="D390" s="1"/>
      <c r="E390" s="1"/>
      <c r="F390" s="1"/>
      <c r="G390" s="1"/>
      <c r="H390" s="1"/>
      <c r="I390" s="1"/>
      <c r="J390" s="1"/>
    </row>
    <row r="391" spans="1:10" x14ac:dyDescent="0.25">
      <c r="A391" t="s">
        <v>796</v>
      </c>
      <c r="B391" t="s">
        <v>443</v>
      </c>
      <c r="C391" s="1"/>
      <c r="D391" s="1"/>
      <c r="E391" s="1"/>
      <c r="F391" s="1"/>
      <c r="G391" s="1"/>
      <c r="H391" s="1"/>
      <c r="I391" s="1"/>
      <c r="J391" s="1"/>
    </row>
    <row r="392" spans="1:10" x14ac:dyDescent="0.25">
      <c r="A392" t="s">
        <v>794</v>
      </c>
      <c r="B392" t="s">
        <v>444</v>
      </c>
      <c r="C392" s="1"/>
      <c r="D392" s="1"/>
      <c r="E392" s="1"/>
      <c r="F392" s="1"/>
      <c r="G392" s="1"/>
      <c r="H392" s="1"/>
      <c r="I392" s="1"/>
      <c r="J392" s="1"/>
    </row>
    <row r="393" spans="1:10" x14ac:dyDescent="0.25">
      <c r="A393" t="s">
        <v>811</v>
      </c>
      <c r="B393" t="s">
        <v>445</v>
      </c>
      <c r="C393" s="1"/>
      <c r="D393" s="1"/>
      <c r="E393" s="1"/>
      <c r="F393" s="1"/>
      <c r="G393" s="1"/>
      <c r="H393" s="1"/>
      <c r="I393" s="1"/>
      <c r="J393" s="1"/>
    </row>
    <row r="394" spans="1:10" x14ac:dyDescent="0.25">
      <c r="A394" t="s">
        <v>848</v>
      </c>
      <c r="B394" t="s">
        <v>446</v>
      </c>
      <c r="C394" s="1">
        <f>13619+5+3713</f>
        <v>17337</v>
      </c>
      <c r="D394" s="1">
        <f>7+3</f>
        <v>10</v>
      </c>
      <c r="E394" s="1">
        <v>0</v>
      </c>
      <c r="F394" s="1">
        <v>0</v>
      </c>
      <c r="G394" s="1">
        <v>0</v>
      </c>
      <c r="H394" s="1">
        <v>5896</v>
      </c>
      <c r="I394" s="1">
        <v>3226</v>
      </c>
      <c r="J394" s="1"/>
    </row>
    <row r="395" spans="1:10" x14ac:dyDescent="0.25">
      <c r="A395" t="s">
        <v>134</v>
      </c>
      <c r="B395" s="5" t="s">
        <v>447</v>
      </c>
      <c r="C395" s="6"/>
      <c r="D395" s="6"/>
      <c r="E395" s="6"/>
      <c r="F395" s="6"/>
      <c r="G395" s="6"/>
      <c r="H395" s="6"/>
      <c r="I395" s="6"/>
      <c r="J395" s="6"/>
    </row>
    <row r="396" spans="1:10" x14ac:dyDescent="0.25">
      <c r="A396" t="s">
        <v>76</v>
      </c>
      <c r="B396" t="s">
        <v>448</v>
      </c>
      <c r="C396" s="1"/>
      <c r="D396" s="1"/>
      <c r="E396" s="1"/>
      <c r="F396" s="1"/>
      <c r="G396" s="1"/>
      <c r="H396" s="1"/>
      <c r="I396" s="1"/>
      <c r="J396" s="1"/>
    </row>
    <row r="397" spans="1:10" x14ac:dyDescent="0.25">
      <c r="A397" t="s">
        <v>801</v>
      </c>
      <c r="B397" t="s">
        <v>449</v>
      </c>
      <c r="C397" s="1"/>
      <c r="D397" s="1"/>
      <c r="E397" s="1"/>
      <c r="F397" s="1"/>
      <c r="G397" s="1"/>
      <c r="H397" s="1"/>
      <c r="I397" s="1"/>
      <c r="J397" s="1"/>
    </row>
    <row r="398" spans="1:10" x14ac:dyDescent="0.25">
      <c r="A398" t="s">
        <v>788</v>
      </c>
      <c r="B398" t="s">
        <v>450</v>
      </c>
      <c r="C398" s="1">
        <f>18264+9+4+1+12196</f>
        <v>30474</v>
      </c>
      <c r="D398" s="1">
        <f>10+123+201+10</f>
        <v>344</v>
      </c>
      <c r="E398" s="1">
        <v>0</v>
      </c>
      <c r="F398" s="1">
        <v>0</v>
      </c>
      <c r="G398" s="1">
        <v>0</v>
      </c>
      <c r="H398" s="1">
        <v>21906</v>
      </c>
      <c r="I398" s="1">
        <v>6093</v>
      </c>
      <c r="J398" s="1"/>
    </row>
    <row r="399" spans="1:10" x14ac:dyDescent="0.25">
      <c r="A399" t="s">
        <v>795</v>
      </c>
      <c r="B399" t="s">
        <v>451</v>
      </c>
      <c r="C399" s="1">
        <f>40440+13+104+79988+177+13</f>
        <v>120735</v>
      </c>
      <c r="D399" s="1">
        <f>283+303+8+408+530+41</f>
        <v>1573</v>
      </c>
      <c r="E399" s="1">
        <v>0</v>
      </c>
      <c r="F399" s="1">
        <v>0</v>
      </c>
      <c r="G399" s="1">
        <v>0</v>
      </c>
      <c r="H399" s="1">
        <v>53478</v>
      </c>
      <c r="I399" s="1">
        <v>43555</v>
      </c>
      <c r="J399" s="1"/>
    </row>
    <row r="400" spans="1:10" x14ac:dyDescent="0.25">
      <c r="A400" t="s">
        <v>825</v>
      </c>
      <c r="B400" t="s">
        <v>452</v>
      </c>
      <c r="C400" s="1">
        <v>5060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/>
    </row>
    <row r="401" spans="1:10" x14ac:dyDescent="0.25">
      <c r="A401" t="s">
        <v>101</v>
      </c>
      <c r="B401" t="s">
        <v>453</v>
      </c>
      <c r="C401" s="1">
        <f>27589+13+1+21+7967+1</f>
        <v>35592</v>
      </c>
      <c r="D401" s="1">
        <f>25+5+95+16</f>
        <v>141</v>
      </c>
      <c r="E401" s="1">
        <v>0</v>
      </c>
      <c r="F401" s="1">
        <v>0</v>
      </c>
      <c r="G401" s="1">
        <v>0</v>
      </c>
      <c r="H401" s="1">
        <v>22977</v>
      </c>
      <c r="I401" s="1">
        <v>6987</v>
      </c>
      <c r="J401" s="1"/>
    </row>
    <row r="402" spans="1:10" x14ac:dyDescent="0.25">
      <c r="A402" t="s">
        <v>265</v>
      </c>
      <c r="B402" t="s">
        <v>454</v>
      </c>
      <c r="C402" s="1"/>
      <c r="D402" s="1"/>
      <c r="E402" s="1"/>
      <c r="F402" s="1"/>
      <c r="G402" s="1"/>
      <c r="H402" s="1"/>
      <c r="I402" s="1"/>
      <c r="J402" s="1"/>
    </row>
    <row r="403" spans="1:10" x14ac:dyDescent="0.25">
      <c r="A403" t="s">
        <v>248</v>
      </c>
      <c r="B403" t="s">
        <v>455</v>
      </c>
      <c r="C403" s="1">
        <f>12262+1224</f>
        <v>13486</v>
      </c>
      <c r="D403" s="1">
        <f>1+8+395+6</f>
        <v>410</v>
      </c>
      <c r="E403" s="1">
        <v>0</v>
      </c>
      <c r="F403" s="1">
        <v>0</v>
      </c>
      <c r="G403" s="1">
        <v>0</v>
      </c>
      <c r="H403" s="1">
        <v>21511</v>
      </c>
      <c r="I403" s="1">
        <v>1695</v>
      </c>
      <c r="J403" s="1"/>
    </row>
    <row r="404" spans="1:10" x14ac:dyDescent="0.25">
      <c r="A404" t="s">
        <v>76</v>
      </c>
      <c r="B404" t="s">
        <v>456</v>
      </c>
      <c r="C404" s="1"/>
      <c r="D404" s="1"/>
      <c r="E404" s="1"/>
      <c r="F404" s="1"/>
      <c r="G404" s="1"/>
      <c r="H404" s="1"/>
      <c r="I404" s="1"/>
      <c r="J404" s="1"/>
    </row>
    <row r="405" spans="1:10" x14ac:dyDescent="0.25">
      <c r="A405" t="s">
        <v>76</v>
      </c>
      <c r="B405" t="s">
        <v>457</v>
      </c>
      <c r="C405" s="1"/>
      <c r="D405" s="1"/>
      <c r="E405" s="1"/>
      <c r="F405" s="1"/>
      <c r="G405" s="1"/>
      <c r="H405" s="1"/>
      <c r="I405" s="1"/>
      <c r="J405" s="1"/>
    </row>
    <row r="406" spans="1:10" x14ac:dyDescent="0.25">
      <c r="A406" t="s">
        <v>146</v>
      </c>
      <c r="B406" t="s">
        <v>458</v>
      </c>
      <c r="C406" s="1">
        <f>5888+1130+16+4976+1+4+3</f>
        <v>12018</v>
      </c>
      <c r="D406" s="1">
        <f>311+1+479+145+1+139</f>
        <v>1076</v>
      </c>
      <c r="E406" s="1">
        <v>0</v>
      </c>
      <c r="F406" s="1">
        <v>0</v>
      </c>
      <c r="G406" s="1">
        <v>0</v>
      </c>
      <c r="H406" s="1">
        <v>34253</v>
      </c>
      <c r="I406" s="1">
        <v>5106</v>
      </c>
      <c r="J406" s="1"/>
    </row>
    <row r="407" spans="1:10" x14ac:dyDescent="0.25">
      <c r="A407" t="s">
        <v>83</v>
      </c>
      <c r="B407" t="s">
        <v>459</v>
      </c>
      <c r="C407" s="1"/>
      <c r="D407" s="1"/>
      <c r="E407" s="1"/>
      <c r="F407" s="1"/>
      <c r="G407" s="1"/>
      <c r="H407" s="1"/>
      <c r="I407" s="1"/>
      <c r="J407" s="1"/>
    </row>
    <row r="408" spans="1:10" x14ac:dyDescent="0.25">
      <c r="A408" t="s">
        <v>248</v>
      </c>
      <c r="B408" t="s">
        <v>460</v>
      </c>
      <c r="C408" s="1">
        <f>23991+9+126+1+50+2+2+73+30305+2+1+1</f>
        <v>54563</v>
      </c>
      <c r="D408" s="1">
        <f>23+12+228+318</f>
        <v>581</v>
      </c>
      <c r="E408" s="1">
        <v>0</v>
      </c>
      <c r="F408" s="1">
        <v>0</v>
      </c>
      <c r="G408" s="1">
        <v>0</v>
      </c>
      <c r="H408" s="1">
        <v>186537</v>
      </c>
      <c r="I408" s="1">
        <v>25196</v>
      </c>
      <c r="J408" s="1"/>
    </row>
    <row r="409" spans="1:10" x14ac:dyDescent="0.25">
      <c r="A409" t="s">
        <v>248</v>
      </c>
      <c r="B409" t="s">
        <v>461</v>
      </c>
      <c r="C409" s="1">
        <f>46530+17+9+14378</f>
        <v>60934</v>
      </c>
      <c r="D409" s="1">
        <f>14+12+81</f>
        <v>107</v>
      </c>
      <c r="E409" s="1">
        <v>0</v>
      </c>
      <c r="F409" s="1">
        <v>0</v>
      </c>
      <c r="G409" s="1">
        <v>0</v>
      </c>
      <c r="H409" s="1">
        <v>81757</v>
      </c>
      <c r="I409" s="1">
        <v>10810</v>
      </c>
      <c r="J409" s="1"/>
    </row>
    <row r="410" spans="1:10" x14ac:dyDescent="0.25">
      <c r="A410" t="s">
        <v>226</v>
      </c>
      <c r="B410" t="s">
        <v>462</v>
      </c>
      <c r="C410" s="1">
        <f>12885+9+40+72+14+1536+134+2</f>
        <v>14692</v>
      </c>
      <c r="D410" s="1">
        <f>1+39</f>
        <v>40</v>
      </c>
      <c r="E410" s="1">
        <v>0</v>
      </c>
      <c r="F410" s="1">
        <v>0</v>
      </c>
      <c r="G410" s="1">
        <v>0</v>
      </c>
      <c r="H410" s="1">
        <v>1010</v>
      </c>
      <c r="I410" s="1">
        <v>1510</v>
      </c>
      <c r="J410" s="1"/>
    </row>
    <row r="411" spans="1:10" x14ac:dyDescent="0.25">
      <c r="A411" t="s">
        <v>826</v>
      </c>
      <c r="B411" t="s">
        <v>463</v>
      </c>
      <c r="C411" s="1">
        <f>2978+116+7514+2</f>
        <v>10610</v>
      </c>
      <c r="D411" s="1">
        <f>19+4+9</f>
        <v>32</v>
      </c>
      <c r="E411" s="1">
        <v>0</v>
      </c>
      <c r="F411" s="1">
        <v>0</v>
      </c>
      <c r="G411" s="1">
        <v>0</v>
      </c>
      <c r="H411" s="1">
        <v>41901</v>
      </c>
      <c r="I411" s="1">
        <v>7052</v>
      </c>
      <c r="J411" s="1"/>
    </row>
    <row r="412" spans="1:10" x14ac:dyDescent="0.25">
      <c r="A412" t="s">
        <v>248</v>
      </c>
      <c r="B412" t="s">
        <v>464</v>
      </c>
      <c r="C412" s="1">
        <f>16270+32+5+4409</f>
        <v>20716</v>
      </c>
      <c r="D412" s="1">
        <v>7</v>
      </c>
      <c r="E412" s="1">
        <v>0</v>
      </c>
      <c r="F412" s="1">
        <v>0</v>
      </c>
      <c r="G412" s="1">
        <v>0</v>
      </c>
      <c r="H412" s="1">
        <v>16679</v>
      </c>
      <c r="I412" s="1">
        <v>4170</v>
      </c>
      <c r="J412" s="1"/>
    </row>
    <row r="413" spans="1:10" x14ac:dyDescent="0.25">
      <c r="A413" t="s">
        <v>101</v>
      </c>
      <c r="B413" t="s">
        <v>465</v>
      </c>
      <c r="C413" s="1">
        <f>14374+3+2+7369+2</f>
        <v>21750</v>
      </c>
      <c r="D413" s="1">
        <v>7</v>
      </c>
      <c r="E413" s="1">
        <v>0</v>
      </c>
      <c r="F413" s="1">
        <v>0</v>
      </c>
      <c r="G413" s="1">
        <v>0</v>
      </c>
      <c r="H413" s="1">
        <v>50608</v>
      </c>
      <c r="I413" s="1">
        <v>7406</v>
      </c>
      <c r="J413" s="1"/>
    </row>
    <row r="414" spans="1:10" x14ac:dyDescent="0.25">
      <c r="A414" t="s">
        <v>865</v>
      </c>
      <c r="B414" t="s">
        <v>466</v>
      </c>
      <c r="C414" s="1">
        <f>32779+11+111+6+18+12+4+54+214+42+4754+38</f>
        <v>38043</v>
      </c>
      <c r="D414" s="1">
        <f>11+34</f>
        <v>45</v>
      </c>
      <c r="E414" s="1">
        <v>0</v>
      </c>
      <c r="F414" s="1">
        <v>0</v>
      </c>
      <c r="G414" s="1">
        <v>0</v>
      </c>
      <c r="H414" s="1">
        <v>8954</v>
      </c>
      <c r="I414" s="1">
        <v>4354</v>
      </c>
      <c r="J414" s="1"/>
    </row>
    <row r="415" spans="1:10" x14ac:dyDescent="0.25">
      <c r="A415" t="s">
        <v>512</v>
      </c>
      <c r="B415" t="s">
        <v>467</v>
      </c>
      <c r="C415" s="1">
        <f>13918+16+2+3+8623</f>
        <v>22562</v>
      </c>
      <c r="D415" s="1">
        <f>8+22+33</f>
        <v>63</v>
      </c>
      <c r="E415" s="1">
        <v>0</v>
      </c>
      <c r="F415" s="1">
        <v>0</v>
      </c>
      <c r="G415" s="1">
        <v>0</v>
      </c>
      <c r="H415" s="1">
        <v>19052</v>
      </c>
      <c r="I415" s="1">
        <v>6670</v>
      </c>
      <c r="J415" s="1"/>
    </row>
    <row r="416" spans="1:10" x14ac:dyDescent="0.25">
      <c r="A416" s="27" t="s">
        <v>10</v>
      </c>
      <c r="B416" s="32" t="s">
        <v>781</v>
      </c>
      <c r="C416" s="1"/>
      <c r="D416" s="1"/>
      <c r="E416" s="1"/>
      <c r="F416" s="1"/>
      <c r="G416" s="1"/>
      <c r="H416" s="1"/>
      <c r="I416" s="1"/>
      <c r="J416" s="1"/>
    </row>
    <row r="417" spans="1:10" x14ac:dyDescent="0.25">
      <c r="A417" t="s">
        <v>806</v>
      </c>
      <c r="B417" t="s">
        <v>468</v>
      </c>
      <c r="C417" s="1">
        <f>6172+2+38+1+10+6192+17+1+1</f>
        <v>12434</v>
      </c>
      <c r="D417" s="1">
        <f>17+23+18+45</f>
        <v>103</v>
      </c>
      <c r="E417" s="1">
        <v>0</v>
      </c>
      <c r="F417" s="1">
        <v>0</v>
      </c>
      <c r="G417" s="1">
        <v>0</v>
      </c>
      <c r="H417" s="1">
        <v>3951</v>
      </c>
      <c r="I417" s="1">
        <v>5468</v>
      </c>
      <c r="J417" s="1"/>
    </row>
    <row r="418" spans="1:10" x14ac:dyDescent="0.25">
      <c r="A418" t="s">
        <v>817</v>
      </c>
      <c r="B418" t="s">
        <v>469</v>
      </c>
      <c r="C418" s="1">
        <f>197795+2+2157</f>
        <v>199954</v>
      </c>
      <c r="D418" s="1">
        <f>95+191+1+15</f>
        <v>302</v>
      </c>
      <c r="E418" s="1">
        <v>0</v>
      </c>
      <c r="F418" s="1">
        <v>0</v>
      </c>
      <c r="G418" s="1">
        <v>0</v>
      </c>
      <c r="H418" s="1">
        <v>41249</v>
      </c>
      <c r="I418" s="1">
        <v>1652</v>
      </c>
      <c r="J418" s="1"/>
    </row>
    <row r="419" spans="1:10" x14ac:dyDescent="0.25">
      <c r="A419" t="s">
        <v>791</v>
      </c>
      <c r="B419" t="s">
        <v>470</v>
      </c>
      <c r="C419" s="1">
        <f>2155+1+4+6097+4</f>
        <v>8261</v>
      </c>
      <c r="D419" s="1">
        <f>602+178+1</f>
        <v>781</v>
      </c>
      <c r="E419" s="1">
        <v>0</v>
      </c>
      <c r="F419" s="1">
        <v>0</v>
      </c>
      <c r="G419" s="1">
        <v>0</v>
      </c>
      <c r="H419" s="1">
        <v>7611</v>
      </c>
      <c r="I419" s="1">
        <v>6807</v>
      </c>
      <c r="J419" s="1"/>
    </row>
    <row r="420" spans="1:10" x14ac:dyDescent="0.25">
      <c r="A420" t="s">
        <v>788</v>
      </c>
      <c r="B420" t="s">
        <v>471</v>
      </c>
      <c r="C420" s="1"/>
      <c r="D420" s="1"/>
      <c r="E420" s="1"/>
      <c r="F420" s="1"/>
      <c r="G420" s="1"/>
      <c r="H420" s="1"/>
      <c r="I420" s="1"/>
      <c r="J420" s="1"/>
    </row>
    <row r="421" spans="1:10" x14ac:dyDescent="0.25">
      <c r="A421" t="s">
        <v>795</v>
      </c>
      <c r="B421" t="s">
        <v>472</v>
      </c>
      <c r="C421" s="1">
        <f>21378+10+190+10174+319</f>
        <v>32071</v>
      </c>
      <c r="D421" s="1">
        <f>587+121+129</f>
        <v>837</v>
      </c>
      <c r="E421" s="1">
        <v>0</v>
      </c>
      <c r="F421" s="1">
        <v>0</v>
      </c>
      <c r="G421" s="1">
        <v>0</v>
      </c>
      <c r="H421" s="1">
        <v>11828</v>
      </c>
      <c r="I421" s="1">
        <v>6691</v>
      </c>
      <c r="J421" s="1"/>
    </row>
    <row r="422" spans="1:10" x14ac:dyDescent="0.25">
      <c r="A422" t="s">
        <v>788</v>
      </c>
      <c r="B422" t="s">
        <v>473</v>
      </c>
      <c r="C422" s="1">
        <f>40042+19+3+1+2+4+18061</f>
        <v>58132</v>
      </c>
      <c r="D422" s="1">
        <f>322+22+42+717+1+2</f>
        <v>1106</v>
      </c>
      <c r="E422" s="1">
        <v>0</v>
      </c>
      <c r="F422" s="1">
        <v>0</v>
      </c>
      <c r="G422" s="1">
        <v>0</v>
      </c>
      <c r="H422" s="1">
        <v>24693</v>
      </c>
      <c r="I422" s="1">
        <v>17182</v>
      </c>
      <c r="J422" s="1"/>
    </row>
    <row r="423" spans="1:10" x14ac:dyDescent="0.25">
      <c r="A423" t="s">
        <v>817</v>
      </c>
      <c r="B423" t="s">
        <v>474</v>
      </c>
      <c r="C423" s="1">
        <f>15897+2+3+3+2+41765+2</f>
        <v>57674</v>
      </c>
      <c r="D423" s="1">
        <f>103+1+192+1</f>
        <v>297</v>
      </c>
      <c r="E423" s="1">
        <v>0</v>
      </c>
      <c r="F423" s="1">
        <v>0</v>
      </c>
      <c r="G423" s="1">
        <v>0</v>
      </c>
      <c r="H423" s="1">
        <v>227838</v>
      </c>
      <c r="I423" s="1">
        <v>30632</v>
      </c>
      <c r="J423" s="1"/>
    </row>
    <row r="424" spans="1:10" x14ac:dyDescent="0.25">
      <c r="A424" t="s">
        <v>512</v>
      </c>
      <c r="B424" t="s">
        <v>475</v>
      </c>
      <c r="C424" s="1">
        <f>7255+144+1+4+10+2110</f>
        <v>9524</v>
      </c>
      <c r="D424" s="1">
        <f>8+9+13</f>
        <v>30</v>
      </c>
      <c r="E424" s="1">
        <v>0</v>
      </c>
      <c r="F424" s="1">
        <v>0</v>
      </c>
      <c r="G424" s="1">
        <v>0</v>
      </c>
      <c r="H424" s="1">
        <v>24842</v>
      </c>
      <c r="I424" s="1">
        <v>1804</v>
      </c>
      <c r="J424" s="1"/>
    </row>
    <row r="425" spans="1:10" x14ac:dyDescent="0.25">
      <c r="A425" t="s">
        <v>146</v>
      </c>
      <c r="B425" t="s">
        <v>476</v>
      </c>
      <c r="C425" s="1">
        <f>28953+6+6+70+1+2+1+3+9233+1+1+1</f>
        <v>38278</v>
      </c>
      <c r="D425" s="1">
        <f>15+36</f>
        <v>51</v>
      </c>
      <c r="E425" s="1">
        <v>0</v>
      </c>
      <c r="F425" s="1">
        <v>0</v>
      </c>
      <c r="G425" s="1">
        <v>0</v>
      </c>
      <c r="H425" s="1">
        <v>15159</v>
      </c>
      <c r="I425" s="1">
        <v>8846</v>
      </c>
      <c r="J425" s="1"/>
    </row>
    <row r="426" spans="1:10" x14ac:dyDescent="0.25">
      <c r="A426" t="s">
        <v>76</v>
      </c>
      <c r="B426" t="s">
        <v>477</v>
      </c>
      <c r="C426" s="1"/>
      <c r="D426" s="1"/>
      <c r="E426" s="1"/>
      <c r="F426" s="1"/>
      <c r="G426" s="1"/>
      <c r="H426" s="1"/>
      <c r="I426" s="1"/>
      <c r="J426" s="1"/>
    </row>
    <row r="427" spans="1:10" x14ac:dyDescent="0.25">
      <c r="A427" t="s">
        <v>76</v>
      </c>
      <c r="B427" t="s">
        <v>478</v>
      </c>
      <c r="C427" s="1"/>
      <c r="D427" s="1"/>
      <c r="E427" s="1"/>
      <c r="F427" s="1"/>
      <c r="G427" s="1"/>
      <c r="H427" s="1"/>
      <c r="I427" s="1"/>
      <c r="J427" s="1"/>
    </row>
    <row r="428" spans="1:10" x14ac:dyDescent="0.25">
      <c r="A428" t="s">
        <v>823</v>
      </c>
      <c r="B428" t="s">
        <v>479</v>
      </c>
      <c r="C428" s="1">
        <f>24327+394+5450</f>
        <v>30171</v>
      </c>
      <c r="D428" s="1">
        <v>0</v>
      </c>
      <c r="E428" s="1">
        <v>0</v>
      </c>
      <c r="F428" s="1">
        <v>0</v>
      </c>
      <c r="G428" s="1">
        <v>0</v>
      </c>
      <c r="H428" s="1">
        <v>3098</v>
      </c>
      <c r="I428" s="1">
        <v>4189</v>
      </c>
      <c r="J428" s="1"/>
    </row>
    <row r="429" spans="1:10" x14ac:dyDescent="0.25">
      <c r="A429" t="s">
        <v>83</v>
      </c>
      <c r="B429" t="s">
        <v>480</v>
      </c>
      <c r="C429" s="1"/>
      <c r="D429" s="1"/>
      <c r="E429" s="1"/>
      <c r="F429" s="1"/>
      <c r="G429" s="1"/>
      <c r="H429" s="1"/>
      <c r="I429" s="1"/>
      <c r="J429" s="1"/>
    </row>
    <row r="430" spans="1:10" x14ac:dyDescent="0.25">
      <c r="A430" t="s">
        <v>512</v>
      </c>
      <c r="B430" t="s">
        <v>481</v>
      </c>
      <c r="C430" s="1">
        <f>16790+13+7+21+3370</f>
        <v>20201</v>
      </c>
      <c r="D430" s="1">
        <f>7+75+12</f>
        <v>94</v>
      </c>
      <c r="E430" s="1">
        <v>0</v>
      </c>
      <c r="F430" s="1">
        <v>0</v>
      </c>
      <c r="G430" s="1">
        <v>0</v>
      </c>
      <c r="H430" s="1">
        <v>2166</v>
      </c>
      <c r="I430" s="1">
        <v>2778</v>
      </c>
      <c r="J430" s="1"/>
    </row>
    <row r="431" spans="1:10" x14ac:dyDescent="0.25">
      <c r="A431" t="s">
        <v>824</v>
      </c>
      <c r="B431" t="s">
        <v>482</v>
      </c>
      <c r="C431" s="1">
        <f>3493+1507</f>
        <v>5000</v>
      </c>
      <c r="D431" s="1">
        <f>325+43</f>
        <v>368</v>
      </c>
      <c r="E431" s="1">
        <v>0</v>
      </c>
      <c r="F431" s="1">
        <v>0</v>
      </c>
      <c r="G431" s="1">
        <v>0</v>
      </c>
      <c r="H431" s="1">
        <v>2839</v>
      </c>
      <c r="I431" s="1">
        <v>1171</v>
      </c>
      <c r="J431" s="1"/>
    </row>
    <row r="432" spans="1:10" x14ac:dyDescent="0.25">
      <c r="A432" t="s">
        <v>72</v>
      </c>
      <c r="B432" t="s">
        <v>483</v>
      </c>
      <c r="C432" s="1">
        <f>32720+5+4083+4</f>
        <v>36812</v>
      </c>
      <c r="D432" s="1">
        <f>15+8+5+61</f>
        <v>89</v>
      </c>
      <c r="E432" s="1">
        <v>0</v>
      </c>
      <c r="F432" s="1">
        <v>0</v>
      </c>
      <c r="G432" s="1">
        <v>0</v>
      </c>
      <c r="H432" s="1">
        <v>102745</v>
      </c>
      <c r="I432" s="1">
        <v>3920</v>
      </c>
      <c r="J432" s="1"/>
    </row>
    <row r="433" spans="1:10" x14ac:dyDescent="0.25">
      <c r="A433" t="s">
        <v>801</v>
      </c>
      <c r="B433" t="s">
        <v>484</v>
      </c>
      <c r="C433" s="1"/>
      <c r="D433" s="1"/>
      <c r="E433" s="1"/>
      <c r="F433" s="1"/>
      <c r="G433" s="1"/>
      <c r="H433" s="1"/>
      <c r="I433" s="1"/>
      <c r="J433" s="1"/>
    </row>
    <row r="434" spans="1:10" x14ac:dyDescent="0.25">
      <c r="A434" t="s">
        <v>818</v>
      </c>
      <c r="B434" t="s">
        <v>485</v>
      </c>
      <c r="C434" s="1"/>
      <c r="D434" s="1"/>
      <c r="E434" s="1"/>
      <c r="F434" s="1"/>
      <c r="G434" s="1"/>
      <c r="H434" s="1"/>
      <c r="I434" s="1"/>
      <c r="J434" s="1"/>
    </row>
    <row r="435" spans="1:10" x14ac:dyDescent="0.25">
      <c r="A435" t="s">
        <v>797</v>
      </c>
      <c r="B435" t="s">
        <v>486</v>
      </c>
      <c r="C435" s="1">
        <f>45693+2+1+153+1+1+3+4+9079+5</f>
        <v>54942</v>
      </c>
      <c r="D435" s="1">
        <f>68+8+2</f>
        <v>78</v>
      </c>
      <c r="E435" s="1">
        <v>0</v>
      </c>
      <c r="F435" s="1">
        <v>0</v>
      </c>
      <c r="G435" s="1">
        <v>0</v>
      </c>
      <c r="H435" s="1">
        <v>14654</v>
      </c>
      <c r="I435" s="1">
        <v>7492</v>
      </c>
      <c r="J435" s="1"/>
    </row>
    <row r="436" spans="1:10" x14ac:dyDescent="0.25">
      <c r="A436" t="s">
        <v>804</v>
      </c>
      <c r="B436" t="s">
        <v>487</v>
      </c>
      <c r="C436" s="1">
        <f>15794+8027+698</f>
        <v>24519</v>
      </c>
      <c r="D436" s="1">
        <f>5+14</f>
        <v>19</v>
      </c>
      <c r="E436" s="1">
        <v>0</v>
      </c>
      <c r="F436" s="1">
        <v>0</v>
      </c>
      <c r="G436" s="1">
        <v>0</v>
      </c>
      <c r="H436" s="1">
        <v>11371</v>
      </c>
      <c r="I436" s="1">
        <v>7745</v>
      </c>
      <c r="J436" s="1"/>
    </row>
    <row r="437" spans="1:10" x14ac:dyDescent="0.25">
      <c r="A437" t="s">
        <v>226</v>
      </c>
      <c r="B437" t="s">
        <v>488</v>
      </c>
      <c r="C437" s="1">
        <f>32449+112+2+14+8+4+16+10316</f>
        <v>42921</v>
      </c>
      <c r="D437" s="1">
        <f>4+60+36</f>
        <v>100</v>
      </c>
      <c r="E437" s="1">
        <v>0</v>
      </c>
      <c r="F437" s="1">
        <v>0</v>
      </c>
      <c r="G437" s="1">
        <v>0</v>
      </c>
      <c r="H437" s="1">
        <v>15387</v>
      </c>
      <c r="I437" s="1">
        <v>9518</v>
      </c>
      <c r="J437" s="1"/>
    </row>
    <row r="438" spans="1:10" x14ac:dyDescent="0.25">
      <c r="A438" t="s">
        <v>265</v>
      </c>
      <c r="B438" t="s">
        <v>489</v>
      </c>
      <c r="C438" s="1"/>
      <c r="D438" s="1"/>
      <c r="E438" s="1"/>
      <c r="F438" s="1"/>
      <c r="G438" s="1"/>
      <c r="H438" s="1"/>
      <c r="I438" s="1"/>
      <c r="J438" s="1"/>
    </row>
    <row r="439" spans="1:10" x14ac:dyDescent="0.25">
      <c r="A439" t="s">
        <v>10</v>
      </c>
      <c r="B439" s="1" t="s">
        <v>490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/>
    </row>
    <row r="440" spans="1:10" x14ac:dyDescent="0.25">
      <c r="A440" t="s">
        <v>801</v>
      </c>
      <c r="B440" t="s">
        <v>491</v>
      </c>
      <c r="C440" s="1"/>
      <c r="D440" s="1"/>
      <c r="E440" s="1"/>
      <c r="F440" s="1"/>
      <c r="G440" s="1"/>
      <c r="H440" s="1"/>
      <c r="I440" s="1"/>
      <c r="J440" s="1"/>
    </row>
    <row r="441" spans="1:10" x14ac:dyDescent="0.25">
      <c r="A441" t="s">
        <v>818</v>
      </c>
      <c r="B441" t="s">
        <v>492</v>
      </c>
      <c r="C441" s="1"/>
      <c r="D441" s="1"/>
      <c r="E441" s="1"/>
      <c r="F441" s="1"/>
      <c r="G441" s="1"/>
      <c r="H441" s="1"/>
      <c r="I441" s="1"/>
      <c r="J441" s="1"/>
    </row>
    <row r="442" spans="1:10" x14ac:dyDescent="0.25">
      <c r="A442" t="s">
        <v>791</v>
      </c>
      <c r="B442" t="s">
        <v>493</v>
      </c>
      <c r="C442" s="1">
        <f>13392+9+1+15+2578</f>
        <v>15995</v>
      </c>
      <c r="D442" s="1">
        <f>28+302+32</f>
        <v>362</v>
      </c>
      <c r="E442" s="1">
        <v>0</v>
      </c>
      <c r="F442" s="1">
        <v>0</v>
      </c>
      <c r="G442" s="1">
        <v>0</v>
      </c>
      <c r="H442" s="1">
        <v>31663</v>
      </c>
      <c r="I442" s="1">
        <v>2722</v>
      </c>
      <c r="J442" s="1"/>
    </row>
    <row r="443" spans="1:10" x14ac:dyDescent="0.25">
      <c r="A443" t="s">
        <v>138</v>
      </c>
      <c r="B443" t="s">
        <v>494</v>
      </c>
      <c r="C443" s="1"/>
      <c r="D443" s="1"/>
      <c r="E443" s="1"/>
      <c r="F443" s="1"/>
      <c r="G443" s="1"/>
      <c r="H443" s="1"/>
      <c r="I443" s="1"/>
      <c r="J443" s="1"/>
    </row>
    <row r="444" spans="1:10" x14ac:dyDescent="0.25">
      <c r="A444" t="s">
        <v>495</v>
      </c>
      <c r="B444" t="s">
        <v>496</v>
      </c>
      <c r="C444" s="1"/>
      <c r="D444" s="1"/>
      <c r="E444" s="1"/>
      <c r="F444" s="1"/>
      <c r="G444" s="1"/>
      <c r="H444" s="1"/>
      <c r="I444" s="1"/>
      <c r="J444" s="1"/>
    </row>
    <row r="445" spans="1:10" x14ac:dyDescent="0.25">
      <c r="A445" t="s">
        <v>791</v>
      </c>
      <c r="B445" t="s">
        <v>497</v>
      </c>
      <c r="C445" s="1">
        <f>7253+3+33+2+50+5973</f>
        <v>13314</v>
      </c>
      <c r="D445" s="1">
        <f>10+2+64</f>
        <v>76</v>
      </c>
      <c r="E445" s="1">
        <v>0</v>
      </c>
      <c r="F445" s="1">
        <v>0</v>
      </c>
      <c r="G445" s="1">
        <v>0</v>
      </c>
      <c r="H445" s="1">
        <v>10793</v>
      </c>
      <c r="I445" s="1">
        <v>5149</v>
      </c>
      <c r="J445" s="1"/>
    </row>
    <row r="446" spans="1:10" x14ac:dyDescent="0.25">
      <c r="A446" s="27" t="s">
        <v>10</v>
      </c>
      <c r="B446" s="32" t="s">
        <v>782</v>
      </c>
      <c r="C446" s="1"/>
      <c r="D446" s="1"/>
      <c r="E446" s="1"/>
      <c r="F446" s="1"/>
      <c r="G446" s="1"/>
      <c r="H446" s="1"/>
      <c r="I446" s="1"/>
      <c r="J446" s="1"/>
    </row>
    <row r="447" spans="1:10" x14ac:dyDescent="0.25">
      <c r="A447" s="27" t="s">
        <v>10</v>
      </c>
      <c r="B447" s="32" t="s">
        <v>783</v>
      </c>
      <c r="C447" s="1"/>
      <c r="D447" s="1"/>
      <c r="E447" s="1"/>
      <c r="F447" s="1"/>
      <c r="G447" s="1"/>
      <c r="H447" s="1"/>
      <c r="I447" s="1"/>
      <c r="J447" s="1"/>
    </row>
    <row r="448" spans="1:10" x14ac:dyDescent="0.25">
      <c r="A448" s="27" t="s">
        <v>10</v>
      </c>
      <c r="B448" s="32" t="s">
        <v>784</v>
      </c>
      <c r="C448" s="1"/>
      <c r="D448" s="1"/>
      <c r="E448" s="1"/>
      <c r="F448" s="1"/>
      <c r="G448" s="1"/>
      <c r="H448" s="1"/>
      <c r="I448" s="1"/>
      <c r="J448" s="1"/>
    </row>
    <row r="449" spans="1:10" x14ac:dyDescent="0.25">
      <c r="A449" s="27" t="s">
        <v>10</v>
      </c>
      <c r="B449" s="32" t="s">
        <v>785</v>
      </c>
      <c r="C449" s="1"/>
      <c r="D449" s="1"/>
      <c r="E449" s="1"/>
      <c r="F449" s="1"/>
      <c r="G449" s="1"/>
      <c r="H449" s="1"/>
      <c r="I449" s="1"/>
      <c r="J449" s="1"/>
    </row>
    <row r="450" spans="1:10" x14ac:dyDescent="0.25">
      <c r="A450" t="s">
        <v>10</v>
      </c>
      <c r="B450" s="1" t="s">
        <v>498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/>
    </row>
    <row r="451" spans="1:10" x14ac:dyDescent="0.25">
      <c r="A451" s="27" t="s">
        <v>10</v>
      </c>
      <c r="B451" s="32" t="s">
        <v>786</v>
      </c>
      <c r="C451" s="1"/>
      <c r="D451" s="1"/>
      <c r="E451" s="1"/>
      <c r="F451" s="1"/>
      <c r="G451" s="1"/>
      <c r="H451" s="1"/>
      <c r="I451" s="1"/>
      <c r="J451" s="1"/>
    </row>
    <row r="452" spans="1:10" x14ac:dyDescent="0.25">
      <c r="A452" t="s">
        <v>10</v>
      </c>
      <c r="B452" s="1" t="s">
        <v>499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/>
    </row>
    <row r="453" spans="1:10" x14ac:dyDescent="0.25">
      <c r="A453" t="s">
        <v>10</v>
      </c>
      <c r="B453" s="1" t="s">
        <v>500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/>
    </row>
    <row r="454" spans="1:10" x14ac:dyDescent="0.25">
      <c r="A454" t="s">
        <v>76</v>
      </c>
      <c r="B454" t="s">
        <v>501</v>
      </c>
      <c r="C454" s="1"/>
      <c r="D454" s="1"/>
      <c r="E454" s="1"/>
      <c r="F454" s="1"/>
      <c r="G454" s="1"/>
      <c r="H454" s="1"/>
      <c r="I454" s="1"/>
      <c r="J454" s="1"/>
    </row>
    <row r="455" spans="1:10" x14ac:dyDescent="0.25">
      <c r="A455" t="s">
        <v>817</v>
      </c>
      <c r="B455" t="s">
        <v>502</v>
      </c>
      <c r="C455" s="1">
        <v>562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/>
    </row>
    <row r="456" spans="1:10" x14ac:dyDescent="0.25">
      <c r="A456" t="s">
        <v>831</v>
      </c>
      <c r="B456" t="s">
        <v>503</v>
      </c>
      <c r="C456" s="1">
        <v>850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/>
    </row>
    <row r="457" spans="1:10" x14ac:dyDescent="0.25">
      <c r="A457" t="s">
        <v>76</v>
      </c>
      <c r="B457" t="s">
        <v>504</v>
      </c>
      <c r="C457" s="1"/>
      <c r="D457" s="1"/>
      <c r="E457" s="1"/>
      <c r="F457" s="1"/>
      <c r="G457" s="1"/>
      <c r="H457" s="1"/>
      <c r="I457" s="1"/>
      <c r="J457" s="1"/>
    </row>
    <row r="458" spans="1:10" x14ac:dyDescent="0.25">
      <c r="A458" t="s">
        <v>817</v>
      </c>
      <c r="B458" t="s">
        <v>505</v>
      </c>
      <c r="C458" s="1">
        <v>4544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/>
    </row>
    <row r="459" spans="1:10" x14ac:dyDescent="0.25">
      <c r="A459" s="9" t="s">
        <v>824</v>
      </c>
      <c r="B459" s="10" t="s">
        <v>506</v>
      </c>
      <c r="C459" s="1">
        <v>2459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/>
    </row>
    <row r="460" spans="1:10" x14ac:dyDescent="0.25">
      <c r="A460" t="s">
        <v>817</v>
      </c>
      <c r="B460" t="s">
        <v>507</v>
      </c>
      <c r="C460" s="1">
        <v>6811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/>
    </row>
    <row r="461" spans="1:10" x14ac:dyDescent="0.25">
      <c r="A461" t="s">
        <v>817</v>
      </c>
      <c r="B461" t="s">
        <v>508</v>
      </c>
      <c r="C461" s="1">
        <v>2331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/>
    </row>
    <row r="462" spans="1:10" x14ac:dyDescent="0.25">
      <c r="A462" t="s">
        <v>801</v>
      </c>
      <c r="B462" t="s">
        <v>509</v>
      </c>
      <c r="C462" s="1"/>
      <c r="D462" s="1"/>
      <c r="E462" s="1"/>
      <c r="F462" s="1"/>
      <c r="G462" s="1"/>
      <c r="H462" s="1"/>
      <c r="I462" s="1"/>
      <c r="J462" s="1"/>
    </row>
    <row r="463" spans="1:10" x14ac:dyDescent="0.25">
      <c r="A463" t="s">
        <v>801</v>
      </c>
      <c r="B463" t="s">
        <v>510</v>
      </c>
      <c r="C463" s="1"/>
      <c r="D463" s="1"/>
      <c r="E463" s="1"/>
      <c r="F463" s="1"/>
      <c r="G463" s="1"/>
      <c r="H463" s="1"/>
      <c r="I463" s="1"/>
      <c r="J463" s="1"/>
    </row>
    <row r="464" spans="1:10" x14ac:dyDescent="0.25">
      <c r="A464" t="s">
        <v>831</v>
      </c>
      <c r="B464" t="s">
        <v>511</v>
      </c>
      <c r="C464" s="1">
        <v>709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/>
    </row>
    <row r="465" spans="1:10" x14ac:dyDescent="0.25">
      <c r="A465" t="s">
        <v>512</v>
      </c>
      <c r="B465" t="s">
        <v>513</v>
      </c>
      <c r="C465" s="1">
        <v>3965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/>
    </row>
    <row r="466" spans="1:10" x14ac:dyDescent="0.25">
      <c r="A466" t="s">
        <v>817</v>
      </c>
      <c r="B466" t="s">
        <v>514</v>
      </c>
      <c r="C466" s="1">
        <v>3577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/>
    </row>
    <row r="467" spans="1:10" x14ac:dyDescent="0.25">
      <c r="A467" t="s">
        <v>801</v>
      </c>
      <c r="B467" t="s">
        <v>515</v>
      </c>
      <c r="C467" s="1"/>
      <c r="D467" s="1"/>
      <c r="E467" s="1"/>
      <c r="F467" s="1"/>
      <c r="G467" s="1"/>
      <c r="H467" s="1"/>
      <c r="I467" s="1"/>
      <c r="J467" s="1"/>
    </row>
    <row r="468" spans="1:10" x14ac:dyDescent="0.25">
      <c r="A468" t="s">
        <v>848</v>
      </c>
      <c r="B468" t="s">
        <v>516</v>
      </c>
      <c r="C468" s="1">
        <v>1847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/>
    </row>
    <row r="469" spans="1:10" x14ac:dyDescent="0.25">
      <c r="A469" t="s">
        <v>797</v>
      </c>
      <c r="B469" t="s">
        <v>517</v>
      </c>
      <c r="C469" s="1">
        <v>2140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/>
    </row>
    <row r="470" spans="1:10" x14ac:dyDescent="0.25">
      <c r="A470" t="s">
        <v>811</v>
      </c>
      <c r="B470" t="s">
        <v>518</v>
      </c>
      <c r="C470" s="1">
        <v>14867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/>
    </row>
    <row r="471" spans="1:10" x14ac:dyDescent="0.25">
      <c r="A471" t="s">
        <v>226</v>
      </c>
      <c r="B471" t="s">
        <v>519</v>
      </c>
      <c r="C471" s="1">
        <v>792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/>
    </row>
    <row r="472" spans="1:10" x14ac:dyDescent="0.25">
      <c r="A472" t="s">
        <v>76</v>
      </c>
      <c r="B472" t="s">
        <v>520</v>
      </c>
      <c r="C472" s="1"/>
      <c r="D472" s="1"/>
      <c r="E472" s="1"/>
      <c r="F472" s="1"/>
      <c r="G472" s="1"/>
      <c r="H472" s="1"/>
      <c r="I472" s="1"/>
      <c r="J472" s="1"/>
    </row>
    <row r="473" spans="1:10" x14ac:dyDescent="0.25">
      <c r="A473" t="s">
        <v>831</v>
      </c>
      <c r="B473" t="s">
        <v>521</v>
      </c>
      <c r="C473" s="1">
        <v>17580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/>
    </row>
    <row r="474" spans="1:10" x14ac:dyDescent="0.25">
      <c r="A474" t="s">
        <v>72</v>
      </c>
      <c r="B474" t="s">
        <v>522</v>
      </c>
      <c r="C474" s="1">
        <v>752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/>
    </row>
    <row r="475" spans="1:10" x14ac:dyDescent="0.25">
      <c r="A475" t="s">
        <v>823</v>
      </c>
      <c r="B475" t="s">
        <v>523</v>
      </c>
      <c r="C475" s="1">
        <v>3578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/>
    </row>
    <row r="476" spans="1:10" x14ac:dyDescent="0.25">
      <c r="A476" t="s">
        <v>248</v>
      </c>
      <c r="B476" t="s">
        <v>524</v>
      </c>
      <c r="C476" s="1">
        <v>1861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/>
    </row>
    <row r="477" spans="1:10" x14ac:dyDescent="0.25">
      <c r="A477" t="s">
        <v>231</v>
      </c>
      <c r="B477" t="s">
        <v>525</v>
      </c>
      <c r="C477" s="1">
        <v>2018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/>
    </row>
    <row r="478" spans="1:10" x14ac:dyDescent="0.25">
      <c r="A478" t="s">
        <v>76</v>
      </c>
      <c r="B478" t="s">
        <v>526</v>
      </c>
      <c r="C478" s="1"/>
      <c r="D478" s="1"/>
      <c r="E478" s="1"/>
      <c r="F478" s="1"/>
      <c r="G478" s="1"/>
      <c r="H478" s="1"/>
      <c r="I478" s="1"/>
      <c r="J478" s="1"/>
    </row>
    <row r="479" spans="1:10" x14ac:dyDescent="0.25">
      <c r="A479" t="s">
        <v>804</v>
      </c>
      <c r="B479" t="s">
        <v>527</v>
      </c>
      <c r="C479" s="1">
        <v>1604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/>
    </row>
    <row r="480" spans="1:10" x14ac:dyDescent="0.25">
      <c r="A480" t="s">
        <v>76</v>
      </c>
      <c r="B480" t="s">
        <v>528</v>
      </c>
      <c r="C480" s="1"/>
      <c r="D480" s="1"/>
      <c r="E480" s="1"/>
      <c r="F480" s="1"/>
      <c r="G480" s="1"/>
      <c r="H480" s="1"/>
      <c r="I480" s="1"/>
      <c r="J480" s="1"/>
    </row>
    <row r="481" spans="1:10" x14ac:dyDescent="0.25">
      <c r="A481" t="s">
        <v>801</v>
      </c>
      <c r="B481" t="s">
        <v>529</v>
      </c>
      <c r="C481" s="1"/>
      <c r="D481" s="1"/>
      <c r="E481" s="1"/>
      <c r="F481" s="1"/>
      <c r="G481" s="1"/>
      <c r="H481" s="1"/>
      <c r="I481" s="1"/>
      <c r="J481" s="1"/>
    </row>
    <row r="482" spans="1:10" x14ac:dyDescent="0.25">
      <c r="A482" t="s">
        <v>795</v>
      </c>
      <c r="B482" t="s">
        <v>530</v>
      </c>
      <c r="C482" s="1">
        <v>66163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/>
    </row>
    <row r="483" spans="1:10" x14ac:dyDescent="0.25">
      <c r="A483" t="s">
        <v>848</v>
      </c>
      <c r="B483" t="s">
        <v>531</v>
      </c>
      <c r="C483" s="1">
        <v>1114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/>
    </row>
    <row r="484" spans="1:10" x14ac:dyDescent="0.25">
      <c r="A484" t="s">
        <v>824</v>
      </c>
      <c r="B484" t="s">
        <v>532</v>
      </c>
      <c r="C484" s="1">
        <v>7072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/>
    </row>
    <row r="485" spans="1:10" x14ac:dyDescent="0.25">
      <c r="A485" t="s">
        <v>76</v>
      </c>
      <c r="B485" t="s">
        <v>533</v>
      </c>
      <c r="C485" s="1"/>
      <c r="D485" s="1"/>
      <c r="E485" s="1"/>
      <c r="F485" s="1"/>
      <c r="G485" s="1"/>
      <c r="H485" s="1"/>
      <c r="I485" s="1"/>
      <c r="J485" s="1"/>
    </row>
    <row r="486" spans="1:10" x14ac:dyDescent="0.25">
      <c r="A486" t="s">
        <v>101</v>
      </c>
      <c r="B486" t="s">
        <v>534</v>
      </c>
      <c r="C486" s="1">
        <v>4017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/>
    </row>
    <row r="487" spans="1:10" x14ac:dyDescent="0.25">
      <c r="A487" t="s">
        <v>797</v>
      </c>
      <c r="B487" t="s">
        <v>535</v>
      </c>
      <c r="C487" s="1"/>
      <c r="D487" s="1"/>
      <c r="E487" s="1"/>
      <c r="F487" s="1"/>
      <c r="G487" s="1"/>
      <c r="H487" s="1"/>
      <c r="I487" s="1"/>
      <c r="J487" s="1"/>
    </row>
    <row r="488" spans="1:10" x14ac:dyDescent="0.25">
      <c r="A488" t="s">
        <v>120</v>
      </c>
      <c r="B488" t="s">
        <v>536</v>
      </c>
      <c r="C488" s="1">
        <v>2725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/>
    </row>
    <row r="489" spans="1:10" x14ac:dyDescent="0.25">
      <c r="A489" t="s">
        <v>817</v>
      </c>
      <c r="B489" t="s">
        <v>537</v>
      </c>
      <c r="C489" s="1">
        <v>24942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/>
    </row>
    <row r="490" spans="1:10" x14ac:dyDescent="0.25">
      <c r="A490" t="s">
        <v>811</v>
      </c>
      <c r="B490" t="s">
        <v>538</v>
      </c>
      <c r="C490" s="1">
        <v>69509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/>
    </row>
    <row r="491" spans="1:10" x14ac:dyDescent="0.25">
      <c r="A491" t="s">
        <v>817</v>
      </c>
      <c r="B491" t="s">
        <v>539</v>
      </c>
      <c r="C491" s="1">
        <v>4799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/>
    </row>
    <row r="492" spans="1:10" x14ac:dyDescent="0.25">
      <c r="A492" t="s">
        <v>146</v>
      </c>
      <c r="B492" t="s">
        <v>540</v>
      </c>
      <c r="C492" s="1">
        <v>2562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/>
    </row>
    <row r="493" spans="1:10" x14ac:dyDescent="0.25">
      <c r="A493" t="s">
        <v>817</v>
      </c>
      <c r="B493" t="s">
        <v>541</v>
      </c>
      <c r="C493" s="1">
        <v>13057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/>
    </row>
    <row r="494" spans="1:10" x14ac:dyDescent="0.25">
      <c r="A494" t="s">
        <v>72</v>
      </c>
      <c r="B494" t="s">
        <v>542</v>
      </c>
      <c r="C494" s="1">
        <v>14674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/>
    </row>
    <row r="495" spans="1:10" x14ac:dyDescent="0.25">
      <c r="A495" t="s">
        <v>795</v>
      </c>
      <c r="B495" t="s">
        <v>543</v>
      </c>
      <c r="C495" s="1">
        <v>9718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/>
    </row>
    <row r="496" spans="1:10" x14ac:dyDescent="0.25">
      <c r="A496" t="s">
        <v>83</v>
      </c>
      <c r="B496" t="s">
        <v>544</v>
      </c>
      <c r="C496" s="1"/>
      <c r="D496" s="1"/>
      <c r="E496" s="1"/>
      <c r="F496" s="1"/>
      <c r="G496" s="1"/>
      <c r="H496" s="1"/>
      <c r="I496" s="1"/>
      <c r="J496" s="1"/>
    </row>
    <row r="497" spans="1:10" x14ac:dyDescent="0.25">
      <c r="A497" t="s">
        <v>134</v>
      </c>
      <c r="B497" t="s">
        <v>545</v>
      </c>
      <c r="C497" s="1">
        <v>3581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/>
    </row>
    <row r="498" spans="1:10" x14ac:dyDescent="0.25">
      <c r="A498" t="s">
        <v>76</v>
      </c>
      <c r="B498" t="s">
        <v>546</v>
      </c>
      <c r="C498" s="1"/>
      <c r="D498" s="1"/>
      <c r="E498" s="1"/>
      <c r="F498" s="1"/>
      <c r="G498" s="1"/>
      <c r="H498" s="1"/>
      <c r="I498" s="1"/>
      <c r="J498" s="1"/>
    </row>
    <row r="499" spans="1:10" x14ac:dyDescent="0.25">
      <c r="A499" t="s">
        <v>495</v>
      </c>
      <c r="B499" t="s">
        <v>547</v>
      </c>
      <c r="C499" s="1"/>
      <c r="D499" s="1"/>
      <c r="E499" s="1"/>
      <c r="F499" s="1"/>
      <c r="G499" s="1"/>
      <c r="H499" s="1"/>
      <c r="I499" s="1"/>
      <c r="J499" s="1"/>
    </row>
    <row r="500" spans="1:10" x14ac:dyDescent="0.25">
      <c r="A500" t="s">
        <v>825</v>
      </c>
      <c r="B500" t="s">
        <v>548</v>
      </c>
      <c r="C500" s="1">
        <f>5060+1+1+1685</f>
        <v>6747</v>
      </c>
      <c r="D500" s="1">
        <v>11</v>
      </c>
      <c r="E500" s="1">
        <v>0</v>
      </c>
      <c r="F500" s="1">
        <v>0</v>
      </c>
      <c r="G500" s="1">
        <v>0</v>
      </c>
      <c r="H500" s="1">
        <v>7641</v>
      </c>
      <c r="I500" s="1">
        <v>1481</v>
      </c>
      <c r="J500" s="1"/>
    </row>
    <row r="501" spans="1:10" x14ac:dyDescent="0.25">
      <c r="A501" t="s">
        <v>72</v>
      </c>
      <c r="B501" t="s">
        <v>549</v>
      </c>
      <c r="C501" s="1">
        <v>20166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/>
    </row>
    <row r="502" spans="1:10" x14ac:dyDescent="0.25">
      <c r="A502" t="s">
        <v>134</v>
      </c>
      <c r="B502" t="s">
        <v>550</v>
      </c>
      <c r="C502" s="1">
        <v>8856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/>
    </row>
    <row r="503" spans="1:10" x14ac:dyDescent="0.25">
      <c r="A503" t="s">
        <v>795</v>
      </c>
      <c r="B503" t="s">
        <v>551</v>
      </c>
      <c r="C503" s="1">
        <v>2133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/>
    </row>
    <row r="504" spans="1:10" x14ac:dyDescent="0.25">
      <c r="A504" t="s">
        <v>76</v>
      </c>
      <c r="B504" t="s">
        <v>552</v>
      </c>
      <c r="C504" s="1"/>
      <c r="D504" s="1"/>
      <c r="E504" s="1"/>
      <c r="F504" s="1"/>
      <c r="G504" s="1"/>
      <c r="H504" s="1"/>
      <c r="I504" s="1"/>
      <c r="J504" s="1"/>
    </row>
    <row r="505" spans="1:10" x14ac:dyDescent="0.25">
      <c r="A505" t="s">
        <v>824</v>
      </c>
      <c r="B505" t="s">
        <v>553</v>
      </c>
      <c r="C505" s="1">
        <v>716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/>
    </row>
    <row r="506" spans="1:10" x14ac:dyDescent="0.25">
      <c r="A506" t="s">
        <v>512</v>
      </c>
      <c r="B506" t="s">
        <v>554</v>
      </c>
      <c r="C506" s="1">
        <v>8692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/>
    </row>
    <row r="507" spans="1:10" x14ac:dyDescent="0.25">
      <c r="A507" t="s">
        <v>788</v>
      </c>
      <c r="B507" t="s">
        <v>555</v>
      </c>
      <c r="C507" s="1">
        <v>57243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/>
    </row>
    <row r="508" spans="1:10" x14ac:dyDescent="0.25">
      <c r="A508" t="s">
        <v>101</v>
      </c>
      <c r="B508" t="s">
        <v>556</v>
      </c>
      <c r="C508" s="1">
        <v>14978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/>
    </row>
    <row r="509" spans="1:10" x14ac:dyDescent="0.25">
      <c r="A509" t="s">
        <v>796</v>
      </c>
      <c r="B509" t="s">
        <v>557</v>
      </c>
      <c r="C509" s="1"/>
      <c r="D509" s="1"/>
      <c r="E509" s="1"/>
      <c r="F509" s="1"/>
      <c r="G509" s="1"/>
      <c r="H509" s="1"/>
      <c r="I509" s="1"/>
      <c r="J509" s="1"/>
    </row>
    <row r="510" spans="1:10" x14ac:dyDescent="0.25">
      <c r="A510" t="s">
        <v>817</v>
      </c>
      <c r="B510" t="s">
        <v>558</v>
      </c>
      <c r="C510" s="1">
        <v>2784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/>
    </row>
    <row r="511" spans="1:10" x14ac:dyDescent="0.25">
      <c r="A511" t="s">
        <v>76</v>
      </c>
      <c r="B511" t="s">
        <v>559</v>
      </c>
      <c r="C511" s="1"/>
      <c r="D511" s="1"/>
      <c r="E511" s="1"/>
      <c r="F511" s="1"/>
      <c r="G511" s="1"/>
      <c r="H511" s="1"/>
      <c r="I511" s="1"/>
      <c r="J511" s="1"/>
    </row>
    <row r="512" spans="1:10" x14ac:dyDescent="0.25">
      <c r="A512" t="s">
        <v>801</v>
      </c>
      <c r="B512" t="s">
        <v>560</v>
      </c>
      <c r="C512" s="1"/>
      <c r="D512" s="1"/>
      <c r="E512" s="1"/>
      <c r="F512" s="1"/>
      <c r="G512" s="1"/>
      <c r="H512" s="1"/>
      <c r="I512" s="1"/>
      <c r="J512" s="1"/>
    </row>
    <row r="513" spans="1:10" x14ac:dyDescent="0.25">
      <c r="A513" t="s">
        <v>796</v>
      </c>
      <c r="B513" t="s">
        <v>561</v>
      </c>
      <c r="C513" s="1"/>
      <c r="D513" s="1"/>
      <c r="E513" s="1"/>
      <c r="F513" s="1"/>
      <c r="G513" s="1"/>
      <c r="H513" s="1"/>
      <c r="I513" s="1"/>
      <c r="J513" s="1"/>
    </row>
    <row r="514" spans="1:10" x14ac:dyDescent="0.25">
      <c r="A514" t="s">
        <v>817</v>
      </c>
      <c r="B514" t="s">
        <v>562</v>
      </c>
      <c r="C514" s="1">
        <v>4398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/>
    </row>
    <row r="515" spans="1:10" x14ac:dyDescent="0.25">
      <c r="A515" t="s">
        <v>248</v>
      </c>
      <c r="B515" t="s">
        <v>563</v>
      </c>
      <c r="C515" s="1">
        <v>15988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/>
    </row>
    <row r="516" spans="1:10" x14ac:dyDescent="0.25">
      <c r="A516" t="s">
        <v>791</v>
      </c>
      <c r="B516" t="s">
        <v>564</v>
      </c>
      <c r="C516" s="1">
        <v>5792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/>
    </row>
    <row r="517" spans="1:10" x14ac:dyDescent="0.25">
      <c r="A517" t="s">
        <v>69</v>
      </c>
      <c r="B517" t="s">
        <v>565</v>
      </c>
      <c r="C517" s="1"/>
      <c r="D517" s="1"/>
      <c r="E517" s="1"/>
      <c r="F517" s="1"/>
      <c r="G517" s="1"/>
      <c r="H517" s="1"/>
      <c r="I517" s="1"/>
      <c r="J517" s="1"/>
    </row>
    <row r="518" spans="1:10" x14ac:dyDescent="0.25">
      <c r="A518" t="s">
        <v>794</v>
      </c>
      <c r="B518" t="s">
        <v>566</v>
      </c>
      <c r="C518" s="1"/>
      <c r="D518" s="1"/>
      <c r="E518" s="1"/>
      <c r="F518" s="1"/>
      <c r="G518" s="1"/>
      <c r="H518" s="1"/>
      <c r="I518" s="1"/>
      <c r="J518" s="1"/>
    </row>
    <row r="519" spans="1:10" x14ac:dyDescent="0.25">
      <c r="A519" t="s">
        <v>797</v>
      </c>
      <c r="B519" t="s">
        <v>567</v>
      </c>
      <c r="C519" s="1">
        <v>445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/>
    </row>
    <row r="520" spans="1:10" x14ac:dyDescent="0.25">
      <c r="A520" t="s">
        <v>826</v>
      </c>
      <c r="B520" t="s">
        <v>568</v>
      </c>
      <c r="C520" s="1">
        <v>1155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/>
    </row>
    <row r="521" spans="1:10" x14ac:dyDescent="0.25">
      <c r="A521" t="s">
        <v>864</v>
      </c>
      <c r="B521" t="s">
        <v>569</v>
      </c>
      <c r="C521" s="1">
        <v>7050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/>
    </row>
    <row r="522" spans="1:10" x14ac:dyDescent="0.25">
      <c r="A522" t="s">
        <v>826</v>
      </c>
      <c r="B522" t="s">
        <v>570</v>
      </c>
      <c r="C522" s="1">
        <v>1138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/>
    </row>
    <row r="523" spans="1:10" x14ac:dyDescent="0.25">
      <c r="A523" t="s">
        <v>72</v>
      </c>
      <c r="B523" t="s">
        <v>571</v>
      </c>
      <c r="C523" s="1">
        <v>13323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/>
    </row>
    <row r="524" spans="1:10" x14ac:dyDescent="0.25">
      <c r="A524" t="s">
        <v>801</v>
      </c>
      <c r="B524" t="s">
        <v>572</v>
      </c>
      <c r="C524" s="1"/>
      <c r="D524" s="1"/>
      <c r="E524" s="1"/>
      <c r="F524" s="1"/>
      <c r="G524" s="1"/>
      <c r="H524" s="1"/>
      <c r="I524" s="1"/>
      <c r="J524" s="1"/>
    </row>
    <row r="525" spans="1:10" x14ac:dyDescent="0.25">
      <c r="A525" t="s">
        <v>859</v>
      </c>
      <c r="B525" t="s">
        <v>573</v>
      </c>
      <c r="C525" s="1">
        <v>1833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/>
    </row>
    <row r="526" spans="1:10" x14ac:dyDescent="0.25">
      <c r="A526" t="s">
        <v>816</v>
      </c>
      <c r="B526" t="s">
        <v>574</v>
      </c>
      <c r="C526" s="1"/>
      <c r="D526" s="1"/>
      <c r="E526" s="1"/>
      <c r="F526" s="1"/>
      <c r="G526" s="1"/>
      <c r="H526" s="1"/>
      <c r="I526" s="1"/>
      <c r="J526" s="1"/>
    </row>
    <row r="527" spans="1:10" x14ac:dyDescent="0.25">
      <c r="A527" t="s">
        <v>864</v>
      </c>
      <c r="B527" t="s">
        <v>575</v>
      </c>
      <c r="C527" s="1">
        <v>17938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/>
    </row>
    <row r="528" spans="1:10" x14ac:dyDescent="0.25">
      <c r="A528" t="s">
        <v>146</v>
      </c>
      <c r="B528" t="s">
        <v>576</v>
      </c>
      <c r="C528" s="1">
        <v>1447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/>
    </row>
    <row r="529" spans="1:10" x14ac:dyDescent="0.25">
      <c r="A529" t="s">
        <v>794</v>
      </c>
      <c r="B529" t="s">
        <v>577</v>
      </c>
      <c r="C529" s="1"/>
      <c r="D529" s="1"/>
      <c r="E529" s="1"/>
      <c r="F529" s="1"/>
      <c r="G529" s="1"/>
      <c r="H529" s="1"/>
      <c r="I529" s="1"/>
      <c r="J529" s="1"/>
    </row>
    <row r="530" spans="1:10" x14ac:dyDescent="0.25">
      <c r="A530" t="s">
        <v>146</v>
      </c>
      <c r="B530" t="s">
        <v>578</v>
      </c>
      <c r="C530" s="1">
        <v>12298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/>
    </row>
    <row r="531" spans="1:10" x14ac:dyDescent="0.25">
      <c r="A531" t="s">
        <v>832</v>
      </c>
      <c r="B531" t="s">
        <v>579</v>
      </c>
      <c r="C531" s="1"/>
      <c r="D531" s="1"/>
      <c r="E531" s="1"/>
      <c r="F531" s="1"/>
      <c r="G531" s="1"/>
      <c r="H531" s="1"/>
      <c r="I531" s="1"/>
      <c r="J531" s="1"/>
    </row>
    <row r="532" spans="1:10" x14ac:dyDescent="0.25">
      <c r="A532" t="s">
        <v>839</v>
      </c>
      <c r="B532" t="s">
        <v>580</v>
      </c>
      <c r="C532" s="1">
        <v>9255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/>
    </row>
    <row r="533" spans="1:10" x14ac:dyDescent="0.25">
      <c r="A533" t="s">
        <v>794</v>
      </c>
      <c r="B533" t="s">
        <v>581</v>
      </c>
      <c r="C533" s="1"/>
      <c r="D533" s="1"/>
      <c r="E533" s="1"/>
      <c r="F533" s="1"/>
      <c r="G533" s="1"/>
      <c r="H533" s="1"/>
      <c r="I533" s="1"/>
      <c r="J533" s="1"/>
    </row>
    <row r="534" spans="1:10" x14ac:dyDescent="0.25">
      <c r="A534" t="s">
        <v>794</v>
      </c>
      <c r="B534" t="s">
        <v>582</v>
      </c>
      <c r="C534" s="1"/>
      <c r="D534" s="1"/>
      <c r="E534" s="1"/>
      <c r="F534" s="1"/>
      <c r="G534" s="1"/>
      <c r="H534" s="1"/>
      <c r="I534" s="1"/>
      <c r="J534" s="1"/>
    </row>
    <row r="535" spans="1:10" x14ac:dyDescent="0.25">
      <c r="A535" t="s">
        <v>794</v>
      </c>
      <c r="B535" t="s">
        <v>583</v>
      </c>
      <c r="C535" s="1"/>
      <c r="D535" s="1"/>
      <c r="E535" s="1"/>
      <c r="F535" s="1"/>
      <c r="G535" s="1"/>
      <c r="H535" s="1"/>
      <c r="I535" s="1"/>
      <c r="J535" s="1"/>
    </row>
    <row r="536" spans="1:10" x14ac:dyDescent="0.25">
      <c r="A536" t="s">
        <v>120</v>
      </c>
      <c r="B536" t="s">
        <v>584</v>
      </c>
      <c r="C536" s="1">
        <v>625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/>
    </row>
    <row r="537" spans="1:10" x14ac:dyDescent="0.25">
      <c r="A537" t="s">
        <v>837</v>
      </c>
      <c r="B537" t="s">
        <v>585</v>
      </c>
      <c r="C537" s="1"/>
      <c r="D537" s="1"/>
      <c r="E537" s="1"/>
      <c r="F537" s="1"/>
      <c r="G537" s="1"/>
      <c r="H537" s="1"/>
      <c r="I537" s="1"/>
      <c r="J537" s="1"/>
    </row>
    <row r="538" spans="1:10" x14ac:dyDescent="0.25">
      <c r="A538" t="s">
        <v>794</v>
      </c>
      <c r="B538" t="s">
        <v>586</v>
      </c>
      <c r="C538" s="1"/>
      <c r="D538" s="1"/>
      <c r="E538" s="1"/>
      <c r="F538" s="1"/>
      <c r="G538" s="1"/>
      <c r="H538" s="1"/>
      <c r="I538" s="1"/>
      <c r="J538" s="1"/>
    </row>
    <row r="539" spans="1:10" x14ac:dyDescent="0.25">
      <c r="A539" t="s">
        <v>836</v>
      </c>
      <c r="B539" t="s">
        <v>587</v>
      </c>
      <c r="C539" s="1"/>
      <c r="D539" s="1"/>
      <c r="E539" s="1"/>
      <c r="F539" s="1"/>
      <c r="G539" s="1"/>
      <c r="H539" s="1"/>
      <c r="I539" s="1"/>
      <c r="J539" s="1"/>
    </row>
    <row r="540" spans="1:10" x14ac:dyDescent="0.25">
      <c r="A540" t="s">
        <v>844</v>
      </c>
      <c r="B540" t="s">
        <v>588</v>
      </c>
      <c r="C540" s="1"/>
      <c r="D540" s="1"/>
      <c r="E540" s="1"/>
      <c r="F540" s="1"/>
      <c r="G540" s="1"/>
      <c r="H540" s="1"/>
      <c r="I540" s="1"/>
      <c r="J540" s="1"/>
    </row>
    <row r="541" spans="1:10" x14ac:dyDescent="0.25">
      <c r="A541" t="s">
        <v>838</v>
      </c>
      <c r="B541" t="s">
        <v>589</v>
      </c>
      <c r="C541" s="1"/>
      <c r="D541" s="1"/>
      <c r="E541" s="1"/>
      <c r="F541" s="1"/>
      <c r="G541" s="1"/>
      <c r="H541" s="1"/>
      <c r="I541" s="1"/>
      <c r="J541" s="1"/>
    </row>
    <row r="542" spans="1:10" x14ac:dyDescent="0.25">
      <c r="A542" t="s">
        <v>833</v>
      </c>
      <c r="B542" t="s">
        <v>590</v>
      </c>
      <c r="C542" s="1"/>
      <c r="D542" s="1"/>
      <c r="E542" s="1"/>
      <c r="F542" s="1"/>
      <c r="G542" s="1"/>
      <c r="H542" s="1"/>
      <c r="I542" s="1"/>
      <c r="J542" s="1"/>
    </row>
    <row r="543" spans="1:10" x14ac:dyDescent="0.25">
      <c r="A543" t="s">
        <v>845</v>
      </c>
      <c r="B543" t="s">
        <v>591</v>
      </c>
      <c r="C543" s="1"/>
      <c r="D543" s="1"/>
      <c r="E543" s="1"/>
      <c r="F543" s="1"/>
      <c r="G543" s="1"/>
      <c r="H543" s="1"/>
      <c r="I543" s="1"/>
      <c r="J543" s="1"/>
    </row>
    <row r="544" spans="1:10" x14ac:dyDescent="0.25">
      <c r="A544" t="s">
        <v>794</v>
      </c>
      <c r="B544" t="s">
        <v>592</v>
      </c>
      <c r="C544" s="1"/>
      <c r="D544" s="1"/>
      <c r="E544" s="1"/>
      <c r="F544" s="1"/>
      <c r="G544" s="1"/>
      <c r="H544" s="1"/>
      <c r="I544" s="1"/>
      <c r="J544" s="1"/>
    </row>
    <row r="545" spans="1:10" x14ac:dyDescent="0.25">
      <c r="A545" t="s">
        <v>843</v>
      </c>
      <c r="B545" t="s">
        <v>593</v>
      </c>
      <c r="C545" s="1"/>
      <c r="D545" s="1"/>
      <c r="E545" s="1"/>
      <c r="F545" s="1"/>
      <c r="G545" s="1"/>
      <c r="H545" s="1"/>
      <c r="I545" s="1"/>
      <c r="J545" s="1"/>
    </row>
    <row r="546" spans="1:10" x14ac:dyDescent="0.25">
      <c r="A546" t="s">
        <v>863</v>
      </c>
      <c r="B546" t="s">
        <v>594</v>
      </c>
      <c r="C546" s="1"/>
      <c r="D546" s="1"/>
      <c r="E546" s="1"/>
      <c r="F546" s="1"/>
      <c r="G546" s="1"/>
      <c r="H546" s="1"/>
      <c r="I546" s="1"/>
      <c r="J546" s="1"/>
    </row>
    <row r="547" spans="1:10" x14ac:dyDescent="0.25">
      <c r="A547" t="s">
        <v>804</v>
      </c>
      <c r="B547" t="s">
        <v>595</v>
      </c>
      <c r="C547" s="1">
        <v>1776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/>
    </row>
    <row r="548" spans="1:10" x14ac:dyDescent="0.25">
      <c r="A548" t="s">
        <v>795</v>
      </c>
      <c r="B548" t="s">
        <v>596</v>
      </c>
      <c r="C548" s="1">
        <v>4342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/>
    </row>
    <row r="549" spans="1:10" x14ac:dyDescent="0.25">
      <c r="A549" t="s">
        <v>101</v>
      </c>
      <c r="B549" t="s">
        <v>597</v>
      </c>
      <c r="C549" s="1">
        <v>8484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/>
    </row>
    <row r="550" spans="1:10" x14ac:dyDescent="0.25">
      <c r="A550" t="s">
        <v>835</v>
      </c>
      <c r="B550" t="s">
        <v>598</v>
      </c>
      <c r="C550" s="1"/>
      <c r="D550" s="1"/>
      <c r="E550" s="1"/>
      <c r="F550" s="1"/>
      <c r="G550" s="1"/>
      <c r="H550" s="1"/>
      <c r="I550" s="1"/>
      <c r="J550" s="1"/>
    </row>
    <row r="551" spans="1:10" x14ac:dyDescent="0.25">
      <c r="A551" t="s">
        <v>842</v>
      </c>
      <c r="B551" t="s">
        <v>599</v>
      </c>
      <c r="C551" s="1"/>
      <c r="D551" s="1"/>
      <c r="E551" s="1"/>
      <c r="F551" s="1"/>
      <c r="G551" s="1"/>
      <c r="H551" s="1"/>
      <c r="I551" s="1"/>
      <c r="J551" s="1"/>
    </row>
    <row r="552" spans="1:10" x14ac:dyDescent="0.25">
      <c r="A552" t="s">
        <v>226</v>
      </c>
      <c r="B552" t="s">
        <v>600</v>
      </c>
      <c r="C552" s="1">
        <v>1737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/>
    </row>
    <row r="553" spans="1:10" x14ac:dyDescent="0.25">
      <c r="A553" t="s">
        <v>817</v>
      </c>
      <c r="B553" t="s">
        <v>601</v>
      </c>
      <c r="C553" s="1">
        <v>9576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/>
    </row>
    <row r="554" spans="1:10" x14ac:dyDescent="0.25">
      <c r="A554" t="s">
        <v>788</v>
      </c>
      <c r="B554" t="s">
        <v>602</v>
      </c>
      <c r="C554" s="1">
        <v>14329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/>
    </row>
    <row r="555" spans="1:10" x14ac:dyDescent="0.25">
      <c r="A555" t="s">
        <v>859</v>
      </c>
      <c r="B555" t="s">
        <v>603</v>
      </c>
      <c r="C555" s="1">
        <v>757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/>
    </row>
    <row r="556" spans="1:10" x14ac:dyDescent="0.25">
      <c r="A556" t="s">
        <v>831</v>
      </c>
      <c r="B556" t="s">
        <v>604</v>
      </c>
      <c r="C556" s="1">
        <v>7416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/>
    </row>
    <row r="557" spans="1:10" x14ac:dyDescent="0.25">
      <c r="A557" t="s">
        <v>809</v>
      </c>
      <c r="B557" t="s">
        <v>605</v>
      </c>
      <c r="C557" s="1"/>
      <c r="D557" s="1"/>
      <c r="E557" s="1"/>
      <c r="F557" s="1"/>
      <c r="G557" s="1"/>
      <c r="H557" s="1"/>
      <c r="I557" s="1"/>
      <c r="J557" s="1"/>
    </row>
    <row r="558" spans="1:10" x14ac:dyDescent="0.25">
      <c r="A558" t="s">
        <v>817</v>
      </c>
      <c r="B558" t="s">
        <v>606</v>
      </c>
      <c r="C558" s="1">
        <v>43227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/>
    </row>
    <row r="559" spans="1:10" x14ac:dyDescent="0.25">
      <c r="A559" t="s">
        <v>824</v>
      </c>
      <c r="B559" t="s">
        <v>607</v>
      </c>
      <c r="C559" s="1">
        <v>1947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/>
    </row>
    <row r="560" spans="1:10" x14ac:dyDescent="0.25">
      <c r="A560" t="s">
        <v>138</v>
      </c>
      <c r="B560" t="s">
        <v>608</v>
      </c>
      <c r="C560" s="1"/>
      <c r="D560" s="1"/>
      <c r="E560" s="1"/>
      <c r="F560" s="1"/>
      <c r="G560" s="1"/>
      <c r="H560" s="1"/>
      <c r="I560" s="1"/>
      <c r="J560" s="1"/>
    </row>
    <row r="561" spans="1:10" x14ac:dyDescent="0.25">
      <c r="A561" t="s">
        <v>859</v>
      </c>
      <c r="B561" t="s">
        <v>609</v>
      </c>
      <c r="C561" s="1">
        <v>1116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/>
    </row>
    <row r="562" spans="1:10" x14ac:dyDescent="0.25">
      <c r="A562" t="s">
        <v>817</v>
      </c>
      <c r="B562" t="s">
        <v>610</v>
      </c>
      <c r="C562" s="1">
        <v>15853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/>
    </row>
    <row r="563" spans="1:10" x14ac:dyDescent="0.25">
      <c r="A563" t="s">
        <v>817</v>
      </c>
      <c r="B563" t="s">
        <v>611</v>
      </c>
      <c r="C563" s="1">
        <v>8004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/>
    </row>
    <row r="564" spans="1:10" x14ac:dyDescent="0.25">
      <c r="A564" t="s">
        <v>134</v>
      </c>
      <c r="B564" t="s">
        <v>612</v>
      </c>
      <c r="C564" s="1">
        <v>23617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/>
    </row>
    <row r="565" spans="1:10" x14ac:dyDescent="0.25">
      <c r="A565" t="s">
        <v>817</v>
      </c>
      <c r="B565" t="s">
        <v>613</v>
      </c>
      <c r="C565" s="1">
        <v>25247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/>
    </row>
    <row r="566" spans="1:10" x14ac:dyDescent="0.25">
      <c r="A566" t="s">
        <v>817</v>
      </c>
      <c r="B566" t="s">
        <v>614</v>
      </c>
      <c r="C566" s="1">
        <v>1673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/>
    </row>
    <row r="567" spans="1:10" x14ac:dyDescent="0.25">
      <c r="A567" t="s">
        <v>826</v>
      </c>
      <c r="B567" t="s">
        <v>615</v>
      </c>
      <c r="C567" s="1">
        <v>4126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/>
    </row>
    <row r="568" spans="1:10" x14ac:dyDescent="0.25">
      <c r="A568" t="s">
        <v>101</v>
      </c>
      <c r="B568" t="s">
        <v>616</v>
      </c>
      <c r="C568" s="1">
        <v>4899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/>
    </row>
    <row r="569" spans="1:10" x14ac:dyDescent="0.25">
      <c r="A569" t="s">
        <v>811</v>
      </c>
      <c r="B569" t="s">
        <v>617</v>
      </c>
      <c r="C569" s="1">
        <v>2056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/>
    </row>
    <row r="570" spans="1:10" x14ac:dyDescent="0.25">
      <c r="A570" t="s">
        <v>101</v>
      </c>
      <c r="B570" t="s">
        <v>618</v>
      </c>
      <c r="C570" s="1">
        <v>3116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/>
    </row>
    <row r="571" spans="1:10" x14ac:dyDescent="0.25">
      <c r="A571" t="s">
        <v>788</v>
      </c>
      <c r="B571" t="s">
        <v>619</v>
      </c>
      <c r="C571" s="1">
        <v>8768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/>
    </row>
    <row r="572" spans="1:10" x14ac:dyDescent="0.25">
      <c r="A572" t="s">
        <v>817</v>
      </c>
      <c r="B572" t="s">
        <v>620</v>
      </c>
      <c r="C572" s="1">
        <v>10789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/>
    </row>
    <row r="573" spans="1:10" x14ac:dyDescent="0.25">
      <c r="A573" t="s">
        <v>248</v>
      </c>
      <c r="B573" t="s">
        <v>621</v>
      </c>
      <c r="C573" s="1">
        <v>3245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/>
    </row>
    <row r="574" spans="1:10" x14ac:dyDescent="0.25">
      <c r="A574" t="s">
        <v>831</v>
      </c>
      <c r="B574" t="s">
        <v>622</v>
      </c>
      <c r="C574" s="1">
        <v>15521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/>
    </row>
    <row r="575" spans="1:10" x14ac:dyDescent="0.25">
      <c r="A575" t="s">
        <v>823</v>
      </c>
      <c r="B575" t="s">
        <v>623</v>
      </c>
      <c r="C575" s="1">
        <v>2485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/>
    </row>
    <row r="576" spans="1:10" x14ac:dyDescent="0.25">
      <c r="A576" t="s">
        <v>817</v>
      </c>
      <c r="B576" t="s">
        <v>624</v>
      </c>
      <c r="C576" s="1">
        <v>5127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/>
    </row>
    <row r="577" spans="1:10" x14ac:dyDescent="0.25">
      <c r="A577" t="s">
        <v>76</v>
      </c>
      <c r="B577" t="s">
        <v>625</v>
      </c>
      <c r="C577" s="1"/>
      <c r="D577" s="1"/>
      <c r="E577" s="1"/>
      <c r="F577" s="1"/>
      <c r="G577" s="1"/>
      <c r="H577" s="1"/>
      <c r="I577" s="1"/>
      <c r="J577" s="1"/>
    </row>
    <row r="578" spans="1:10" x14ac:dyDescent="0.25">
      <c r="A578" t="s">
        <v>69</v>
      </c>
      <c r="B578" t="s">
        <v>626</v>
      </c>
      <c r="C578" s="1"/>
      <c r="D578" s="1"/>
      <c r="E578" s="1"/>
      <c r="F578" s="1"/>
      <c r="G578" s="1"/>
      <c r="H578" s="1"/>
      <c r="I578" s="1"/>
      <c r="J578" s="1"/>
    </row>
    <row r="579" spans="1:10" x14ac:dyDescent="0.25">
      <c r="A579" t="s">
        <v>83</v>
      </c>
      <c r="B579" t="s">
        <v>627</v>
      </c>
      <c r="C579" s="1"/>
      <c r="D579" s="1"/>
      <c r="E579" s="1"/>
      <c r="F579" s="1"/>
      <c r="G579" s="1"/>
      <c r="H579" s="1"/>
      <c r="I579" s="1"/>
      <c r="J579" s="1"/>
    </row>
    <row r="580" spans="1:10" x14ac:dyDescent="0.25">
      <c r="A580" t="s">
        <v>791</v>
      </c>
      <c r="B580" t="s">
        <v>628</v>
      </c>
      <c r="C580" s="1">
        <v>2346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/>
    </row>
    <row r="581" spans="1:10" x14ac:dyDescent="0.25">
      <c r="A581" t="s">
        <v>797</v>
      </c>
      <c r="B581" t="s">
        <v>629</v>
      </c>
      <c r="C581" s="1">
        <v>464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/>
    </row>
    <row r="582" spans="1:10" x14ac:dyDescent="0.25">
      <c r="A582" t="s">
        <v>69</v>
      </c>
      <c r="B582" t="s">
        <v>630</v>
      </c>
      <c r="C582" s="1"/>
      <c r="D582" s="1"/>
      <c r="E582" s="1"/>
      <c r="F582" s="1"/>
      <c r="G582" s="1"/>
      <c r="H582" s="1"/>
      <c r="I582" s="1"/>
      <c r="J582" s="1"/>
    </row>
    <row r="583" spans="1:10" x14ac:dyDescent="0.25">
      <c r="A583" t="s">
        <v>69</v>
      </c>
      <c r="B583" t="s">
        <v>631</v>
      </c>
      <c r="C583" s="1"/>
      <c r="D583" s="1"/>
      <c r="E583" s="1"/>
      <c r="F583" s="1"/>
      <c r="G583" s="1"/>
      <c r="H583" s="1"/>
      <c r="I583" s="1"/>
      <c r="J583" s="1"/>
    </row>
    <row r="584" spans="1:10" x14ac:dyDescent="0.25">
      <c r="A584" t="s">
        <v>823</v>
      </c>
      <c r="B584" t="s">
        <v>632</v>
      </c>
      <c r="C584" s="1">
        <v>1457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/>
    </row>
    <row r="585" spans="1:10" x14ac:dyDescent="0.25">
      <c r="A585" t="s">
        <v>76</v>
      </c>
      <c r="B585" t="s">
        <v>633</v>
      </c>
      <c r="C585" s="1"/>
      <c r="D585" s="1"/>
      <c r="E585" s="1"/>
      <c r="F585" s="1"/>
      <c r="G585" s="1"/>
      <c r="H585" s="1"/>
      <c r="I585" s="1"/>
      <c r="J585" s="1"/>
    </row>
    <row r="586" spans="1:10" x14ac:dyDescent="0.25">
      <c r="A586" t="s">
        <v>817</v>
      </c>
      <c r="B586" t="s">
        <v>634</v>
      </c>
      <c r="C586" s="1">
        <v>3972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/>
    </row>
    <row r="587" spans="1:10" x14ac:dyDescent="0.25">
      <c r="A587" t="s">
        <v>801</v>
      </c>
      <c r="B587" t="s">
        <v>635</v>
      </c>
      <c r="C587" s="1"/>
      <c r="D587" s="1"/>
      <c r="E587" s="1"/>
      <c r="F587" s="1"/>
      <c r="G587" s="1"/>
      <c r="H587" s="1"/>
      <c r="I587" s="1"/>
      <c r="J587" s="1"/>
    </row>
    <row r="588" spans="1:10" x14ac:dyDescent="0.25">
      <c r="A588" t="s">
        <v>817</v>
      </c>
      <c r="B588" t="s">
        <v>636</v>
      </c>
      <c r="C588" s="1">
        <v>5759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/>
    </row>
    <row r="589" spans="1:10" x14ac:dyDescent="0.25">
      <c r="A589" t="s">
        <v>824</v>
      </c>
      <c r="B589" t="s">
        <v>637</v>
      </c>
      <c r="C589" s="1">
        <v>3660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/>
    </row>
    <row r="590" spans="1:10" x14ac:dyDescent="0.25">
      <c r="A590" t="s">
        <v>818</v>
      </c>
      <c r="B590" t="s">
        <v>638</v>
      </c>
      <c r="C590" s="1"/>
      <c r="D590" s="1"/>
      <c r="E590" s="1"/>
      <c r="F590" s="1"/>
      <c r="G590" s="1"/>
      <c r="H590" s="1"/>
      <c r="I590" s="1"/>
      <c r="J590" s="1"/>
    </row>
    <row r="591" spans="1:10" x14ac:dyDescent="0.25">
      <c r="A591" t="s">
        <v>817</v>
      </c>
      <c r="B591" t="s">
        <v>639</v>
      </c>
      <c r="C591" s="1">
        <v>10985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/>
    </row>
    <row r="592" spans="1:10" x14ac:dyDescent="0.25">
      <c r="A592" t="s">
        <v>811</v>
      </c>
      <c r="B592" t="s">
        <v>640</v>
      </c>
      <c r="C592" s="1">
        <v>57791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/>
    </row>
    <row r="593" spans="1:10" x14ac:dyDescent="0.25">
      <c r="A593" t="s">
        <v>811</v>
      </c>
      <c r="B593" t="s">
        <v>641</v>
      </c>
      <c r="C593" s="1">
        <v>14658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/>
    </row>
    <row r="594" spans="1:10" x14ac:dyDescent="0.25">
      <c r="A594" t="s">
        <v>76</v>
      </c>
      <c r="B594" t="s">
        <v>642</v>
      </c>
      <c r="C594" s="1"/>
      <c r="D594" s="1"/>
      <c r="E594" s="1"/>
      <c r="F594" s="1"/>
      <c r="G594" s="1"/>
      <c r="H594" s="1"/>
      <c r="I594" s="1"/>
      <c r="J594" s="1"/>
    </row>
    <row r="595" spans="1:10" x14ac:dyDescent="0.25">
      <c r="A595" t="s">
        <v>817</v>
      </c>
      <c r="B595" t="s">
        <v>643</v>
      </c>
      <c r="C595" s="1">
        <v>664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/>
    </row>
    <row r="596" spans="1:10" x14ac:dyDescent="0.25">
      <c r="A596" t="s">
        <v>76</v>
      </c>
      <c r="B596" t="s">
        <v>644</v>
      </c>
      <c r="C596" s="1"/>
      <c r="D596" s="1"/>
      <c r="E596" s="1"/>
      <c r="F596" s="1"/>
      <c r="G596" s="1"/>
      <c r="H596" s="1"/>
      <c r="I596" s="1"/>
      <c r="J596" s="1"/>
    </row>
    <row r="597" spans="1:10" x14ac:dyDescent="0.25">
      <c r="A597" t="s">
        <v>817</v>
      </c>
      <c r="B597" t="s">
        <v>645</v>
      </c>
      <c r="C597" s="1">
        <v>21108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/>
    </row>
    <row r="598" spans="1:10" x14ac:dyDescent="0.25">
      <c r="A598" t="s">
        <v>817</v>
      </c>
      <c r="B598" t="s">
        <v>646</v>
      </c>
      <c r="C598" s="1">
        <v>4482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/>
    </row>
    <row r="599" spans="1:10" x14ac:dyDescent="0.25">
      <c r="A599" t="s">
        <v>226</v>
      </c>
      <c r="B599" t="s">
        <v>647</v>
      </c>
      <c r="C599" s="1">
        <v>688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/>
    </row>
    <row r="600" spans="1:10" x14ac:dyDescent="0.25">
      <c r="A600" t="s">
        <v>831</v>
      </c>
      <c r="B600" t="s">
        <v>648</v>
      </c>
      <c r="C600" s="1">
        <v>14242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/>
    </row>
    <row r="601" spans="1:10" x14ac:dyDescent="0.25">
      <c r="A601" t="s">
        <v>818</v>
      </c>
      <c r="B601" t="s">
        <v>649</v>
      </c>
      <c r="C601" s="1"/>
      <c r="D601" s="1"/>
      <c r="E601" s="1"/>
      <c r="F601" s="1"/>
      <c r="G601" s="1"/>
      <c r="H601" s="1"/>
      <c r="I601" s="1"/>
      <c r="J601" s="1"/>
    </row>
    <row r="602" spans="1:10" x14ac:dyDescent="0.25">
      <c r="A602" t="s">
        <v>817</v>
      </c>
      <c r="B602" t="s">
        <v>650</v>
      </c>
      <c r="C602" s="1">
        <v>8920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/>
    </row>
    <row r="603" spans="1:10" x14ac:dyDescent="0.25">
      <c r="A603" t="s">
        <v>817</v>
      </c>
      <c r="B603" t="s">
        <v>651</v>
      </c>
      <c r="C603" s="1">
        <v>7413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/>
    </row>
    <row r="604" spans="1:10" x14ac:dyDescent="0.25">
      <c r="A604" t="s">
        <v>817</v>
      </c>
      <c r="B604" t="s">
        <v>652</v>
      </c>
      <c r="C604" s="1">
        <v>1198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/>
    </row>
    <row r="605" spans="1:10" x14ac:dyDescent="0.25">
      <c r="A605" t="s">
        <v>817</v>
      </c>
      <c r="B605" t="s">
        <v>653</v>
      </c>
      <c r="C605" s="1">
        <v>25167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/>
    </row>
    <row r="606" spans="1:10" x14ac:dyDescent="0.25">
      <c r="A606" t="s">
        <v>817</v>
      </c>
      <c r="B606" t="s">
        <v>654</v>
      </c>
      <c r="C606" s="1">
        <v>13983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/>
    </row>
    <row r="607" spans="1:10" x14ac:dyDescent="0.25">
      <c r="A607" t="s">
        <v>826</v>
      </c>
      <c r="B607" t="s">
        <v>655</v>
      </c>
      <c r="C607" s="1">
        <v>10636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/>
    </row>
    <row r="608" spans="1:10" x14ac:dyDescent="0.25">
      <c r="A608" t="s">
        <v>817</v>
      </c>
      <c r="B608" t="s">
        <v>656</v>
      </c>
      <c r="C608" s="1">
        <v>4692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/>
    </row>
    <row r="609" spans="1:10" x14ac:dyDescent="0.25">
      <c r="A609" t="s">
        <v>811</v>
      </c>
      <c r="B609" t="s">
        <v>657</v>
      </c>
      <c r="C609" s="1">
        <v>27556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/>
    </row>
    <row r="610" spans="1:10" x14ac:dyDescent="0.25">
      <c r="A610" t="s">
        <v>817</v>
      </c>
      <c r="B610" t="s">
        <v>658</v>
      </c>
      <c r="C610" s="1">
        <v>25926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/>
    </row>
    <row r="611" spans="1:10" x14ac:dyDescent="0.25">
      <c r="A611" t="s">
        <v>860</v>
      </c>
      <c r="B611" t="s">
        <v>659</v>
      </c>
      <c r="C611" s="1"/>
      <c r="D611" s="1"/>
      <c r="E611" s="1"/>
      <c r="F611" s="1"/>
      <c r="G611" s="1"/>
      <c r="H611" s="1"/>
      <c r="I611" s="1"/>
      <c r="J611" s="1"/>
    </row>
    <row r="612" spans="1:10" x14ac:dyDescent="0.25">
      <c r="A612" t="s">
        <v>248</v>
      </c>
      <c r="B612" t="s">
        <v>660</v>
      </c>
      <c r="C612" s="1">
        <v>6394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/>
    </row>
    <row r="613" spans="1:10" x14ac:dyDescent="0.25">
      <c r="A613" t="s">
        <v>861</v>
      </c>
      <c r="B613" t="s">
        <v>661</v>
      </c>
      <c r="C613" s="1"/>
      <c r="D613" s="1"/>
      <c r="E613" s="1"/>
      <c r="F613" s="1"/>
      <c r="G613" s="1"/>
      <c r="H613" s="1"/>
      <c r="I613" s="1"/>
      <c r="J613" s="1"/>
    </row>
    <row r="614" spans="1:10" x14ac:dyDescent="0.25">
      <c r="A614" t="s">
        <v>229</v>
      </c>
      <c r="B614" t="s">
        <v>662</v>
      </c>
      <c r="C614" s="1">
        <v>5015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/>
    </row>
    <row r="615" spans="1:10" x14ac:dyDescent="0.25">
      <c r="A615" t="s">
        <v>101</v>
      </c>
      <c r="B615" t="s">
        <v>663</v>
      </c>
      <c r="C615" s="1">
        <v>2680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/>
    </row>
    <row r="616" spans="1:10" x14ac:dyDescent="0.25">
      <c r="A616" t="s">
        <v>69</v>
      </c>
      <c r="B616" t="s">
        <v>664</v>
      </c>
      <c r="C616" s="1"/>
      <c r="D616" s="1"/>
      <c r="E616" s="1"/>
      <c r="F616" s="1"/>
      <c r="G616" s="1"/>
      <c r="H616" s="1"/>
      <c r="I616" s="1"/>
      <c r="J616" s="1"/>
    </row>
    <row r="617" spans="1:10" x14ac:dyDescent="0.25">
      <c r="A617" t="s">
        <v>859</v>
      </c>
      <c r="B617" t="s">
        <v>665</v>
      </c>
      <c r="C617" s="1"/>
      <c r="D617" s="1"/>
      <c r="E617" s="1"/>
      <c r="F617" s="1"/>
      <c r="G617" s="1"/>
      <c r="H617" s="1"/>
      <c r="I617" s="1"/>
      <c r="J617" s="1"/>
    </row>
    <row r="618" spans="1:10" x14ac:dyDescent="0.25">
      <c r="A618" t="s">
        <v>804</v>
      </c>
      <c r="B618" t="s">
        <v>666</v>
      </c>
      <c r="C618" s="1">
        <v>10336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/>
    </row>
    <row r="619" spans="1:10" x14ac:dyDescent="0.25">
      <c r="A619" t="s">
        <v>853</v>
      </c>
      <c r="B619" t="s">
        <v>667</v>
      </c>
      <c r="C619" s="1"/>
      <c r="D619" s="1"/>
      <c r="E619" s="1"/>
      <c r="F619" s="1"/>
      <c r="G619" s="1"/>
      <c r="H619" s="1"/>
      <c r="I619" s="1"/>
      <c r="J619" s="1"/>
    </row>
    <row r="620" spans="1:10" x14ac:dyDescent="0.25">
      <c r="A620" t="s">
        <v>862</v>
      </c>
      <c r="B620" t="s">
        <v>668</v>
      </c>
      <c r="C620" s="1"/>
      <c r="D620" s="1"/>
      <c r="E620" s="1"/>
      <c r="F620" s="1"/>
      <c r="G620" s="1"/>
      <c r="H620" s="1"/>
      <c r="I620" s="1"/>
      <c r="J620" s="1"/>
    </row>
    <row r="621" spans="1:10" x14ac:dyDescent="0.25">
      <c r="A621" t="s">
        <v>847</v>
      </c>
      <c r="B621" t="s">
        <v>669</v>
      </c>
      <c r="C621" s="1"/>
      <c r="D621" s="1"/>
      <c r="E621" s="1"/>
      <c r="F621" s="1"/>
      <c r="G621" s="1"/>
      <c r="H621" s="1"/>
      <c r="I621" s="1"/>
      <c r="J621" s="1"/>
    </row>
    <row r="622" spans="1:10" x14ac:dyDescent="0.25">
      <c r="A622" t="s">
        <v>849</v>
      </c>
      <c r="B622" t="s">
        <v>670</v>
      </c>
      <c r="C622" s="1"/>
      <c r="D622" s="1"/>
      <c r="E622" s="1"/>
      <c r="F622" s="1"/>
      <c r="G622" s="1"/>
      <c r="H622" s="1"/>
      <c r="I622" s="1"/>
      <c r="J622" s="1"/>
    </row>
    <row r="623" spans="1:10" x14ac:dyDescent="0.25">
      <c r="A623" t="s">
        <v>226</v>
      </c>
      <c r="B623" t="s">
        <v>671</v>
      </c>
      <c r="C623" s="1">
        <v>50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/>
    </row>
    <row r="624" spans="1:10" x14ac:dyDescent="0.25">
      <c r="A624" t="s">
        <v>795</v>
      </c>
      <c r="B624" t="s">
        <v>672</v>
      </c>
      <c r="C624" s="1">
        <v>27543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/>
    </row>
    <row r="625" spans="1:10" x14ac:dyDescent="0.25">
      <c r="A625" t="s">
        <v>830</v>
      </c>
      <c r="B625" t="s">
        <v>673</v>
      </c>
      <c r="C625" s="1"/>
      <c r="D625" s="1"/>
      <c r="E625" s="1"/>
      <c r="F625" s="1"/>
      <c r="G625" s="1"/>
      <c r="H625" s="1"/>
      <c r="I625" s="1"/>
      <c r="J625" s="1"/>
    </row>
    <row r="626" spans="1:10" x14ac:dyDescent="0.25">
      <c r="A626" t="s">
        <v>795</v>
      </c>
      <c r="B626" t="s">
        <v>674</v>
      </c>
      <c r="C626" s="1">
        <v>24126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/>
    </row>
    <row r="627" spans="1:10" x14ac:dyDescent="0.25">
      <c r="A627" t="s">
        <v>854</v>
      </c>
      <c r="B627" t="s">
        <v>675</v>
      </c>
      <c r="C627" s="1"/>
      <c r="D627" s="1"/>
      <c r="E627" s="1"/>
      <c r="F627" s="1"/>
      <c r="G627" s="1"/>
      <c r="H627" s="1"/>
      <c r="I627" s="1"/>
      <c r="J627" s="1"/>
    </row>
    <row r="628" spans="1:10" x14ac:dyDescent="0.25">
      <c r="A628" t="s">
        <v>101</v>
      </c>
      <c r="B628" t="s">
        <v>676</v>
      </c>
      <c r="C628" s="1">
        <v>11865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/>
    </row>
    <row r="629" spans="1:10" x14ac:dyDescent="0.25">
      <c r="A629" t="s">
        <v>226</v>
      </c>
      <c r="B629" t="s">
        <v>677</v>
      </c>
      <c r="C629" s="1">
        <v>2286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/>
    </row>
    <row r="630" spans="1:10" x14ac:dyDescent="0.25">
      <c r="A630" t="s">
        <v>138</v>
      </c>
      <c r="B630" t="s">
        <v>678</v>
      </c>
      <c r="C630" s="1"/>
      <c r="D630" s="1"/>
      <c r="E630" s="1"/>
      <c r="F630" s="1"/>
      <c r="G630" s="1"/>
      <c r="H630" s="1"/>
      <c r="I630" s="1"/>
      <c r="J630" s="1"/>
    </row>
    <row r="631" spans="1:10" x14ac:dyDescent="0.25">
      <c r="A631" t="s">
        <v>804</v>
      </c>
      <c r="B631" t="s">
        <v>679</v>
      </c>
      <c r="C631" s="1">
        <v>2124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/>
    </row>
    <row r="632" spans="1:10" x14ac:dyDescent="0.25">
      <c r="A632" t="s">
        <v>823</v>
      </c>
      <c r="B632" t="s">
        <v>680</v>
      </c>
      <c r="C632" s="1">
        <v>13711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/>
    </row>
    <row r="633" spans="1:10" x14ac:dyDescent="0.25">
      <c r="A633" t="s">
        <v>809</v>
      </c>
      <c r="B633" t="s">
        <v>681</v>
      </c>
      <c r="C633" s="1"/>
      <c r="D633" s="1"/>
      <c r="E633" s="1"/>
      <c r="F633" s="1"/>
      <c r="G633" s="1"/>
      <c r="H633" s="1"/>
      <c r="I633" s="1"/>
      <c r="J633" s="1"/>
    </row>
    <row r="634" spans="1:10" x14ac:dyDescent="0.25">
      <c r="A634" t="s">
        <v>248</v>
      </c>
      <c r="B634" t="s">
        <v>682</v>
      </c>
      <c r="C634" s="1">
        <v>9420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/>
    </row>
    <row r="635" spans="1:10" x14ac:dyDescent="0.25">
      <c r="A635" t="s">
        <v>795</v>
      </c>
      <c r="B635" t="s">
        <v>683</v>
      </c>
      <c r="C635" s="1">
        <v>15648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/>
    </row>
    <row r="636" spans="1:10" x14ac:dyDescent="0.25">
      <c r="A636" t="s">
        <v>795</v>
      </c>
      <c r="B636" t="s">
        <v>684</v>
      </c>
      <c r="C636" s="1">
        <v>44964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/>
    </row>
    <row r="637" spans="1:10" x14ac:dyDescent="0.25">
      <c r="A637" t="s">
        <v>795</v>
      </c>
      <c r="B637" t="s">
        <v>685</v>
      </c>
      <c r="C637" s="1">
        <v>5311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/>
    </row>
    <row r="638" spans="1:10" x14ac:dyDescent="0.25">
      <c r="A638" t="s">
        <v>851</v>
      </c>
      <c r="B638" t="s">
        <v>686</v>
      </c>
      <c r="C638" s="1"/>
      <c r="D638" s="1"/>
      <c r="E638" s="1"/>
      <c r="F638" s="1"/>
      <c r="G638" s="1"/>
      <c r="H638" s="1"/>
      <c r="I638" s="1"/>
      <c r="J638" s="1"/>
    </row>
    <row r="639" spans="1:10" x14ac:dyDescent="0.25">
      <c r="A639" t="s">
        <v>841</v>
      </c>
      <c r="B639" t="s">
        <v>687</v>
      </c>
      <c r="C639" s="1"/>
      <c r="D639" s="1"/>
      <c r="E639" s="1"/>
      <c r="F639" s="1"/>
      <c r="G639" s="1"/>
      <c r="H639" s="1"/>
      <c r="I639" s="1"/>
      <c r="J639" s="1"/>
    </row>
    <row r="640" spans="1:10" x14ac:dyDescent="0.25">
      <c r="A640" t="s">
        <v>859</v>
      </c>
      <c r="B640" t="s">
        <v>688</v>
      </c>
      <c r="C640" s="1">
        <v>1573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/>
    </row>
    <row r="641" spans="1:10" x14ac:dyDescent="0.25">
      <c r="A641" t="s">
        <v>248</v>
      </c>
      <c r="B641" t="s">
        <v>689</v>
      </c>
      <c r="C641" s="1">
        <v>17614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/>
    </row>
    <row r="642" spans="1:10" x14ac:dyDescent="0.25">
      <c r="A642" t="s">
        <v>831</v>
      </c>
      <c r="B642" t="s">
        <v>690</v>
      </c>
      <c r="C642" s="1">
        <v>6966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/>
    </row>
    <row r="643" spans="1:10" x14ac:dyDescent="0.25">
      <c r="A643" t="s">
        <v>840</v>
      </c>
      <c r="B643" t="s">
        <v>691</v>
      </c>
      <c r="C643" s="1"/>
      <c r="D643" s="1"/>
      <c r="E643" s="1"/>
      <c r="F643" s="1"/>
      <c r="G643" s="1"/>
      <c r="H643" s="1"/>
      <c r="I643" s="1"/>
      <c r="J643" s="1"/>
    </row>
    <row r="644" spans="1:10" x14ac:dyDescent="0.25">
      <c r="A644" t="s">
        <v>495</v>
      </c>
      <c r="B644" t="s">
        <v>692</v>
      </c>
      <c r="C644" s="1"/>
      <c r="D644" s="1"/>
      <c r="E644" s="1"/>
      <c r="F644" s="1"/>
      <c r="G644" s="1"/>
      <c r="H644" s="1"/>
      <c r="I644" s="1"/>
      <c r="J644" s="1"/>
    </row>
    <row r="645" spans="1:10" x14ac:dyDescent="0.25">
      <c r="A645" t="s">
        <v>824</v>
      </c>
      <c r="B645" t="s">
        <v>693</v>
      </c>
      <c r="C645" s="1">
        <v>4535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/>
    </row>
    <row r="646" spans="1:10" x14ac:dyDescent="0.25">
      <c r="A646" t="s">
        <v>795</v>
      </c>
      <c r="B646" t="s">
        <v>694</v>
      </c>
      <c r="C646" s="1">
        <v>3054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/>
    </row>
    <row r="647" spans="1:10" x14ac:dyDescent="0.25">
      <c r="A647" t="s">
        <v>72</v>
      </c>
      <c r="B647" t="s">
        <v>695</v>
      </c>
      <c r="C647" s="1">
        <v>2272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/>
    </row>
    <row r="648" spans="1:10" x14ac:dyDescent="0.25">
      <c r="A648" t="s">
        <v>795</v>
      </c>
      <c r="B648" t="s">
        <v>696</v>
      </c>
      <c r="C648" s="1">
        <v>7733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/>
    </row>
    <row r="649" spans="1:10" x14ac:dyDescent="0.25">
      <c r="A649" t="s">
        <v>831</v>
      </c>
      <c r="B649" t="s">
        <v>697</v>
      </c>
      <c r="C649" s="1">
        <v>6293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/>
    </row>
    <row r="650" spans="1:10" x14ac:dyDescent="0.25">
      <c r="A650" t="s">
        <v>829</v>
      </c>
      <c r="B650" t="s">
        <v>698</v>
      </c>
      <c r="C650" s="1"/>
      <c r="D650" s="1"/>
      <c r="E650" s="1"/>
      <c r="F650" s="1"/>
      <c r="G650" s="1"/>
      <c r="H650" s="1"/>
      <c r="I650" s="1"/>
      <c r="J650" s="1"/>
    </row>
    <row r="651" spans="1:10" x14ac:dyDescent="0.25">
      <c r="A651" t="s">
        <v>811</v>
      </c>
      <c r="B651" t="s">
        <v>699</v>
      </c>
      <c r="C651" s="1">
        <v>12969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/>
    </row>
    <row r="652" spans="1:10" x14ac:dyDescent="0.25">
      <c r="A652" t="s">
        <v>856</v>
      </c>
      <c r="B652" t="s">
        <v>700</v>
      </c>
      <c r="C652" s="1"/>
      <c r="D652" s="1"/>
      <c r="E652" s="1"/>
      <c r="F652" s="1"/>
      <c r="G652" s="1"/>
      <c r="H652" s="1"/>
      <c r="I652" s="1"/>
      <c r="J652" s="1"/>
    </row>
    <row r="653" spans="1:10" x14ac:dyDescent="0.25">
      <c r="A653" t="s">
        <v>796</v>
      </c>
      <c r="B653" t="s">
        <v>701</v>
      </c>
      <c r="C653" s="1"/>
      <c r="D653" s="1"/>
      <c r="E653" s="1"/>
      <c r="F653" s="1"/>
      <c r="G653" s="1"/>
      <c r="H653" s="1"/>
      <c r="I653" s="1"/>
      <c r="J653" s="1"/>
    </row>
    <row r="654" spans="1:10" x14ac:dyDescent="0.25">
      <c r="A654" t="s">
        <v>512</v>
      </c>
      <c r="B654" t="s">
        <v>702</v>
      </c>
      <c r="C654" s="1"/>
      <c r="D654" s="1"/>
      <c r="E654" s="1"/>
      <c r="F654" s="1"/>
      <c r="G654" s="1"/>
      <c r="H654" s="1"/>
      <c r="I654" s="1"/>
      <c r="J654" s="1"/>
    </row>
    <row r="655" spans="1:10" x14ac:dyDescent="0.25">
      <c r="A655" t="s">
        <v>850</v>
      </c>
      <c r="B655" t="s">
        <v>703</v>
      </c>
      <c r="C655" s="1"/>
      <c r="D655" s="1"/>
      <c r="E655" s="1"/>
      <c r="F655" s="1"/>
      <c r="G655" s="1"/>
      <c r="H655" s="1"/>
      <c r="I655" s="1"/>
      <c r="J655" s="1"/>
    </row>
    <row r="656" spans="1:10" x14ac:dyDescent="0.25">
      <c r="A656" t="s">
        <v>146</v>
      </c>
      <c r="B656" t="s">
        <v>704</v>
      </c>
      <c r="C656" s="1">
        <v>7246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/>
    </row>
    <row r="657" spans="1:10" x14ac:dyDescent="0.25">
      <c r="A657" t="s">
        <v>846</v>
      </c>
      <c r="B657" t="s">
        <v>705</v>
      </c>
      <c r="C657" s="1"/>
      <c r="D657" s="1"/>
      <c r="E657" s="1"/>
      <c r="F657" s="1"/>
      <c r="G657" s="1"/>
      <c r="H657" s="1"/>
      <c r="I657" s="1"/>
      <c r="J657" s="1"/>
    </row>
    <row r="658" spans="1:10" x14ac:dyDescent="0.25">
      <c r="A658" t="s">
        <v>855</v>
      </c>
      <c r="B658" t="s">
        <v>706</v>
      </c>
      <c r="C658" s="1"/>
      <c r="D658" s="1"/>
      <c r="E658" s="1"/>
      <c r="F658" s="1"/>
      <c r="G658" s="1"/>
      <c r="H658" s="1"/>
      <c r="I658" s="1"/>
      <c r="J658" s="1"/>
    </row>
    <row r="659" spans="1:10" x14ac:dyDescent="0.25">
      <c r="A659" t="s">
        <v>794</v>
      </c>
      <c r="B659" t="s">
        <v>707</v>
      </c>
      <c r="C659" s="1"/>
      <c r="D659" s="1"/>
      <c r="E659" s="1"/>
      <c r="F659" s="1"/>
      <c r="G659" s="1"/>
      <c r="H659" s="1"/>
      <c r="I659" s="1"/>
      <c r="J659" s="1"/>
    </row>
    <row r="660" spans="1:10" x14ac:dyDescent="0.25">
      <c r="A660" t="s">
        <v>108</v>
      </c>
      <c r="B660" t="s">
        <v>708</v>
      </c>
      <c r="C660" s="1"/>
      <c r="D660" s="1"/>
      <c r="E660" s="1"/>
      <c r="F660" s="1"/>
      <c r="G660" s="1"/>
      <c r="H660" s="1"/>
      <c r="I660" s="1"/>
      <c r="J660" s="1"/>
    </row>
    <row r="661" spans="1:10" x14ac:dyDescent="0.25">
      <c r="A661" t="s">
        <v>834</v>
      </c>
      <c r="B661" t="s">
        <v>709</v>
      </c>
      <c r="C661" s="1"/>
      <c r="D661" s="1"/>
      <c r="E661" s="1"/>
      <c r="F661" s="1"/>
      <c r="G661" s="1"/>
      <c r="H661" s="1"/>
      <c r="I661" s="1"/>
      <c r="J661" s="1"/>
    </row>
    <row r="662" spans="1:10" x14ac:dyDescent="0.25">
      <c r="A662" t="s">
        <v>852</v>
      </c>
      <c r="B662" t="s">
        <v>710</v>
      </c>
      <c r="C662" s="1"/>
      <c r="D662" s="1"/>
      <c r="E662" s="1"/>
      <c r="F662" s="1"/>
      <c r="G662" s="1"/>
      <c r="H662" s="1"/>
      <c r="I662" s="1"/>
      <c r="J662" s="1"/>
    </row>
    <row r="663" spans="1:10" x14ac:dyDescent="0.25">
      <c r="A663" t="s">
        <v>824</v>
      </c>
      <c r="B663" t="s">
        <v>711</v>
      </c>
      <c r="C663" s="1">
        <v>3951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/>
    </row>
    <row r="664" spans="1:10" x14ac:dyDescent="0.25">
      <c r="A664" t="s">
        <v>817</v>
      </c>
      <c r="B664" t="s">
        <v>712</v>
      </c>
      <c r="C664" s="1">
        <v>8752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/>
    </row>
    <row r="665" spans="1:10" x14ac:dyDescent="0.25">
      <c r="A665" t="s">
        <v>857</v>
      </c>
      <c r="B665" t="s">
        <v>713</v>
      </c>
      <c r="C665" s="1"/>
      <c r="D665" s="1"/>
      <c r="E665" s="1"/>
      <c r="F665" s="1"/>
      <c r="G665" s="1"/>
      <c r="H665" s="1"/>
      <c r="I665" s="1"/>
      <c r="J665" s="1"/>
    </row>
    <row r="666" spans="1:10" x14ac:dyDescent="0.25">
      <c r="A666" t="s">
        <v>146</v>
      </c>
      <c r="B666" t="s">
        <v>714</v>
      </c>
      <c r="C666" s="1">
        <v>15659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/>
    </row>
    <row r="667" spans="1:10" x14ac:dyDescent="0.25">
      <c r="A667" t="s">
        <v>120</v>
      </c>
      <c r="B667" t="s">
        <v>715</v>
      </c>
      <c r="C667" s="1">
        <v>5514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/>
    </row>
    <row r="668" spans="1:10" x14ac:dyDescent="0.25">
      <c r="A668" t="s">
        <v>146</v>
      </c>
      <c r="B668" t="s">
        <v>716</v>
      </c>
      <c r="C668" s="1">
        <v>3790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/>
    </row>
    <row r="669" spans="1:10" x14ac:dyDescent="0.25">
      <c r="A669" t="s">
        <v>795</v>
      </c>
      <c r="B669" t="s">
        <v>717</v>
      </c>
      <c r="C669" s="1">
        <v>6656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/>
    </row>
    <row r="670" spans="1:10" x14ac:dyDescent="0.25">
      <c r="A670" t="s">
        <v>146</v>
      </c>
      <c r="B670" t="s">
        <v>718</v>
      </c>
      <c r="C670" s="1">
        <v>12853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/>
    </row>
    <row r="671" spans="1:10" x14ac:dyDescent="0.25">
      <c r="A671" t="s">
        <v>816</v>
      </c>
      <c r="B671" t="s">
        <v>719</v>
      </c>
      <c r="C671" s="1"/>
      <c r="D671" s="1"/>
      <c r="E671" s="1"/>
      <c r="F671" s="1"/>
      <c r="G671" s="1"/>
      <c r="H671" s="1"/>
      <c r="I671" s="1"/>
      <c r="J671" s="1"/>
    </row>
    <row r="672" spans="1:10" x14ac:dyDescent="0.25">
      <c r="A672" t="s">
        <v>817</v>
      </c>
      <c r="B672" t="s">
        <v>720</v>
      </c>
      <c r="C672" s="1">
        <v>18544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/>
    </row>
    <row r="673" spans="1:10" x14ac:dyDescent="0.25">
      <c r="A673" t="s">
        <v>864</v>
      </c>
      <c r="B673" t="s">
        <v>721</v>
      </c>
      <c r="C673" s="1">
        <v>33496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/>
    </row>
    <row r="674" spans="1:10" x14ac:dyDescent="0.25">
      <c r="A674" t="s">
        <v>146</v>
      </c>
      <c r="B674" t="s">
        <v>722</v>
      </c>
      <c r="C674" s="1">
        <v>3134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/>
    </row>
    <row r="675" spans="1:10" x14ac:dyDescent="0.25">
      <c r="A675" t="s">
        <v>858</v>
      </c>
      <c r="B675" t="s">
        <v>723</v>
      </c>
      <c r="C675" s="1"/>
      <c r="D675" s="1"/>
      <c r="E675" s="1"/>
      <c r="F675" s="1"/>
      <c r="G675" s="1"/>
      <c r="H675" s="1"/>
      <c r="I675" s="1"/>
      <c r="J675" s="1"/>
    </row>
    <row r="676" spans="1:10" x14ac:dyDescent="0.25">
      <c r="A676" t="s">
        <v>864</v>
      </c>
      <c r="B676" t="s">
        <v>724</v>
      </c>
      <c r="C676" s="1">
        <v>57843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/>
    </row>
    <row r="677" spans="1:10" x14ac:dyDescent="0.25">
      <c r="A677" t="s">
        <v>794</v>
      </c>
      <c r="B677" t="s">
        <v>725</v>
      </c>
      <c r="C677" s="1"/>
      <c r="D677" s="1"/>
      <c r="E677" s="1"/>
      <c r="F677" s="1"/>
      <c r="G677" s="1"/>
      <c r="H677" s="1"/>
      <c r="I677" s="1"/>
      <c r="J677" s="1"/>
    </row>
    <row r="678" spans="1:10" x14ac:dyDescent="0.25">
      <c r="A678" t="s">
        <v>864</v>
      </c>
      <c r="B678" t="s">
        <v>726</v>
      </c>
      <c r="C678" s="1">
        <v>23428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/>
    </row>
    <row r="679" spans="1:10" x14ac:dyDescent="0.25">
      <c r="A679" t="s">
        <v>796</v>
      </c>
      <c r="B679" t="s">
        <v>727</v>
      </c>
      <c r="C679" s="1"/>
      <c r="D679" s="1"/>
      <c r="E679" s="1"/>
      <c r="F679" s="1"/>
      <c r="G679" s="1"/>
      <c r="H679" s="1"/>
      <c r="I679" s="1"/>
      <c r="J679" s="1"/>
    </row>
    <row r="680" spans="1:10" x14ac:dyDescent="0.25">
      <c r="A680" t="s">
        <v>134</v>
      </c>
      <c r="B680" t="s">
        <v>728</v>
      </c>
      <c r="C680" s="1">
        <v>1532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/>
    </row>
    <row r="681" spans="1:10" x14ac:dyDescent="0.25">
      <c r="A681" t="s">
        <v>138</v>
      </c>
      <c r="B681" t="s">
        <v>729</v>
      </c>
      <c r="C681" s="1"/>
      <c r="D681" s="1"/>
      <c r="E681" s="1"/>
      <c r="F681" s="1"/>
      <c r="G681" s="1"/>
      <c r="H681" s="1"/>
      <c r="I681" s="1"/>
      <c r="J681" s="1"/>
    </row>
    <row r="682" spans="1:10" x14ac:dyDescent="0.25">
      <c r="A682" t="s">
        <v>788</v>
      </c>
      <c r="B682" t="s">
        <v>730</v>
      </c>
      <c r="C682" s="1">
        <v>910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/>
    </row>
    <row r="683" spans="1:10" x14ac:dyDescent="0.25">
      <c r="A683" t="s">
        <v>831</v>
      </c>
      <c r="B683" t="s">
        <v>731</v>
      </c>
      <c r="C683" s="1">
        <v>1250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/>
    </row>
    <row r="684" spans="1:10" x14ac:dyDescent="0.25">
      <c r="A684" t="s">
        <v>138</v>
      </c>
      <c r="B684" t="s">
        <v>732</v>
      </c>
      <c r="C684" s="1"/>
      <c r="D684" s="1"/>
      <c r="E684" s="1"/>
      <c r="F684" s="1"/>
      <c r="G684" s="1"/>
      <c r="H684" s="1"/>
      <c r="I684" s="1"/>
      <c r="J684" s="1"/>
    </row>
    <row r="685" spans="1:10" x14ac:dyDescent="0.25">
      <c r="A685" t="s">
        <v>809</v>
      </c>
      <c r="B685" t="s">
        <v>733</v>
      </c>
      <c r="C685" s="1"/>
      <c r="D685" s="1"/>
      <c r="E685" s="1"/>
      <c r="F685" s="1"/>
      <c r="G685" s="1"/>
      <c r="H685" s="1"/>
      <c r="I685" s="1"/>
      <c r="J685" s="1"/>
    </row>
    <row r="686" spans="1:10" x14ac:dyDescent="0.25">
      <c r="A686" t="s">
        <v>806</v>
      </c>
      <c r="B686" t="s">
        <v>734</v>
      </c>
      <c r="C686" s="1">
        <v>1095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/>
    </row>
    <row r="687" spans="1:10" x14ac:dyDescent="0.25">
      <c r="A687" t="s">
        <v>817</v>
      </c>
      <c r="B687" t="s">
        <v>735</v>
      </c>
      <c r="C687" s="1">
        <v>2987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/>
    </row>
    <row r="688" spans="1:10" x14ac:dyDescent="0.25">
      <c r="A688" t="s">
        <v>801</v>
      </c>
      <c r="B688" t="s">
        <v>736</v>
      </c>
      <c r="C688" s="1"/>
      <c r="D688" s="1"/>
      <c r="E688" s="1"/>
      <c r="F688" s="1"/>
      <c r="G688" s="1"/>
      <c r="H688" s="1"/>
      <c r="I688" s="1"/>
      <c r="J688" s="1"/>
    </row>
    <row r="689" spans="1:10" x14ac:dyDescent="0.25">
      <c r="A689" t="s">
        <v>138</v>
      </c>
      <c r="B689" t="s">
        <v>737</v>
      </c>
      <c r="C689" s="1"/>
      <c r="D689" s="1"/>
      <c r="E689" s="1"/>
      <c r="F689" s="1"/>
      <c r="G689" s="1"/>
      <c r="H689" s="1"/>
      <c r="I689" s="1"/>
      <c r="J689" s="1"/>
    </row>
    <row r="690" spans="1:10" x14ac:dyDescent="0.25">
      <c r="A690" t="s">
        <v>138</v>
      </c>
      <c r="B690" t="s">
        <v>738</v>
      </c>
      <c r="C690" s="1"/>
      <c r="D690" s="1"/>
      <c r="E690" s="1"/>
      <c r="F690" s="1"/>
      <c r="G690" s="1"/>
      <c r="H690" s="1"/>
      <c r="I690" s="1"/>
      <c r="J690" s="1"/>
    </row>
    <row r="691" spans="1:10" x14ac:dyDescent="0.25">
      <c r="A691" t="s">
        <v>248</v>
      </c>
      <c r="B691" t="s">
        <v>739</v>
      </c>
      <c r="C691" s="1">
        <v>7754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/>
    </row>
    <row r="692" spans="1:10" x14ac:dyDescent="0.25">
      <c r="A692" t="s">
        <v>138</v>
      </c>
      <c r="B692" t="s">
        <v>740</v>
      </c>
      <c r="C692" s="1"/>
      <c r="D692" s="1"/>
      <c r="E692" s="1"/>
      <c r="F692" s="1"/>
      <c r="G692" s="1"/>
      <c r="H692" s="1"/>
      <c r="I692" s="1"/>
      <c r="J692" s="1"/>
    </row>
    <row r="693" spans="1:10" x14ac:dyDescent="0.25">
      <c r="A693" t="s">
        <v>134</v>
      </c>
      <c r="B693" t="s">
        <v>741</v>
      </c>
      <c r="C693" s="1">
        <v>2857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/>
    </row>
    <row r="694" spans="1:10" x14ac:dyDescent="0.25">
      <c r="A694" t="s">
        <v>231</v>
      </c>
      <c r="B694" t="s">
        <v>742</v>
      </c>
      <c r="C694" s="1">
        <v>7040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/>
    </row>
    <row r="695" spans="1:10" x14ac:dyDescent="0.25">
      <c r="A695" t="s">
        <v>83</v>
      </c>
      <c r="B695" t="s">
        <v>743</v>
      </c>
      <c r="C695" s="1"/>
      <c r="D695" s="1"/>
      <c r="E695" s="1"/>
      <c r="F695" s="1"/>
      <c r="G695" s="1"/>
      <c r="H695" s="1"/>
      <c r="I695" s="1"/>
      <c r="J695" s="1"/>
    </row>
    <row r="696" spans="1:10" x14ac:dyDescent="0.25">
      <c r="A696" t="s">
        <v>826</v>
      </c>
      <c r="B696" t="s">
        <v>744</v>
      </c>
      <c r="C696" s="1">
        <v>1135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/>
    </row>
    <row r="697" spans="1:10" x14ac:dyDescent="0.25">
      <c r="A697" t="s">
        <v>811</v>
      </c>
      <c r="B697" t="s">
        <v>745</v>
      </c>
      <c r="C697" s="1">
        <v>15927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/>
    </row>
    <row r="698" spans="1:10" x14ac:dyDescent="0.25">
      <c r="A698" t="s">
        <v>248</v>
      </c>
      <c r="B698" t="s">
        <v>746</v>
      </c>
      <c r="C698" s="1">
        <v>61080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/>
    </row>
    <row r="699" spans="1:10" x14ac:dyDescent="0.25">
      <c r="A699" t="s">
        <v>801</v>
      </c>
      <c r="B699" t="s">
        <v>747</v>
      </c>
      <c r="C699" s="1"/>
      <c r="D699" s="1"/>
      <c r="E699" s="1"/>
      <c r="F699" s="1"/>
      <c r="G699" s="1"/>
      <c r="H699" s="1"/>
      <c r="I699" s="1"/>
      <c r="J699" s="1"/>
    </row>
    <row r="700" spans="1:10" x14ac:dyDescent="0.25">
      <c r="A700" t="s">
        <v>809</v>
      </c>
      <c r="B700" t="s">
        <v>748</v>
      </c>
      <c r="C700" s="1"/>
      <c r="D700" s="1"/>
      <c r="E700" s="1"/>
      <c r="F700" s="1"/>
      <c r="G700" s="1"/>
      <c r="H700" s="1"/>
      <c r="I700" s="1"/>
      <c r="J700" s="1"/>
    </row>
    <row r="701" spans="1:10" x14ac:dyDescent="0.25">
      <c r="A701" t="s">
        <v>823</v>
      </c>
      <c r="B701" t="s">
        <v>749</v>
      </c>
      <c r="C701" s="1">
        <f>27501+12+307+2</f>
        <v>27822</v>
      </c>
      <c r="D701" s="1">
        <f>10+17</f>
        <v>27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/>
    </row>
    <row r="702" spans="1:10" x14ac:dyDescent="0.25">
      <c r="A702" t="s">
        <v>226</v>
      </c>
      <c r="B702" t="s">
        <v>750</v>
      </c>
      <c r="C702" s="1">
        <f>1692+5</f>
        <v>1697</v>
      </c>
      <c r="D702" s="1">
        <v>27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/>
    </row>
    <row r="703" spans="1:10" x14ac:dyDescent="0.25">
      <c r="A703" t="s">
        <v>811</v>
      </c>
      <c r="B703" t="s">
        <v>751</v>
      </c>
      <c r="C703" s="1">
        <f>5063+7</f>
        <v>5070</v>
      </c>
      <c r="D703" s="1">
        <f>21+7</f>
        <v>28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/>
    </row>
    <row r="704" spans="1:10" x14ac:dyDescent="0.25">
      <c r="A704" t="s">
        <v>797</v>
      </c>
      <c r="B704" t="s">
        <v>752</v>
      </c>
      <c r="C704" s="1">
        <f>19992+1+4+3</f>
        <v>20000</v>
      </c>
      <c r="D704" s="1">
        <f>31+4</f>
        <v>35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/>
    </row>
    <row r="705" spans="1:10" x14ac:dyDescent="0.25">
      <c r="A705" t="s">
        <v>69</v>
      </c>
      <c r="B705" t="s">
        <v>753</v>
      </c>
      <c r="C705" s="1"/>
      <c r="D705" s="1"/>
      <c r="E705" s="1"/>
      <c r="F705" s="1"/>
      <c r="G705" s="1"/>
      <c r="H705" s="1"/>
      <c r="I705" s="1"/>
      <c r="J705" s="1"/>
    </row>
    <row r="706" spans="1:10" x14ac:dyDescent="0.25">
      <c r="A706" t="s">
        <v>824</v>
      </c>
      <c r="B706" t="s">
        <v>754</v>
      </c>
      <c r="C706" s="1">
        <f>6773+32</f>
        <v>6805</v>
      </c>
      <c r="D706" s="1">
        <v>20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/>
    </row>
    <row r="707" spans="1:10" x14ac:dyDescent="0.25">
      <c r="A707" t="s">
        <v>817</v>
      </c>
      <c r="B707" t="s">
        <v>755</v>
      </c>
      <c r="C707" s="1">
        <f>37446+5+1+46+1+61+4+1+1+54</f>
        <v>37620</v>
      </c>
      <c r="D707" s="1">
        <f>49+1+5+4</f>
        <v>59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/>
    </row>
    <row r="708" spans="1:10" x14ac:dyDescent="0.25">
      <c r="A708" t="s">
        <v>794</v>
      </c>
      <c r="B708" t="s">
        <v>756</v>
      </c>
      <c r="C708" s="1"/>
      <c r="D708" s="1"/>
      <c r="E708" s="1"/>
      <c r="F708" s="1"/>
      <c r="G708" s="1"/>
      <c r="H708" s="1"/>
      <c r="I708" s="1"/>
      <c r="J708" s="1"/>
    </row>
    <row r="709" spans="1:10" x14ac:dyDescent="0.25">
      <c r="A709" t="s">
        <v>120</v>
      </c>
      <c r="B709" t="s">
        <v>757</v>
      </c>
      <c r="C709" s="1">
        <f>17151+3+54+1+16</f>
        <v>17225</v>
      </c>
      <c r="D709" s="1">
        <v>71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/>
    </row>
    <row r="710" spans="1:10" x14ac:dyDescent="0.25">
      <c r="A710" t="s">
        <v>788</v>
      </c>
      <c r="B710" t="s">
        <v>758</v>
      </c>
      <c r="C710" s="1">
        <f>14537+1111</f>
        <v>15648</v>
      </c>
      <c r="D710" s="1">
        <v>1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/>
    </row>
    <row r="711" spans="1:10" x14ac:dyDescent="0.25">
      <c r="A711" t="s">
        <v>146</v>
      </c>
      <c r="B711" t="s">
        <v>759</v>
      </c>
      <c r="C711" s="1">
        <v>54048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/>
    </row>
    <row r="712" spans="1:10" x14ac:dyDescent="0.25">
      <c r="A712" t="s">
        <v>795</v>
      </c>
      <c r="B712" t="s">
        <v>760</v>
      </c>
      <c r="C712" s="1">
        <v>31676</v>
      </c>
      <c r="D712" s="1">
        <v>32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/>
    </row>
    <row r="713" spans="1:10" x14ac:dyDescent="0.25">
      <c r="A713" t="s">
        <v>248</v>
      </c>
      <c r="B713" t="s">
        <v>761</v>
      </c>
      <c r="C713" s="1">
        <v>8240</v>
      </c>
      <c r="D713" s="1">
        <v>6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/>
    </row>
    <row r="714" spans="1:10" x14ac:dyDescent="0.25">
      <c r="A714" t="s">
        <v>796</v>
      </c>
      <c r="B714" t="s">
        <v>762</v>
      </c>
      <c r="C714" s="1"/>
      <c r="D714" s="1"/>
      <c r="E714" s="1"/>
      <c r="F714" s="1"/>
      <c r="G714" s="1"/>
      <c r="H714" s="1"/>
      <c r="I714" s="1"/>
      <c r="J714" s="1"/>
    </row>
    <row r="715" spans="1:10" x14ac:dyDescent="0.25">
      <c r="A715" t="s">
        <v>138</v>
      </c>
      <c r="B715" t="s">
        <v>763</v>
      </c>
      <c r="C715" s="1"/>
      <c r="D715" s="1"/>
      <c r="E715" s="1"/>
      <c r="F715" s="1"/>
      <c r="G715" s="1"/>
      <c r="H715" s="1"/>
      <c r="I715" s="1"/>
      <c r="J715" s="1"/>
    </row>
    <row r="716" spans="1:10" x14ac:dyDescent="0.25">
      <c r="A716" t="s">
        <v>265</v>
      </c>
      <c r="B716" t="s">
        <v>764</v>
      </c>
      <c r="C716" s="1"/>
      <c r="D716" s="1"/>
      <c r="E716" s="1"/>
      <c r="F716" s="1"/>
      <c r="G716" s="1"/>
      <c r="H716" s="1"/>
      <c r="I716" s="1"/>
      <c r="J716" s="1"/>
    </row>
    <row r="717" spans="1:10" x14ac:dyDescent="0.25">
      <c r="A717" t="s">
        <v>823</v>
      </c>
      <c r="B717" t="s">
        <v>765</v>
      </c>
      <c r="C717" s="1">
        <f>17882+18+4</f>
        <v>17904</v>
      </c>
      <c r="D717" s="1">
        <v>136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/>
    </row>
    <row r="718" spans="1:10" x14ac:dyDescent="0.25">
      <c r="A718" t="s">
        <v>83</v>
      </c>
      <c r="B718" t="s">
        <v>766</v>
      </c>
      <c r="C718" s="1"/>
      <c r="D718" s="1"/>
      <c r="E718" s="1"/>
      <c r="F718" s="1"/>
      <c r="G718" s="1"/>
      <c r="H718" s="1"/>
      <c r="I718" s="1"/>
      <c r="J718" s="1"/>
    </row>
    <row r="719" spans="1:10" x14ac:dyDescent="0.25">
      <c r="A719" t="s">
        <v>864</v>
      </c>
      <c r="B719" t="s">
        <v>767</v>
      </c>
      <c r="C719" s="1">
        <v>11140</v>
      </c>
      <c r="D719" s="1">
        <v>20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/>
    </row>
    <row r="720" spans="1:10" x14ac:dyDescent="0.25">
      <c r="A720" t="s">
        <v>76</v>
      </c>
      <c r="B720" t="s">
        <v>768</v>
      </c>
      <c r="C720" s="1"/>
      <c r="D720" s="1"/>
      <c r="E720" s="1"/>
      <c r="F720" s="1"/>
      <c r="G720" s="1"/>
      <c r="H720" s="1"/>
      <c r="I720" s="1"/>
      <c r="J720" s="1"/>
    </row>
    <row r="721" spans="1:10" x14ac:dyDescent="0.25">
      <c r="A721" s="53" t="s">
        <v>101</v>
      </c>
      <c r="B721" s="55" t="s">
        <v>769</v>
      </c>
      <c r="C721" s="1">
        <v>15093</v>
      </c>
      <c r="D721" s="1">
        <v>19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/>
    </row>
    <row r="722" spans="1:10" x14ac:dyDescent="0.25">
      <c r="A722" s="53" t="s">
        <v>831</v>
      </c>
      <c r="B722" s="55" t="s">
        <v>770</v>
      </c>
      <c r="C722" s="1">
        <v>775</v>
      </c>
      <c r="D722" s="1">
        <v>1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/>
    </row>
    <row r="723" spans="1:10" x14ac:dyDescent="0.25">
      <c r="A723" s="53" t="s">
        <v>512</v>
      </c>
      <c r="B723" s="55" t="s">
        <v>771</v>
      </c>
      <c r="C723" s="1">
        <v>4378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/>
    </row>
    <row r="724" spans="1:10" x14ac:dyDescent="0.25">
      <c r="A724" s="53" t="s">
        <v>848</v>
      </c>
      <c r="B724" s="55" t="s">
        <v>772</v>
      </c>
      <c r="C724" s="1">
        <f>2884+22</f>
        <v>2906</v>
      </c>
      <c r="D724" s="1">
        <v>6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/>
    </row>
    <row r="725" spans="1:10" x14ac:dyDescent="0.25">
      <c r="A725" s="53" t="s">
        <v>796</v>
      </c>
      <c r="B725" s="55" t="s">
        <v>773</v>
      </c>
      <c r="C725" s="1"/>
      <c r="D725" s="1"/>
      <c r="E725" s="1"/>
      <c r="F725" s="1"/>
      <c r="G725" s="1"/>
      <c r="H725" s="1"/>
      <c r="I725" s="1"/>
      <c r="J725" s="1"/>
    </row>
    <row r="726" spans="1:10" x14ac:dyDescent="0.25">
      <c r="A726" s="53" t="s">
        <v>826</v>
      </c>
      <c r="B726" s="55" t="s">
        <v>774</v>
      </c>
      <c r="C726" s="1">
        <v>588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/>
    </row>
    <row r="727" spans="1:10" x14ac:dyDescent="0.25">
      <c r="A727" s="53" t="s">
        <v>805</v>
      </c>
      <c r="B727" s="55" t="s">
        <v>775</v>
      </c>
      <c r="C727" s="1"/>
      <c r="D727" s="1"/>
      <c r="E727" s="1"/>
      <c r="F727" s="1"/>
      <c r="G727" s="1"/>
      <c r="H727" s="1"/>
      <c r="I727" s="1"/>
      <c r="J727" s="1"/>
    </row>
    <row r="728" spans="1:10" x14ac:dyDescent="0.25">
      <c r="A728" s="53" t="s">
        <v>805</v>
      </c>
      <c r="B728" s="55" t="s">
        <v>776</v>
      </c>
      <c r="C728" s="1"/>
      <c r="D728" s="1"/>
      <c r="E728" s="1"/>
      <c r="F728" s="1"/>
      <c r="G728" s="1"/>
      <c r="H728" s="1"/>
      <c r="I728" s="1"/>
      <c r="J728" s="1"/>
    </row>
    <row r="729" spans="1:10" x14ac:dyDescent="0.25">
      <c r="A729" s="54" t="s">
        <v>805</v>
      </c>
      <c r="B729" s="56" t="s">
        <v>777</v>
      </c>
      <c r="C729" s="1"/>
      <c r="D729" s="1"/>
      <c r="E729" s="1"/>
      <c r="F729" s="1"/>
      <c r="G729" s="1"/>
      <c r="H729" s="1"/>
      <c r="I729" s="1"/>
      <c r="J729" s="1"/>
    </row>
  </sheetData>
  <conditionalFormatting sqref="A709:B709">
    <cfRule type="expression" dxfId="76" priority="7">
      <formula>A709&lt;&gt;N709</formula>
    </cfRule>
  </conditionalFormatting>
  <conditionalFormatting sqref="B709">
    <cfRule type="expression" dxfId="75" priority="6">
      <formula>B709&lt;&gt;#REF!</formula>
    </cfRule>
  </conditionalFormatting>
  <conditionalFormatting sqref="B721:B729">
    <cfRule type="expression" dxfId="74" priority="1">
      <formula>B721&lt;&gt;M721</formula>
    </cfRule>
  </conditionalFormatting>
  <conditionalFormatting sqref="B710:C710">
    <cfRule type="expression" dxfId="73" priority="4">
      <formula>B710&lt;&gt;#REF!</formula>
    </cfRule>
  </conditionalFormatting>
  <conditionalFormatting sqref="B712:C712">
    <cfRule type="expression" dxfId="72" priority="3">
      <formula>B712&lt;&gt;#REF!</formula>
    </cfRule>
  </conditionalFormatting>
  <pageMargins left="0.7" right="0.7" top="0.75" bottom="0.75" header="0.3" footer="0.3"/>
  <pageSetup paperSize="9" orientation="portrait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D77F8581-057A-48A0-B54F-671358A73BE1}">
            <xm:f>A721&lt;&gt;'202212 DICIEMBRE'!#REF!</xm:f>
            <x14:dxf>
              <fill>
                <patternFill>
                  <bgColor theme="7" tint="0.39994506668294322"/>
                </patternFill>
              </fill>
            </x14:dxf>
          </x14:cfRule>
          <xm:sqref>A721:B729</xm:sqref>
        </x14:conditionalFormatting>
        <x14:conditionalFormatting xmlns:xm="http://schemas.microsoft.com/office/excel/2006/main">
          <x14:cfRule type="expression" priority="5" id="{B828D2FC-4D22-4C78-911B-4533727C142A}">
            <xm:f>A710&lt;&gt;'202210 OCTUBRE'!#REF!</xm:f>
            <x14:dxf>
              <fill>
                <patternFill>
                  <bgColor theme="7" tint="0.39994506668294322"/>
                </patternFill>
              </fill>
            </x14:dxf>
          </x14:cfRule>
          <xm:sqref>A710:I720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C7B31-2679-4F7E-8868-8EE7AFF4BA30}">
  <sheetPr>
    <tabColor rgb="FF92D050"/>
  </sheetPr>
  <dimension ref="A1:J729"/>
  <sheetViews>
    <sheetView workbookViewId="0">
      <pane ySplit="1" topLeftCell="A2" activePane="bottomLeft" state="frozen"/>
      <selection pane="bottomLeft" activeCell="B5" sqref="B5"/>
    </sheetView>
  </sheetViews>
  <sheetFormatPr baseColWidth="10" defaultColWidth="11.42578125" defaultRowHeight="15" x14ac:dyDescent="0.25"/>
  <cols>
    <col min="1" max="1" width="11.85546875" bestFit="1" customWidth="1"/>
    <col min="2" max="2" width="14.42578125" bestFit="1" customWidth="1"/>
    <col min="3" max="3" width="12.5703125" bestFit="1" customWidth="1"/>
    <col min="4" max="4" width="12.7109375" bestFit="1" customWidth="1"/>
    <col min="5" max="5" width="9" bestFit="1" customWidth="1"/>
    <col min="6" max="6" width="16.140625" bestFit="1" customWidth="1"/>
    <col min="7" max="7" width="16.42578125" bestFit="1" customWidth="1"/>
    <col min="8" max="9" width="10.28515625" bestFit="1" customWidth="1"/>
    <col min="10" max="10" width="45.42578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76</v>
      </c>
      <c r="B2" t="s">
        <v>11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36025</v>
      </c>
      <c r="I2" s="1">
        <v>0</v>
      </c>
      <c r="J2" s="1"/>
    </row>
    <row r="3" spans="1:10" x14ac:dyDescent="0.25">
      <c r="A3" t="s">
        <v>796</v>
      </c>
      <c r="B3" t="s">
        <v>12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600</v>
      </c>
      <c r="I3" s="1">
        <v>0</v>
      </c>
      <c r="J3" s="1"/>
    </row>
    <row r="4" spans="1:10" x14ac:dyDescent="0.25">
      <c r="A4" t="s">
        <v>76</v>
      </c>
      <c r="B4" t="s">
        <v>13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5729</v>
      </c>
      <c r="I4" s="1">
        <v>0</v>
      </c>
      <c r="J4" s="1"/>
    </row>
    <row r="5" spans="1:10" x14ac:dyDescent="0.25">
      <c r="A5" t="s">
        <v>801</v>
      </c>
      <c r="B5" t="s">
        <v>14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7747</v>
      </c>
      <c r="I5" s="1">
        <v>0</v>
      </c>
      <c r="J5" s="7"/>
    </row>
    <row r="6" spans="1:10" x14ac:dyDescent="0.25">
      <c r="A6" t="s">
        <v>826</v>
      </c>
      <c r="B6" t="s">
        <v>15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4467</v>
      </c>
      <c r="I6" s="1">
        <v>0</v>
      </c>
      <c r="J6" s="1"/>
    </row>
    <row r="7" spans="1:10" x14ac:dyDescent="0.25">
      <c r="A7" t="s">
        <v>796</v>
      </c>
      <c r="B7" t="s">
        <v>16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1518</v>
      </c>
      <c r="I7" s="1">
        <v>0</v>
      </c>
      <c r="J7" s="1"/>
    </row>
    <row r="8" spans="1:10" x14ac:dyDescent="0.25">
      <c r="A8" t="s">
        <v>83</v>
      </c>
      <c r="B8" t="s">
        <v>17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512</v>
      </c>
      <c r="I8" s="1">
        <v>0</v>
      </c>
      <c r="J8" s="7"/>
    </row>
    <row r="9" spans="1:10" x14ac:dyDescent="0.25">
      <c r="A9" t="s">
        <v>803</v>
      </c>
      <c r="B9" s="1" t="s">
        <v>18</v>
      </c>
      <c r="C9" s="1"/>
      <c r="D9" s="1"/>
      <c r="E9" s="1"/>
      <c r="F9" s="1"/>
      <c r="G9" s="1"/>
      <c r="H9" s="1"/>
      <c r="I9" s="1">
        <f ca="1">Tabla13456[[#This Row],[ENVIAR]]+Tabla13456[[#This Row],[COPIAR]]</f>
        <v>0</v>
      </c>
      <c r="J9" s="1"/>
    </row>
    <row r="10" spans="1:10" x14ac:dyDescent="0.25">
      <c r="A10" t="s">
        <v>76</v>
      </c>
      <c r="B10" t="s">
        <v>19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13873</v>
      </c>
      <c r="I10" s="1">
        <v>0</v>
      </c>
      <c r="J10" s="1"/>
    </row>
    <row r="11" spans="1:10" x14ac:dyDescent="0.25">
      <c r="A11" t="s">
        <v>83</v>
      </c>
      <c r="B11" t="s">
        <v>20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764</v>
      </c>
      <c r="I11" s="1">
        <v>0</v>
      </c>
      <c r="J11" s="7"/>
    </row>
    <row r="12" spans="1:10" x14ac:dyDescent="0.25">
      <c r="A12" t="s">
        <v>248</v>
      </c>
      <c r="B12" t="s">
        <v>21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2854</v>
      </c>
      <c r="I12" s="1">
        <v>0</v>
      </c>
      <c r="J12" s="1"/>
    </row>
    <row r="13" spans="1:10" x14ac:dyDescent="0.25">
      <c r="A13" t="s">
        <v>83</v>
      </c>
      <c r="B13" t="s">
        <v>22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1995</v>
      </c>
      <c r="I13" s="1">
        <v>0</v>
      </c>
      <c r="J13" s="7"/>
    </row>
    <row r="14" spans="1:10" x14ac:dyDescent="0.25">
      <c r="A14" t="s">
        <v>801</v>
      </c>
      <c r="B14" t="s">
        <v>23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261</v>
      </c>
      <c r="I14" s="1">
        <v>0</v>
      </c>
      <c r="J14" s="7"/>
    </row>
    <row r="15" spans="1:10" x14ac:dyDescent="0.25">
      <c r="A15" t="s">
        <v>796</v>
      </c>
      <c r="B15" t="s">
        <v>24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71</v>
      </c>
      <c r="I15" s="1">
        <v>0</v>
      </c>
      <c r="J15" s="1"/>
    </row>
    <row r="16" spans="1:10" x14ac:dyDescent="0.25">
      <c r="A16" t="s">
        <v>804</v>
      </c>
      <c r="B16" t="s">
        <v>25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1079</v>
      </c>
      <c r="I16" s="1">
        <v>0</v>
      </c>
      <c r="J16" s="1"/>
    </row>
    <row r="17" spans="1:10" x14ac:dyDescent="0.25">
      <c r="A17" t="s">
        <v>248</v>
      </c>
      <c r="B17" t="s">
        <v>26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74575</v>
      </c>
      <c r="I17" s="1">
        <v>0</v>
      </c>
      <c r="J17" s="1"/>
    </row>
    <row r="18" spans="1:10" x14ac:dyDescent="0.25">
      <c r="A18" t="s">
        <v>805</v>
      </c>
      <c r="B18" t="s">
        <v>27</v>
      </c>
      <c r="C18" s="1"/>
      <c r="D18" s="1"/>
      <c r="E18" s="1"/>
      <c r="F18" s="1"/>
      <c r="G18" s="1"/>
      <c r="H18" s="1"/>
      <c r="I18" s="1">
        <f ca="1">Tabla13456[[#This Row],[ENVIAR]]+Tabla13456[[#This Row],[COPIAR]]</f>
        <v>0</v>
      </c>
      <c r="J18" s="1"/>
    </row>
    <row r="19" spans="1:10" x14ac:dyDescent="0.25">
      <c r="A19" t="s">
        <v>805</v>
      </c>
      <c r="B19" t="s">
        <v>28</v>
      </c>
      <c r="C19" s="1"/>
      <c r="D19" s="1"/>
      <c r="E19" s="1"/>
      <c r="F19" s="1"/>
      <c r="G19" s="1"/>
      <c r="H19" s="1"/>
      <c r="I19" s="1">
        <f ca="1">Tabla13456[[#This Row],[ENVIAR]]+Tabla13456[[#This Row],[COPIAR]]</f>
        <v>0</v>
      </c>
      <c r="J19" s="1"/>
    </row>
    <row r="20" spans="1:10" x14ac:dyDescent="0.25">
      <c r="A20" t="s">
        <v>806</v>
      </c>
      <c r="B20" t="s">
        <v>29</v>
      </c>
      <c r="C20" s="1"/>
      <c r="D20" s="1"/>
      <c r="E20" s="1"/>
      <c r="F20" s="1"/>
      <c r="G20" s="1"/>
      <c r="H20" s="1"/>
      <c r="I20" s="1">
        <f ca="1">Tabla13456[[#This Row],[ENVIAR]]+Tabla13456[[#This Row],[COPIAR]]</f>
        <v>0</v>
      </c>
      <c r="J20" s="1"/>
    </row>
    <row r="21" spans="1:10" x14ac:dyDescent="0.25">
      <c r="A21" t="s">
        <v>805</v>
      </c>
      <c r="B21" t="s">
        <v>30</v>
      </c>
      <c r="C21" s="1"/>
      <c r="D21" s="1"/>
      <c r="E21" s="1"/>
      <c r="F21" s="1"/>
      <c r="G21" s="1"/>
      <c r="H21" s="1"/>
      <c r="I21" s="1">
        <f ca="1">Tabla13456[[#This Row],[ENVIAR]]+Tabla13456[[#This Row],[COPIAR]]</f>
        <v>0</v>
      </c>
      <c r="J21" s="1"/>
    </row>
    <row r="22" spans="1:10" x14ac:dyDescent="0.25">
      <c r="A22" t="s">
        <v>829</v>
      </c>
      <c r="B22" t="s">
        <v>32</v>
      </c>
      <c r="C22" s="1">
        <f>14762+3472</f>
        <v>18234</v>
      </c>
      <c r="D22" s="1">
        <f>1+11</f>
        <v>12</v>
      </c>
      <c r="E22" s="1">
        <v>0</v>
      </c>
      <c r="F22" s="1">
        <v>0</v>
      </c>
      <c r="G22" s="1">
        <v>0</v>
      </c>
      <c r="H22" s="1">
        <v>13440</v>
      </c>
      <c r="I22" s="1">
        <v>3062</v>
      </c>
      <c r="J22" s="1"/>
    </row>
    <row r="23" spans="1:10" x14ac:dyDescent="0.25">
      <c r="A23" t="s">
        <v>830</v>
      </c>
      <c r="B23" t="s">
        <v>34</v>
      </c>
      <c r="C23" s="1">
        <f>1912+83+2+3461</f>
        <v>5458</v>
      </c>
      <c r="D23" s="1">
        <f>31+1</f>
        <v>32</v>
      </c>
      <c r="E23" s="1">
        <v>0</v>
      </c>
      <c r="F23" s="1">
        <v>0</v>
      </c>
      <c r="G23" s="1">
        <v>0</v>
      </c>
      <c r="H23" s="1">
        <v>4532</v>
      </c>
      <c r="I23" s="1">
        <v>3430</v>
      </c>
      <c r="J23" s="1"/>
    </row>
    <row r="24" spans="1:10" x14ac:dyDescent="0.25">
      <c r="A24" t="s">
        <v>831</v>
      </c>
      <c r="B24" t="s">
        <v>35</v>
      </c>
      <c r="C24" s="1">
        <f>5906+1422</f>
        <v>7328</v>
      </c>
      <c r="D24" s="1">
        <v>0</v>
      </c>
      <c r="E24" s="1">
        <v>0</v>
      </c>
      <c r="F24" s="1">
        <v>0</v>
      </c>
      <c r="G24" s="1">
        <v>0</v>
      </c>
      <c r="H24" s="1">
        <v>2507</v>
      </c>
      <c r="I24" s="1">
        <v>1093</v>
      </c>
      <c r="J24" s="1"/>
    </row>
    <row r="25" spans="1:10" x14ac:dyDescent="0.25">
      <c r="A25" t="s">
        <v>832</v>
      </c>
      <c r="B25" t="s">
        <v>37</v>
      </c>
      <c r="C25" s="1">
        <f>8036+132+2278</f>
        <v>10446</v>
      </c>
      <c r="D25" s="1">
        <f>17+23+1</f>
        <v>41</v>
      </c>
      <c r="E25" s="1">
        <v>0</v>
      </c>
      <c r="F25" s="1">
        <v>0</v>
      </c>
      <c r="G25" s="1">
        <v>0</v>
      </c>
      <c r="H25" s="1">
        <v>5815</v>
      </c>
      <c r="I25" s="1">
        <v>1960</v>
      </c>
      <c r="J25" s="1"/>
    </row>
    <row r="26" spans="1:10" x14ac:dyDescent="0.25">
      <c r="A26" t="s">
        <v>833</v>
      </c>
      <c r="B26" t="s">
        <v>39</v>
      </c>
      <c r="C26" s="1">
        <f>2091+138+2593</f>
        <v>4822</v>
      </c>
      <c r="D26" s="1">
        <v>8</v>
      </c>
      <c r="E26" s="1">
        <v>0</v>
      </c>
      <c r="F26" s="1">
        <v>0</v>
      </c>
      <c r="G26" s="1">
        <v>0</v>
      </c>
      <c r="H26" s="1">
        <v>11545</v>
      </c>
      <c r="I26" s="1">
        <v>2348</v>
      </c>
      <c r="J26" s="1"/>
    </row>
    <row r="27" spans="1:10" x14ac:dyDescent="0.25">
      <c r="A27" t="s">
        <v>834</v>
      </c>
      <c r="B27" t="s">
        <v>41</v>
      </c>
      <c r="C27" s="1">
        <f>13577+214+8127</f>
        <v>21918</v>
      </c>
      <c r="D27" s="1">
        <f>104+11+36</f>
        <v>151</v>
      </c>
      <c r="E27" s="1">
        <v>0</v>
      </c>
      <c r="F27" s="1">
        <v>0</v>
      </c>
      <c r="G27" s="1">
        <v>0</v>
      </c>
      <c r="H27" s="1">
        <v>5605</v>
      </c>
      <c r="I27" s="1">
        <v>5017</v>
      </c>
      <c r="J27" s="1"/>
    </row>
    <row r="28" spans="1:10" x14ac:dyDescent="0.25">
      <c r="A28" t="s">
        <v>835</v>
      </c>
      <c r="B28" t="s">
        <v>42</v>
      </c>
      <c r="C28" s="1">
        <f>4423+4+1+2145</f>
        <v>6573</v>
      </c>
      <c r="D28" s="1">
        <f>44+10+4</f>
        <v>58</v>
      </c>
      <c r="E28" s="1">
        <v>0</v>
      </c>
      <c r="F28" s="1">
        <v>0</v>
      </c>
      <c r="G28" s="1">
        <v>0</v>
      </c>
      <c r="H28" s="1">
        <v>3580</v>
      </c>
      <c r="I28" s="1">
        <v>1632</v>
      </c>
      <c r="J28" s="1"/>
    </row>
    <row r="29" spans="1:10" x14ac:dyDescent="0.25">
      <c r="A29" t="s">
        <v>836</v>
      </c>
      <c r="B29" t="s">
        <v>44</v>
      </c>
      <c r="C29" s="1">
        <f>13888+2396+3+6+4+1+6007+1159</f>
        <v>23464</v>
      </c>
      <c r="D29" s="1">
        <f>3+14+16+4+4</f>
        <v>41</v>
      </c>
      <c r="E29" s="1">
        <v>0</v>
      </c>
      <c r="F29" s="1">
        <v>0</v>
      </c>
      <c r="G29" s="1">
        <v>0</v>
      </c>
      <c r="H29" s="1">
        <v>9350</v>
      </c>
      <c r="I29" s="1">
        <v>5137</v>
      </c>
      <c r="J29" s="1"/>
    </row>
    <row r="30" spans="1:10" x14ac:dyDescent="0.25">
      <c r="A30" t="s">
        <v>837</v>
      </c>
      <c r="B30" t="s">
        <v>46</v>
      </c>
      <c r="C30" s="1">
        <f>7356+2606</f>
        <v>9962</v>
      </c>
      <c r="D30" s="1">
        <v>0</v>
      </c>
      <c r="E30" s="1">
        <v>0</v>
      </c>
      <c r="F30" s="1">
        <v>0</v>
      </c>
      <c r="G30" s="1">
        <v>0</v>
      </c>
      <c r="H30" s="1">
        <v>6581</v>
      </c>
      <c r="I30" s="1">
        <v>1904</v>
      </c>
      <c r="J30" s="1"/>
    </row>
    <row r="31" spans="1:10" x14ac:dyDescent="0.25">
      <c r="A31" t="s">
        <v>838</v>
      </c>
      <c r="B31" t="s">
        <v>48</v>
      </c>
      <c r="C31" s="1">
        <f>12819+11+3+3+16+5643</f>
        <v>18495</v>
      </c>
      <c r="D31" s="1">
        <f>15+3+5</f>
        <v>23</v>
      </c>
      <c r="E31" s="1">
        <v>0</v>
      </c>
      <c r="F31" s="1">
        <v>0</v>
      </c>
      <c r="G31" s="1">
        <v>0</v>
      </c>
      <c r="H31" s="1">
        <v>9113</v>
      </c>
      <c r="I31" s="1">
        <v>4980</v>
      </c>
      <c r="J31" s="1"/>
    </row>
    <row r="32" spans="1:10" x14ac:dyDescent="0.25">
      <c r="A32" t="s">
        <v>839</v>
      </c>
      <c r="B32" t="s">
        <v>49</v>
      </c>
      <c r="C32" s="1">
        <f>1606+601</f>
        <v>2207</v>
      </c>
      <c r="D32" s="1">
        <f>5</f>
        <v>5</v>
      </c>
      <c r="E32" s="1">
        <v>0</v>
      </c>
      <c r="F32" s="1">
        <v>0</v>
      </c>
      <c r="G32" s="1">
        <v>0</v>
      </c>
      <c r="H32" s="1">
        <v>1906</v>
      </c>
      <c r="I32" s="1">
        <f>528</f>
        <v>528</v>
      </c>
      <c r="J32" s="1"/>
    </row>
    <row r="33" spans="1:10" x14ac:dyDescent="0.25">
      <c r="A33" t="s">
        <v>840</v>
      </c>
      <c r="B33" t="s">
        <v>51</v>
      </c>
      <c r="C33" s="1">
        <f>169+943</f>
        <v>1112</v>
      </c>
      <c r="D33" s="1">
        <v>0</v>
      </c>
      <c r="E33" s="1">
        <v>0</v>
      </c>
      <c r="F33" s="1">
        <v>0</v>
      </c>
      <c r="G33" s="1">
        <v>0</v>
      </c>
      <c r="H33" s="1">
        <v>423</v>
      </c>
      <c r="I33" s="1">
        <v>452</v>
      </c>
      <c r="J33" s="1"/>
    </row>
    <row r="34" spans="1:10" x14ac:dyDescent="0.25">
      <c r="A34" t="s">
        <v>841</v>
      </c>
      <c r="B34" t="s">
        <v>53</v>
      </c>
      <c r="C34" s="1">
        <f>5424+8460</f>
        <v>13884</v>
      </c>
      <c r="D34" s="1">
        <v>0</v>
      </c>
      <c r="E34" s="1">
        <v>0</v>
      </c>
      <c r="F34" s="1">
        <v>0</v>
      </c>
      <c r="G34" s="1">
        <v>0</v>
      </c>
      <c r="H34" s="1">
        <v>8167</v>
      </c>
      <c r="I34" s="1">
        <v>6589</v>
      </c>
      <c r="J34" s="1"/>
    </row>
    <row r="35" spans="1:10" x14ac:dyDescent="0.25">
      <c r="A35" t="s">
        <v>842</v>
      </c>
      <c r="B35" t="s">
        <v>55</v>
      </c>
      <c r="C35" s="1">
        <f>11362+6768</f>
        <v>18130</v>
      </c>
      <c r="D35" s="1">
        <f>9+318+20</f>
        <v>347</v>
      </c>
      <c r="E35" s="1">
        <v>0</v>
      </c>
      <c r="F35" s="1">
        <v>0</v>
      </c>
      <c r="G35" s="1">
        <v>0</v>
      </c>
      <c r="H35" s="1">
        <v>13720</v>
      </c>
      <c r="I35" s="1">
        <v>5284</v>
      </c>
      <c r="J35" s="1"/>
    </row>
    <row r="36" spans="1:10" x14ac:dyDescent="0.25">
      <c r="A36" t="s">
        <v>788</v>
      </c>
      <c r="B36" t="s">
        <v>56</v>
      </c>
      <c r="C36" s="1">
        <f>48063+1+85+1+1+2+6+26626</f>
        <v>74785</v>
      </c>
      <c r="D36" s="1">
        <f>95+1</f>
        <v>96</v>
      </c>
      <c r="E36" s="1">
        <v>0</v>
      </c>
      <c r="F36" s="1">
        <v>0</v>
      </c>
      <c r="G36" s="1">
        <v>0</v>
      </c>
      <c r="H36" s="1">
        <v>17413</v>
      </c>
      <c r="I36" s="1">
        <v>19998</v>
      </c>
      <c r="J36" s="1"/>
    </row>
    <row r="37" spans="1:10" x14ac:dyDescent="0.25">
      <c r="A37" t="s">
        <v>495</v>
      </c>
      <c r="B37" t="s">
        <v>57</v>
      </c>
      <c r="C37" s="1">
        <f>10128+529</f>
        <v>10657</v>
      </c>
      <c r="D37" s="1">
        <v>0</v>
      </c>
      <c r="E37" s="1">
        <v>0</v>
      </c>
      <c r="F37" s="1">
        <v>0</v>
      </c>
      <c r="G37" s="1">
        <v>0</v>
      </c>
      <c r="H37" s="1">
        <v>2621</v>
      </c>
      <c r="I37" s="1">
        <v>406</v>
      </c>
      <c r="J37" s="1"/>
    </row>
    <row r="38" spans="1:10" x14ac:dyDescent="0.25">
      <c r="A38" t="s">
        <v>248</v>
      </c>
      <c r="B38" t="s">
        <v>58</v>
      </c>
      <c r="C38" s="1">
        <f>10244+26+96+2326</f>
        <v>12692</v>
      </c>
      <c r="D38" s="1">
        <f>16+1+1+1</f>
        <v>19</v>
      </c>
      <c r="E38" s="1">
        <v>0</v>
      </c>
      <c r="F38" s="1">
        <v>0</v>
      </c>
      <c r="G38" s="1">
        <v>0</v>
      </c>
      <c r="H38" s="1">
        <v>10243</v>
      </c>
      <c r="I38" s="1">
        <v>1984</v>
      </c>
      <c r="J38" s="1"/>
    </row>
    <row r="39" spans="1:10" x14ac:dyDescent="0.25">
      <c r="A39" t="s">
        <v>843</v>
      </c>
      <c r="B39" t="s">
        <v>60</v>
      </c>
      <c r="C39" s="1">
        <f>3683+2836</f>
        <v>6519</v>
      </c>
      <c r="D39" s="1">
        <v>0</v>
      </c>
      <c r="E39" s="1">
        <v>0</v>
      </c>
      <c r="F39" s="1">
        <v>0</v>
      </c>
      <c r="G39" s="1">
        <v>0</v>
      </c>
      <c r="H39" s="1">
        <v>5706</v>
      </c>
      <c r="I39" s="1">
        <v>2307</v>
      </c>
      <c r="J39" s="1"/>
    </row>
    <row r="40" spans="1:10" x14ac:dyDescent="0.25">
      <c r="A40" t="s">
        <v>844</v>
      </c>
      <c r="B40" t="s">
        <v>62</v>
      </c>
      <c r="C40" s="1">
        <f>6116+3+4307</f>
        <v>10426</v>
      </c>
      <c r="D40" s="1">
        <f>13+4</f>
        <v>17</v>
      </c>
      <c r="E40" s="1">
        <v>0</v>
      </c>
      <c r="F40" s="1">
        <v>0</v>
      </c>
      <c r="G40" s="1">
        <v>0</v>
      </c>
      <c r="H40" s="1">
        <v>6547</v>
      </c>
      <c r="I40" s="1">
        <v>3270</v>
      </c>
      <c r="J40" s="1"/>
    </row>
    <row r="41" spans="1:10" x14ac:dyDescent="0.25">
      <c r="A41" t="s">
        <v>845</v>
      </c>
      <c r="B41" t="s">
        <v>63</v>
      </c>
      <c r="C41" s="1">
        <f>21417+1+5+1013+3+3+22+57+37+17+1+7693</f>
        <v>30269</v>
      </c>
      <c r="D41" s="1">
        <f>30+58+53+12+5+2</f>
        <v>160</v>
      </c>
      <c r="E41" s="1">
        <v>0</v>
      </c>
      <c r="F41" s="1">
        <v>0</v>
      </c>
      <c r="G41" s="1">
        <v>0</v>
      </c>
      <c r="H41" s="1">
        <v>15512</v>
      </c>
      <c r="I41" s="1">
        <v>5241</v>
      </c>
      <c r="J41" s="1"/>
    </row>
    <row r="42" spans="1:10" x14ac:dyDescent="0.25">
      <c r="A42" t="s">
        <v>846</v>
      </c>
      <c r="B42" s="10" t="s">
        <v>64</v>
      </c>
      <c r="C42" s="1">
        <f>5927+2642</f>
        <v>8569</v>
      </c>
      <c r="D42" s="1">
        <v>0</v>
      </c>
      <c r="E42" s="1">
        <v>0</v>
      </c>
      <c r="F42" s="1">
        <v>0</v>
      </c>
      <c r="G42" s="1">
        <v>0</v>
      </c>
      <c r="H42" s="1">
        <v>13699</v>
      </c>
      <c r="I42" s="1">
        <v>2363</v>
      </c>
      <c r="J42" s="1"/>
    </row>
    <row r="43" spans="1:10" x14ac:dyDescent="0.25">
      <c r="A43" t="s">
        <v>788</v>
      </c>
      <c r="B43" t="s">
        <v>65</v>
      </c>
      <c r="C43" s="1">
        <f>8498+2+2+2+3919</f>
        <v>12423</v>
      </c>
      <c r="D43" s="1">
        <f>101+2</f>
        <v>103</v>
      </c>
      <c r="E43" s="1">
        <v>0</v>
      </c>
      <c r="F43" s="1">
        <v>0</v>
      </c>
      <c r="G43" s="1">
        <v>0</v>
      </c>
      <c r="H43" s="1">
        <v>8282</v>
      </c>
      <c r="I43" s="1">
        <v>2701</v>
      </c>
      <c r="J43" s="1"/>
    </row>
    <row r="44" spans="1:10" x14ac:dyDescent="0.25">
      <c r="A44" t="s">
        <v>76</v>
      </c>
      <c r="B44" t="s">
        <v>66</v>
      </c>
      <c r="C44" s="1">
        <v>8804</v>
      </c>
      <c r="D44" s="1">
        <v>35</v>
      </c>
      <c r="E44" s="1">
        <v>0</v>
      </c>
      <c r="F44" s="1">
        <v>0</v>
      </c>
      <c r="G44" s="1">
        <v>0</v>
      </c>
      <c r="H44" s="1">
        <v>1474</v>
      </c>
      <c r="I44" s="1">
        <v>2030</v>
      </c>
      <c r="J44" s="1"/>
    </row>
    <row r="45" spans="1:10" x14ac:dyDescent="0.25">
      <c r="A45" t="s">
        <v>67</v>
      </c>
      <c r="B45" t="s">
        <v>68</v>
      </c>
      <c r="C45" s="1">
        <f>10550+63+1144</f>
        <v>11757</v>
      </c>
      <c r="D45" s="1">
        <f>12+146</f>
        <v>158</v>
      </c>
      <c r="E45" s="1">
        <v>0</v>
      </c>
      <c r="F45" s="1">
        <v>0</v>
      </c>
      <c r="G45" s="1">
        <v>0</v>
      </c>
      <c r="H45" s="1">
        <v>4717</v>
      </c>
      <c r="I45" s="1">
        <f>936</f>
        <v>936</v>
      </c>
      <c r="J45" s="1"/>
    </row>
    <row r="46" spans="1:10" x14ac:dyDescent="0.25">
      <c r="A46" t="s">
        <v>76</v>
      </c>
      <c r="B46" t="s">
        <v>70</v>
      </c>
      <c r="C46" s="1">
        <v>110555</v>
      </c>
      <c r="D46" s="1">
        <v>254</v>
      </c>
      <c r="E46" s="1">
        <v>0</v>
      </c>
      <c r="F46" s="1">
        <v>0</v>
      </c>
      <c r="G46" s="1">
        <v>0</v>
      </c>
      <c r="H46" s="1">
        <v>93594</v>
      </c>
      <c r="I46" s="1">
        <v>24212</v>
      </c>
      <c r="J46" s="1"/>
    </row>
    <row r="47" spans="1:10" x14ac:dyDescent="0.25">
      <c r="A47" t="s">
        <v>803</v>
      </c>
      <c r="B47" s="23" t="s">
        <v>71</v>
      </c>
      <c r="C47" s="1"/>
      <c r="D47" s="1"/>
      <c r="E47" s="1"/>
      <c r="F47" s="1"/>
      <c r="G47" s="1"/>
      <c r="H47" s="1"/>
      <c r="I47" s="1"/>
      <c r="J47" s="1"/>
    </row>
    <row r="48" spans="1:10" x14ac:dyDescent="0.25">
      <c r="A48" t="s">
        <v>72</v>
      </c>
      <c r="B48" t="s">
        <v>73</v>
      </c>
      <c r="C48" s="1">
        <f>11190+13+8+2048</f>
        <v>13259</v>
      </c>
      <c r="D48" s="1">
        <f>100</f>
        <v>100</v>
      </c>
      <c r="E48" s="1">
        <v>0</v>
      </c>
      <c r="F48" s="1">
        <v>0</v>
      </c>
      <c r="G48" s="1">
        <v>0</v>
      </c>
      <c r="H48" s="1">
        <v>9522</v>
      </c>
      <c r="I48" s="1">
        <f>1828</f>
        <v>1828</v>
      </c>
      <c r="J48" s="1"/>
    </row>
    <row r="49" spans="1:10" x14ac:dyDescent="0.25">
      <c r="A49" t="s">
        <v>809</v>
      </c>
      <c r="B49" t="s">
        <v>74</v>
      </c>
      <c r="C49" s="1">
        <f>35277+8+269+385+24+4+1+241+8533</f>
        <v>44742</v>
      </c>
      <c r="D49" s="1">
        <f>207+2+10+8</f>
        <v>227</v>
      </c>
      <c r="E49" s="1">
        <v>0</v>
      </c>
      <c r="F49" s="1">
        <v>0</v>
      </c>
      <c r="G49" s="1">
        <v>0</v>
      </c>
      <c r="H49" s="1">
        <v>22447</v>
      </c>
      <c r="I49" s="1">
        <v>5535</v>
      </c>
      <c r="J49" s="1"/>
    </row>
    <row r="50" spans="1:10" x14ac:dyDescent="0.25">
      <c r="A50" t="s">
        <v>146</v>
      </c>
      <c r="B50" t="s">
        <v>75</v>
      </c>
      <c r="C50" s="1">
        <f>5434+10189</f>
        <v>15623</v>
      </c>
      <c r="D50" s="1">
        <f>3+6</f>
        <v>9</v>
      </c>
      <c r="E50" s="1">
        <v>0</v>
      </c>
      <c r="F50" s="1">
        <v>0</v>
      </c>
      <c r="G50" s="1">
        <v>0</v>
      </c>
      <c r="H50" s="1">
        <v>11359</v>
      </c>
      <c r="I50" s="1">
        <v>9813</v>
      </c>
      <c r="J50" s="1"/>
    </row>
    <row r="51" spans="1:10" x14ac:dyDescent="0.25">
      <c r="A51" t="s">
        <v>76</v>
      </c>
      <c r="B51" t="s">
        <v>77</v>
      </c>
      <c r="C51" s="1">
        <v>15967</v>
      </c>
      <c r="D51" s="1">
        <v>157</v>
      </c>
      <c r="E51" s="1">
        <v>0</v>
      </c>
      <c r="F51" s="1">
        <v>0</v>
      </c>
      <c r="G51" s="1">
        <v>0</v>
      </c>
      <c r="H51" s="1">
        <v>7250</v>
      </c>
      <c r="I51" s="1">
        <v>4621</v>
      </c>
      <c r="J51" s="1"/>
    </row>
    <row r="52" spans="1:10" x14ac:dyDescent="0.25">
      <c r="A52" t="s">
        <v>801</v>
      </c>
      <c r="B52" t="s">
        <v>78</v>
      </c>
      <c r="C52" s="1"/>
      <c r="D52" s="1"/>
      <c r="E52" s="1"/>
      <c r="F52" s="1"/>
      <c r="G52" s="1"/>
      <c r="H52" s="1"/>
      <c r="I52" s="1"/>
      <c r="J52" s="1"/>
    </row>
    <row r="53" spans="1:10" x14ac:dyDescent="0.25">
      <c r="A53" t="s">
        <v>847</v>
      </c>
      <c r="B53" t="s">
        <v>79</v>
      </c>
      <c r="C53" s="1">
        <f>6399+1639</f>
        <v>8038</v>
      </c>
      <c r="D53" s="1">
        <v>0</v>
      </c>
      <c r="E53" s="1">
        <v>0</v>
      </c>
      <c r="F53" s="1">
        <v>0</v>
      </c>
      <c r="G53" s="1">
        <v>0</v>
      </c>
      <c r="H53" s="1">
        <v>1415</v>
      </c>
      <c r="I53" s="1">
        <v>1473</v>
      </c>
      <c r="J53" s="1"/>
    </row>
    <row r="54" spans="1:10" x14ac:dyDescent="0.25">
      <c r="A54" t="s">
        <v>226</v>
      </c>
      <c r="B54" t="s">
        <v>80</v>
      </c>
      <c r="C54" s="1">
        <f>2768+1+15+2082</f>
        <v>4866</v>
      </c>
      <c r="D54" s="1">
        <f>7</f>
        <v>7</v>
      </c>
      <c r="E54" s="1">
        <v>0</v>
      </c>
      <c r="F54" s="1">
        <v>0</v>
      </c>
      <c r="G54" s="1">
        <v>0</v>
      </c>
      <c r="H54" s="1">
        <v>2766</v>
      </c>
      <c r="I54" s="1">
        <f>2083</f>
        <v>2083</v>
      </c>
      <c r="J54" s="1"/>
    </row>
    <row r="55" spans="1:10" x14ac:dyDescent="0.25">
      <c r="A55" t="s">
        <v>826</v>
      </c>
      <c r="B55" t="s">
        <v>81</v>
      </c>
      <c r="C55" s="1">
        <f>7155+2+1+65+1915</f>
        <v>9138</v>
      </c>
      <c r="D55" s="1">
        <v>0</v>
      </c>
      <c r="E55" s="1">
        <v>0</v>
      </c>
      <c r="F55" s="1">
        <v>0</v>
      </c>
      <c r="G55" s="1">
        <v>0</v>
      </c>
      <c r="H55" s="1">
        <v>2619</v>
      </c>
      <c r="I55" s="1">
        <f>1647</f>
        <v>1647</v>
      </c>
      <c r="J55" s="1"/>
    </row>
    <row r="56" spans="1:10" x14ac:dyDescent="0.25">
      <c r="A56" t="s">
        <v>76</v>
      </c>
      <c r="B56" t="s">
        <v>82</v>
      </c>
      <c r="C56" s="1">
        <v>46989</v>
      </c>
      <c r="D56" s="1">
        <v>449</v>
      </c>
      <c r="E56" s="1">
        <v>0</v>
      </c>
      <c r="F56" s="1">
        <v>0</v>
      </c>
      <c r="G56" s="1">
        <v>0</v>
      </c>
      <c r="H56" s="1">
        <v>5840</v>
      </c>
      <c r="I56" s="1">
        <v>3861</v>
      </c>
      <c r="J56" s="1"/>
    </row>
    <row r="57" spans="1:10" x14ac:dyDescent="0.25">
      <c r="A57" t="s">
        <v>83</v>
      </c>
      <c r="B57" t="s">
        <v>84</v>
      </c>
      <c r="C57" s="1">
        <v>27600</v>
      </c>
      <c r="D57" s="1">
        <v>1</v>
      </c>
      <c r="E57" s="1">
        <v>0</v>
      </c>
      <c r="F57" s="1">
        <v>0</v>
      </c>
      <c r="G57" s="1">
        <v>0</v>
      </c>
      <c r="H57" s="1">
        <v>21558</v>
      </c>
      <c r="I57" s="1">
        <v>19561</v>
      </c>
      <c r="J57" s="7"/>
    </row>
    <row r="58" spans="1:10" x14ac:dyDescent="0.25">
      <c r="A58" t="s">
        <v>809</v>
      </c>
      <c r="B58" t="s">
        <v>85</v>
      </c>
      <c r="C58" s="1">
        <f>5027+1+1+26+416</f>
        <v>5471</v>
      </c>
      <c r="D58" s="1">
        <v>0</v>
      </c>
      <c r="E58" s="1">
        <v>0</v>
      </c>
      <c r="F58" s="1">
        <v>0</v>
      </c>
      <c r="G58" s="1">
        <v>0</v>
      </c>
      <c r="H58" s="1">
        <v>1356</v>
      </c>
      <c r="I58" s="1">
        <v>408</v>
      </c>
      <c r="J58" s="1"/>
    </row>
    <row r="59" spans="1:10" x14ac:dyDescent="0.25">
      <c r="A59" t="s">
        <v>811</v>
      </c>
      <c r="B59" t="s">
        <v>86</v>
      </c>
      <c r="C59" s="1">
        <f>20372+215+6+229+2+28471+2</f>
        <v>49297</v>
      </c>
      <c r="D59" s="1">
        <f>1138+28+15+1210+9144+58</f>
        <v>11593</v>
      </c>
      <c r="E59" s="1">
        <v>0</v>
      </c>
      <c r="F59" s="1">
        <v>0</v>
      </c>
      <c r="G59" s="1">
        <v>0</v>
      </c>
      <c r="H59" s="1">
        <v>7133</v>
      </c>
      <c r="I59" s="1">
        <v>28430</v>
      </c>
      <c r="J59" s="1"/>
    </row>
    <row r="60" spans="1:10" x14ac:dyDescent="0.25">
      <c r="A60" t="s">
        <v>811</v>
      </c>
      <c r="B60" t="s">
        <v>87</v>
      </c>
      <c r="C60" s="1">
        <f>19453+1+7+25+36+8+276+17+1+1+1+6+281+4868</f>
        <v>24981</v>
      </c>
      <c r="D60" s="1">
        <f>614+1336+112</f>
        <v>2062</v>
      </c>
      <c r="E60" s="1">
        <v>0</v>
      </c>
      <c r="F60" s="1">
        <v>0</v>
      </c>
      <c r="G60" s="1">
        <v>0</v>
      </c>
      <c r="H60" s="1">
        <v>8311</v>
      </c>
      <c r="I60" s="1">
        <v>5396</v>
      </c>
      <c r="J60" s="1"/>
    </row>
    <row r="61" spans="1:10" x14ac:dyDescent="0.25">
      <c r="A61" t="s">
        <v>791</v>
      </c>
      <c r="B61" t="s">
        <v>88</v>
      </c>
      <c r="C61" s="1">
        <f>9121+10+19+5783</f>
        <v>14933</v>
      </c>
      <c r="D61" s="1">
        <f>378+25+101</f>
        <v>504</v>
      </c>
      <c r="E61" s="1">
        <v>0</v>
      </c>
      <c r="F61" s="1">
        <v>0</v>
      </c>
      <c r="G61" s="1">
        <v>0</v>
      </c>
      <c r="H61" s="1">
        <v>2732</v>
      </c>
      <c r="I61" s="1">
        <v>5418</v>
      </c>
      <c r="J61" s="1"/>
    </row>
    <row r="62" spans="1:10" x14ac:dyDescent="0.25">
      <c r="A62" t="s">
        <v>809</v>
      </c>
      <c r="B62" t="s">
        <v>89</v>
      </c>
      <c r="C62" s="1">
        <f>1887+12+193</f>
        <v>2092</v>
      </c>
      <c r="D62" s="1">
        <v>24</v>
      </c>
      <c r="E62" s="1">
        <v>0</v>
      </c>
      <c r="F62" s="1">
        <v>0</v>
      </c>
      <c r="G62" s="1">
        <v>0</v>
      </c>
      <c r="H62" s="1">
        <v>5100</v>
      </c>
      <c r="I62" s="1">
        <v>204</v>
      </c>
      <c r="J62" s="1"/>
    </row>
    <row r="63" spans="1:10" x14ac:dyDescent="0.25">
      <c r="A63" t="s">
        <v>848</v>
      </c>
      <c r="B63" t="s">
        <v>90</v>
      </c>
      <c r="C63" s="1">
        <f>13939+54+67+1+99+17110</f>
        <v>31270</v>
      </c>
      <c r="D63" s="1">
        <f>21+19+72</f>
        <v>112</v>
      </c>
      <c r="E63" s="1">
        <v>0</v>
      </c>
      <c r="F63" s="1">
        <v>0</v>
      </c>
      <c r="G63" s="1">
        <v>0</v>
      </c>
      <c r="H63" s="1">
        <v>5213</v>
      </c>
      <c r="I63" s="1">
        <v>16337</v>
      </c>
      <c r="J63" s="1"/>
    </row>
    <row r="64" spans="1:10" x14ac:dyDescent="0.25">
      <c r="A64" t="s">
        <v>811</v>
      </c>
      <c r="B64" t="s">
        <v>91</v>
      </c>
      <c r="C64" s="1">
        <f>51010+265+2+2+108541+1</f>
        <v>159821</v>
      </c>
      <c r="D64" s="1">
        <f>1984+1+155+1213+87</f>
        <v>3440</v>
      </c>
      <c r="E64" s="1">
        <v>0</v>
      </c>
      <c r="F64" s="1">
        <v>0</v>
      </c>
      <c r="G64" s="1">
        <v>0</v>
      </c>
      <c r="H64" s="1">
        <v>59623</v>
      </c>
      <c r="I64" s="1">
        <v>84385</v>
      </c>
      <c r="J64" s="1"/>
    </row>
    <row r="65" spans="1:10" x14ac:dyDescent="0.25">
      <c r="A65" t="s">
        <v>826</v>
      </c>
      <c r="B65" t="s">
        <v>92</v>
      </c>
      <c r="C65" s="1">
        <f>34884+11+118+166+1+18+12+17+648+6208</f>
        <v>42083</v>
      </c>
      <c r="D65" s="1">
        <f>774+46+461+66+1</f>
        <v>1348</v>
      </c>
      <c r="E65" s="1">
        <v>0</v>
      </c>
      <c r="F65" s="1">
        <v>0</v>
      </c>
      <c r="G65" s="1">
        <v>0</v>
      </c>
      <c r="H65" s="1">
        <v>3016</v>
      </c>
      <c r="I65" s="1">
        <f>5568</f>
        <v>5568</v>
      </c>
      <c r="J65" s="1"/>
    </row>
    <row r="66" spans="1:10" x14ac:dyDescent="0.25">
      <c r="A66" t="s">
        <v>849</v>
      </c>
      <c r="B66" t="s">
        <v>93</v>
      </c>
      <c r="C66" s="1">
        <f>2968+7+115+3283</f>
        <v>6373</v>
      </c>
      <c r="D66" s="1">
        <f>132+61</f>
        <v>193</v>
      </c>
      <c r="E66" s="1">
        <v>0</v>
      </c>
      <c r="F66" s="1">
        <v>0</v>
      </c>
      <c r="G66" s="1">
        <v>0</v>
      </c>
      <c r="H66" s="1">
        <v>4669</v>
      </c>
      <c r="I66" s="1">
        <v>2881</v>
      </c>
      <c r="J66" s="1"/>
    </row>
    <row r="67" spans="1:10" x14ac:dyDescent="0.25">
      <c r="A67" t="s">
        <v>791</v>
      </c>
      <c r="B67" t="s">
        <v>94</v>
      </c>
      <c r="C67" s="1">
        <f>8098+19+29+16+3+24+1233</f>
        <v>9422</v>
      </c>
      <c r="D67" s="1">
        <f>57+15+1</f>
        <v>73</v>
      </c>
      <c r="E67" s="1">
        <v>0</v>
      </c>
      <c r="F67" s="1">
        <v>0</v>
      </c>
      <c r="G67" s="1">
        <v>0</v>
      </c>
      <c r="H67" s="1">
        <v>4907</v>
      </c>
      <c r="I67" s="1">
        <v>934</v>
      </c>
      <c r="J67" s="1"/>
    </row>
    <row r="68" spans="1:10" x14ac:dyDescent="0.25">
      <c r="A68" t="s">
        <v>848</v>
      </c>
      <c r="B68" t="s">
        <v>95</v>
      </c>
      <c r="C68" s="1">
        <f>1740+464</f>
        <v>2204</v>
      </c>
      <c r="D68" s="1">
        <f>18+6</f>
        <v>24</v>
      </c>
      <c r="E68" s="1">
        <v>0</v>
      </c>
      <c r="F68" s="1">
        <v>0</v>
      </c>
      <c r="G68" s="1">
        <v>0</v>
      </c>
      <c r="H68" s="1">
        <v>672</v>
      </c>
      <c r="I68" s="1">
        <v>291</v>
      </c>
      <c r="J68" s="1"/>
    </row>
    <row r="69" spans="1:10" x14ac:dyDescent="0.25">
      <c r="A69" t="s">
        <v>826</v>
      </c>
      <c r="B69" t="s">
        <v>96</v>
      </c>
      <c r="C69" s="1">
        <f>4698+14+8+1521</f>
        <v>6241</v>
      </c>
      <c r="D69" s="1">
        <f>83+10+28</f>
        <v>121</v>
      </c>
      <c r="E69" s="1">
        <v>0</v>
      </c>
      <c r="F69" s="1">
        <v>0</v>
      </c>
      <c r="G69" s="1">
        <v>0</v>
      </c>
      <c r="H69" s="1">
        <v>973</v>
      </c>
      <c r="I69" s="1">
        <f>1086</f>
        <v>1086</v>
      </c>
      <c r="J69" s="1"/>
    </row>
    <row r="70" spans="1:10" x14ac:dyDescent="0.25">
      <c r="A70" t="s">
        <v>850</v>
      </c>
      <c r="B70" t="s">
        <v>98</v>
      </c>
      <c r="C70" s="1">
        <f>5712+2934</f>
        <v>8646</v>
      </c>
      <c r="D70" s="1">
        <f>10+9</f>
        <v>19</v>
      </c>
      <c r="E70" s="1">
        <v>0</v>
      </c>
      <c r="F70" s="1">
        <v>0</v>
      </c>
      <c r="G70" s="1">
        <v>0</v>
      </c>
      <c r="H70" s="1">
        <v>5997</v>
      </c>
      <c r="I70" s="1">
        <v>2577</v>
      </c>
      <c r="J70" s="1"/>
    </row>
    <row r="71" spans="1:10" x14ac:dyDescent="0.25">
      <c r="A71" t="s">
        <v>851</v>
      </c>
      <c r="B71" t="s">
        <v>100</v>
      </c>
      <c r="C71" s="1">
        <f>3582+1+1835</f>
        <v>5418</v>
      </c>
      <c r="D71" s="1">
        <f>101+67</f>
        <v>168</v>
      </c>
      <c r="E71" s="1">
        <v>0</v>
      </c>
      <c r="F71" s="1">
        <v>0</v>
      </c>
      <c r="G71" s="1">
        <v>0</v>
      </c>
      <c r="H71" s="1">
        <v>3331</v>
      </c>
      <c r="I71" s="1">
        <v>1593</v>
      </c>
      <c r="J71" s="1"/>
    </row>
    <row r="72" spans="1:10" x14ac:dyDescent="0.25">
      <c r="A72" t="s">
        <v>101</v>
      </c>
      <c r="B72" t="s">
        <v>102</v>
      </c>
      <c r="C72" s="1">
        <f>25611+16+6+6523</f>
        <v>32156</v>
      </c>
      <c r="D72" s="1">
        <v>2</v>
      </c>
      <c r="E72" s="1">
        <v>0</v>
      </c>
      <c r="F72" s="1">
        <v>0</v>
      </c>
      <c r="G72" s="1">
        <v>0</v>
      </c>
      <c r="H72" s="1">
        <v>20635</v>
      </c>
      <c r="I72" s="1">
        <v>4915</v>
      </c>
      <c r="J72" s="1"/>
    </row>
    <row r="73" spans="1:10" x14ac:dyDescent="0.25">
      <c r="A73" t="s">
        <v>512</v>
      </c>
      <c r="B73" t="s">
        <v>103</v>
      </c>
      <c r="C73" s="1">
        <f>9991+1+3437</f>
        <v>13429</v>
      </c>
      <c r="D73" s="1">
        <v>0</v>
      </c>
      <c r="E73" s="1">
        <v>0</v>
      </c>
      <c r="F73" s="1">
        <v>0</v>
      </c>
      <c r="G73" s="1">
        <v>0</v>
      </c>
      <c r="H73" s="1">
        <v>723</v>
      </c>
      <c r="I73" s="1">
        <f>2467</f>
        <v>2467</v>
      </c>
      <c r="J73" s="1"/>
    </row>
    <row r="74" spans="1:10" x14ac:dyDescent="0.25">
      <c r="A74" t="s">
        <v>852</v>
      </c>
      <c r="B74" t="s">
        <v>105</v>
      </c>
      <c r="C74" s="1">
        <f>6321+4177</f>
        <v>10498</v>
      </c>
      <c r="D74" s="1">
        <f>2+14+2</f>
        <v>18</v>
      </c>
      <c r="E74" s="1">
        <v>0</v>
      </c>
      <c r="F74" s="1">
        <v>0</v>
      </c>
      <c r="G74" s="1">
        <v>0</v>
      </c>
      <c r="H74" s="1">
        <v>5581</v>
      </c>
      <c r="I74" s="1">
        <v>3099</v>
      </c>
      <c r="J74" s="1"/>
    </row>
    <row r="75" spans="1:10" x14ac:dyDescent="0.25">
      <c r="A75" t="s">
        <v>853</v>
      </c>
      <c r="B75" t="s">
        <v>107</v>
      </c>
      <c r="C75" s="1">
        <f>23648+686+5+6814</f>
        <v>31153</v>
      </c>
      <c r="D75" s="1">
        <f>57+1+97</f>
        <v>155</v>
      </c>
      <c r="E75" s="1">
        <v>0</v>
      </c>
      <c r="F75" s="1">
        <v>0</v>
      </c>
      <c r="G75" s="1">
        <v>0</v>
      </c>
      <c r="H75" s="1">
        <v>19446</v>
      </c>
      <c r="I75" s="1">
        <v>6348</v>
      </c>
      <c r="J75" s="1"/>
    </row>
    <row r="76" spans="1:10" x14ac:dyDescent="0.25">
      <c r="A76" t="s">
        <v>854</v>
      </c>
      <c r="B76" t="s">
        <v>109</v>
      </c>
      <c r="C76" s="1">
        <f>10773+18+3+28+4177+2</f>
        <v>15001</v>
      </c>
      <c r="D76" s="1">
        <f>57+7+41+149</f>
        <v>254</v>
      </c>
      <c r="E76" s="1">
        <v>0</v>
      </c>
      <c r="F76" s="1">
        <v>0</v>
      </c>
      <c r="G76" s="1">
        <v>0</v>
      </c>
      <c r="H76" s="1">
        <v>10106</v>
      </c>
      <c r="I76" s="1">
        <v>3316</v>
      </c>
      <c r="J76" s="1"/>
    </row>
    <row r="77" spans="1:10" x14ac:dyDescent="0.25">
      <c r="A77" t="s">
        <v>855</v>
      </c>
      <c r="B77" t="s">
        <v>111</v>
      </c>
      <c r="C77" s="1">
        <f>5029+4+3168</f>
        <v>8201</v>
      </c>
      <c r="D77" s="1">
        <f>34+59</f>
        <v>93</v>
      </c>
      <c r="E77" s="1">
        <v>0</v>
      </c>
      <c r="F77" s="1">
        <v>0</v>
      </c>
      <c r="G77" s="1">
        <v>0</v>
      </c>
      <c r="H77" s="1">
        <v>7682</v>
      </c>
      <c r="I77" s="1">
        <v>2770</v>
      </c>
      <c r="J77" s="1"/>
    </row>
    <row r="78" spans="1:10" x14ac:dyDescent="0.25">
      <c r="A78" t="s">
        <v>101</v>
      </c>
      <c r="B78" t="s">
        <v>112</v>
      </c>
      <c r="C78" s="1">
        <f>23593+25+142+14+2181</f>
        <v>25955</v>
      </c>
      <c r="D78" s="1">
        <f>5+3</f>
        <v>8</v>
      </c>
      <c r="E78" s="1">
        <v>0</v>
      </c>
      <c r="F78" s="1">
        <v>0</v>
      </c>
      <c r="G78" s="1">
        <v>0</v>
      </c>
      <c r="H78" s="1">
        <v>40915</v>
      </c>
      <c r="I78" s="1">
        <v>1824</v>
      </c>
      <c r="J78" s="1"/>
    </row>
    <row r="79" spans="1:10" x14ac:dyDescent="0.25">
      <c r="A79" t="s">
        <v>856</v>
      </c>
      <c r="B79" t="s">
        <v>114</v>
      </c>
      <c r="C79" s="1">
        <f>2464+2+6+7282+1</f>
        <v>9755</v>
      </c>
      <c r="D79" s="1">
        <f>145+30</f>
        <v>175</v>
      </c>
      <c r="E79" s="1">
        <v>0</v>
      </c>
      <c r="F79" s="1">
        <v>0</v>
      </c>
      <c r="G79" s="1">
        <v>0</v>
      </c>
      <c r="H79" s="1">
        <v>16396</v>
      </c>
      <c r="I79" s="1">
        <v>6359</v>
      </c>
      <c r="J79" s="1"/>
    </row>
    <row r="80" spans="1:10" x14ac:dyDescent="0.25">
      <c r="A80" t="s">
        <v>857</v>
      </c>
      <c r="B80" t="s">
        <v>116</v>
      </c>
      <c r="C80" s="1">
        <f>8892+4841</f>
        <v>13733</v>
      </c>
      <c r="D80" s="1">
        <f>120+20+5</f>
        <v>145</v>
      </c>
      <c r="E80" s="1">
        <v>0</v>
      </c>
      <c r="F80" s="1">
        <v>0</v>
      </c>
      <c r="G80" s="1">
        <v>0</v>
      </c>
      <c r="H80" s="1">
        <v>2570</v>
      </c>
      <c r="I80" s="1">
        <v>3938</v>
      </c>
      <c r="J80" s="1"/>
    </row>
    <row r="81" spans="1:10" x14ac:dyDescent="0.25">
      <c r="A81" t="s">
        <v>823</v>
      </c>
      <c r="B81" t="s">
        <v>117</v>
      </c>
      <c r="C81" s="1">
        <f>9617+25+3252</f>
        <v>12894</v>
      </c>
      <c r="D81" s="1">
        <v>0</v>
      </c>
      <c r="E81" s="1">
        <v>0</v>
      </c>
      <c r="F81" s="1">
        <v>0</v>
      </c>
      <c r="G81" s="1">
        <v>0</v>
      </c>
      <c r="H81" s="1">
        <v>110</v>
      </c>
      <c r="I81" s="1">
        <f>2810</f>
        <v>2810</v>
      </c>
      <c r="J81" s="1"/>
    </row>
    <row r="82" spans="1:10" x14ac:dyDescent="0.25">
      <c r="A82" t="s">
        <v>858</v>
      </c>
      <c r="B82" t="s">
        <v>119</v>
      </c>
      <c r="C82" s="1">
        <f>5612+6+7570</f>
        <v>13188</v>
      </c>
      <c r="D82" s="1">
        <f>8+6+58</f>
        <v>72</v>
      </c>
      <c r="E82" s="1">
        <v>0</v>
      </c>
      <c r="F82" s="1">
        <v>0</v>
      </c>
      <c r="G82" s="1">
        <v>0</v>
      </c>
      <c r="H82" s="1">
        <v>4783</v>
      </c>
      <c r="I82" s="1">
        <v>4637</v>
      </c>
      <c r="J82" s="1"/>
    </row>
    <row r="83" spans="1:10" x14ac:dyDescent="0.25">
      <c r="A83" t="s">
        <v>859</v>
      </c>
      <c r="B83" t="s">
        <v>121</v>
      </c>
      <c r="C83" s="1">
        <f>5693+4+44+1+3119</f>
        <v>8861</v>
      </c>
      <c r="D83" s="1">
        <f>4+2</f>
        <v>6</v>
      </c>
      <c r="E83" s="1">
        <v>0</v>
      </c>
      <c r="F83" s="1">
        <v>0</v>
      </c>
      <c r="G83" s="1">
        <v>0</v>
      </c>
      <c r="H83" s="1">
        <v>9420</v>
      </c>
      <c r="I83" s="1">
        <v>2089</v>
      </c>
      <c r="J83" s="1"/>
    </row>
    <row r="84" spans="1:10" x14ac:dyDescent="0.25">
      <c r="A84" t="s">
        <v>860</v>
      </c>
      <c r="B84" t="s">
        <v>122</v>
      </c>
      <c r="C84" s="1">
        <f>8681+1+5057</f>
        <v>13739</v>
      </c>
      <c r="D84" s="1">
        <f>1+39</f>
        <v>40</v>
      </c>
      <c r="E84" s="1">
        <v>0</v>
      </c>
      <c r="F84" s="1">
        <v>0</v>
      </c>
      <c r="G84" s="1">
        <v>0</v>
      </c>
      <c r="H84" s="1">
        <v>5535</v>
      </c>
      <c r="I84" s="1">
        <v>3852</v>
      </c>
      <c r="J84" s="1"/>
    </row>
    <row r="85" spans="1:10" x14ac:dyDescent="0.25">
      <c r="A85" t="s">
        <v>861</v>
      </c>
      <c r="B85" t="s">
        <v>124</v>
      </c>
      <c r="C85" s="1">
        <f>8537+3017</f>
        <v>11554</v>
      </c>
      <c r="D85" s="1">
        <v>0</v>
      </c>
      <c r="E85" s="1">
        <v>0</v>
      </c>
      <c r="F85" s="1">
        <v>0</v>
      </c>
      <c r="G85" s="1">
        <v>0</v>
      </c>
      <c r="H85" s="1">
        <v>5959</v>
      </c>
      <c r="I85" s="1">
        <v>2477</v>
      </c>
      <c r="J85" s="1"/>
    </row>
    <row r="86" spans="1:10" x14ac:dyDescent="0.25">
      <c r="A86" t="s">
        <v>823</v>
      </c>
      <c r="B86" t="s">
        <v>125</v>
      </c>
      <c r="C86" s="1">
        <f>47182+2812</f>
        <v>49994</v>
      </c>
      <c r="D86" s="1">
        <v>0</v>
      </c>
      <c r="E86" s="1">
        <v>0</v>
      </c>
      <c r="F86" s="1">
        <v>0</v>
      </c>
      <c r="G86" s="1">
        <v>0</v>
      </c>
      <c r="H86" s="1">
        <v>627</v>
      </c>
      <c r="I86" s="1">
        <f>1457</f>
        <v>1457</v>
      </c>
      <c r="J86" s="1"/>
    </row>
    <row r="87" spans="1:10" x14ac:dyDescent="0.25">
      <c r="A87" t="s">
        <v>248</v>
      </c>
      <c r="B87" t="s">
        <v>126</v>
      </c>
      <c r="C87" s="1">
        <f>11704+2+2+3822</f>
        <v>15530</v>
      </c>
      <c r="D87" s="1">
        <f>8+1+1</f>
        <v>10</v>
      </c>
      <c r="E87" s="1">
        <v>0</v>
      </c>
      <c r="F87" s="1">
        <v>0</v>
      </c>
      <c r="G87" s="1">
        <v>0</v>
      </c>
      <c r="H87" s="1">
        <v>30819</v>
      </c>
      <c r="I87" s="1">
        <v>3279</v>
      </c>
      <c r="J87" s="1"/>
    </row>
    <row r="88" spans="1:10" x14ac:dyDescent="0.25">
      <c r="A88" t="s">
        <v>862</v>
      </c>
      <c r="B88" t="s">
        <v>127</v>
      </c>
      <c r="C88" s="1">
        <f>3877+2260</f>
        <v>6137</v>
      </c>
      <c r="D88" s="1">
        <v>63</v>
      </c>
      <c r="E88" s="1">
        <v>0</v>
      </c>
      <c r="F88" s="1">
        <v>0</v>
      </c>
      <c r="G88" s="1">
        <v>0</v>
      </c>
      <c r="H88" s="1">
        <v>4329</v>
      </c>
      <c r="I88" s="1">
        <v>2225</v>
      </c>
      <c r="J88" s="1"/>
    </row>
    <row r="89" spans="1:10" x14ac:dyDescent="0.25">
      <c r="A89" t="s">
        <v>863</v>
      </c>
      <c r="B89" t="s">
        <v>129</v>
      </c>
      <c r="C89" s="1">
        <f>13226+5827</f>
        <v>19053</v>
      </c>
      <c r="D89" s="1">
        <f>262+11</f>
        <v>273</v>
      </c>
      <c r="E89" s="1">
        <v>0</v>
      </c>
      <c r="F89" s="1">
        <v>0</v>
      </c>
      <c r="G89" s="1">
        <v>0</v>
      </c>
      <c r="H89" s="1">
        <v>5616</v>
      </c>
      <c r="I89" s="1">
        <v>4389</v>
      </c>
      <c r="J89" s="1"/>
    </row>
    <row r="90" spans="1:10" x14ac:dyDescent="0.25">
      <c r="A90" t="s">
        <v>794</v>
      </c>
      <c r="B90" t="s">
        <v>130</v>
      </c>
      <c r="C90" s="1">
        <f>28191+978+3537</f>
        <v>32706</v>
      </c>
      <c r="D90" s="1">
        <f>26+69+10</f>
        <v>105</v>
      </c>
      <c r="E90" s="1">
        <v>0</v>
      </c>
      <c r="F90" s="1">
        <v>0</v>
      </c>
      <c r="G90" s="1">
        <v>0</v>
      </c>
      <c r="H90" s="1">
        <v>2781</v>
      </c>
      <c r="I90" s="1">
        <v>3158</v>
      </c>
      <c r="J90" s="1"/>
    </row>
    <row r="91" spans="1:10" x14ac:dyDescent="0.25">
      <c r="A91" t="s">
        <v>864</v>
      </c>
      <c r="B91" t="s">
        <v>132</v>
      </c>
      <c r="C91" s="1">
        <f>13860+8652</f>
        <v>22512</v>
      </c>
      <c r="D91" s="1">
        <f>6+1+18+24</f>
        <v>49</v>
      </c>
      <c r="E91" s="1">
        <v>0</v>
      </c>
      <c r="F91" s="1">
        <v>0</v>
      </c>
      <c r="G91" s="1">
        <v>0</v>
      </c>
      <c r="H91" s="1">
        <v>29207</v>
      </c>
      <c r="I91" s="1">
        <v>7751</v>
      </c>
      <c r="J91" s="1"/>
    </row>
    <row r="92" spans="1:10" x14ac:dyDescent="0.25">
      <c r="A92" t="s">
        <v>512</v>
      </c>
      <c r="B92" t="s">
        <v>133</v>
      </c>
      <c r="C92" s="1">
        <f>7614+2+3120</f>
        <v>10736</v>
      </c>
      <c r="D92" s="1">
        <v>0</v>
      </c>
      <c r="E92" s="1">
        <v>0</v>
      </c>
      <c r="F92" s="1">
        <v>0</v>
      </c>
      <c r="G92" s="1">
        <v>0</v>
      </c>
      <c r="H92" s="1">
        <v>2574</v>
      </c>
      <c r="I92" s="1">
        <f>2284</f>
        <v>2284</v>
      </c>
      <c r="J92" s="1"/>
    </row>
    <row r="93" spans="1:10" x14ac:dyDescent="0.25">
      <c r="A93" t="s">
        <v>134</v>
      </c>
      <c r="B93" t="s">
        <v>135</v>
      </c>
      <c r="C93" s="1">
        <f>15838+63+71+9922</f>
        <v>25894</v>
      </c>
      <c r="D93" s="1">
        <f>7+3</f>
        <v>10</v>
      </c>
      <c r="E93" s="1">
        <v>0</v>
      </c>
      <c r="F93" s="1">
        <v>0</v>
      </c>
      <c r="G93" s="1">
        <v>0</v>
      </c>
      <c r="H93" s="1">
        <v>42845</v>
      </c>
      <c r="I93" s="1">
        <v>8183</v>
      </c>
      <c r="J93" s="1"/>
    </row>
    <row r="94" spans="1:10" x14ac:dyDescent="0.25">
      <c r="A94" t="s">
        <v>795</v>
      </c>
      <c r="B94" t="s">
        <v>136</v>
      </c>
      <c r="C94" s="1">
        <f>8240+16+4+3274</f>
        <v>11534</v>
      </c>
      <c r="D94" s="1">
        <f>105+36+26+7</f>
        <v>174</v>
      </c>
      <c r="E94" s="1">
        <v>0</v>
      </c>
      <c r="F94" s="1">
        <v>0</v>
      </c>
      <c r="G94" s="1">
        <v>0</v>
      </c>
      <c r="H94" s="1">
        <v>7999</v>
      </c>
      <c r="I94" s="1">
        <f>3104</f>
        <v>3104</v>
      </c>
      <c r="J94" s="1"/>
    </row>
    <row r="95" spans="1:10" x14ac:dyDescent="0.25">
      <c r="A95" t="s">
        <v>120</v>
      </c>
      <c r="B95" t="s">
        <v>137</v>
      </c>
      <c r="C95" s="1">
        <f>30101+969+7+99+2729</f>
        <v>33905</v>
      </c>
      <c r="D95" s="1">
        <f>92+1</f>
        <v>93</v>
      </c>
      <c r="E95" s="1">
        <v>0</v>
      </c>
      <c r="F95" s="1">
        <v>0</v>
      </c>
      <c r="G95" s="1">
        <v>0</v>
      </c>
      <c r="H95" s="1">
        <v>22564</v>
      </c>
      <c r="I95" s="1">
        <f>2117</f>
        <v>2117</v>
      </c>
      <c r="J95" s="1"/>
    </row>
    <row r="96" spans="1:10" x14ac:dyDescent="0.25">
      <c r="A96" t="s">
        <v>138</v>
      </c>
      <c r="B96" t="s">
        <v>139</v>
      </c>
      <c r="C96" s="1">
        <f>16562+26+4+368+4+58+3455</f>
        <v>20477</v>
      </c>
      <c r="D96" s="1">
        <f>2+15</f>
        <v>17</v>
      </c>
      <c r="E96" s="1">
        <v>0</v>
      </c>
      <c r="F96" s="1">
        <v>0</v>
      </c>
      <c r="G96" s="1">
        <v>0</v>
      </c>
      <c r="H96" s="1">
        <v>4487</v>
      </c>
      <c r="I96" s="1">
        <v>3040</v>
      </c>
      <c r="J96" s="1"/>
    </row>
    <row r="97" spans="1:10" x14ac:dyDescent="0.25">
      <c r="A97" t="s">
        <v>806</v>
      </c>
      <c r="B97" t="s">
        <v>141</v>
      </c>
      <c r="C97" s="1">
        <f>1077+57+13+92</f>
        <v>1239</v>
      </c>
      <c r="D97" s="1">
        <v>0</v>
      </c>
      <c r="E97" s="1">
        <v>0</v>
      </c>
      <c r="F97" s="1">
        <v>0</v>
      </c>
      <c r="G97" s="1">
        <v>0</v>
      </c>
      <c r="H97" s="1">
        <v>411</v>
      </c>
      <c r="I97" s="1">
        <v>97</v>
      </c>
      <c r="J97" s="1"/>
    </row>
    <row r="98" spans="1:10" x14ac:dyDescent="0.25">
      <c r="A98" t="s">
        <v>67</v>
      </c>
      <c r="B98" t="s">
        <v>142</v>
      </c>
      <c r="C98" s="1">
        <f>13447+2+1751+21+1332</f>
        <v>16553</v>
      </c>
      <c r="D98" s="1">
        <f>29+1</f>
        <v>30</v>
      </c>
      <c r="E98" s="1">
        <v>0</v>
      </c>
      <c r="F98" s="1">
        <v>0</v>
      </c>
      <c r="G98" s="1">
        <v>0</v>
      </c>
      <c r="H98" s="1">
        <v>5394</v>
      </c>
      <c r="I98" s="1">
        <f>1176</f>
        <v>1176</v>
      </c>
      <c r="J98" s="1"/>
    </row>
    <row r="99" spans="1:10" x14ac:dyDescent="0.25">
      <c r="A99" t="s">
        <v>823</v>
      </c>
      <c r="B99" t="s">
        <v>143</v>
      </c>
      <c r="C99" s="1">
        <f>8059+5713</f>
        <v>13772</v>
      </c>
      <c r="D99" s="1">
        <v>0</v>
      </c>
      <c r="E99" s="1">
        <v>0</v>
      </c>
      <c r="F99" s="1">
        <v>0</v>
      </c>
      <c r="G99" s="1">
        <v>0</v>
      </c>
      <c r="H99" s="1">
        <v>347</v>
      </c>
      <c r="I99" s="1">
        <f>947</f>
        <v>947</v>
      </c>
      <c r="J99" s="1"/>
    </row>
    <row r="100" spans="1:10" x14ac:dyDescent="0.25">
      <c r="A100" t="s">
        <v>848</v>
      </c>
      <c r="B100" t="s">
        <v>144</v>
      </c>
      <c r="C100" s="1">
        <f>4871+2370</f>
        <v>7241</v>
      </c>
      <c r="D100" s="1">
        <f>230+5</f>
        <v>235</v>
      </c>
      <c r="E100" s="1">
        <v>0</v>
      </c>
      <c r="F100" s="1">
        <v>0</v>
      </c>
      <c r="G100" s="1">
        <v>0</v>
      </c>
      <c r="H100" s="1">
        <v>1344</v>
      </c>
      <c r="I100" s="1">
        <v>2136</v>
      </c>
      <c r="J100" s="1"/>
    </row>
    <row r="101" spans="1:10" x14ac:dyDescent="0.25">
      <c r="A101" t="s">
        <v>816</v>
      </c>
      <c r="B101" t="s">
        <v>145</v>
      </c>
      <c r="C101" s="1">
        <f>25955+1+30+6+15296+1</f>
        <v>41289</v>
      </c>
      <c r="D101" s="1">
        <f>22+20+1</f>
        <v>43</v>
      </c>
      <c r="E101" s="1">
        <v>0</v>
      </c>
      <c r="F101" s="1">
        <v>0</v>
      </c>
      <c r="G101" s="1">
        <v>0</v>
      </c>
      <c r="H101" s="1">
        <v>30477</v>
      </c>
      <c r="I101" s="1">
        <v>13731</v>
      </c>
      <c r="J101" s="1"/>
    </row>
    <row r="102" spans="1:10" x14ac:dyDescent="0.25">
      <c r="A102" t="s">
        <v>146</v>
      </c>
      <c r="B102" t="s">
        <v>147</v>
      </c>
      <c r="C102" s="1">
        <f>52833+159+14675</f>
        <v>67667</v>
      </c>
      <c r="D102" s="1">
        <f>52+2+2+2</f>
        <v>58</v>
      </c>
      <c r="E102" s="1">
        <v>0</v>
      </c>
      <c r="F102" s="1">
        <v>0</v>
      </c>
      <c r="G102" s="1">
        <v>0</v>
      </c>
      <c r="H102" s="1">
        <v>28389</v>
      </c>
      <c r="I102" s="1">
        <v>12251</v>
      </c>
      <c r="J102" s="1"/>
    </row>
    <row r="103" spans="1:10" x14ac:dyDescent="0.25">
      <c r="A103" t="s">
        <v>804</v>
      </c>
      <c r="B103" t="s">
        <v>148</v>
      </c>
      <c r="C103" s="1">
        <f>71327+4+5+121+22+25295</f>
        <v>96774</v>
      </c>
      <c r="D103" s="1">
        <f>42+4+22+36+2</f>
        <v>106</v>
      </c>
      <c r="E103" s="1">
        <v>0</v>
      </c>
      <c r="F103" s="1">
        <v>0</v>
      </c>
      <c r="G103" s="1">
        <v>0</v>
      </c>
      <c r="H103" s="1">
        <v>118704</v>
      </c>
      <c r="I103" s="1">
        <f>20441</f>
        <v>20441</v>
      </c>
      <c r="J103" s="1"/>
    </row>
    <row r="104" spans="1:10" x14ac:dyDescent="0.25">
      <c r="A104" t="s">
        <v>817</v>
      </c>
      <c r="B104" t="s">
        <v>149</v>
      </c>
      <c r="C104" s="1">
        <f>8338+1+6294+2</f>
        <v>14635</v>
      </c>
      <c r="D104" s="1">
        <f>357+51+37+2</f>
        <v>447</v>
      </c>
      <c r="E104" s="1">
        <v>0</v>
      </c>
      <c r="F104" s="1">
        <v>0</v>
      </c>
      <c r="G104" s="1">
        <v>0</v>
      </c>
      <c r="H104" s="1">
        <v>17909</v>
      </c>
      <c r="I104" s="1">
        <v>5500</v>
      </c>
      <c r="J104" s="1"/>
    </row>
    <row r="105" spans="1:10" x14ac:dyDescent="0.25">
      <c r="A105" t="s">
        <v>831</v>
      </c>
      <c r="B105" t="s">
        <v>151</v>
      </c>
      <c r="C105" s="1">
        <f>3686+2+15+1+46+1237</f>
        <v>4987</v>
      </c>
      <c r="D105" s="1">
        <v>3</v>
      </c>
      <c r="E105" s="1">
        <v>0</v>
      </c>
      <c r="F105" s="1">
        <v>0</v>
      </c>
      <c r="G105" s="1">
        <v>0</v>
      </c>
      <c r="H105" s="1">
        <v>2277</v>
      </c>
      <c r="I105" s="1">
        <v>917</v>
      </c>
      <c r="J105" s="1"/>
    </row>
    <row r="106" spans="1:10" x14ac:dyDescent="0.25">
      <c r="A106" t="s">
        <v>146</v>
      </c>
      <c r="B106" t="s">
        <v>152</v>
      </c>
      <c r="C106" s="1">
        <f>7394+148+64+8150</f>
        <v>15756</v>
      </c>
      <c r="D106" s="1">
        <f>9+26+2</f>
        <v>37</v>
      </c>
      <c r="E106" s="1">
        <v>0</v>
      </c>
      <c r="F106" s="1">
        <v>0</v>
      </c>
      <c r="G106" s="1">
        <v>0</v>
      </c>
      <c r="H106" s="1">
        <v>9117</v>
      </c>
      <c r="I106" s="1">
        <v>5640</v>
      </c>
      <c r="J106" s="1"/>
    </row>
    <row r="107" spans="1:10" x14ac:dyDescent="0.25">
      <c r="A107" t="s">
        <v>495</v>
      </c>
      <c r="B107" t="s">
        <v>153</v>
      </c>
      <c r="C107" s="1">
        <f>5098+48+562</f>
        <v>5708</v>
      </c>
      <c r="D107" s="1">
        <v>4</v>
      </c>
      <c r="E107" s="1">
        <v>0</v>
      </c>
      <c r="F107" s="1">
        <v>0</v>
      </c>
      <c r="G107" s="1">
        <v>0</v>
      </c>
      <c r="H107" s="1">
        <v>1315</v>
      </c>
      <c r="I107" s="1">
        <v>508</v>
      </c>
      <c r="J107" s="1"/>
    </row>
    <row r="108" spans="1:10" x14ac:dyDescent="0.25">
      <c r="A108" t="s">
        <v>76</v>
      </c>
      <c r="B108" t="s">
        <v>154</v>
      </c>
      <c r="C108" s="1">
        <v>32306</v>
      </c>
      <c r="D108" s="1">
        <v>498</v>
      </c>
      <c r="E108" s="1">
        <v>0</v>
      </c>
      <c r="F108" s="1">
        <v>0</v>
      </c>
      <c r="G108" s="1">
        <v>0</v>
      </c>
      <c r="H108" s="1">
        <v>4626</v>
      </c>
      <c r="I108" s="1">
        <v>11875</v>
      </c>
      <c r="J108" s="1"/>
    </row>
    <row r="109" spans="1:10" x14ac:dyDescent="0.25">
      <c r="A109" t="s">
        <v>83</v>
      </c>
      <c r="B109" t="s">
        <v>155</v>
      </c>
      <c r="C109" s="1">
        <v>10935</v>
      </c>
      <c r="D109" s="1">
        <v>13</v>
      </c>
      <c r="E109" s="1">
        <v>0</v>
      </c>
      <c r="F109" s="1">
        <v>0</v>
      </c>
      <c r="G109" s="1">
        <v>0</v>
      </c>
      <c r="H109" s="1">
        <v>40833</v>
      </c>
      <c r="I109" s="1">
        <v>1689</v>
      </c>
      <c r="J109" s="7"/>
    </row>
    <row r="110" spans="1:10" x14ac:dyDescent="0.25">
      <c r="A110" t="s">
        <v>138</v>
      </c>
      <c r="B110" t="s">
        <v>156</v>
      </c>
      <c r="C110" s="1">
        <f>20287+1+8786</f>
        <v>29074</v>
      </c>
      <c r="D110" s="1">
        <f>6+1+8+161</f>
        <v>176</v>
      </c>
      <c r="E110" s="1">
        <v>0</v>
      </c>
      <c r="F110" s="1">
        <v>0</v>
      </c>
      <c r="G110" s="1">
        <v>0</v>
      </c>
      <c r="H110" s="1">
        <v>20576</v>
      </c>
      <c r="I110" s="1">
        <v>6682</v>
      </c>
      <c r="J110" s="1"/>
    </row>
    <row r="111" spans="1:10" x14ac:dyDescent="0.25">
      <c r="A111" t="s">
        <v>831</v>
      </c>
      <c r="B111" t="s">
        <v>157</v>
      </c>
      <c r="C111" s="1">
        <f>4901+7+2051</f>
        <v>6959</v>
      </c>
      <c r="D111" s="1">
        <v>16</v>
      </c>
      <c r="E111" s="1">
        <v>0</v>
      </c>
      <c r="F111" s="1">
        <v>0</v>
      </c>
      <c r="G111" s="1">
        <v>0</v>
      </c>
      <c r="H111" s="1">
        <v>3404</v>
      </c>
      <c r="I111" s="1">
        <v>1896</v>
      </c>
      <c r="J111" s="1"/>
    </row>
    <row r="112" spans="1:10" x14ac:dyDescent="0.25">
      <c r="A112" t="s">
        <v>818</v>
      </c>
      <c r="B112" t="s">
        <v>158</v>
      </c>
      <c r="C112" s="1">
        <f>14280+6+3254</f>
        <v>17540</v>
      </c>
      <c r="D112" s="1">
        <v>0</v>
      </c>
      <c r="E112" s="1">
        <v>0</v>
      </c>
      <c r="F112" s="1">
        <v>0</v>
      </c>
      <c r="G112" s="1">
        <v>0</v>
      </c>
      <c r="H112" s="1">
        <v>9340</v>
      </c>
      <c r="I112" s="1">
        <v>2646</v>
      </c>
      <c r="J112" s="1"/>
    </row>
    <row r="113" spans="1:10" x14ac:dyDescent="0.25">
      <c r="A113" t="s">
        <v>134</v>
      </c>
      <c r="B113" t="s">
        <v>159</v>
      </c>
      <c r="C113" s="1">
        <f>1437+1+4+153</f>
        <v>1595</v>
      </c>
      <c r="D113" s="1">
        <v>77</v>
      </c>
      <c r="E113" s="1">
        <v>0</v>
      </c>
      <c r="F113" s="1">
        <v>0</v>
      </c>
      <c r="G113" s="1">
        <v>0</v>
      </c>
      <c r="H113" s="1">
        <v>1326</v>
      </c>
      <c r="I113" s="1">
        <v>109</v>
      </c>
      <c r="J113" s="1"/>
    </row>
    <row r="114" spans="1:10" x14ac:dyDescent="0.25">
      <c r="A114" t="s">
        <v>795</v>
      </c>
      <c r="B114" t="s">
        <v>160</v>
      </c>
      <c r="C114" s="1">
        <f>26051+11830</f>
        <v>37881</v>
      </c>
      <c r="D114" s="1">
        <f>156+55+7+129+448+474</f>
        <v>1269</v>
      </c>
      <c r="E114" s="1">
        <v>0</v>
      </c>
      <c r="F114" s="1">
        <v>0</v>
      </c>
      <c r="G114" s="1">
        <v>0</v>
      </c>
      <c r="H114" s="1">
        <v>3254</v>
      </c>
      <c r="I114" s="1">
        <f>8269</f>
        <v>8269</v>
      </c>
      <c r="J114" s="1"/>
    </row>
    <row r="115" spans="1:10" x14ac:dyDescent="0.25">
      <c r="A115" t="s">
        <v>226</v>
      </c>
      <c r="B115" t="s">
        <v>161</v>
      </c>
      <c r="C115" s="1">
        <f>2905+26+44+254</f>
        <v>3229</v>
      </c>
      <c r="D115" s="1">
        <f>1</f>
        <v>1</v>
      </c>
      <c r="E115" s="1">
        <v>0</v>
      </c>
      <c r="F115" s="1">
        <v>0</v>
      </c>
      <c r="G115" s="1">
        <v>0</v>
      </c>
      <c r="H115" s="1">
        <v>1122</v>
      </c>
      <c r="I115" s="1">
        <f>249</f>
        <v>249</v>
      </c>
      <c r="J115" s="1"/>
    </row>
    <row r="116" spans="1:10" x14ac:dyDescent="0.25">
      <c r="A116" t="s">
        <v>791</v>
      </c>
      <c r="B116" t="s">
        <v>162</v>
      </c>
      <c r="C116" s="1">
        <f>5261+4+1+1+3+34+22+1918</f>
        <v>7244</v>
      </c>
      <c r="D116" s="1">
        <f>2+8+21</f>
        <v>31</v>
      </c>
      <c r="E116" s="1">
        <v>0</v>
      </c>
      <c r="F116" s="1">
        <v>0</v>
      </c>
      <c r="G116" s="1">
        <v>0</v>
      </c>
      <c r="H116" s="1">
        <v>4750</v>
      </c>
      <c r="I116" s="1">
        <v>1921</v>
      </c>
      <c r="J116" s="1"/>
    </row>
    <row r="117" spans="1:10" x14ac:dyDescent="0.25">
      <c r="A117" t="s">
        <v>811</v>
      </c>
      <c r="B117" t="s">
        <v>163</v>
      </c>
      <c r="C117" s="1">
        <f>18076+4+1+28+18931</f>
        <v>37040</v>
      </c>
      <c r="D117" s="1">
        <f>1133+5+115+23</f>
        <v>1276</v>
      </c>
      <c r="E117" s="1">
        <v>0</v>
      </c>
      <c r="F117" s="1">
        <v>0</v>
      </c>
      <c r="G117" s="1">
        <v>0</v>
      </c>
      <c r="H117" s="1">
        <v>37189</v>
      </c>
      <c r="I117" s="1">
        <v>15797</v>
      </c>
      <c r="J117" s="1"/>
    </row>
    <row r="118" spans="1:10" x14ac:dyDescent="0.25">
      <c r="A118" t="s">
        <v>138</v>
      </c>
      <c r="B118" t="s">
        <v>164</v>
      </c>
      <c r="C118" s="1">
        <f>44181+1+7+16045</f>
        <v>60234</v>
      </c>
      <c r="D118" s="1">
        <f>25+36+18+34</f>
        <v>113</v>
      </c>
      <c r="E118" s="1">
        <v>0</v>
      </c>
      <c r="F118" s="1">
        <v>0</v>
      </c>
      <c r="G118" s="1">
        <v>0</v>
      </c>
      <c r="H118" s="1">
        <v>24495</v>
      </c>
      <c r="I118" s="1">
        <v>13529</v>
      </c>
      <c r="J118" s="1"/>
    </row>
    <row r="119" spans="1:10" x14ac:dyDescent="0.25">
      <c r="A119" t="s">
        <v>83</v>
      </c>
      <c r="B119" t="s">
        <v>165</v>
      </c>
      <c r="C119" s="1">
        <v>8586</v>
      </c>
      <c r="D119" s="1">
        <v>123</v>
      </c>
      <c r="E119" s="1">
        <v>0</v>
      </c>
      <c r="F119" s="1">
        <v>0</v>
      </c>
      <c r="G119" s="1">
        <v>0</v>
      </c>
      <c r="H119" s="1">
        <v>4235</v>
      </c>
      <c r="I119" s="1">
        <v>1927</v>
      </c>
      <c r="J119" s="7"/>
    </row>
    <row r="120" spans="1:10" x14ac:dyDescent="0.25">
      <c r="A120" t="s">
        <v>818</v>
      </c>
      <c r="B120" t="s">
        <v>166</v>
      </c>
      <c r="C120" s="1">
        <f>5908+28+26+528</f>
        <v>6490</v>
      </c>
      <c r="D120" s="1">
        <v>0</v>
      </c>
      <c r="E120" s="1">
        <v>0</v>
      </c>
      <c r="F120" s="1">
        <v>0</v>
      </c>
      <c r="G120" s="1">
        <v>0</v>
      </c>
      <c r="H120" s="1">
        <v>4425</v>
      </c>
      <c r="I120" s="1">
        <v>490</v>
      </c>
      <c r="J120" s="1"/>
    </row>
    <row r="121" spans="1:10" x14ac:dyDescent="0.25">
      <c r="A121" t="s">
        <v>801</v>
      </c>
      <c r="B121" t="s">
        <v>167</v>
      </c>
      <c r="C121" s="1">
        <v>20609</v>
      </c>
      <c r="D121" s="1">
        <v>3</v>
      </c>
      <c r="E121" s="1">
        <v>0</v>
      </c>
      <c r="F121" s="1">
        <v>0</v>
      </c>
      <c r="G121" s="1">
        <v>0</v>
      </c>
      <c r="H121" s="1">
        <v>17397</v>
      </c>
      <c r="I121" s="1">
        <v>2065</v>
      </c>
      <c r="J121" s="7"/>
    </row>
    <row r="122" spans="1:10" x14ac:dyDescent="0.25">
      <c r="A122" t="s">
        <v>826</v>
      </c>
      <c r="B122" t="s">
        <v>168</v>
      </c>
      <c r="C122" s="1">
        <f>24426+4+42+419+6+1+12+266+1612</f>
        <v>26788</v>
      </c>
      <c r="D122" s="1">
        <f>165+7+2</f>
        <v>174</v>
      </c>
      <c r="E122" s="1">
        <v>0</v>
      </c>
      <c r="F122" s="1">
        <v>0</v>
      </c>
      <c r="G122" s="1">
        <v>0</v>
      </c>
      <c r="H122" s="1">
        <v>9650</v>
      </c>
      <c r="I122" s="1">
        <f>1561</f>
        <v>1561</v>
      </c>
      <c r="J122" s="1"/>
    </row>
    <row r="123" spans="1:10" x14ac:dyDescent="0.25">
      <c r="A123" t="s">
        <v>848</v>
      </c>
      <c r="B123" t="s">
        <v>169</v>
      </c>
      <c r="C123" s="1">
        <f>3829+31+2+27+1726</f>
        <v>5615</v>
      </c>
      <c r="D123" s="1">
        <f>73+2</f>
        <v>75</v>
      </c>
      <c r="E123" s="1">
        <v>0</v>
      </c>
      <c r="F123" s="1">
        <v>0</v>
      </c>
      <c r="G123" s="1">
        <v>0</v>
      </c>
      <c r="H123" s="1">
        <v>994</v>
      </c>
      <c r="I123" s="1">
        <v>1657</v>
      </c>
      <c r="J123" s="1"/>
    </row>
    <row r="124" spans="1:10" x14ac:dyDescent="0.25">
      <c r="A124" t="s">
        <v>811</v>
      </c>
      <c r="B124" t="s">
        <v>170</v>
      </c>
      <c r="C124" s="1">
        <f>10844+95+4812</f>
        <v>15751</v>
      </c>
      <c r="D124" s="1">
        <f>291+47+1+1+3</f>
        <v>343</v>
      </c>
      <c r="E124" s="1">
        <v>0</v>
      </c>
      <c r="F124" s="1">
        <v>0</v>
      </c>
      <c r="G124" s="1">
        <v>0</v>
      </c>
      <c r="H124" s="1">
        <v>9451</v>
      </c>
      <c r="I124" s="1">
        <v>4326</v>
      </c>
      <c r="J124" s="1"/>
    </row>
    <row r="125" spans="1:10" x14ac:dyDescent="0.25">
      <c r="A125" t="s">
        <v>512</v>
      </c>
      <c r="B125" t="s">
        <v>171</v>
      </c>
      <c r="C125" s="1">
        <f>3943+2590</f>
        <v>6533</v>
      </c>
      <c r="D125" s="1">
        <v>0</v>
      </c>
      <c r="E125" s="1">
        <v>0</v>
      </c>
      <c r="F125" s="1">
        <v>0</v>
      </c>
      <c r="G125" s="1">
        <v>0</v>
      </c>
      <c r="H125" s="1">
        <v>3512</v>
      </c>
      <c r="I125" s="1">
        <f>1317</f>
        <v>1317</v>
      </c>
      <c r="J125" s="1"/>
    </row>
    <row r="126" spans="1:10" x14ac:dyDescent="0.25">
      <c r="A126" t="s">
        <v>848</v>
      </c>
      <c r="B126" t="s">
        <v>172</v>
      </c>
      <c r="C126" s="1">
        <f>1421+1580</f>
        <v>3001</v>
      </c>
      <c r="D126" s="1">
        <v>1</v>
      </c>
      <c r="E126" s="1">
        <v>0</v>
      </c>
      <c r="F126" s="1">
        <v>0</v>
      </c>
      <c r="G126" s="1">
        <v>0</v>
      </c>
      <c r="H126" s="1">
        <v>414</v>
      </c>
      <c r="I126" s="1">
        <v>227</v>
      </c>
      <c r="J126" s="1"/>
    </row>
    <row r="127" spans="1:10" x14ac:dyDescent="0.25">
      <c r="A127" t="s">
        <v>801</v>
      </c>
      <c r="B127" t="s">
        <v>173</v>
      </c>
      <c r="C127" s="1">
        <v>35321</v>
      </c>
      <c r="D127" s="1">
        <v>869</v>
      </c>
      <c r="E127" s="1">
        <v>0</v>
      </c>
      <c r="F127" s="1">
        <v>0</v>
      </c>
      <c r="G127" s="1">
        <v>0</v>
      </c>
      <c r="H127" s="1">
        <v>26534</v>
      </c>
      <c r="I127" s="1">
        <v>12113</v>
      </c>
      <c r="J127" s="7"/>
    </row>
    <row r="128" spans="1:10" x14ac:dyDescent="0.25">
      <c r="A128" t="s">
        <v>864</v>
      </c>
      <c r="B128" t="s">
        <v>174</v>
      </c>
      <c r="C128" s="1">
        <f>6446+2238</f>
        <v>8684</v>
      </c>
      <c r="D128" s="1">
        <f>2+14</f>
        <v>16</v>
      </c>
      <c r="E128" s="1">
        <v>0</v>
      </c>
      <c r="F128" s="1">
        <v>0</v>
      </c>
      <c r="G128" s="1">
        <v>0</v>
      </c>
      <c r="H128" s="1">
        <v>7090</v>
      </c>
      <c r="I128" s="1">
        <v>1999</v>
      </c>
      <c r="J128" s="1"/>
    </row>
    <row r="129" spans="1:10" x14ac:dyDescent="0.25">
      <c r="A129" t="s">
        <v>226</v>
      </c>
      <c r="B129" t="s">
        <v>175</v>
      </c>
      <c r="C129" s="1">
        <f>1925+24+8+103</f>
        <v>2060</v>
      </c>
      <c r="D129" s="1">
        <f>344</f>
        <v>344</v>
      </c>
      <c r="E129" s="1">
        <v>0</v>
      </c>
      <c r="F129" s="1">
        <v>0</v>
      </c>
      <c r="G129" s="1">
        <v>0</v>
      </c>
      <c r="H129" s="1">
        <v>545</v>
      </c>
      <c r="I129" s="1">
        <f>96</f>
        <v>96</v>
      </c>
      <c r="J129" s="1"/>
    </row>
    <row r="130" spans="1:10" x14ac:dyDescent="0.25">
      <c r="A130" t="s">
        <v>794</v>
      </c>
      <c r="B130" t="s">
        <v>176</v>
      </c>
      <c r="C130" s="1">
        <f>86950+30+10+7518</f>
        <v>94508</v>
      </c>
      <c r="D130" s="1">
        <v>10</v>
      </c>
      <c r="E130" s="1">
        <v>0</v>
      </c>
      <c r="F130" s="1">
        <v>0</v>
      </c>
      <c r="G130" s="1">
        <v>0</v>
      </c>
      <c r="H130" s="1">
        <v>17654</v>
      </c>
      <c r="I130" s="1">
        <v>5681</v>
      </c>
      <c r="J130" s="1"/>
    </row>
    <row r="131" spans="1:10" x14ac:dyDescent="0.25">
      <c r="A131" t="s">
        <v>248</v>
      </c>
      <c r="B131" t="s">
        <v>177</v>
      </c>
      <c r="C131" s="1">
        <f>10677+3+1+12+2+19+5+54+2308</f>
        <v>13081</v>
      </c>
      <c r="D131" s="1">
        <f>7+5</f>
        <v>12</v>
      </c>
      <c r="E131" s="1">
        <v>0</v>
      </c>
      <c r="F131" s="1">
        <v>0</v>
      </c>
      <c r="G131" s="1">
        <v>0</v>
      </c>
      <c r="H131" s="1">
        <v>10073</v>
      </c>
      <c r="I131" s="1">
        <v>1450</v>
      </c>
      <c r="J131" s="1"/>
    </row>
    <row r="132" spans="1:10" x14ac:dyDescent="0.25">
      <c r="A132" t="s">
        <v>83</v>
      </c>
      <c r="B132" t="s">
        <v>178</v>
      </c>
      <c r="C132" s="1">
        <v>32582</v>
      </c>
      <c r="D132" s="1">
        <v>198</v>
      </c>
      <c r="E132" s="1">
        <v>0</v>
      </c>
      <c r="F132" s="1">
        <v>0</v>
      </c>
      <c r="G132" s="1">
        <v>0</v>
      </c>
      <c r="H132" s="1">
        <v>40916</v>
      </c>
      <c r="I132" s="1">
        <v>4651</v>
      </c>
      <c r="J132" s="7"/>
    </row>
    <row r="133" spans="1:10" x14ac:dyDescent="0.25">
      <c r="A133" t="s">
        <v>823</v>
      </c>
      <c r="B133" t="s">
        <v>179</v>
      </c>
      <c r="C133" s="1">
        <f>18066+1+9110</f>
        <v>27177</v>
      </c>
      <c r="D133" s="1">
        <f>2+1+4+46</f>
        <v>53</v>
      </c>
      <c r="E133" s="1">
        <v>0</v>
      </c>
      <c r="F133" s="1">
        <v>0</v>
      </c>
      <c r="G133" s="1">
        <v>0</v>
      </c>
      <c r="H133" s="1">
        <v>12589</v>
      </c>
      <c r="I133" s="1">
        <f>7751</f>
        <v>7751</v>
      </c>
      <c r="J133" s="1"/>
    </row>
    <row r="134" spans="1:10" x14ac:dyDescent="0.25">
      <c r="A134" t="s">
        <v>795</v>
      </c>
      <c r="B134" t="s">
        <v>180</v>
      </c>
      <c r="C134" s="1">
        <f>63367+16+19631</f>
        <v>83014</v>
      </c>
      <c r="D134" s="1">
        <f>23+23</f>
        <v>46</v>
      </c>
      <c r="E134" s="1">
        <v>0</v>
      </c>
      <c r="F134" s="1">
        <v>0</v>
      </c>
      <c r="G134" s="1">
        <v>0</v>
      </c>
      <c r="H134" s="1">
        <v>36414</v>
      </c>
      <c r="I134" s="1">
        <f>18082</f>
        <v>18082</v>
      </c>
      <c r="J134" s="1"/>
    </row>
    <row r="135" spans="1:10" x14ac:dyDescent="0.25">
      <c r="A135" t="s">
        <v>791</v>
      </c>
      <c r="B135" t="s">
        <v>181</v>
      </c>
      <c r="C135" s="1">
        <f>1673+3140</f>
        <v>4813</v>
      </c>
      <c r="D135" s="1">
        <f>465+39+1</f>
        <v>505</v>
      </c>
      <c r="E135" s="1">
        <v>0</v>
      </c>
      <c r="F135" s="1">
        <v>0</v>
      </c>
      <c r="G135" s="1">
        <v>0</v>
      </c>
      <c r="H135" s="1">
        <v>6286</v>
      </c>
      <c r="I135" s="1">
        <v>1386</v>
      </c>
      <c r="J135" s="1"/>
    </row>
    <row r="136" spans="1:10" x14ac:dyDescent="0.25">
      <c r="A136" t="s">
        <v>83</v>
      </c>
      <c r="B136" t="s">
        <v>182</v>
      </c>
      <c r="C136" s="1">
        <v>22687</v>
      </c>
      <c r="D136" s="1">
        <v>78</v>
      </c>
      <c r="E136" s="1">
        <v>0</v>
      </c>
      <c r="F136" s="1">
        <v>0</v>
      </c>
      <c r="G136" s="1">
        <v>0</v>
      </c>
      <c r="H136" s="1">
        <v>3307</v>
      </c>
      <c r="I136" s="1">
        <v>4883</v>
      </c>
      <c r="J136" s="7"/>
    </row>
    <row r="137" spans="1:10" x14ac:dyDescent="0.25">
      <c r="A137" t="s">
        <v>817</v>
      </c>
      <c r="B137" t="s">
        <v>183</v>
      </c>
      <c r="C137" s="1">
        <f>2859+67+10+2154</f>
        <v>5090</v>
      </c>
      <c r="D137" s="1">
        <f>16+15+1</f>
        <v>32</v>
      </c>
      <c r="E137" s="1">
        <v>0</v>
      </c>
      <c r="F137" s="1">
        <v>0</v>
      </c>
      <c r="G137" s="1">
        <v>0</v>
      </c>
      <c r="H137" s="1">
        <v>9109</v>
      </c>
      <c r="I137" s="1">
        <v>1836</v>
      </c>
      <c r="J137" s="1"/>
    </row>
    <row r="138" spans="1:10" x14ac:dyDescent="0.25">
      <c r="A138" t="s">
        <v>67</v>
      </c>
      <c r="B138" t="s">
        <v>184</v>
      </c>
      <c r="C138" s="1">
        <f>21100+448+17+3682</f>
        <v>25247</v>
      </c>
      <c r="D138" s="1">
        <f>170+84+1+5+18</f>
        <v>278</v>
      </c>
      <c r="E138" s="1">
        <v>0</v>
      </c>
      <c r="F138" s="1">
        <v>0</v>
      </c>
      <c r="G138" s="1">
        <v>0</v>
      </c>
      <c r="H138" s="1">
        <v>32272</v>
      </c>
      <c r="I138" s="1">
        <f>3299</f>
        <v>3299</v>
      </c>
      <c r="J138" s="1"/>
    </row>
    <row r="139" spans="1:10" x14ac:dyDescent="0.25">
      <c r="A139" t="s">
        <v>865</v>
      </c>
      <c r="B139" t="s">
        <v>186</v>
      </c>
      <c r="C139" s="1">
        <f>6722+1+7+3+5247</f>
        <v>11980</v>
      </c>
      <c r="D139" s="1">
        <v>0</v>
      </c>
      <c r="E139" s="1">
        <v>0</v>
      </c>
      <c r="F139" s="1">
        <v>0</v>
      </c>
      <c r="G139" s="1">
        <v>0</v>
      </c>
      <c r="H139" s="1">
        <v>12237</v>
      </c>
      <c r="I139" s="1">
        <v>2811</v>
      </c>
      <c r="J139" s="1"/>
    </row>
    <row r="140" spans="1:10" x14ac:dyDescent="0.25">
      <c r="A140" t="s">
        <v>512</v>
      </c>
      <c r="B140" t="s">
        <v>187</v>
      </c>
      <c r="C140" s="1">
        <f>9713+112+29+27+2327</f>
        <v>12208</v>
      </c>
      <c r="D140" s="1">
        <v>0</v>
      </c>
      <c r="E140" s="1">
        <v>0</v>
      </c>
      <c r="F140" s="1">
        <v>0</v>
      </c>
      <c r="G140" s="1">
        <v>0</v>
      </c>
      <c r="H140" s="1">
        <v>10434</v>
      </c>
      <c r="I140" s="1">
        <f>1993</f>
        <v>1993</v>
      </c>
      <c r="J140" s="1"/>
    </row>
    <row r="141" spans="1:10" x14ac:dyDescent="0.25">
      <c r="A141" t="s">
        <v>231</v>
      </c>
      <c r="B141" t="s">
        <v>189</v>
      </c>
      <c r="C141" s="1">
        <f>24409+8+417+51+6767</f>
        <v>31652</v>
      </c>
      <c r="D141" s="1">
        <f>2+33+36</f>
        <v>71</v>
      </c>
      <c r="E141" s="1">
        <v>0</v>
      </c>
      <c r="F141" s="1">
        <v>0</v>
      </c>
      <c r="G141" s="1">
        <v>0</v>
      </c>
      <c r="H141" s="1">
        <v>3275</v>
      </c>
      <c r="I141" s="1">
        <v>4323</v>
      </c>
      <c r="J141" s="1"/>
    </row>
    <row r="142" spans="1:10" x14ac:dyDescent="0.25">
      <c r="A142" t="s">
        <v>83</v>
      </c>
      <c r="B142" t="s">
        <v>190</v>
      </c>
      <c r="C142" s="1"/>
      <c r="D142" s="1"/>
      <c r="E142" s="1"/>
      <c r="F142" s="1"/>
      <c r="G142" s="1"/>
      <c r="H142" s="1"/>
      <c r="I142" s="1"/>
      <c r="J142" s="1"/>
    </row>
    <row r="143" spans="1:10" x14ac:dyDescent="0.25">
      <c r="A143" t="s">
        <v>76</v>
      </c>
      <c r="B143" t="s">
        <v>191</v>
      </c>
      <c r="C143" s="1">
        <v>44619</v>
      </c>
      <c r="D143" s="1">
        <v>1650</v>
      </c>
      <c r="E143" s="1">
        <v>0</v>
      </c>
      <c r="F143" s="1">
        <v>0</v>
      </c>
      <c r="G143" s="1">
        <v>0</v>
      </c>
      <c r="H143" s="1">
        <v>922</v>
      </c>
      <c r="I143" s="1">
        <v>9556</v>
      </c>
      <c r="J143" s="1"/>
    </row>
    <row r="144" spans="1:10" x14ac:dyDescent="0.25">
      <c r="A144" t="s">
        <v>101</v>
      </c>
      <c r="B144" t="s">
        <v>192</v>
      </c>
      <c r="C144" s="1">
        <f>34051+5+7+6406</f>
        <v>40469</v>
      </c>
      <c r="D144" s="1">
        <f>272+2+9</f>
        <v>283</v>
      </c>
      <c r="E144" s="1">
        <v>0</v>
      </c>
      <c r="F144" s="1">
        <v>0</v>
      </c>
      <c r="G144" s="1">
        <v>0</v>
      </c>
      <c r="H144" s="1">
        <v>49202</v>
      </c>
      <c r="I144" s="1">
        <v>4614</v>
      </c>
      <c r="J144" s="1"/>
    </row>
    <row r="145" spans="1:10" x14ac:dyDescent="0.25">
      <c r="A145" t="s">
        <v>831</v>
      </c>
      <c r="B145" t="s">
        <v>193</v>
      </c>
      <c r="C145" s="1">
        <f>1465+310</f>
        <v>1775</v>
      </c>
      <c r="D145" s="1">
        <v>0</v>
      </c>
      <c r="E145" s="1">
        <v>0</v>
      </c>
      <c r="F145" s="1">
        <v>0</v>
      </c>
      <c r="G145" s="1">
        <v>0</v>
      </c>
      <c r="H145" s="1">
        <v>421</v>
      </c>
      <c r="I145" s="1">
        <v>266</v>
      </c>
      <c r="J145" s="1"/>
    </row>
    <row r="146" spans="1:10" x14ac:dyDescent="0.25">
      <c r="A146" t="s">
        <v>811</v>
      </c>
      <c r="B146" t="s">
        <v>194</v>
      </c>
      <c r="C146" s="1">
        <f>44461+45+3+6342</f>
        <v>50851</v>
      </c>
      <c r="D146" s="1">
        <f>138+155+4</f>
        <v>297</v>
      </c>
      <c r="E146" s="1">
        <v>0</v>
      </c>
      <c r="F146" s="1">
        <v>0</v>
      </c>
      <c r="G146" s="1">
        <v>0</v>
      </c>
      <c r="H146" s="1">
        <v>1666</v>
      </c>
      <c r="I146" s="1">
        <v>5000</v>
      </c>
      <c r="J146" s="1"/>
    </row>
    <row r="147" spans="1:10" x14ac:dyDescent="0.25">
      <c r="A147" t="s">
        <v>76</v>
      </c>
      <c r="B147" t="s">
        <v>195</v>
      </c>
      <c r="C147" s="1">
        <v>48811</v>
      </c>
      <c r="D147" s="1">
        <v>56</v>
      </c>
      <c r="E147" s="1">
        <v>0</v>
      </c>
      <c r="F147" s="1">
        <v>0</v>
      </c>
      <c r="G147" s="1">
        <v>0</v>
      </c>
      <c r="H147" s="1">
        <v>25991</v>
      </c>
      <c r="I147" s="1">
        <v>6071</v>
      </c>
      <c r="J147" s="1"/>
    </row>
    <row r="148" spans="1:10" x14ac:dyDescent="0.25">
      <c r="A148" t="s">
        <v>788</v>
      </c>
      <c r="B148" t="s">
        <v>196</v>
      </c>
      <c r="C148" s="1">
        <f>17914+103+5+13+1+15656</f>
        <v>33692</v>
      </c>
      <c r="D148" s="1">
        <f>21+2+178+338</f>
        <v>539</v>
      </c>
      <c r="E148" s="1">
        <v>0</v>
      </c>
      <c r="F148" s="1">
        <v>0</v>
      </c>
      <c r="G148" s="1">
        <v>0</v>
      </c>
      <c r="H148" s="1">
        <v>49488</v>
      </c>
      <c r="I148" s="1">
        <v>12790</v>
      </c>
      <c r="J148" s="1"/>
    </row>
    <row r="149" spans="1:10" x14ac:dyDescent="0.25">
      <c r="A149" t="s">
        <v>817</v>
      </c>
      <c r="B149" t="s">
        <v>197</v>
      </c>
      <c r="C149" s="1">
        <f>5062+30+43+11029</f>
        <v>16164</v>
      </c>
      <c r="D149" s="1">
        <f>8+5+25+87</f>
        <v>125</v>
      </c>
      <c r="E149" s="1">
        <v>0</v>
      </c>
      <c r="F149" s="1">
        <v>0</v>
      </c>
      <c r="G149" s="1">
        <v>0</v>
      </c>
      <c r="H149" s="1">
        <v>36330</v>
      </c>
      <c r="I149" s="1">
        <v>9708</v>
      </c>
      <c r="J149" s="1"/>
    </row>
    <row r="150" spans="1:10" x14ac:dyDescent="0.25">
      <c r="A150" t="s">
        <v>817</v>
      </c>
      <c r="B150" t="s">
        <v>198</v>
      </c>
      <c r="C150" s="1">
        <f>4151+1+10997</f>
        <v>15149</v>
      </c>
      <c r="D150" s="1">
        <f>12+3+11+169+73</f>
        <v>268</v>
      </c>
      <c r="E150" s="1">
        <v>0</v>
      </c>
      <c r="F150" s="1">
        <v>0</v>
      </c>
      <c r="G150" s="1">
        <v>0</v>
      </c>
      <c r="H150" s="1">
        <v>15267</v>
      </c>
      <c r="I150" s="1">
        <v>11003</v>
      </c>
      <c r="J150" s="1"/>
    </row>
    <row r="151" spans="1:10" x14ac:dyDescent="0.25">
      <c r="A151" t="s">
        <v>69</v>
      </c>
      <c r="B151" t="s">
        <v>199</v>
      </c>
      <c r="C151" s="1">
        <v>56615</v>
      </c>
      <c r="D151" s="1">
        <v>23</v>
      </c>
      <c r="E151" s="1">
        <v>0</v>
      </c>
      <c r="F151" s="1">
        <v>0</v>
      </c>
      <c r="G151" s="1">
        <v>0</v>
      </c>
      <c r="H151" s="1">
        <v>117971</v>
      </c>
      <c r="I151" s="1">
        <v>8527</v>
      </c>
      <c r="J151" s="7"/>
    </row>
    <row r="152" spans="1:10" x14ac:dyDescent="0.25">
      <c r="A152" t="s">
        <v>76</v>
      </c>
      <c r="B152" t="s">
        <v>200</v>
      </c>
      <c r="C152" s="1">
        <v>32239</v>
      </c>
      <c r="D152" s="1">
        <v>171</v>
      </c>
      <c r="E152" s="1">
        <v>0</v>
      </c>
      <c r="F152" s="1">
        <v>0</v>
      </c>
      <c r="G152" s="1">
        <v>0</v>
      </c>
      <c r="H152" s="1">
        <v>17371</v>
      </c>
      <c r="I152" s="1">
        <v>8323</v>
      </c>
      <c r="J152" s="1"/>
    </row>
    <row r="153" spans="1:10" x14ac:dyDescent="0.25">
      <c r="A153" t="s">
        <v>120</v>
      </c>
      <c r="B153" t="s">
        <v>201</v>
      </c>
      <c r="C153" s="1">
        <f>13118+4704</f>
        <v>17822</v>
      </c>
      <c r="D153" s="1">
        <f>131+193+18</f>
        <v>342</v>
      </c>
      <c r="E153" s="1">
        <v>0</v>
      </c>
      <c r="F153" s="1">
        <v>0</v>
      </c>
      <c r="G153" s="1">
        <v>0</v>
      </c>
      <c r="H153" s="1">
        <v>4816</v>
      </c>
      <c r="I153" s="1">
        <f>2532</f>
        <v>2532</v>
      </c>
      <c r="J153" s="1"/>
    </row>
    <row r="154" spans="1:10" x14ac:dyDescent="0.25">
      <c r="A154" t="s">
        <v>495</v>
      </c>
      <c r="B154" t="s">
        <v>202</v>
      </c>
      <c r="C154" s="1">
        <f>21794+2+193+1+456+8315+2+44</f>
        <v>30807</v>
      </c>
      <c r="D154" s="1">
        <f>18+11+8</f>
        <v>37</v>
      </c>
      <c r="E154" s="1">
        <v>0</v>
      </c>
      <c r="F154" s="1">
        <v>0</v>
      </c>
      <c r="G154" s="1">
        <v>0</v>
      </c>
      <c r="H154" s="1">
        <v>15724</v>
      </c>
      <c r="I154" s="1">
        <v>7145</v>
      </c>
      <c r="J154" s="1"/>
    </row>
    <row r="155" spans="1:10" x14ac:dyDescent="0.25">
      <c r="A155" t="s">
        <v>788</v>
      </c>
      <c r="B155" t="s">
        <v>203</v>
      </c>
      <c r="C155" s="1">
        <f>28372+293+3+3+32935</f>
        <v>61606</v>
      </c>
      <c r="D155" s="1">
        <f>10+3+2+2</f>
        <v>17</v>
      </c>
      <c r="E155" s="1">
        <v>0</v>
      </c>
      <c r="F155" s="1">
        <v>0</v>
      </c>
      <c r="G155" s="1">
        <v>0</v>
      </c>
      <c r="H155" s="1">
        <v>8241</v>
      </c>
      <c r="I155" s="1">
        <v>7790</v>
      </c>
      <c r="J155" s="1"/>
    </row>
    <row r="156" spans="1:10" x14ac:dyDescent="0.25">
      <c r="A156" t="s">
        <v>72</v>
      </c>
      <c r="B156" t="s">
        <v>204</v>
      </c>
      <c r="C156" s="1">
        <f>13784+5+42+13+8+2459</f>
        <v>16311</v>
      </c>
      <c r="D156" s="1">
        <f>41</f>
        <v>41</v>
      </c>
      <c r="E156" s="1">
        <v>0</v>
      </c>
      <c r="F156" s="1">
        <v>0</v>
      </c>
      <c r="G156" s="1">
        <v>0</v>
      </c>
      <c r="H156" s="1">
        <v>2980</v>
      </c>
      <c r="I156" s="1">
        <f>2053</f>
        <v>2053</v>
      </c>
      <c r="J156" s="1"/>
    </row>
    <row r="157" spans="1:10" x14ac:dyDescent="0.25">
      <c r="A157" t="s">
        <v>76</v>
      </c>
      <c r="B157" t="s">
        <v>205</v>
      </c>
      <c r="C157" s="1">
        <v>20674</v>
      </c>
      <c r="D157" s="1">
        <v>209</v>
      </c>
      <c r="E157" s="1">
        <v>0</v>
      </c>
      <c r="F157" s="1">
        <v>0</v>
      </c>
      <c r="G157" s="1">
        <v>0</v>
      </c>
      <c r="H157" s="1">
        <v>19442</v>
      </c>
      <c r="I157" s="1">
        <v>8362</v>
      </c>
      <c r="J157" s="1"/>
    </row>
    <row r="158" spans="1:10" x14ac:dyDescent="0.25">
      <c r="A158" t="s">
        <v>864</v>
      </c>
      <c r="B158" t="s">
        <v>206</v>
      </c>
      <c r="C158" s="1">
        <f>4737+237+12794+1007</f>
        <v>18775</v>
      </c>
      <c r="D158" s="1">
        <f>3+4+9</f>
        <v>16</v>
      </c>
      <c r="E158" s="1">
        <v>0</v>
      </c>
      <c r="F158" s="1">
        <v>0</v>
      </c>
      <c r="G158" s="1">
        <v>0</v>
      </c>
      <c r="H158" s="1">
        <v>11525</v>
      </c>
      <c r="I158" s="1">
        <v>13043</v>
      </c>
      <c r="J158" s="1"/>
    </row>
    <row r="159" spans="1:10" x14ac:dyDescent="0.25">
      <c r="A159" t="s">
        <v>76</v>
      </c>
      <c r="B159" t="s">
        <v>207</v>
      </c>
      <c r="C159" s="1">
        <v>36265</v>
      </c>
      <c r="D159" s="1">
        <v>35</v>
      </c>
      <c r="E159" s="1">
        <v>0</v>
      </c>
      <c r="F159" s="1">
        <v>0</v>
      </c>
      <c r="G159" s="1">
        <v>0</v>
      </c>
      <c r="H159" s="1">
        <v>18513</v>
      </c>
      <c r="I159" s="1">
        <v>12122</v>
      </c>
      <c r="J159" s="1"/>
    </row>
    <row r="160" spans="1:10" x14ac:dyDescent="0.25">
      <c r="A160" t="s">
        <v>265</v>
      </c>
      <c r="B160" t="s">
        <v>208</v>
      </c>
      <c r="C160" s="1">
        <f>6061+1+1428</f>
        <v>7490</v>
      </c>
      <c r="D160" s="1">
        <v>39</v>
      </c>
      <c r="E160" s="1">
        <v>0</v>
      </c>
      <c r="F160" s="1">
        <v>0</v>
      </c>
      <c r="G160" s="1">
        <v>0</v>
      </c>
      <c r="H160" s="1">
        <v>9129</v>
      </c>
      <c r="I160" s="1">
        <v>1388</v>
      </c>
      <c r="J160" s="1"/>
    </row>
    <row r="161" spans="1:10" x14ac:dyDescent="0.25">
      <c r="A161" t="s">
        <v>801</v>
      </c>
      <c r="B161" t="s">
        <v>209</v>
      </c>
      <c r="C161" s="1">
        <v>25007</v>
      </c>
      <c r="D161" s="1">
        <v>236</v>
      </c>
      <c r="E161" s="1">
        <v>0</v>
      </c>
      <c r="F161" s="1">
        <v>0</v>
      </c>
      <c r="G161" s="1">
        <v>0</v>
      </c>
      <c r="H161" s="1">
        <v>38176</v>
      </c>
      <c r="I161" s="1">
        <v>11412</v>
      </c>
      <c r="J161" s="7"/>
    </row>
    <row r="162" spans="1:10" x14ac:dyDescent="0.25">
      <c r="A162" t="s">
        <v>72</v>
      </c>
      <c r="B162" t="s">
        <v>210</v>
      </c>
      <c r="C162" s="1">
        <f>14995+42+5+1+17+9822</f>
        <v>24882</v>
      </c>
      <c r="D162" s="1">
        <f>39+34+1</f>
        <v>74</v>
      </c>
      <c r="E162" s="1">
        <v>0</v>
      </c>
      <c r="F162" s="1">
        <v>0</v>
      </c>
      <c r="G162" s="1">
        <v>0</v>
      </c>
      <c r="H162" s="1">
        <v>21288</v>
      </c>
      <c r="I162" s="1">
        <f>9222</f>
        <v>9222</v>
      </c>
      <c r="J162" s="1"/>
    </row>
    <row r="163" spans="1:10" x14ac:dyDescent="0.25">
      <c r="A163" t="s">
        <v>817</v>
      </c>
      <c r="B163" t="s">
        <v>211</v>
      </c>
      <c r="C163" s="1">
        <f>1829+38+4+58123+1</f>
        <v>59995</v>
      </c>
      <c r="D163" s="1">
        <f>97+159+36</f>
        <v>292</v>
      </c>
      <c r="E163" s="1">
        <v>0</v>
      </c>
      <c r="F163" s="1">
        <v>0</v>
      </c>
      <c r="G163" s="1">
        <v>0</v>
      </c>
      <c r="H163" s="1">
        <v>38250</v>
      </c>
      <c r="I163" s="1">
        <v>53087</v>
      </c>
      <c r="J163" s="1"/>
    </row>
    <row r="164" spans="1:10" x14ac:dyDescent="0.25">
      <c r="A164" t="s">
        <v>72</v>
      </c>
      <c r="B164" t="s">
        <v>212</v>
      </c>
      <c r="C164" s="1">
        <f>17462+4+2251</f>
        <v>19717</v>
      </c>
      <c r="D164" s="1">
        <f>1</f>
        <v>1</v>
      </c>
      <c r="E164" s="1">
        <v>0</v>
      </c>
      <c r="F164" s="1">
        <v>0</v>
      </c>
      <c r="G164" s="1">
        <v>0</v>
      </c>
      <c r="H164" s="1">
        <v>3623</v>
      </c>
      <c r="I164" s="1">
        <f>2224</f>
        <v>2224</v>
      </c>
      <c r="J164" s="1"/>
    </row>
    <row r="165" spans="1:10" x14ac:dyDescent="0.25">
      <c r="A165" t="s">
        <v>134</v>
      </c>
      <c r="B165" t="s">
        <v>213</v>
      </c>
      <c r="C165" s="1">
        <f>5473+603</f>
        <v>6076</v>
      </c>
      <c r="D165" s="1">
        <v>0</v>
      </c>
      <c r="E165" s="1">
        <v>0</v>
      </c>
      <c r="F165" s="1">
        <v>0</v>
      </c>
      <c r="G165" s="1">
        <v>0</v>
      </c>
      <c r="H165" s="1">
        <v>21136</v>
      </c>
      <c r="I165" s="1">
        <v>577</v>
      </c>
      <c r="J165" s="1"/>
    </row>
    <row r="166" spans="1:10" x14ac:dyDescent="0.25">
      <c r="A166" t="s">
        <v>495</v>
      </c>
      <c r="B166" t="s">
        <v>214</v>
      </c>
      <c r="C166" s="1">
        <f>21503+170+14+8325</f>
        <v>30012</v>
      </c>
      <c r="D166" s="1">
        <f>414+2+8+116+2+2</f>
        <v>544</v>
      </c>
      <c r="E166" s="1">
        <v>0</v>
      </c>
      <c r="F166" s="1">
        <v>0</v>
      </c>
      <c r="G166" s="1">
        <v>0</v>
      </c>
      <c r="H166" s="1">
        <v>16465</v>
      </c>
      <c r="I166" s="1">
        <v>7030</v>
      </c>
      <c r="J166" s="1"/>
    </row>
    <row r="167" spans="1:10" x14ac:dyDescent="0.25">
      <c r="A167" t="s">
        <v>146</v>
      </c>
      <c r="B167" t="s">
        <v>215</v>
      </c>
      <c r="C167" s="1">
        <f>37944+266+1+2+14474</f>
        <v>52687</v>
      </c>
      <c r="D167" s="1">
        <f>6+5+6</f>
        <v>17</v>
      </c>
      <c r="E167" s="1">
        <v>0</v>
      </c>
      <c r="F167" s="1">
        <v>0</v>
      </c>
      <c r="G167" s="1">
        <v>0</v>
      </c>
      <c r="H167" s="1">
        <v>31365</v>
      </c>
      <c r="I167" s="1">
        <v>13549</v>
      </c>
      <c r="J167" s="1"/>
    </row>
    <row r="168" spans="1:10" x14ac:dyDescent="0.25">
      <c r="A168" t="s">
        <v>138</v>
      </c>
      <c r="B168" t="s">
        <v>216</v>
      </c>
      <c r="C168" s="1">
        <f>13545+124+3796</f>
        <v>17465</v>
      </c>
      <c r="D168" s="1">
        <v>7</v>
      </c>
      <c r="E168" s="1">
        <v>0</v>
      </c>
      <c r="F168" s="1">
        <v>0</v>
      </c>
      <c r="G168" s="1">
        <v>0</v>
      </c>
      <c r="H168" s="1">
        <v>5086</v>
      </c>
      <c r="I168" s="1">
        <v>3171</v>
      </c>
      <c r="J168" s="1"/>
    </row>
    <row r="169" spans="1:10" x14ac:dyDescent="0.25">
      <c r="A169" t="s">
        <v>794</v>
      </c>
      <c r="B169" t="s">
        <v>217</v>
      </c>
      <c r="C169" s="1">
        <f>6551+1+3364</f>
        <v>9916</v>
      </c>
      <c r="D169" s="1">
        <v>0</v>
      </c>
      <c r="E169" s="1">
        <v>0</v>
      </c>
      <c r="F169" s="1">
        <v>0</v>
      </c>
      <c r="G169" s="1">
        <v>0</v>
      </c>
      <c r="H169" s="1">
        <v>9931</v>
      </c>
      <c r="I169" s="1">
        <v>2244</v>
      </c>
      <c r="J169" s="1"/>
    </row>
    <row r="170" spans="1:10" x14ac:dyDescent="0.25">
      <c r="A170" t="s">
        <v>265</v>
      </c>
      <c r="B170" t="s">
        <v>218</v>
      </c>
      <c r="C170" s="1">
        <f>5766+2+5+3+4+1+1006</f>
        <v>6787</v>
      </c>
      <c r="D170" s="1">
        <v>0</v>
      </c>
      <c r="E170" s="1">
        <v>0</v>
      </c>
      <c r="F170" s="1">
        <v>0</v>
      </c>
      <c r="G170" s="1">
        <v>0</v>
      </c>
      <c r="H170" s="1">
        <v>17047</v>
      </c>
      <c r="I170" s="1">
        <v>871</v>
      </c>
      <c r="J170" s="1"/>
    </row>
    <row r="171" spans="1:10" x14ac:dyDescent="0.25">
      <c r="A171" t="s">
        <v>801</v>
      </c>
      <c r="B171" t="s">
        <v>219</v>
      </c>
      <c r="C171" s="1"/>
      <c r="D171" s="1"/>
      <c r="E171" s="1"/>
      <c r="F171" s="1"/>
      <c r="G171" s="1"/>
      <c r="H171" s="1"/>
      <c r="I171" s="1"/>
      <c r="J171" s="1"/>
    </row>
    <row r="172" spans="1:10" x14ac:dyDescent="0.25">
      <c r="A172" t="s">
        <v>831</v>
      </c>
      <c r="B172" t="s">
        <v>220</v>
      </c>
      <c r="C172" s="1">
        <f>2055+5+472</f>
        <v>2532</v>
      </c>
      <c r="D172" s="1">
        <v>0</v>
      </c>
      <c r="E172" s="1">
        <v>0</v>
      </c>
      <c r="F172" s="1">
        <v>0</v>
      </c>
      <c r="G172" s="1">
        <v>0</v>
      </c>
      <c r="H172" s="1">
        <v>3396</v>
      </c>
      <c r="I172" s="1">
        <v>478</v>
      </c>
      <c r="J172" s="1"/>
    </row>
    <row r="173" spans="1:10" x14ac:dyDescent="0.25">
      <c r="A173" t="s">
        <v>794</v>
      </c>
      <c r="B173" t="s">
        <v>221</v>
      </c>
      <c r="C173" s="1">
        <f>16934+4+1+4+139+10117+2</f>
        <v>27201</v>
      </c>
      <c r="D173" s="1">
        <f>8+36</f>
        <v>44</v>
      </c>
      <c r="E173" s="1">
        <v>0</v>
      </c>
      <c r="F173" s="1">
        <v>0</v>
      </c>
      <c r="G173" s="1">
        <v>0</v>
      </c>
      <c r="H173" s="1">
        <v>15611</v>
      </c>
      <c r="I173" s="1">
        <v>7792</v>
      </c>
      <c r="J173" s="1"/>
    </row>
    <row r="174" spans="1:10" x14ac:dyDescent="0.25">
      <c r="A174" t="s">
        <v>120</v>
      </c>
      <c r="B174" t="s">
        <v>222</v>
      </c>
      <c r="C174" s="1">
        <f>34250+2+4093</f>
        <v>38345</v>
      </c>
      <c r="D174" s="1">
        <f>14+4</f>
        <v>18</v>
      </c>
      <c r="E174" s="1">
        <v>0</v>
      </c>
      <c r="F174" s="1">
        <v>0</v>
      </c>
      <c r="G174" s="1">
        <v>0</v>
      </c>
      <c r="H174" s="1">
        <v>4062</v>
      </c>
      <c r="I174" s="1">
        <f>2599</f>
        <v>2599</v>
      </c>
      <c r="J174" s="1"/>
    </row>
    <row r="175" spans="1:10" x14ac:dyDescent="0.25">
      <c r="A175" t="s">
        <v>848</v>
      </c>
      <c r="B175" t="s">
        <v>223</v>
      </c>
      <c r="C175" s="1">
        <f>4898+915</f>
        <v>5813</v>
      </c>
      <c r="D175" s="1">
        <v>13</v>
      </c>
      <c r="E175" s="1">
        <v>0</v>
      </c>
      <c r="F175" s="1">
        <v>0</v>
      </c>
      <c r="G175" s="1">
        <v>0</v>
      </c>
      <c r="H175" s="1">
        <v>944</v>
      </c>
      <c r="I175" s="1">
        <v>696</v>
      </c>
      <c r="J175" s="1"/>
    </row>
    <row r="176" spans="1:10" x14ac:dyDescent="0.25">
      <c r="A176" t="s">
        <v>825</v>
      </c>
      <c r="B176" t="s">
        <v>224</v>
      </c>
      <c r="C176" s="1">
        <f>8858+204+4+1528</f>
        <v>10594</v>
      </c>
      <c r="D176" s="1">
        <f>32+12+1</f>
        <v>45</v>
      </c>
      <c r="E176" s="1">
        <v>0</v>
      </c>
      <c r="F176" s="1">
        <v>0</v>
      </c>
      <c r="G176" s="1">
        <v>0</v>
      </c>
      <c r="H176" s="1">
        <v>6669</v>
      </c>
      <c r="I176" s="1">
        <v>1280</v>
      </c>
      <c r="J176" s="1"/>
    </row>
    <row r="177" spans="1:10" x14ac:dyDescent="0.25">
      <c r="A177" t="s">
        <v>788</v>
      </c>
      <c r="B177" t="s">
        <v>225</v>
      </c>
      <c r="C177" s="1">
        <f>6044+1+2+31977</f>
        <v>38024</v>
      </c>
      <c r="D177" s="1">
        <f>36+2</f>
        <v>38</v>
      </c>
      <c r="E177" s="1">
        <v>0</v>
      </c>
      <c r="F177" s="1">
        <v>0</v>
      </c>
      <c r="G177" s="1">
        <v>0</v>
      </c>
      <c r="H177" s="1">
        <v>132766</v>
      </c>
      <c r="I177" s="1">
        <v>26209</v>
      </c>
      <c r="J177" s="1"/>
    </row>
    <row r="178" spans="1:10" x14ac:dyDescent="0.25">
      <c r="A178" t="s">
        <v>226</v>
      </c>
      <c r="B178" t="s">
        <v>227</v>
      </c>
      <c r="C178" s="1">
        <f>9379+1+3+3813</f>
        <v>13196</v>
      </c>
      <c r="D178" s="1">
        <f>17</f>
        <v>17</v>
      </c>
      <c r="E178" s="1">
        <v>0</v>
      </c>
      <c r="F178" s="1">
        <v>0</v>
      </c>
      <c r="G178" s="1">
        <v>0</v>
      </c>
      <c r="H178" s="1">
        <v>7162</v>
      </c>
      <c r="I178" s="1">
        <f>3477</f>
        <v>3477</v>
      </c>
      <c r="J178" s="1"/>
    </row>
    <row r="179" spans="1:10" x14ac:dyDescent="0.25">
      <c r="A179" t="s">
        <v>226</v>
      </c>
      <c r="B179" t="s">
        <v>228</v>
      </c>
      <c r="C179" s="1">
        <f>11748+1+2857</f>
        <v>14606</v>
      </c>
      <c r="D179" s="1">
        <f>19+2+1</f>
        <v>22</v>
      </c>
      <c r="E179" s="1">
        <v>0</v>
      </c>
      <c r="F179" s="1">
        <v>0</v>
      </c>
      <c r="G179" s="1">
        <v>0</v>
      </c>
      <c r="H179" s="1">
        <v>15036</v>
      </c>
      <c r="I179" s="1">
        <f>2630</f>
        <v>2630</v>
      </c>
      <c r="J179" s="1"/>
    </row>
    <row r="180" spans="1:10" x14ac:dyDescent="0.25">
      <c r="A180" t="s">
        <v>229</v>
      </c>
      <c r="B180" t="s">
        <v>230</v>
      </c>
      <c r="C180" s="1">
        <f>5539+1+1782</f>
        <v>7322</v>
      </c>
      <c r="D180" s="1">
        <f>10+11+1</f>
        <v>22</v>
      </c>
      <c r="E180" s="1">
        <v>0</v>
      </c>
      <c r="F180" s="1">
        <v>0</v>
      </c>
      <c r="G180" s="1">
        <v>0</v>
      </c>
      <c r="H180" s="1">
        <v>6784</v>
      </c>
      <c r="I180" s="1">
        <f>1595</f>
        <v>1595</v>
      </c>
      <c r="J180" s="1"/>
    </row>
    <row r="181" spans="1:10" x14ac:dyDescent="0.25">
      <c r="A181" t="s">
        <v>231</v>
      </c>
      <c r="B181" t="s">
        <v>232</v>
      </c>
      <c r="C181" s="1">
        <f>5994+1+1+706</f>
        <v>6702</v>
      </c>
      <c r="D181" s="1">
        <v>0</v>
      </c>
      <c r="E181" s="1">
        <v>0</v>
      </c>
      <c r="F181" s="1">
        <v>0</v>
      </c>
      <c r="G181" s="1">
        <v>0</v>
      </c>
      <c r="H181" s="1">
        <v>469</v>
      </c>
      <c r="I181" s="1">
        <v>514</v>
      </c>
      <c r="J181" s="1"/>
    </row>
    <row r="182" spans="1:10" x14ac:dyDescent="0.25">
      <c r="A182" t="s">
        <v>248</v>
      </c>
      <c r="B182" t="s">
        <v>233</v>
      </c>
      <c r="C182" s="1">
        <f>3102+3+311+298+36</f>
        <v>3750</v>
      </c>
      <c r="D182" s="1">
        <v>3</v>
      </c>
      <c r="E182" s="1">
        <v>0</v>
      </c>
      <c r="F182" s="1">
        <v>0</v>
      </c>
      <c r="G182" s="1">
        <v>0</v>
      </c>
      <c r="H182" s="1">
        <v>6162</v>
      </c>
      <c r="I182" s="1">
        <v>285</v>
      </c>
      <c r="J182" s="1"/>
    </row>
    <row r="183" spans="1:10" x14ac:dyDescent="0.25">
      <c r="A183" t="s">
        <v>69</v>
      </c>
      <c r="B183" t="s">
        <v>234</v>
      </c>
      <c r="C183" s="1">
        <v>113280</v>
      </c>
      <c r="D183" s="1">
        <v>133</v>
      </c>
      <c r="E183" s="1">
        <v>0</v>
      </c>
      <c r="F183" s="1">
        <v>0</v>
      </c>
      <c r="G183" s="1">
        <v>0</v>
      </c>
      <c r="H183" s="1">
        <v>122350</v>
      </c>
      <c r="I183" s="1">
        <v>15967</v>
      </c>
      <c r="J183" s="7"/>
    </row>
    <row r="184" spans="1:10" x14ac:dyDescent="0.25">
      <c r="A184" t="s">
        <v>795</v>
      </c>
      <c r="B184" t="s">
        <v>235</v>
      </c>
      <c r="C184" s="1">
        <f>11174+14546</f>
        <v>25720</v>
      </c>
      <c r="D184" s="1">
        <f>29+1</f>
        <v>30</v>
      </c>
      <c r="E184" s="1">
        <v>0</v>
      </c>
      <c r="F184" s="1">
        <v>0</v>
      </c>
      <c r="G184" s="1">
        <v>0</v>
      </c>
      <c r="H184" s="1">
        <v>571</v>
      </c>
      <c r="I184" s="1">
        <f>13001</f>
        <v>13001</v>
      </c>
      <c r="J184" s="1"/>
    </row>
    <row r="185" spans="1:10" x14ac:dyDescent="0.25">
      <c r="A185" t="s">
        <v>795</v>
      </c>
      <c r="B185" t="s">
        <v>236</v>
      </c>
      <c r="C185" s="1">
        <f>8602+1+1+202+2+2+9381+1</f>
        <v>18192</v>
      </c>
      <c r="D185" s="1">
        <f>19+1+4+77+6</f>
        <v>107</v>
      </c>
      <c r="E185" s="1">
        <v>0</v>
      </c>
      <c r="F185" s="1">
        <v>0</v>
      </c>
      <c r="G185" s="1">
        <v>0</v>
      </c>
      <c r="H185" s="1">
        <v>14922</v>
      </c>
      <c r="I185" s="1">
        <f>7491</f>
        <v>7491</v>
      </c>
      <c r="J185" s="1"/>
    </row>
    <row r="186" spans="1:10" x14ac:dyDescent="0.25">
      <c r="A186" t="s">
        <v>801</v>
      </c>
      <c r="B186" t="s">
        <v>237</v>
      </c>
      <c r="C186" s="1">
        <v>25718</v>
      </c>
      <c r="D186" s="1">
        <v>208</v>
      </c>
      <c r="E186" s="1">
        <v>0</v>
      </c>
      <c r="F186" s="1">
        <v>0</v>
      </c>
      <c r="G186" s="1">
        <v>0</v>
      </c>
      <c r="H186" s="1">
        <v>14496</v>
      </c>
      <c r="I186" s="1">
        <v>2616</v>
      </c>
      <c r="J186" s="7"/>
    </row>
    <row r="187" spans="1:10" x14ac:dyDescent="0.25">
      <c r="A187" t="s">
        <v>788</v>
      </c>
      <c r="B187" t="s">
        <v>238</v>
      </c>
      <c r="C187" s="1">
        <f>7016+1040</f>
        <v>8056</v>
      </c>
      <c r="D187" s="1">
        <v>0</v>
      </c>
      <c r="E187" s="1">
        <v>0</v>
      </c>
      <c r="F187" s="1">
        <v>0</v>
      </c>
      <c r="G187" s="1">
        <v>0</v>
      </c>
      <c r="H187" s="1">
        <v>6021</v>
      </c>
      <c r="I187" s="1">
        <v>1030</v>
      </c>
      <c r="J187" s="1"/>
    </row>
    <row r="188" spans="1:10" x14ac:dyDescent="0.25">
      <c r="A188" t="s">
        <v>791</v>
      </c>
      <c r="B188" t="s">
        <v>239</v>
      </c>
      <c r="C188" s="1">
        <f>4308+1832</f>
        <v>6140</v>
      </c>
      <c r="D188" s="1">
        <f>2</f>
        <v>2</v>
      </c>
      <c r="E188" s="1">
        <v>0</v>
      </c>
      <c r="F188" s="1">
        <v>0</v>
      </c>
      <c r="G188" s="1">
        <v>0</v>
      </c>
      <c r="H188" s="1">
        <v>2640</v>
      </c>
      <c r="I188" s="1">
        <v>1256</v>
      </c>
      <c r="J188" s="1"/>
    </row>
    <row r="189" spans="1:10" x14ac:dyDescent="0.25">
      <c r="A189" t="s">
        <v>801</v>
      </c>
      <c r="B189" t="s">
        <v>240</v>
      </c>
      <c r="C189" s="1">
        <v>52485</v>
      </c>
      <c r="D189" s="1">
        <v>202</v>
      </c>
      <c r="E189" s="1">
        <v>0</v>
      </c>
      <c r="F189" s="1">
        <v>0</v>
      </c>
      <c r="G189" s="1">
        <v>0</v>
      </c>
      <c r="H189" s="1">
        <v>5100</v>
      </c>
      <c r="I189" s="1">
        <v>1004</v>
      </c>
      <c r="J189" s="7"/>
    </row>
    <row r="190" spans="1:10" x14ac:dyDescent="0.25">
      <c r="A190" t="s">
        <v>788</v>
      </c>
      <c r="B190" t="s">
        <v>241</v>
      </c>
      <c r="C190" s="1">
        <f>40705+528+5+14256</f>
        <v>55494</v>
      </c>
      <c r="D190" s="1">
        <f>14+12</f>
        <v>26</v>
      </c>
      <c r="E190" s="1">
        <v>0</v>
      </c>
      <c r="F190" s="1">
        <v>0</v>
      </c>
      <c r="G190" s="1">
        <v>0</v>
      </c>
      <c r="H190" s="1">
        <v>18073</v>
      </c>
      <c r="I190" s="1">
        <v>11823</v>
      </c>
      <c r="J190" s="1"/>
    </row>
    <row r="191" spans="1:10" x14ac:dyDescent="0.25">
      <c r="A191" t="s">
        <v>138</v>
      </c>
      <c r="B191" t="s">
        <v>242</v>
      </c>
      <c r="C191" s="1">
        <f>23095+1+5+10+13+70+2+7+4549</f>
        <v>27752</v>
      </c>
      <c r="D191" s="1">
        <f>9+2+3</f>
        <v>14</v>
      </c>
      <c r="E191" s="1">
        <v>0</v>
      </c>
      <c r="F191" s="1">
        <v>0</v>
      </c>
      <c r="G191" s="1">
        <v>0</v>
      </c>
      <c r="H191" s="1">
        <v>10623</v>
      </c>
      <c r="I191" s="1">
        <v>3984</v>
      </c>
      <c r="J191" s="1"/>
    </row>
    <row r="192" spans="1:10" x14ac:dyDescent="0.25">
      <c r="A192" t="s">
        <v>512</v>
      </c>
      <c r="B192" t="s">
        <v>243</v>
      </c>
      <c r="C192" s="1">
        <f>5106+1+725</f>
        <v>5832</v>
      </c>
      <c r="D192" s="1">
        <f>6</f>
        <v>6</v>
      </c>
      <c r="E192" s="1">
        <v>0</v>
      </c>
      <c r="F192" s="1">
        <v>0</v>
      </c>
      <c r="G192" s="1">
        <v>0</v>
      </c>
      <c r="H192" s="1">
        <v>237</v>
      </c>
      <c r="I192" s="1">
        <f>611</f>
        <v>611</v>
      </c>
      <c r="J192" s="1"/>
    </row>
    <row r="193" spans="1:10" x14ac:dyDescent="0.25">
      <c r="A193" t="s">
        <v>796</v>
      </c>
      <c r="B193" t="s">
        <v>244</v>
      </c>
      <c r="C193" s="1">
        <f>44462+84+1+11+12580</f>
        <v>57138</v>
      </c>
      <c r="D193" s="1">
        <f>262+5+19+2+110+2</f>
        <v>400</v>
      </c>
      <c r="E193" s="1">
        <v>0</v>
      </c>
      <c r="F193" s="1">
        <v>0</v>
      </c>
      <c r="G193" s="1">
        <v>0</v>
      </c>
      <c r="H193" s="1">
        <v>84664</v>
      </c>
      <c r="I193" s="1">
        <v>11590</v>
      </c>
      <c r="J193" s="1"/>
    </row>
    <row r="194" spans="1:10" x14ac:dyDescent="0.25">
      <c r="A194" t="s">
        <v>146</v>
      </c>
      <c r="B194" t="s">
        <v>245</v>
      </c>
      <c r="C194" s="1">
        <f>7676+23+5+1801</f>
        <v>9505</v>
      </c>
      <c r="D194" s="1">
        <f>11+1+1</f>
        <v>13</v>
      </c>
      <c r="E194" s="1">
        <v>0</v>
      </c>
      <c r="F194" s="1">
        <v>0</v>
      </c>
      <c r="G194" s="1">
        <v>0</v>
      </c>
      <c r="H194" s="1">
        <v>15082</v>
      </c>
      <c r="I194" s="1">
        <v>1767</v>
      </c>
      <c r="J194" s="1"/>
    </row>
    <row r="195" spans="1:10" x14ac:dyDescent="0.25">
      <c r="A195" t="s">
        <v>831</v>
      </c>
      <c r="B195" t="s">
        <v>246</v>
      </c>
      <c r="C195" s="1">
        <f>2303+845</f>
        <v>3148</v>
      </c>
      <c r="D195" s="1">
        <v>8</v>
      </c>
      <c r="E195" s="1">
        <v>0</v>
      </c>
      <c r="F195" s="1">
        <v>0</v>
      </c>
      <c r="G195" s="1">
        <v>0</v>
      </c>
      <c r="H195" s="1">
        <v>883</v>
      </c>
      <c r="I195" s="1">
        <v>587</v>
      </c>
      <c r="J195" s="1"/>
    </row>
    <row r="196" spans="1:10" x14ac:dyDescent="0.25">
      <c r="A196" t="s">
        <v>791</v>
      </c>
      <c r="B196" t="s">
        <v>247</v>
      </c>
      <c r="C196" s="1">
        <f>1127+5048</f>
        <v>6175</v>
      </c>
      <c r="D196" s="1">
        <f>3+302</f>
        <v>305</v>
      </c>
      <c r="E196" s="1">
        <v>0</v>
      </c>
      <c r="F196" s="1">
        <v>0</v>
      </c>
      <c r="G196" s="1">
        <v>0</v>
      </c>
      <c r="H196" s="1">
        <v>1974</v>
      </c>
      <c r="I196" s="1">
        <v>3815</v>
      </c>
      <c r="J196" s="1"/>
    </row>
    <row r="197" spans="1:10" x14ac:dyDescent="0.25">
      <c r="A197" t="s">
        <v>248</v>
      </c>
      <c r="B197" t="s">
        <v>249</v>
      </c>
      <c r="C197" s="1">
        <f>22898+4+1+10+3+5056</f>
        <v>27972</v>
      </c>
      <c r="D197" s="1">
        <f>168+4+30+20</f>
        <v>222</v>
      </c>
      <c r="E197" s="1">
        <v>0</v>
      </c>
      <c r="F197" s="1">
        <v>0</v>
      </c>
      <c r="G197" s="1">
        <v>0</v>
      </c>
      <c r="H197" s="1">
        <v>36532</v>
      </c>
      <c r="I197" s="1">
        <v>4593</v>
      </c>
      <c r="J197" s="1"/>
    </row>
    <row r="198" spans="1:10" x14ac:dyDescent="0.25">
      <c r="A198" t="s">
        <v>865</v>
      </c>
      <c r="B198" t="s">
        <v>250</v>
      </c>
      <c r="C198" s="1">
        <f>6019+8+19+1281</f>
        <v>7327</v>
      </c>
      <c r="D198" s="1">
        <f>14+2+1+1</f>
        <v>18</v>
      </c>
      <c r="E198" s="1">
        <v>0</v>
      </c>
      <c r="F198" s="1">
        <v>0</v>
      </c>
      <c r="G198" s="1">
        <v>0</v>
      </c>
      <c r="H198" s="1">
        <v>6645</v>
      </c>
      <c r="I198" s="1">
        <v>1177</v>
      </c>
      <c r="J198" s="1"/>
    </row>
    <row r="199" spans="1:10" x14ac:dyDescent="0.25">
      <c r="A199" t="s">
        <v>248</v>
      </c>
      <c r="B199" t="s">
        <v>251</v>
      </c>
      <c r="C199" s="1">
        <f>18458+3+4246</f>
        <v>22707</v>
      </c>
      <c r="D199" s="1">
        <f>294+158+36</f>
        <v>488</v>
      </c>
      <c r="E199" s="1">
        <v>0</v>
      </c>
      <c r="F199" s="1">
        <v>0</v>
      </c>
      <c r="G199" s="1">
        <v>0</v>
      </c>
      <c r="H199" s="1">
        <v>26559</v>
      </c>
      <c r="I199" s="1">
        <v>3584</v>
      </c>
      <c r="J199" s="1"/>
    </row>
    <row r="200" spans="1:10" x14ac:dyDescent="0.25">
      <c r="A200" t="s">
        <v>795</v>
      </c>
      <c r="B200" t="s">
        <v>252</v>
      </c>
      <c r="C200" s="1">
        <f>11595+74+11+32+2+10060</f>
        <v>21774</v>
      </c>
      <c r="D200" s="1">
        <f>11+16+1+41</f>
        <v>69</v>
      </c>
      <c r="E200" s="1">
        <v>0</v>
      </c>
      <c r="F200" s="1">
        <v>0</v>
      </c>
      <c r="G200" s="1">
        <v>0</v>
      </c>
      <c r="H200" s="1">
        <v>9476</v>
      </c>
      <c r="I200" s="1">
        <f>7023</f>
        <v>7023</v>
      </c>
      <c r="J200" s="1"/>
    </row>
    <row r="201" spans="1:10" x14ac:dyDescent="0.25">
      <c r="A201" t="s">
        <v>248</v>
      </c>
      <c r="B201" t="s">
        <v>253</v>
      </c>
      <c r="C201" s="1">
        <f>24890+56+8+8+6303</f>
        <v>31265</v>
      </c>
      <c r="D201" s="1">
        <f>62+1+56+48</f>
        <v>167</v>
      </c>
      <c r="E201" s="1">
        <v>0</v>
      </c>
      <c r="F201" s="1">
        <v>0</v>
      </c>
      <c r="G201" s="1">
        <v>0</v>
      </c>
      <c r="H201" s="1">
        <v>8865</v>
      </c>
      <c r="I201" s="1">
        <v>5292</v>
      </c>
      <c r="J201" s="1"/>
    </row>
    <row r="202" spans="1:10" x14ac:dyDescent="0.25">
      <c r="A202" t="s">
        <v>823</v>
      </c>
      <c r="B202" t="s">
        <v>254</v>
      </c>
      <c r="C202" s="1">
        <f>6595+4158</f>
        <v>10753</v>
      </c>
      <c r="D202" s="1">
        <f>4</f>
        <v>4</v>
      </c>
      <c r="E202" s="1">
        <v>0</v>
      </c>
      <c r="F202" s="1">
        <v>0</v>
      </c>
      <c r="G202" s="1">
        <v>0</v>
      </c>
      <c r="H202" s="1">
        <v>2433</v>
      </c>
      <c r="I202" s="1">
        <f>1801</f>
        <v>1801</v>
      </c>
      <c r="J202" s="1"/>
    </row>
    <row r="203" spans="1:10" x14ac:dyDescent="0.25">
      <c r="A203" t="s">
        <v>67</v>
      </c>
      <c r="B203" t="s">
        <v>255</v>
      </c>
      <c r="C203" s="1">
        <f>19192+2+19+2369</f>
        <v>21582</v>
      </c>
      <c r="D203" s="1">
        <f>14+2</f>
        <v>16</v>
      </c>
      <c r="E203" s="1">
        <v>0</v>
      </c>
      <c r="F203" s="1">
        <v>0</v>
      </c>
      <c r="G203" s="1">
        <v>0</v>
      </c>
      <c r="H203" s="1">
        <v>12121</v>
      </c>
      <c r="I203" s="1">
        <f>2026</f>
        <v>2026</v>
      </c>
      <c r="J203" s="1"/>
    </row>
    <row r="204" spans="1:10" x14ac:dyDescent="0.25">
      <c r="A204" t="s">
        <v>72</v>
      </c>
      <c r="B204" t="s">
        <v>256</v>
      </c>
      <c r="C204" s="1">
        <f>9326+395+1+2+28+2047</f>
        <v>11799</v>
      </c>
      <c r="D204" s="1">
        <f>5</f>
        <v>5</v>
      </c>
      <c r="E204" s="1">
        <v>0</v>
      </c>
      <c r="F204" s="1">
        <v>0</v>
      </c>
      <c r="G204" s="1">
        <v>0</v>
      </c>
      <c r="H204" s="1">
        <v>4383</v>
      </c>
      <c r="I204" s="1">
        <f>1965</f>
        <v>1965</v>
      </c>
      <c r="J204" s="1"/>
    </row>
    <row r="205" spans="1:10" x14ac:dyDescent="0.25">
      <c r="A205" t="s">
        <v>138</v>
      </c>
      <c r="B205" t="s">
        <v>257</v>
      </c>
      <c r="C205" s="1">
        <f>23409+1+9998</f>
        <v>33408</v>
      </c>
      <c r="D205" s="1">
        <f>233+74+70+777+64+1553</f>
        <v>2771</v>
      </c>
      <c r="E205" s="1">
        <v>0</v>
      </c>
      <c r="F205" s="1">
        <v>0</v>
      </c>
      <c r="G205" s="1">
        <v>0</v>
      </c>
      <c r="H205" s="1">
        <v>9341</v>
      </c>
      <c r="I205" s="1">
        <v>9273</v>
      </c>
      <c r="J205" s="1"/>
    </row>
    <row r="206" spans="1:10" x14ac:dyDescent="0.25">
      <c r="A206" t="s">
        <v>817</v>
      </c>
      <c r="B206" t="s">
        <v>258</v>
      </c>
      <c r="C206" s="1">
        <f>13696+68+7+10712+1</f>
        <v>24484</v>
      </c>
      <c r="D206" s="1">
        <f>355+3</f>
        <v>358</v>
      </c>
      <c r="E206" s="1">
        <v>0</v>
      </c>
      <c r="F206" s="1">
        <v>0</v>
      </c>
      <c r="G206" s="1">
        <v>0</v>
      </c>
      <c r="H206" s="1">
        <v>84884</v>
      </c>
      <c r="I206" s="1">
        <v>8426</v>
      </c>
      <c r="J206" s="1"/>
    </row>
    <row r="207" spans="1:10" x14ac:dyDescent="0.25">
      <c r="A207" t="s">
        <v>795</v>
      </c>
      <c r="B207" t="s">
        <v>259</v>
      </c>
      <c r="C207" s="1">
        <f>36530+14016+27315+539</f>
        <v>78400</v>
      </c>
      <c r="D207" s="1">
        <f>481+3+9+35</f>
        <v>528</v>
      </c>
      <c r="E207" s="1">
        <v>0</v>
      </c>
      <c r="F207" s="1">
        <v>0</v>
      </c>
      <c r="G207" s="1">
        <v>0</v>
      </c>
      <c r="H207" s="1">
        <v>24719</v>
      </c>
      <c r="I207" s="1">
        <f>22896</f>
        <v>22896</v>
      </c>
      <c r="J207" s="1"/>
    </row>
    <row r="208" spans="1:10" x14ac:dyDescent="0.25">
      <c r="A208" t="s">
        <v>864</v>
      </c>
      <c r="B208" t="s">
        <v>260</v>
      </c>
      <c r="C208" s="1">
        <f>14446+4+258+2+2+6+11534</f>
        <v>26252</v>
      </c>
      <c r="D208" s="1">
        <f>99+210+12</f>
        <v>321</v>
      </c>
      <c r="E208" s="1">
        <v>0</v>
      </c>
      <c r="F208" s="1">
        <v>0</v>
      </c>
      <c r="G208" s="1">
        <v>0</v>
      </c>
      <c r="H208" s="1">
        <v>13983</v>
      </c>
      <c r="I208" s="1">
        <v>9621</v>
      </c>
      <c r="J208" s="1"/>
    </row>
    <row r="209" spans="1:10" x14ac:dyDescent="0.25">
      <c r="A209" t="s">
        <v>826</v>
      </c>
      <c r="B209" t="s">
        <v>261</v>
      </c>
      <c r="C209" s="1">
        <f>413+1+6+651</f>
        <v>1071</v>
      </c>
      <c r="D209" s="1">
        <v>0</v>
      </c>
      <c r="E209" s="1">
        <v>0</v>
      </c>
      <c r="F209" s="1">
        <v>0</v>
      </c>
      <c r="G209" s="1">
        <v>0</v>
      </c>
      <c r="H209" s="1">
        <v>651</v>
      </c>
      <c r="I209" s="1">
        <f>392</f>
        <v>392</v>
      </c>
      <c r="J209" s="1"/>
    </row>
    <row r="210" spans="1:10" x14ac:dyDescent="0.25">
      <c r="A210" t="s">
        <v>801</v>
      </c>
      <c r="B210" t="s">
        <v>262</v>
      </c>
      <c r="C210" s="1">
        <v>38492</v>
      </c>
      <c r="D210" s="1">
        <v>428</v>
      </c>
      <c r="E210" s="1">
        <v>0</v>
      </c>
      <c r="F210" s="1">
        <v>0</v>
      </c>
      <c r="G210" s="1">
        <v>0</v>
      </c>
      <c r="H210" s="1">
        <v>36473</v>
      </c>
      <c r="I210" s="1">
        <v>10202</v>
      </c>
      <c r="J210" s="7"/>
    </row>
    <row r="211" spans="1:10" x14ac:dyDescent="0.25">
      <c r="A211" t="s">
        <v>120</v>
      </c>
      <c r="B211" t="s">
        <v>263</v>
      </c>
      <c r="C211" s="1">
        <f>13337+52+5+9+2+14+1081</f>
        <v>14500</v>
      </c>
      <c r="D211" s="1">
        <f>16</f>
        <v>16</v>
      </c>
      <c r="E211" s="1">
        <v>0</v>
      </c>
      <c r="F211" s="1">
        <v>0</v>
      </c>
      <c r="G211" s="1">
        <v>0</v>
      </c>
      <c r="H211" s="1">
        <v>1699</v>
      </c>
      <c r="I211" s="1">
        <f>951</f>
        <v>951</v>
      </c>
      <c r="J211" s="1"/>
    </row>
    <row r="212" spans="1:10" x14ac:dyDescent="0.25">
      <c r="A212" t="s">
        <v>806</v>
      </c>
      <c r="B212" t="s">
        <v>264</v>
      </c>
      <c r="C212" s="1">
        <f>7663+1+20+125+1814</f>
        <v>9623</v>
      </c>
      <c r="D212" s="1">
        <f>5</f>
        <v>5</v>
      </c>
      <c r="E212" s="1">
        <v>0</v>
      </c>
      <c r="F212" s="1">
        <v>0</v>
      </c>
      <c r="G212" s="1">
        <v>0</v>
      </c>
      <c r="H212" s="1">
        <v>3318</v>
      </c>
      <c r="I212" s="1">
        <f>1374</f>
        <v>1374</v>
      </c>
      <c r="J212" s="1"/>
    </row>
    <row r="213" spans="1:10" x14ac:dyDescent="0.25">
      <c r="A213" t="s">
        <v>265</v>
      </c>
      <c r="B213" t="s">
        <v>266</v>
      </c>
      <c r="C213" s="1">
        <f>45625+2+1+59+2+1+11+14283</f>
        <v>59984</v>
      </c>
      <c r="D213" s="1">
        <f>76+270</f>
        <v>346</v>
      </c>
      <c r="E213" s="1">
        <v>0</v>
      </c>
      <c r="F213" s="1">
        <v>0</v>
      </c>
      <c r="G213" s="1">
        <v>0</v>
      </c>
      <c r="H213" s="1">
        <v>36256</v>
      </c>
      <c r="I213" s="1">
        <v>13421</v>
      </c>
      <c r="J213" s="1"/>
    </row>
    <row r="214" spans="1:10" x14ac:dyDescent="0.25">
      <c r="A214" t="s">
        <v>797</v>
      </c>
      <c r="B214" t="s">
        <v>267</v>
      </c>
      <c r="C214" s="1">
        <f>28713+37+1+1+48520</f>
        <v>77272</v>
      </c>
      <c r="D214" s="1">
        <f>295+1+46+1181+27</f>
        <v>1550</v>
      </c>
      <c r="E214" s="1">
        <v>0</v>
      </c>
      <c r="F214" s="1">
        <v>0</v>
      </c>
      <c r="G214" s="1">
        <v>0</v>
      </c>
      <c r="H214" s="1">
        <v>43240</v>
      </c>
      <c r="I214" s="1">
        <v>41277</v>
      </c>
      <c r="J214" s="1"/>
    </row>
    <row r="215" spans="1:10" x14ac:dyDescent="0.25">
      <c r="A215" t="s">
        <v>831</v>
      </c>
      <c r="B215" t="s">
        <v>268</v>
      </c>
      <c r="C215" s="1">
        <f>11599+5232</f>
        <v>16831</v>
      </c>
      <c r="D215" s="1">
        <f>232+49</f>
        <v>281</v>
      </c>
      <c r="E215" s="1">
        <v>0</v>
      </c>
      <c r="F215" s="1">
        <v>0</v>
      </c>
      <c r="G215" s="1">
        <v>0</v>
      </c>
      <c r="H215" s="1">
        <v>6502</v>
      </c>
      <c r="I215" s="1">
        <v>4839</v>
      </c>
      <c r="J215" s="1"/>
    </row>
    <row r="216" spans="1:10" x14ac:dyDescent="0.25">
      <c r="A216" t="s">
        <v>794</v>
      </c>
      <c r="B216" t="s">
        <v>269</v>
      </c>
      <c r="C216" s="1">
        <f>9233+3+20+46+1182</f>
        <v>10484</v>
      </c>
      <c r="D216" s="1">
        <f>80+2</f>
        <v>82</v>
      </c>
      <c r="E216" s="1">
        <v>0</v>
      </c>
      <c r="F216" s="1">
        <v>0</v>
      </c>
      <c r="G216" s="1">
        <v>0</v>
      </c>
      <c r="H216" s="1">
        <v>3492</v>
      </c>
      <c r="I216" s="1">
        <v>1005</v>
      </c>
      <c r="J216" s="1"/>
    </row>
    <row r="217" spans="1:10" x14ac:dyDescent="0.25">
      <c r="A217" s="9" t="s">
        <v>809</v>
      </c>
      <c r="B217" s="10" t="s">
        <v>270</v>
      </c>
      <c r="C217" s="1">
        <f>9521+15+1+54+6238</f>
        <v>15829</v>
      </c>
      <c r="D217" s="1">
        <f>4+64</f>
        <v>68</v>
      </c>
      <c r="E217" s="1">
        <v>0</v>
      </c>
      <c r="F217" s="1">
        <v>0</v>
      </c>
      <c r="G217" s="1">
        <v>0</v>
      </c>
      <c r="H217" s="1">
        <v>8824</v>
      </c>
      <c r="I217" s="1">
        <v>2595</v>
      </c>
      <c r="J217" s="1"/>
    </row>
    <row r="218" spans="1:10" x14ac:dyDescent="0.25">
      <c r="A218" s="9" t="s">
        <v>248</v>
      </c>
      <c r="B218" s="10" t="s">
        <v>271</v>
      </c>
      <c r="C218" s="1">
        <f>51180+3+64+32+14975</f>
        <v>66254</v>
      </c>
      <c r="D218" s="1">
        <f>1420+2+13+6</f>
        <v>1441</v>
      </c>
      <c r="E218" s="1">
        <v>0</v>
      </c>
      <c r="F218" s="1">
        <v>0</v>
      </c>
      <c r="G218" s="1">
        <v>0</v>
      </c>
      <c r="H218" s="1">
        <v>82871</v>
      </c>
      <c r="I218" s="1">
        <v>11051</v>
      </c>
      <c r="J218" s="1"/>
    </row>
    <row r="219" spans="1:10" x14ac:dyDescent="0.25">
      <c r="A219" t="s">
        <v>823</v>
      </c>
      <c r="B219" t="s">
        <v>272</v>
      </c>
      <c r="C219" s="1">
        <f>18084+1+1+5+48+12898</f>
        <v>31037</v>
      </c>
      <c r="D219" s="1">
        <f>85+33</f>
        <v>118</v>
      </c>
      <c r="E219" s="1">
        <v>0</v>
      </c>
      <c r="F219" s="1">
        <v>0</v>
      </c>
      <c r="G219" s="1">
        <v>0</v>
      </c>
      <c r="H219" s="1">
        <v>5934</v>
      </c>
      <c r="I219" s="1">
        <f>9710</f>
        <v>9710</v>
      </c>
      <c r="J219" s="1"/>
    </row>
    <row r="220" spans="1:10" x14ac:dyDescent="0.25">
      <c r="A220" t="s">
        <v>146</v>
      </c>
      <c r="B220" t="s">
        <v>273</v>
      </c>
      <c r="C220" s="1">
        <f>7353+1+1207+8+8579</f>
        <v>17148</v>
      </c>
      <c r="D220" s="1">
        <f>14+187+2+8</f>
        <v>211</v>
      </c>
      <c r="E220" s="1">
        <v>0</v>
      </c>
      <c r="F220" s="1">
        <v>0</v>
      </c>
      <c r="G220" s="1">
        <v>0</v>
      </c>
      <c r="H220" s="1">
        <v>39036</v>
      </c>
      <c r="I220" s="1">
        <v>7821</v>
      </c>
      <c r="J220" s="1"/>
    </row>
    <row r="221" spans="1:10" x14ac:dyDescent="0.25">
      <c r="A221" t="s">
        <v>788</v>
      </c>
      <c r="B221" t="s">
        <v>274</v>
      </c>
      <c r="C221" s="1">
        <f>15234+348+6+7288</f>
        <v>22876</v>
      </c>
      <c r="D221" s="1">
        <f>27+3+1</f>
        <v>31</v>
      </c>
      <c r="E221" s="1">
        <v>0</v>
      </c>
      <c r="F221" s="1">
        <v>0</v>
      </c>
      <c r="G221" s="1">
        <v>0</v>
      </c>
      <c r="H221" s="1">
        <v>23615</v>
      </c>
      <c r="I221" s="1">
        <v>5186</v>
      </c>
      <c r="J221" s="1"/>
    </row>
    <row r="222" spans="1:10" x14ac:dyDescent="0.25">
      <c r="A222" t="s">
        <v>805</v>
      </c>
      <c r="B222" t="s">
        <v>275</v>
      </c>
      <c r="C222" s="1"/>
      <c r="D222" s="1"/>
      <c r="E222" s="1"/>
      <c r="F222" s="1"/>
      <c r="G222" s="1"/>
      <c r="H222" s="1"/>
      <c r="I222" s="1"/>
      <c r="J222" s="1"/>
    </row>
    <row r="223" spans="1:10" x14ac:dyDescent="0.25">
      <c r="A223" s="23" t="s">
        <v>805</v>
      </c>
      <c r="B223" s="24" t="s">
        <v>276</v>
      </c>
      <c r="C223" s="1"/>
      <c r="D223" s="1"/>
      <c r="E223" s="1"/>
      <c r="F223" s="1"/>
      <c r="G223" s="1"/>
      <c r="H223" s="1"/>
      <c r="I223" s="1"/>
      <c r="J223" s="1"/>
    </row>
    <row r="224" spans="1:10" x14ac:dyDescent="0.25">
      <c r="A224" t="s">
        <v>76</v>
      </c>
      <c r="B224" t="s">
        <v>277</v>
      </c>
      <c r="C224" s="1">
        <v>74898</v>
      </c>
      <c r="D224" s="1">
        <v>553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/>
    </row>
    <row r="225" spans="1:10" x14ac:dyDescent="0.25">
      <c r="A225" t="s">
        <v>823</v>
      </c>
      <c r="B225" t="s">
        <v>278</v>
      </c>
      <c r="C225" s="1">
        <f>26497</f>
        <v>26497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/>
    </row>
    <row r="226" spans="1:10" x14ac:dyDescent="0.25">
      <c r="A226" t="s">
        <v>120</v>
      </c>
      <c r="B226" t="s">
        <v>279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13942</v>
      </c>
      <c r="I226" s="1">
        <v>0</v>
      </c>
      <c r="J226" s="1"/>
    </row>
    <row r="227" spans="1:10" x14ac:dyDescent="0.25">
      <c r="A227" t="s">
        <v>495</v>
      </c>
      <c r="B227" t="s">
        <v>280</v>
      </c>
      <c r="C227" s="1">
        <f>14041+1+206+393</f>
        <v>14641</v>
      </c>
      <c r="D227" s="1">
        <f>16+7</f>
        <v>23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/>
    </row>
    <row r="228" spans="1:10" x14ac:dyDescent="0.25">
      <c r="A228" t="s">
        <v>791</v>
      </c>
      <c r="B228" t="s">
        <v>281</v>
      </c>
      <c r="C228" s="1">
        <f>1358</f>
        <v>1358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/>
    </row>
    <row r="229" spans="1:10" x14ac:dyDescent="0.25">
      <c r="A229" t="s">
        <v>801</v>
      </c>
      <c r="B229" t="s">
        <v>282</v>
      </c>
      <c r="C229" s="1">
        <v>14279</v>
      </c>
      <c r="D229" s="1">
        <v>44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7"/>
    </row>
    <row r="230" spans="1:10" x14ac:dyDescent="0.25">
      <c r="A230" t="s">
        <v>795</v>
      </c>
      <c r="B230" t="s">
        <v>283</v>
      </c>
      <c r="C230" s="1">
        <f>126626+16</f>
        <v>126642</v>
      </c>
      <c r="D230" s="1">
        <f>39</f>
        <v>39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/>
    </row>
    <row r="231" spans="1:10" x14ac:dyDescent="0.25">
      <c r="A231" t="s">
        <v>811</v>
      </c>
      <c r="B231" t="s">
        <v>284</v>
      </c>
      <c r="C231" s="1">
        <f>82738</f>
        <v>82738</v>
      </c>
      <c r="D231" s="1">
        <f>779+38+1871</f>
        <v>2688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/>
    </row>
    <row r="232" spans="1:10" x14ac:dyDescent="0.25">
      <c r="A232" t="s">
        <v>120</v>
      </c>
      <c r="B232" t="s">
        <v>285</v>
      </c>
      <c r="C232" s="1">
        <f>17884+94+11</f>
        <v>17989</v>
      </c>
      <c r="D232" s="1">
        <f>132</f>
        <v>132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/>
    </row>
    <row r="233" spans="1:10" x14ac:dyDescent="0.25">
      <c r="A233" t="s">
        <v>101</v>
      </c>
      <c r="B233" t="s">
        <v>286</v>
      </c>
      <c r="C233" s="1">
        <f>16223+10+2</f>
        <v>16235</v>
      </c>
      <c r="D233" s="1">
        <v>191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/>
    </row>
    <row r="234" spans="1:10" x14ac:dyDescent="0.25">
      <c r="A234" t="s">
        <v>226</v>
      </c>
      <c r="B234" t="s">
        <v>287</v>
      </c>
      <c r="C234" s="1">
        <f>11998+24+10+2</f>
        <v>12034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/>
    </row>
    <row r="235" spans="1:10" x14ac:dyDescent="0.25">
      <c r="A235" t="s">
        <v>120</v>
      </c>
      <c r="B235" t="s">
        <v>288</v>
      </c>
      <c r="C235" s="1">
        <f>3091</f>
        <v>3091</v>
      </c>
      <c r="D235" s="1">
        <f>2</f>
        <v>2</v>
      </c>
      <c r="E235" s="1">
        <v>0</v>
      </c>
      <c r="F235" s="1">
        <f>25407+2+2</f>
        <v>25411</v>
      </c>
      <c r="G235" s="1">
        <f>46</f>
        <v>46</v>
      </c>
      <c r="H235" s="1">
        <v>0</v>
      </c>
      <c r="I235" s="1">
        <v>0</v>
      </c>
      <c r="J235" s="1"/>
    </row>
    <row r="236" spans="1:10" x14ac:dyDescent="0.25">
      <c r="A236" t="s">
        <v>826</v>
      </c>
      <c r="B236" t="s">
        <v>289</v>
      </c>
      <c r="C236" s="1">
        <f>1501+47+5</f>
        <v>1553</v>
      </c>
      <c r="D236" s="1">
        <f>101+1</f>
        <v>102</v>
      </c>
      <c r="E236" s="1">
        <v>0</v>
      </c>
      <c r="F236" s="1">
        <f>6279+41+22</f>
        <v>6342</v>
      </c>
      <c r="G236" s="1">
        <f>157+1</f>
        <v>158</v>
      </c>
      <c r="H236" s="1">
        <v>0</v>
      </c>
      <c r="I236" s="1">
        <v>0</v>
      </c>
      <c r="J236" s="1"/>
    </row>
    <row r="237" spans="1:10" x14ac:dyDescent="0.25">
      <c r="A237" t="s">
        <v>791</v>
      </c>
      <c r="B237" t="s">
        <v>290</v>
      </c>
      <c r="C237" s="1">
        <f>2765+13+2+12</f>
        <v>2792</v>
      </c>
      <c r="D237" s="1">
        <f>614+4</f>
        <v>618</v>
      </c>
      <c r="E237" s="1">
        <v>0</v>
      </c>
      <c r="F237" s="1">
        <f>12925+7+31+15+142+1+7+154</f>
        <v>13282</v>
      </c>
      <c r="G237" s="1">
        <f>45</f>
        <v>45</v>
      </c>
      <c r="H237" s="1">
        <v>0</v>
      </c>
      <c r="I237" s="1">
        <v>0</v>
      </c>
      <c r="J237" s="1"/>
    </row>
    <row r="238" spans="1:10" x14ac:dyDescent="0.25">
      <c r="A238" t="s">
        <v>826</v>
      </c>
      <c r="B238" t="s">
        <v>291</v>
      </c>
      <c r="C238" s="1">
        <f>603+2</f>
        <v>605</v>
      </c>
      <c r="D238" s="1">
        <f>3</f>
        <v>3</v>
      </c>
      <c r="E238" s="1">
        <v>0</v>
      </c>
      <c r="F238" s="1">
        <f>5125+27</f>
        <v>5152</v>
      </c>
      <c r="G238" s="1">
        <f>3</f>
        <v>3</v>
      </c>
      <c r="H238" s="1">
        <v>0</v>
      </c>
      <c r="I238" s="1">
        <v>0</v>
      </c>
      <c r="J238" s="1"/>
    </row>
    <row r="239" spans="1:10" x14ac:dyDescent="0.25">
      <c r="A239" t="s">
        <v>226</v>
      </c>
      <c r="B239" t="s">
        <v>292</v>
      </c>
      <c r="C239" s="1">
        <f>600+2+1</f>
        <v>603</v>
      </c>
      <c r="D239" s="1">
        <v>0</v>
      </c>
      <c r="E239" s="1">
        <v>0</v>
      </c>
      <c r="F239" s="1">
        <f>5941+5+57+21+5+5</f>
        <v>6034</v>
      </c>
      <c r="G239" s="1">
        <f>2</f>
        <v>2</v>
      </c>
      <c r="H239" s="1">
        <v>0</v>
      </c>
      <c r="I239" s="1">
        <v>0</v>
      </c>
      <c r="J239" s="1"/>
    </row>
    <row r="240" spans="1:10" x14ac:dyDescent="0.25">
      <c r="A240" t="s">
        <v>495</v>
      </c>
      <c r="B240" t="s">
        <v>293</v>
      </c>
      <c r="C240" s="1">
        <f>2535+31</f>
        <v>2566</v>
      </c>
      <c r="D240" s="1">
        <f>3+10+20</f>
        <v>33</v>
      </c>
      <c r="E240" s="1">
        <v>0</v>
      </c>
      <c r="F240" s="1">
        <f>3203+3+130</f>
        <v>3336</v>
      </c>
      <c r="G240" s="1">
        <f>1+2</f>
        <v>3</v>
      </c>
      <c r="H240" s="1">
        <v>0</v>
      </c>
      <c r="I240" s="1">
        <v>0</v>
      </c>
      <c r="J240" s="1"/>
    </row>
    <row r="241" spans="1:10" x14ac:dyDescent="0.25">
      <c r="A241" t="s">
        <v>248</v>
      </c>
      <c r="B241" t="s">
        <v>294</v>
      </c>
      <c r="C241" s="1">
        <v>330</v>
      </c>
      <c r="D241" s="1">
        <f>5990+7+2+85</f>
        <v>6084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/>
    </row>
    <row r="242" spans="1:10" x14ac:dyDescent="0.25">
      <c r="A242" t="s">
        <v>865</v>
      </c>
      <c r="B242" t="s">
        <v>295</v>
      </c>
      <c r="C242" s="1">
        <v>361</v>
      </c>
      <c r="D242" s="1">
        <v>0</v>
      </c>
      <c r="E242" s="1">
        <v>0</v>
      </c>
      <c r="F242" s="1">
        <f>8773+3+3+2+8</f>
        <v>8789</v>
      </c>
      <c r="G242" s="1">
        <v>8</v>
      </c>
      <c r="H242" s="1">
        <v>0</v>
      </c>
      <c r="I242" s="1">
        <v>0</v>
      </c>
      <c r="J242" s="1"/>
    </row>
    <row r="243" spans="1:10" x14ac:dyDescent="0.25">
      <c r="A243" t="s">
        <v>831</v>
      </c>
      <c r="B243" t="s">
        <v>296</v>
      </c>
      <c r="C243" s="1">
        <f>665+1</f>
        <v>666</v>
      </c>
      <c r="D243" s="1">
        <v>0</v>
      </c>
      <c r="E243" s="1">
        <v>0</v>
      </c>
      <c r="F243" s="1">
        <f>10219+8+5+57+210</f>
        <v>10499</v>
      </c>
      <c r="G243" s="1">
        <f>2+2</f>
        <v>4</v>
      </c>
      <c r="H243" s="1">
        <v>0</v>
      </c>
      <c r="I243" s="1">
        <v>0</v>
      </c>
      <c r="J243" s="1"/>
    </row>
    <row r="244" spans="1:10" x14ac:dyDescent="0.25">
      <c r="A244" t="s">
        <v>818</v>
      </c>
      <c r="B244" t="s">
        <v>297</v>
      </c>
      <c r="C244" s="1">
        <f>3056+47+1</f>
        <v>3104</v>
      </c>
      <c r="D244" s="1">
        <v>0</v>
      </c>
      <c r="E244" s="1">
        <v>0</v>
      </c>
      <c r="F244" s="1">
        <f>6352+10+165+21</f>
        <v>6548</v>
      </c>
      <c r="G244" s="1">
        <f>2+1+51</f>
        <v>54</v>
      </c>
      <c r="H244" s="1">
        <v>0</v>
      </c>
      <c r="I244" s="1">
        <v>0</v>
      </c>
      <c r="J244" s="1"/>
    </row>
    <row r="245" spans="1:10" x14ac:dyDescent="0.25">
      <c r="A245" t="s">
        <v>811</v>
      </c>
      <c r="B245" t="s">
        <v>298</v>
      </c>
      <c r="C245" s="1">
        <f>2545+2+27+1+1+1+67</f>
        <v>2644</v>
      </c>
      <c r="D245" s="1">
        <f>52</f>
        <v>52</v>
      </c>
      <c r="E245" s="1">
        <v>0</v>
      </c>
      <c r="F245" s="1">
        <f>7781+4+12+3+104</f>
        <v>7904</v>
      </c>
      <c r="G245" s="1">
        <f>28+1</f>
        <v>29</v>
      </c>
      <c r="H245" s="1">
        <v>0</v>
      </c>
      <c r="I245" s="1">
        <v>0</v>
      </c>
      <c r="J245" s="1"/>
    </row>
    <row r="246" spans="1:10" x14ac:dyDescent="0.25">
      <c r="A246" t="s">
        <v>72</v>
      </c>
      <c r="B246" t="s">
        <v>299</v>
      </c>
      <c r="C246" s="1">
        <f>1410+501</f>
        <v>1911</v>
      </c>
      <c r="D246" s="1">
        <v>0</v>
      </c>
      <c r="E246" s="1">
        <v>0</v>
      </c>
      <c r="F246" s="1">
        <f>8624+4+994+5</f>
        <v>9627</v>
      </c>
      <c r="G246" s="1">
        <f>19</f>
        <v>19</v>
      </c>
      <c r="H246" s="1">
        <v>0</v>
      </c>
      <c r="I246" s="1">
        <v>0</v>
      </c>
      <c r="J246" s="1"/>
    </row>
    <row r="247" spans="1:10" x14ac:dyDescent="0.25">
      <c r="A247" t="s">
        <v>67</v>
      </c>
      <c r="B247" t="s">
        <v>300</v>
      </c>
      <c r="C247" s="1">
        <f>1985</f>
        <v>1985</v>
      </c>
      <c r="D247" s="1">
        <v>0</v>
      </c>
      <c r="E247" s="1">
        <v>0</v>
      </c>
      <c r="F247" s="1">
        <f>3233</f>
        <v>3233</v>
      </c>
      <c r="G247" s="1">
        <v>0</v>
      </c>
      <c r="H247" s="1">
        <v>0</v>
      </c>
      <c r="I247" s="1">
        <v>0</v>
      </c>
      <c r="J247" s="1"/>
    </row>
    <row r="248" spans="1:10" x14ac:dyDescent="0.25">
      <c r="A248" t="s">
        <v>798</v>
      </c>
      <c r="B248" t="s">
        <v>301</v>
      </c>
      <c r="C248" s="1">
        <v>2141</v>
      </c>
      <c r="D248" s="1">
        <v>22</v>
      </c>
      <c r="E248" s="1">
        <v>0</v>
      </c>
      <c r="F248" s="1">
        <f>11766+1</f>
        <v>11767</v>
      </c>
      <c r="G248" s="1">
        <f>99+1</f>
        <v>100</v>
      </c>
      <c r="H248" s="1">
        <v>0</v>
      </c>
      <c r="I248" s="1">
        <v>0</v>
      </c>
      <c r="J248" s="1"/>
    </row>
    <row r="249" spans="1:10" x14ac:dyDescent="0.25">
      <c r="A249" t="s">
        <v>824</v>
      </c>
      <c r="B249" t="s">
        <v>302</v>
      </c>
      <c r="C249" s="1">
        <f>4962+1+131+39</f>
        <v>5133</v>
      </c>
      <c r="D249" s="1">
        <v>15</v>
      </c>
      <c r="E249" s="1">
        <v>0</v>
      </c>
      <c r="F249" s="1">
        <f>16659+3+7+485+15+1+1+390</f>
        <v>17561</v>
      </c>
      <c r="G249" s="1">
        <v>11</v>
      </c>
      <c r="H249" s="1">
        <v>0</v>
      </c>
      <c r="I249" s="1">
        <v>0</v>
      </c>
      <c r="J249" s="1"/>
    </row>
    <row r="250" spans="1:10" x14ac:dyDescent="0.25">
      <c r="A250" t="s">
        <v>788</v>
      </c>
      <c r="B250" t="s">
        <v>303</v>
      </c>
      <c r="C250" s="1">
        <v>1261</v>
      </c>
      <c r="D250" s="1">
        <v>0</v>
      </c>
      <c r="E250" s="1">
        <v>0</v>
      </c>
      <c r="F250" s="1">
        <f>9439+1</f>
        <v>9440</v>
      </c>
      <c r="G250" s="1">
        <v>0</v>
      </c>
      <c r="H250" s="1">
        <v>0</v>
      </c>
      <c r="I250" s="1">
        <v>0</v>
      </c>
      <c r="J250" s="1"/>
    </row>
    <row r="251" spans="1:10" x14ac:dyDescent="0.25">
      <c r="A251" t="s">
        <v>120</v>
      </c>
      <c r="B251" t="s">
        <v>304</v>
      </c>
      <c r="C251" s="1">
        <f>1162+13</f>
        <v>1175</v>
      </c>
      <c r="D251" s="1">
        <v>0</v>
      </c>
      <c r="E251" s="1">
        <v>0</v>
      </c>
      <c r="F251" s="1">
        <f>12393+52+174+1+7</f>
        <v>12627</v>
      </c>
      <c r="G251" s="1">
        <v>22</v>
      </c>
      <c r="H251" s="1">
        <v>0</v>
      </c>
      <c r="I251" s="1">
        <v>0</v>
      </c>
      <c r="J251" s="1"/>
    </row>
    <row r="252" spans="1:10" x14ac:dyDescent="0.25">
      <c r="A252" t="s">
        <v>229</v>
      </c>
      <c r="B252" t="s">
        <v>306</v>
      </c>
      <c r="C252" s="1">
        <f>1635+1</f>
        <v>1636</v>
      </c>
      <c r="D252" s="1">
        <v>0</v>
      </c>
      <c r="E252" s="1">
        <v>0</v>
      </c>
      <c r="F252" s="1">
        <f>2522+33+2</f>
        <v>2557</v>
      </c>
      <c r="G252" s="1">
        <f>59</f>
        <v>59</v>
      </c>
      <c r="H252" s="1">
        <v>0</v>
      </c>
      <c r="I252" s="1">
        <v>0</v>
      </c>
      <c r="J252" s="1"/>
    </row>
    <row r="253" spans="1:10" x14ac:dyDescent="0.25">
      <c r="A253" t="s">
        <v>512</v>
      </c>
      <c r="B253" t="s">
        <v>307</v>
      </c>
      <c r="C253" s="1">
        <f>430+4</f>
        <v>434</v>
      </c>
      <c r="D253" s="1">
        <f>9</f>
        <v>9</v>
      </c>
      <c r="E253" s="1">
        <v>0</v>
      </c>
      <c r="F253" s="1">
        <f>4309+13</f>
        <v>4322</v>
      </c>
      <c r="G253" s="1">
        <f>38+4</f>
        <v>42</v>
      </c>
      <c r="H253" s="1">
        <v>0</v>
      </c>
      <c r="I253" s="1">
        <v>0</v>
      </c>
      <c r="J253" s="1"/>
    </row>
    <row r="254" spans="1:10" x14ac:dyDescent="0.25">
      <c r="A254" t="s">
        <v>791</v>
      </c>
      <c r="B254" t="s">
        <v>308</v>
      </c>
      <c r="C254" s="1">
        <f>493+2+6+1+8</f>
        <v>510</v>
      </c>
      <c r="D254" s="1">
        <v>0</v>
      </c>
      <c r="E254" s="1">
        <v>0</v>
      </c>
      <c r="F254" s="1">
        <f>4485+1+2+19</f>
        <v>4507</v>
      </c>
      <c r="G254" s="1">
        <v>0</v>
      </c>
      <c r="H254" s="1">
        <v>0</v>
      </c>
      <c r="I254" s="1">
        <v>0</v>
      </c>
      <c r="J254" s="1"/>
    </row>
    <row r="255" spans="1:10" x14ac:dyDescent="0.25">
      <c r="A255" t="s">
        <v>841</v>
      </c>
      <c r="B255" t="s">
        <v>309</v>
      </c>
      <c r="C255" s="1">
        <v>3056</v>
      </c>
      <c r="D255" s="1">
        <v>3</v>
      </c>
      <c r="E255" s="1">
        <v>0</v>
      </c>
      <c r="F255" s="1">
        <f>29061+25+10+2+1+4</f>
        <v>29103</v>
      </c>
      <c r="G255" s="1">
        <f>1+20</f>
        <v>21</v>
      </c>
      <c r="H255" s="1">
        <v>0</v>
      </c>
      <c r="I255" s="1">
        <v>0</v>
      </c>
      <c r="J255" s="1"/>
    </row>
    <row r="256" spans="1:10" x14ac:dyDescent="0.25">
      <c r="A256" t="s">
        <v>831</v>
      </c>
      <c r="B256" t="s">
        <v>310</v>
      </c>
      <c r="C256" s="1">
        <v>101</v>
      </c>
      <c r="D256" s="1">
        <v>0</v>
      </c>
      <c r="E256" s="1">
        <v>0</v>
      </c>
      <c r="F256" s="1">
        <v>838</v>
      </c>
      <c r="G256" s="1">
        <v>0</v>
      </c>
      <c r="H256" s="1">
        <v>0</v>
      </c>
      <c r="I256" s="1">
        <v>0</v>
      </c>
      <c r="J256" s="1"/>
    </row>
    <row r="257" spans="1:10" x14ac:dyDescent="0.25">
      <c r="A257" t="s">
        <v>864</v>
      </c>
      <c r="B257" t="s">
        <v>311</v>
      </c>
      <c r="C257" s="1">
        <f>665+13</f>
        <v>678</v>
      </c>
      <c r="D257" s="1">
        <v>0</v>
      </c>
      <c r="E257" s="1">
        <v>0</v>
      </c>
      <c r="F257" s="1">
        <f>3556+2+48+41</f>
        <v>3647</v>
      </c>
      <c r="G257" s="1">
        <v>0</v>
      </c>
      <c r="H257" s="1">
        <v>0</v>
      </c>
      <c r="I257" s="1">
        <v>0</v>
      </c>
      <c r="J257" s="1"/>
    </row>
    <row r="258" spans="1:10" x14ac:dyDescent="0.25">
      <c r="A258" t="s">
        <v>838</v>
      </c>
      <c r="B258" t="s">
        <v>312</v>
      </c>
      <c r="C258" s="1">
        <f>7153+22</f>
        <v>7175</v>
      </c>
      <c r="D258" s="1">
        <v>9</v>
      </c>
      <c r="E258" s="1">
        <v>0</v>
      </c>
      <c r="F258" s="1">
        <v>557</v>
      </c>
      <c r="G258" s="1">
        <v>0</v>
      </c>
      <c r="H258" s="1">
        <v>0</v>
      </c>
      <c r="I258" s="1">
        <v>0</v>
      </c>
      <c r="J258" s="1"/>
    </row>
    <row r="259" spans="1:10" x14ac:dyDescent="0.25">
      <c r="A259" t="s">
        <v>794</v>
      </c>
      <c r="B259" t="s">
        <v>313</v>
      </c>
      <c r="C259" s="1">
        <v>1508</v>
      </c>
      <c r="D259" s="1">
        <v>0</v>
      </c>
      <c r="E259" s="1">
        <v>0</v>
      </c>
      <c r="F259" s="1">
        <f>4611+8+2+136</f>
        <v>4757</v>
      </c>
      <c r="G259" s="1">
        <v>0</v>
      </c>
      <c r="H259" s="1">
        <v>0</v>
      </c>
      <c r="I259" s="1">
        <v>0</v>
      </c>
      <c r="J259" s="1"/>
    </row>
    <row r="260" spans="1:10" x14ac:dyDescent="0.25">
      <c r="A260" t="s">
        <v>830</v>
      </c>
      <c r="B260" t="s">
        <v>314</v>
      </c>
      <c r="C260" s="1">
        <v>26</v>
      </c>
      <c r="D260" s="1">
        <v>0</v>
      </c>
      <c r="E260" s="1">
        <v>0</v>
      </c>
      <c r="F260" s="1">
        <f>167+4</f>
        <v>171</v>
      </c>
      <c r="G260" s="1">
        <v>0</v>
      </c>
      <c r="H260" s="1">
        <v>0</v>
      </c>
      <c r="I260" s="1">
        <v>0</v>
      </c>
      <c r="J260" s="1"/>
    </row>
    <row r="261" spans="1:10" x14ac:dyDescent="0.25">
      <c r="A261" t="s">
        <v>844</v>
      </c>
      <c r="B261" t="s">
        <v>315</v>
      </c>
      <c r="C261" s="1">
        <v>614</v>
      </c>
      <c r="D261" s="1">
        <v>0</v>
      </c>
      <c r="E261" s="1">
        <v>0</v>
      </c>
      <c r="F261" s="1">
        <v>2238</v>
      </c>
      <c r="G261" s="1">
        <v>0</v>
      </c>
      <c r="H261" s="1">
        <v>0</v>
      </c>
      <c r="I261" s="1">
        <v>0</v>
      </c>
      <c r="J261" s="1"/>
    </row>
    <row r="262" spans="1:10" x14ac:dyDescent="0.25">
      <c r="A262" t="s">
        <v>836</v>
      </c>
      <c r="B262" t="s">
        <v>316</v>
      </c>
      <c r="C262" s="1">
        <v>622</v>
      </c>
      <c r="D262" s="1">
        <v>0</v>
      </c>
      <c r="E262" s="1">
        <v>0</v>
      </c>
      <c r="F262" s="1">
        <f>3080+1+11+3</f>
        <v>3095</v>
      </c>
      <c r="G262" s="1">
        <v>0</v>
      </c>
      <c r="H262" s="1">
        <v>0</v>
      </c>
      <c r="I262" s="1">
        <v>0</v>
      </c>
      <c r="J262" s="1"/>
    </row>
    <row r="263" spans="1:10" x14ac:dyDescent="0.25">
      <c r="A263" t="s">
        <v>845</v>
      </c>
      <c r="B263" t="s">
        <v>317</v>
      </c>
      <c r="C263" s="1">
        <f>4753+1+119+2</f>
        <v>4875</v>
      </c>
      <c r="D263" s="1">
        <v>2</v>
      </c>
      <c r="E263" s="1">
        <v>0</v>
      </c>
      <c r="F263" s="1">
        <f>2674+146+10</f>
        <v>2830</v>
      </c>
      <c r="G263" s="1">
        <f>20+4</f>
        <v>24</v>
      </c>
      <c r="H263" s="1">
        <v>0</v>
      </c>
      <c r="I263" s="1">
        <v>0</v>
      </c>
      <c r="J263" s="1"/>
    </row>
    <row r="264" spans="1:10" x14ac:dyDescent="0.25">
      <c r="A264" t="s">
        <v>846</v>
      </c>
      <c r="B264" t="s">
        <v>318</v>
      </c>
      <c r="C264" s="1">
        <f>1006+28</f>
        <v>1034</v>
      </c>
      <c r="D264" s="1">
        <v>13</v>
      </c>
      <c r="E264" s="1">
        <v>0</v>
      </c>
      <c r="F264" s="1">
        <f>2299+31</f>
        <v>2330</v>
      </c>
      <c r="G264" s="1">
        <v>6</v>
      </c>
      <c r="H264" s="1">
        <v>0</v>
      </c>
      <c r="I264" s="1">
        <v>0</v>
      </c>
      <c r="J264" s="1"/>
    </row>
    <row r="265" spans="1:10" x14ac:dyDescent="0.25">
      <c r="A265" t="s">
        <v>804</v>
      </c>
      <c r="B265" t="s">
        <v>319</v>
      </c>
      <c r="C265" s="1">
        <f>3778+2</f>
        <v>3780</v>
      </c>
      <c r="D265" s="1">
        <v>0</v>
      </c>
      <c r="E265" s="1">
        <v>0</v>
      </c>
      <c r="F265" s="1">
        <f>5179+4</f>
        <v>5183</v>
      </c>
      <c r="G265" s="1">
        <v>0</v>
      </c>
      <c r="H265" s="1">
        <v>0</v>
      </c>
      <c r="I265" s="1">
        <v>0</v>
      </c>
      <c r="J265" s="1"/>
    </row>
    <row r="266" spans="1:10" x14ac:dyDescent="0.25">
      <c r="A266" t="s">
        <v>809</v>
      </c>
      <c r="B266" t="s">
        <v>320</v>
      </c>
      <c r="C266" s="1">
        <v>10128</v>
      </c>
      <c r="D266" s="1">
        <v>0</v>
      </c>
      <c r="E266" s="1">
        <v>0</v>
      </c>
      <c r="F266" s="1">
        <f>3893+1+1</f>
        <v>3895</v>
      </c>
      <c r="G266" s="1">
        <v>0</v>
      </c>
      <c r="H266" s="1">
        <v>0</v>
      </c>
      <c r="I266" s="1">
        <v>0</v>
      </c>
      <c r="J266" s="1"/>
    </row>
    <row r="267" spans="1:10" x14ac:dyDescent="0.25">
      <c r="A267" t="s">
        <v>801</v>
      </c>
      <c r="B267" t="s">
        <v>321</v>
      </c>
      <c r="C267" s="1">
        <v>5538</v>
      </c>
      <c r="D267" s="1">
        <v>32</v>
      </c>
      <c r="E267" s="1">
        <v>0</v>
      </c>
      <c r="F267" s="1">
        <v>12517</v>
      </c>
      <c r="G267" s="1">
        <v>165</v>
      </c>
      <c r="H267" s="1">
        <v>0</v>
      </c>
      <c r="I267" s="1">
        <v>0</v>
      </c>
      <c r="J267" s="7"/>
    </row>
    <row r="268" spans="1:10" x14ac:dyDescent="0.25">
      <c r="A268" t="s">
        <v>138</v>
      </c>
      <c r="B268" t="s">
        <v>322</v>
      </c>
      <c r="C268" s="1">
        <v>6738</v>
      </c>
      <c r="D268" s="1">
        <v>35</v>
      </c>
      <c r="E268" s="1">
        <v>0</v>
      </c>
      <c r="F268" s="1">
        <f>51901+4+5+5+1+1+97</f>
        <v>52014</v>
      </c>
      <c r="G268" s="1">
        <f>306+20</f>
        <v>326</v>
      </c>
      <c r="H268" s="1">
        <v>0</v>
      </c>
      <c r="I268" s="1">
        <v>0</v>
      </c>
      <c r="J268" s="1"/>
    </row>
    <row r="269" spans="1:10" x14ac:dyDescent="0.25">
      <c r="A269" t="s">
        <v>83</v>
      </c>
      <c r="B269" t="s">
        <v>323</v>
      </c>
      <c r="C269" s="1">
        <v>13184</v>
      </c>
      <c r="D269" s="1">
        <v>49</v>
      </c>
      <c r="E269" s="1">
        <v>0</v>
      </c>
      <c r="F269" s="1">
        <v>6623</v>
      </c>
      <c r="G269" s="1">
        <v>54</v>
      </c>
      <c r="H269" s="1">
        <v>0</v>
      </c>
      <c r="I269" s="1">
        <v>0</v>
      </c>
      <c r="J269" s="7"/>
    </row>
    <row r="270" spans="1:10" x14ac:dyDescent="0.25">
      <c r="A270" t="s">
        <v>825</v>
      </c>
      <c r="B270" t="s">
        <v>324</v>
      </c>
      <c r="C270" s="1">
        <f>2097+97</f>
        <v>2194</v>
      </c>
      <c r="D270" s="1">
        <v>23</v>
      </c>
      <c r="E270" s="1">
        <v>0</v>
      </c>
      <c r="F270" s="1">
        <f>5588+3+1+171+10</f>
        <v>5773</v>
      </c>
      <c r="G270" s="1">
        <f>109+4</f>
        <v>113</v>
      </c>
      <c r="H270" s="1">
        <v>0</v>
      </c>
      <c r="I270" s="1">
        <v>0</v>
      </c>
      <c r="J270" s="1"/>
    </row>
    <row r="271" spans="1:10" x14ac:dyDescent="0.25">
      <c r="A271" t="s">
        <v>248</v>
      </c>
      <c r="B271" t="s">
        <v>325</v>
      </c>
      <c r="C271" s="1">
        <v>733</v>
      </c>
      <c r="D271" s="1">
        <v>0</v>
      </c>
      <c r="E271" s="1">
        <v>0</v>
      </c>
      <c r="F271" s="1">
        <v>1558</v>
      </c>
      <c r="G271" s="1">
        <v>0</v>
      </c>
      <c r="H271" s="1">
        <v>0</v>
      </c>
      <c r="I271" s="1">
        <v>0</v>
      </c>
      <c r="J271" s="1"/>
    </row>
    <row r="272" spans="1:10" x14ac:dyDescent="0.25">
      <c r="A272" t="s">
        <v>83</v>
      </c>
      <c r="B272" t="s">
        <v>326</v>
      </c>
      <c r="C272" s="1"/>
      <c r="D272" s="1"/>
      <c r="E272" s="1"/>
      <c r="F272" s="1"/>
      <c r="G272" s="1"/>
      <c r="H272" s="1"/>
      <c r="I272" s="1"/>
      <c r="J272" s="1"/>
    </row>
    <row r="273" spans="1:10" x14ac:dyDescent="0.25">
      <c r="A273" t="s">
        <v>795</v>
      </c>
      <c r="B273" t="s">
        <v>327</v>
      </c>
      <c r="C273" s="1">
        <f>194</f>
        <v>194</v>
      </c>
      <c r="D273" s="1">
        <v>0</v>
      </c>
      <c r="E273" s="1">
        <v>0</v>
      </c>
      <c r="F273" s="1">
        <f>900</f>
        <v>900</v>
      </c>
      <c r="G273" s="1">
        <f>43</f>
        <v>43</v>
      </c>
      <c r="H273" s="1">
        <v>0</v>
      </c>
      <c r="I273" s="1">
        <v>0</v>
      </c>
      <c r="J273" s="1"/>
    </row>
    <row r="274" spans="1:10" x14ac:dyDescent="0.25">
      <c r="A274" t="s">
        <v>76</v>
      </c>
      <c r="B274" t="s">
        <v>329</v>
      </c>
      <c r="C274" s="1">
        <v>3513</v>
      </c>
      <c r="D274" s="1">
        <v>35</v>
      </c>
      <c r="E274" s="1">
        <v>0</v>
      </c>
      <c r="F274" s="1">
        <v>16196</v>
      </c>
      <c r="G274" s="1">
        <v>145</v>
      </c>
      <c r="H274" s="1">
        <v>0</v>
      </c>
      <c r="I274" s="1">
        <v>0</v>
      </c>
      <c r="J274" s="1"/>
    </row>
    <row r="275" spans="1:10" x14ac:dyDescent="0.25">
      <c r="A275" t="s">
        <v>809</v>
      </c>
      <c r="B275" t="s">
        <v>330</v>
      </c>
      <c r="C275" s="1">
        <f>4926+1+2+1+8+4+4</f>
        <v>4946</v>
      </c>
      <c r="D275" s="1">
        <f>442+72</f>
        <v>514</v>
      </c>
      <c r="E275" s="1">
        <v>0</v>
      </c>
      <c r="F275" s="1">
        <f>16643+1+1+13+2+7</f>
        <v>16667</v>
      </c>
      <c r="G275" s="1">
        <f>470+2</f>
        <v>472</v>
      </c>
      <c r="H275" s="1">
        <v>0</v>
      </c>
      <c r="I275" s="1">
        <v>0</v>
      </c>
      <c r="J275" s="1"/>
    </row>
    <row r="276" spans="1:10" x14ac:dyDescent="0.25">
      <c r="A276" t="s">
        <v>839</v>
      </c>
      <c r="B276" t="s">
        <v>331</v>
      </c>
      <c r="C276" s="1"/>
      <c r="D276" s="1"/>
      <c r="E276" s="1"/>
      <c r="F276" s="1"/>
      <c r="G276" s="1"/>
      <c r="H276" s="1"/>
      <c r="I276" s="1"/>
      <c r="J276" s="1"/>
    </row>
    <row r="277" spans="1:10" x14ac:dyDescent="0.25">
      <c r="A277" t="s">
        <v>248</v>
      </c>
      <c r="B277" t="s">
        <v>332</v>
      </c>
      <c r="C277" s="1">
        <v>150</v>
      </c>
      <c r="D277" s="1">
        <v>0</v>
      </c>
      <c r="E277" s="1">
        <v>0</v>
      </c>
      <c r="F277" s="1">
        <v>61</v>
      </c>
      <c r="G277" s="1">
        <v>0</v>
      </c>
      <c r="H277" s="1">
        <v>0</v>
      </c>
      <c r="I277" s="1">
        <v>0</v>
      </c>
      <c r="J277" s="1"/>
    </row>
    <row r="278" spans="1:10" x14ac:dyDescent="0.25">
      <c r="A278" t="s">
        <v>862</v>
      </c>
      <c r="B278" t="s">
        <v>333</v>
      </c>
      <c r="C278" s="1">
        <v>204</v>
      </c>
      <c r="D278" s="1">
        <v>0</v>
      </c>
      <c r="E278" s="1">
        <v>0</v>
      </c>
      <c r="F278" s="1">
        <v>1033</v>
      </c>
      <c r="G278" s="1">
        <v>0</v>
      </c>
      <c r="H278" s="1">
        <v>0</v>
      </c>
      <c r="I278" s="1">
        <v>0</v>
      </c>
      <c r="J278" s="1"/>
    </row>
    <row r="279" spans="1:10" x14ac:dyDescent="0.25">
      <c r="A279" t="s">
        <v>857</v>
      </c>
      <c r="B279" t="s">
        <v>334</v>
      </c>
      <c r="C279" s="1">
        <v>1558</v>
      </c>
      <c r="D279" s="1">
        <v>0</v>
      </c>
      <c r="E279" s="1">
        <v>0</v>
      </c>
      <c r="F279" s="1">
        <v>947</v>
      </c>
      <c r="G279" s="1">
        <v>0</v>
      </c>
      <c r="H279" s="1">
        <v>0</v>
      </c>
      <c r="I279" s="1">
        <v>0</v>
      </c>
      <c r="J279" s="1"/>
    </row>
    <row r="280" spans="1:10" x14ac:dyDescent="0.25">
      <c r="A280" t="s">
        <v>265</v>
      </c>
      <c r="B280" t="s">
        <v>335</v>
      </c>
      <c r="C280" s="1">
        <v>1183</v>
      </c>
      <c r="D280" s="1">
        <v>0</v>
      </c>
      <c r="E280" s="1">
        <v>0</v>
      </c>
      <c r="F280" s="1">
        <v>6041</v>
      </c>
      <c r="G280" s="1">
        <v>0</v>
      </c>
      <c r="H280" s="1">
        <v>0</v>
      </c>
      <c r="I280" s="1">
        <v>0</v>
      </c>
      <c r="J280" s="1"/>
    </row>
    <row r="281" spans="1:10" x14ac:dyDescent="0.25">
      <c r="A281" t="s">
        <v>855</v>
      </c>
      <c r="B281" t="s">
        <v>336</v>
      </c>
      <c r="C281" s="1">
        <f>1890+78</f>
        <v>1968</v>
      </c>
      <c r="D281" s="1">
        <v>23</v>
      </c>
      <c r="E281" s="1">
        <v>0</v>
      </c>
      <c r="F281" s="1">
        <f>6272+81</f>
        <v>6353</v>
      </c>
      <c r="G281" s="1">
        <v>17</v>
      </c>
      <c r="H281" s="1">
        <v>0</v>
      </c>
      <c r="I281" s="1">
        <v>0</v>
      </c>
      <c r="J281" s="1"/>
    </row>
    <row r="282" spans="1:10" x14ac:dyDescent="0.25">
      <c r="A282" t="s">
        <v>806</v>
      </c>
      <c r="B282" t="s">
        <v>337</v>
      </c>
      <c r="C282" s="1">
        <f>3287+25+21+19</f>
        <v>3352</v>
      </c>
      <c r="D282" s="1">
        <f>50</f>
        <v>50</v>
      </c>
      <c r="E282" s="1">
        <v>0</v>
      </c>
      <c r="F282" s="1">
        <f>17244+2+316+3+2+2+11</f>
        <v>17580</v>
      </c>
      <c r="G282" s="1">
        <f>101+1+15</f>
        <v>117</v>
      </c>
      <c r="H282" s="1">
        <v>0</v>
      </c>
      <c r="I282" s="1">
        <v>0</v>
      </c>
      <c r="J282" s="1"/>
    </row>
    <row r="283" spans="1:10" x14ac:dyDescent="0.25">
      <c r="A283" t="s">
        <v>852</v>
      </c>
      <c r="B283" t="s">
        <v>338</v>
      </c>
      <c r="C283" s="1">
        <v>582</v>
      </c>
      <c r="D283" s="1">
        <v>0</v>
      </c>
      <c r="E283" s="1">
        <v>0</v>
      </c>
      <c r="F283" s="1">
        <f>4188+2</f>
        <v>4190</v>
      </c>
      <c r="G283" s="1">
        <v>11</v>
      </c>
      <c r="H283" s="1">
        <v>0</v>
      </c>
      <c r="I283" s="1">
        <v>0</v>
      </c>
      <c r="J283" s="1"/>
    </row>
    <row r="284" spans="1:10" x14ac:dyDescent="0.25">
      <c r="A284" t="s">
        <v>860</v>
      </c>
      <c r="B284" t="s">
        <v>339</v>
      </c>
      <c r="C284" s="1">
        <f>2963+10</f>
        <v>2973</v>
      </c>
      <c r="D284" s="1">
        <v>0</v>
      </c>
      <c r="E284" s="1">
        <v>0</v>
      </c>
      <c r="F284" s="1">
        <f>2748+1+2+3</f>
        <v>2754</v>
      </c>
      <c r="G284" s="1">
        <f>3+74</f>
        <v>77</v>
      </c>
      <c r="H284" s="1">
        <v>0</v>
      </c>
      <c r="I284" s="1">
        <v>0</v>
      </c>
      <c r="J284" s="1"/>
    </row>
    <row r="285" spans="1:10" x14ac:dyDescent="0.25">
      <c r="A285" t="s">
        <v>861</v>
      </c>
      <c r="B285" t="s">
        <v>340</v>
      </c>
      <c r="C285" s="1">
        <v>84</v>
      </c>
      <c r="D285" s="1">
        <v>0</v>
      </c>
      <c r="E285" s="1">
        <v>0</v>
      </c>
      <c r="F285" s="1">
        <f>742+6</f>
        <v>748</v>
      </c>
      <c r="G285" s="1">
        <v>1</v>
      </c>
      <c r="H285" s="1">
        <v>0</v>
      </c>
      <c r="I285" s="1">
        <v>0</v>
      </c>
      <c r="J285" s="1"/>
    </row>
    <row r="286" spans="1:10" x14ac:dyDescent="0.25">
      <c r="A286" t="s">
        <v>834</v>
      </c>
      <c r="B286" t="s">
        <v>341</v>
      </c>
      <c r="C286" s="1">
        <v>619</v>
      </c>
      <c r="D286" s="1">
        <v>0</v>
      </c>
      <c r="E286" s="1">
        <v>0</v>
      </c>
      <c r="F286" s="1">
        <v>5702</v>
      </c>
      <c r="G286" s="1">
        <v>2</v>
      </c>
      <c r="H286" s="1">
        <v>0</v>
      </c>
      <c r="I286" s="1">
        <v>0</v>
      </c>
      <c r="J286" s="1"/>
    </row>
    <row r="287" spans="1:10" x14ac:dyDescent="0.25">
      <c r="A287" t="s">
        <v>850</v>
      </c>
      <c r="B287" t="s">
        <v>342</v>
      </c>
      <c r="C287" s="1">
        <v>432</v>
      </c>
      <c r="D287" s="1">
        <v>16</v>
      </c>
      <c r="E287" s="1">
        <v>0</v>
      </c>
      <c r="F287" s="1">
        <f>1032+38</f>
        <v>1070</v>
      </c>
      <c r="G287" s="1">
        <v>2</v>
      </c>
      <c r="H287" s="1">
        <v>0</v>
      </c>
      <c r="I287" s="1">
        <v>0</v>
      </c>
      <c r="J287" s="1"/>
    </row>
    <row r="288" spans="1:10" x14ac:dyDescent="0.25">
      <c r="A288" t="s">
        <v>801</v>
      </c>
      <c r="B288" t="s">
        <v>343</v>
      </c>
      <c r="C288" s="1">
        <v>480</v>
      </c>
      <c r="D288" s="1">
        <v>0</v>
      </c>
      <c r="E288" s="1">
        <v>0</v>
      </c>
      <c r="F288" s="1">
        <v>2191</v>
      </c>
      <c r="G288" s="1">
        <v>1</v>
      </c>
      <c r="H288" s="1">
        <v>0</v>
      </c>
      <c r="I288" s="1">
        <v>0</v>
      </c>
      <c r="J288" s="7"/>
    </row>
    <row r="289" spans="1:10" x14ac:dyDescent="0.25">
      <c r="A289" t="s">
        <v>138</v>
      </c>
      <c r="B289" t="s">
        <v>344</v>
      </c>
      <c r="C289" s="1">
        <f>1200+3</f>
        <v>1203</v>
      </c>
      <c r="D289" s="1">
        <v>0</v>
      </c>
      <c r="E289" s="1">
        <v>0</v>
      </c>
      <c r="F289" s="1">
        <f>10082+66+12</f>
        <v>10160</v>
      </c>
      <c r="G289" s="1">
        <v>0</v>
      </c>
      <c r="H289" s="1">
        <v>0</v>
      </c>
      <c r="I289" s="1">
        <v>0</v>
      </c>
      <c r="J289" s="1"/>
    </row>
    <row r="290" spans="1:10" x14ac:dyDescent="0.25">
      <c r="A290" t="s">
        <v>806</v>
      </c>
      <c r="B290" t="s">
        <v>345</v>
      </c>
      <c r="C290" s="1"/>
      <c r="D290" s="1"/>
      <c r="E290" s="1"/>
      <c r="F290" s="1"/>
      <c r="G290" s="1"/>
      <c r="H290" s="1"/>
      <c r="I290" s="1"/>
      <c r="J290" s="1"/>
    </row>
    <row r="291" spans="1:10" x14ac:dyDescent="0.25">
      <c r="A291" t="s">
        <v>69</v>
      </c>
      <c r="B291" t="s">
        <v>346</v>
      </c>
      <c r="C291" s="1">
        <v>4123</v>
      </c>
      <c r="D291" s="1">
        <v>8</v>
      </c>
      <c r="E291" s="1">
        <v>0</v>
      </c>
      <c r="F291" s="1">
        <v>28804</v>
      </c>
      <c r="G291" s="1">
        <v>330</v>
      </c>
      <c r="H291" s="1">
        <v>0</v>
      </c>
      <c r="I291" s="1">
        <v>0</v>
      </c>
      <c r="J291" s="7"/>
    </row>
    <row r="292" spans="1:10" x14ac:dyDescent="0.25">
      <c r="A292" t="s">
        <v>83</v>
      </c>
      <c r="B292" t="s">
        <v>347</v>
      </c>
      <c r="C292" s="1">
        <v>23</v>
      </c>
      <c r="D292" s="1">
        <v>0</v>
      </c>
      <c r="E292" s="1">
        <v>0</v>
      </c>
      <c r="F292" s="1">
        <v>7</v>
      </c>
      <c r="G292" s="1">
        <v>0</v>
      </c>
      <c r="H292" s="1">
        <v>0</v>
      </c>
      <c r="I292" s="1">
        <v>0</v>
      </c>
      <c r="J292" s="7"/>
    </row>
    <row r="293" spans="1:10" x14ac:dyDescent="0.25">
      <c r="A293" t="s">
        <v>101</v>
      </c>
      <c r="B293" t="s">
        <v>348</v>
      </c>
      <c r="C293" s="1">
        <v>1305</v>
      </c>
      <c r="D293" s="1">
        <v>22</v>
      </c>
      <c r="E293" s="1">
        <v>0</v>
      </c>
      <c r="F293" s="1">
        <f>10868+1+9+21</f>
        <v>10899</v>
      </c>
      <c r="G293" s="1">
        <v>10</v>
      </c>
      <c r="H293" s="1">
        <v>0</v>
      </c>
      <c r="I293" s="1">
        <v>0</v>
      </c>
      <c r="J293" s="1"/>
    </row>
    <row r="294" spans="1:10" x14ac:dyDescent="0.25">
      <c r="A294" t="s">
        <v>797</v>
      </c>
      <c r="B294" t="s">
        <v>349</v>
      </c>
      <c r="C294" s="1">
        <f>528</f>
        <v>528</v>
      </c>
      <c r="D294" s="1">
        <v>0</v>
      </c>
      <c r="E294" s="1">
        <v>0</v>
      </c>
      <c r="F294" s="1">
        <f>5325</f>
        <v>5325</v>
      </c>
      <c r="G294" s="1">
        <v>0</v>
      </c>
      <c r="H294" s="1">
        <v>0</v>
      </c>
      <c r="I294" s="1">
        <v>0</v>
      </c>
      <c r="J294" s="1"/>
    </row>
    <row r="295" spans="1:10" x14ac:dyDescent="0.25">
      <c r="A295" t="s">
        <v>811</v>
      </c>
      <c r="B295" t="s">
        <v>350</v>
      </c>
      <c r="C295" s="1">
        <f>1721+15</f>
        <v>1736</v>
      </c>
      <c r="D295" s="1">
        <f>82</f>
        <v>82</v>
      </c>
      <c r="E295" s="1">
        <v>0</v>
      </c>
      <c r="F295" s="1">
        <f>12846+2+46</f>
        <v>12894</v>
      </c>
      <c r="G295" s="1">
        <f>95+1</f>
        <v>96</v>
      </c>
      <c r="H295" s="1">
        <v>0</v>
      </c>
      <c r="I295" s="1">
        <v>0</v>
      </c>
      <c r="J295" s="1"/>
    </row>
    <row r="296" spans="1:10" x14ac:dyDescent="0.25">
      <c r="A296" t="s">
        <v>837</v>
      </c>
      <c r="B296" t="s">
        <v>351</v>
      </c>
      <c r="C296" s="1">
        <v>1145</v>
      </c>
      <c r="D296" s="1">
        <f>22+2</f>
        <v>24</v>
      </c>
      <c r="E296" s="1">
        <v>0</v>
      </c>
      <c r="F296" s="1">
        <f>3867+5+3</f>
        <v>3875</v>
      </c>
      <c r="G296" s="1">
        <v>25</v>
      </c>
      <c r="H296" s="1">
        <v>0</v>
      </c>
      <c r="I296" s="1">
        <v>0</v>
      </c>
      <c r="J296" s="1"/>
    </row>
    <row r="297" spans="1:10" x14ac:dyDescent="0.25">
      <c r="A297" t="s">
        <v>824</v>
      </c>
      <c r="B297" t="s">
        <v>352</v>
      </c>
      <c r="C297" s="1">
        <f>1155+9</f>
        <v>1164</v>
      </c>
      <c r="D297" s="1">
        <v>0</v>
      </c>
      <c r="E297" s="1">
        <v>0</v>
      </c>
      <c r="F297" s="1">
        <f>6330+93+44</f>
        <v>6467</v>
      </c>
      <c r="G297" s="1">
        <v>0</v>
      </c>
      <c r="H297" s="1">
        <v>0</v>
      </c>
      <c r="I297" s="1">
        <v>0</v>
      </c>
      <c r="J297" s="1"/>
    </row>
    <row r="298" spans="1:10" x14ac:dyDescent="0.25">
      <c r="A298" t="s">
        <v>829</v>
      </c>
      <c r="B298" t="s">
        <v>353</v>
      </c>
      <c r="C298" s="1">
        <f>8417+13</f>
        <v>8430</v>
      </c>
      <c r="D298" s="1">
        <v>3</v>
      </c>
      <c r="E298" s="1">
        <v>0</v>
      </c>
      <c r="F298" s="1">
        <f>5758+31+2</f>
        <v>5791</v>
      </c>
      <c r="G298" s="1">
        <v>14</v>
      </c>
      <c r="H298" s="1">
        <v>0</v>
      </c>
      <c r="I298" s="1">
        <v>0</v>
      </c>
      <c r="J298" s="1"/>
    </row>
    <row r="299" spans="1:10" x14ac:dyDescent="0.25">
      <c r="A299" t="s">
        <v>832</v>
      </c>
      <c r="B299" t="s">
        <v>354</v>
      </c>
      <c r="C299" s="1">
        <v>292</v>
      </c>
      <c r="D299" s="1">
        <v>0</v>
      </c>
      <c r="E299" s="1">
        <v>0</v>
      </c>
      <c r="F299" s="1">
        <v>827</v>
      </c>
      <c r="G299" s="1">
        <f>2+2</f>
        <v>4</v>
      </c>
      <c r="H299" s="1">
        <v>0</v>
      </c>
      <c r="I299" s="1">
        <v>0</v>
      </c>
      <c r="J299" s="1"/>
    </row>
    <row r="300" spans="1:10" x14ac:dyDescent="0.25">
      <c r="A300" t="s">
        <v>833</v>
      </c>
      <c r="B300" t="s">
        <v>355</v>
      </c>
      <c r="C300" s="1">
        <v>164</v>
      </c>
      <c r="D300" s="1">
        <v>0</v>
      </c>
      <c r="E300" s="1">
        <v>0</v>
      </c>
      <c r="F300" s="1">
        <v>1650</v>
      </c>
      <c r="G300" s="1">
        <v>0</v>
      </c>
      <c r="H300" s="1">
        <v>0</v>
      </c>
      <c r="I300" s="1">
        <v>0</v>
      </c>
      <c r="J300" s="1"/>
    </row>
    <row r="301" spans="1:10" x14ac:dyDescent="0.25">
      <c r="A301" t="s">
        <v>840</v>
      </c>
      <c r="B301" t="s">
        <v>356</v>
      </c>
      <c r="C301" s="1">
        <v>1339</v>
      </c>
      <c r="D301" s="1">
        <v>0</v>
      </c>
      <c r="E301" s="1">
        <v>0</v>
      </c>
      <c r="F301" s="1">
        <v>6717</v>
      </c>
      <c r="G301" s="1">
        <v>45</v>
      </c>
      <c r="H301" s="1">
        <v>0</v>
      </c>
      <c r="I301" s="1">
        <v>0</v>
      </c>
      <c r="J301" s="1"/>
    </row>
    <row r="302" spans="1:10" x14ac:dyDescent="0.25">
      <c r="A302" t="s">
        <v>843</v>
      </c>
      <c r="B302" t="s">
        <v>357</v>
      </c>
      <c r="C302" s="1">
        <f>884+2</f>
        <v>886</v>
      </c>
      <c r="D302" s="1">
        <v>0</v>
      </c>
      <c r="E302" s="1">
        <v>0</v>
      </c>
      <c r="F302" s="1">
        <f>7256+590+18+191</f>
        <v>8055</v>
      </c>
      <c r="G302" s="1">
        <v>0</v>
      </c>
      <c r="H302" s="1">
        <v>0</v>
      </c>
      <c r="I302" s="1">
        <v>0</v>
      </c>
      <c r="J302" s="1"/>
    </row>
    <row r="303" spans="1:10" x14ac:dyDescent="0.25">
      <c r="A303" t="s">
        <v>791</v>
      </c>
      <c r="B303" t="s">
        <v>358</v>
      </c>
      <c r="C303" s="1">
        <f>6913+2+46+125+11+3+6+145</f>
        <v>7251</v>
      </c>
      <c r="D303" s="1">
        <f>1</f>
        <v>1</v>
      </c>
      <c r="E303" s="1">
        <v>0</v>
      </c>
      <c r="F303" s="1">
        <f>17052+121+23+1+42+17+3+1+1+300</f>
        <v>17561</v>
      </c>
      <c r="G303" s="1">
        <f>20+37</f>
        <v>57</v>
      </c>
      <c r="H303" s="1">
        <v>0</v>
      </c>
      <c r="I303" s="1">
        <v>0</v>
      </c>
      <c r="J303" s="1"/>
    </row>
    <row r="304" spans="1:10" x14ac:dyDescent="0.25">
      <c r="A304" t="s">
        <v>842</v>
      </c>
      <c r="B304" t="s">
        <v>359</v>
      </c>
      <c r="C304" s="1">
        <f>2534+6</f>
        <v>2540</v>
      </c>
      <c r="D304" s="1">
        <v>0</v>
      </c>
      <c r="E304" s="1">
        <v>0</v>
      </c>
      <c r="F304" s="1">
        <f>8223+6+34</f>
        <v>8263</v>
      </c>
      <c r="G304" s="1">
        <v>1</v>
      </c>
      <c r="H304" s="1">
        <v>0</v>
      </c>
      <c r="I304" s="1">
        <v>0</v>
      </c>
      <c r="J304" s="1"/>
    </row>
    <row r="305" spans="1:10" x14ac:dyDescent="0.25">
      <c r="A305" t="s">
        <v>835</v>
      </c>
      <c r="B305" t="s">
        <v>360</v>
      </c>
      <c r="C305" s="1">
        <v>720</v>
      </c>
      <c r="D305" s="1">
        <v>0</v>
      </c>
      <c r="E305" s="1">
        <v>0</v>
      </c>
      <c r="F305" s="1">
        <f>5234+2+1+8+1</f>
        <v>5246</v>
      </c>
      <c r="G305" s="1">
        <v>17</v>
      </c>
      <c r="H305" s="1">
        <v>0</v>
      </c>
      <c r="I305" s="1">
        <v>0</v>
      </c>
      <c r="J305" s="1"/>
    </row>
    <row r="306" spans="1:10" x14ac:dyDescent="0.25">
      <c r="A306" t="s">
        <v>826</v>
      </c>
      <c r="B306" t="s">
        <v>361</v>
      </c>
      <c r="C306" s="1">
        <f>6108+8+2+139+36+36</f>
        <v>6329</v>
      </c>
      <c r="D306" s="1">
        <v>58</v>
      </c>
      <c r="E306" s="1">
        <v>0</v>
      </c>
      <c r="F306" s="1">
        <f>20417+2+202+1+6+112</f>
        <v>20740</v>
      </c>
      <c r="G306" s="1">
        <f>376+3</f>
        <v>379</v>
      </c>
      <c r="H306" s="1">
        <v>0</v>
      </c>
      <c r="I306" s="1">
        <v>0</v>
      </c>
      <c r="J306" s="1"/>
    </row>
    <row r="307" spans="1:10" x14ac:dyDescent="0.25">
      <c r="A307" t="s">
        <v>67</v>
      </c>
      <c r="B307" t="s">
        <v>362</v>
      </c>
      <c r="C307" s="1">
        <f>8231</f>
        <v>8231</v>
      </c>
      <c r="D307" s="1">
        <v>0</v>
      </c>
      <c r="E307" s="1">
        <v>0</v>
      </c>
      <c r="F307" s="1">
        <f>26921+37+25+79</f>
        <v>27062</v>
      </c>
      <c r="G307" s="1">
        <f>1+8</f>
        <v>9</v>
      </c>
      <c r="H307" s="1">
        <v>0</v>
      </c>
      <c r="I307" s="1">
        <v>0</v>
      </c>
      <c r="J307" s="1"/>
    </row>
    <row r="308" spans="1:10" x14ac:dyDescent="0.25">
      <c r="A308" t="s">
        <v>831</v>
      </c>
      <c r="B308" t="s">
        <v>363</v>
      </c>
      <c r="C308" s="1">
        <f>215+12</f>
        <v>227</v>
      </c>
      <c r="D308" s="1">
        <v>0</v>
      </c>
      <c r="E308" s="1">
        <v>0</v>
      </c>
      <c r="F308" s="1">
        <f>2013+128+1+111+1+1+4+15</f>
        <v>2274</v>
      </c>
      <c r="G308" s="1">
        <v>2</v>
      </c>
      <c r="H308" s="1">
        <v>0</v>
      </c>
      <c r="I308" s="1">
        <v>0</v>
      </c>
      <c r="J308" s="1"/>
    </row>
    <row r="309" spans="1:10" x14ac:dyDescent="0.25">
      <c r="A309" t="s">
        <v>248</v>
      </c>
      <c r="B309" t="s">
        <v>364</v>
      </c>
      <c r="C309" s="1">
        <v>640</v>
      </c>
      <c r="D309" s="1">
        <v>0</v>
      </c>
      <c r="E309" s="1">
        <v>0</v>
      </c>
      <c r="F309" s="1">
        <v>5486</v>
      </c>
      <c r="G309" s="1">
        <v>0</v>
      </c>
      <c r="H309" s="1">
        <v>0</v>
      </c>
      <c r="I309" s="1">
        <v>0</v>
      </c>
      <c r="J309" s="1"/>
    </row>
    <row r="310" spans="1:10" x14ac:dyDescent="0.25">
      <c r="A310" t="s">
        <v>791</v>
      </c>
      <c r="B310" t="s">
        <v>365</v>
      </c>
      <c r="C310" s="1">
        <f>4115+26+2+89</f>
        <v>4232</v>
      </c>
      <c r="D310" s="1">
        <f>151+46</f>
        <v>197</v>
      </c>
      <c r="E310" s="1">
        <v>0</v>
      </c>
      <c r="F310" s="1">
        <f>6925+6+1+47</f>
        <v>6979</v>
      </c>
      <c r="G310" s="1">
        <f>418</f>
        <v>418</v>
      </c>
      <c r="H310" s="1">
        <v>0</v>
      </c>
      <c r="I310" s="1">
        <v>0</v>
      </c>
      <c r="J310" s="1"/>
    </row>
    <row r="311" spans="1:10" x14ac:dyDescent="0.25">
      <c r="A311" t="s">
        <v>797</v>
      </c>
      <c r="B311" t="s">
        <v>366</v>
      </c>
      <c r="C311" s="1">
        <f>560+7+3</f>
        <v>570</v>
      </c>
      <c r="D311" s="1">
        <v>0</v>
      </c>
      <c r="E311" s="1">
        <v>0</v>
      </c>
      <c r="F311" s="1">
        <f>1599+3+2+34</f>
        <v>1638</v>
      </c>
      <c r="G311" s="1">
        <f>32+4+2</f>
        <v>38</v>
      </c>
      <c r="H311" s="1">
        <v>0</v>
      </c>
      <c r="I311" s="1">
        <v>0</v>
      </c>
      <c r="J311" s="1"/>
    </row>
    <row r="312" spans="1:10" x14ac:dyDescent="0.25">
      <c r="A312" t="s">
        <v>120</v>
      </c>
      <c r="B312" t="s">
        <v>367</v>
      </c>
      <c r="C312" s="1"/>
      <c r="D312" s="1"/>
      <c r="E312" s="1"/>
      <c r="F312" s="1"/>
      <c r="G312" s="1"/>
      <c r="H312" s="1"/>
      <c r="I312" s="1"/>
      <c r="J312" s="1"/>
    </row>
    <row r="313" spans="1:10" x14ac:dyDescent="0.25">
      <c r="A313" t="s">
        <v>231</v>
      </c>
      <c r="B313" t="s">
        <v>368</v>
      </c>
      <c r="C313" s="1">
        <f>2652+35+11</f>
        <v>2698</v>
      </c>
      <c r="D313" s="1">
        <v>0</v>
      </c>
      <c r="E313" s="1">
        <v>0</v>
      </c>
      <c r="F313" s="1">
        <f>14727+4+2+247+16+30+1+125</f>
        <v>15152</v>
      </c>
      <c r="G313" s="1">
        <f>4+9</f>
        <v>13</v>
      </c>
      <c r="H313" s="1">
        <v>0</v>
      </c>
      <c r="I313" s="1">
        <v>0</v>
      </c>
      <c r="J313" s="1"/>
    </row>
    <row r="314" spans="1:10" x14ac:dyDescent="0.25">
      <c r="A314" t="s">
        <v>809</v>
      </c>
      <c r="B314" t="s">
        <v>369</v>
      </c>
      <c r="C314" s="1">
        <f>3864+4+1+2+177</f>
        <v>4048</v>
      </c>
      <c r="D314" s="1">
        <v>6</v>
      </c>
      <c r="E314" s="1">
        <v>0</v>
      </c>
      <c r="F314" s="1">
        <f>26238+2+12+2+1+15+2+34</f>
        <v>26306</v>
      </c>
      <c r="G314" s="1">
        <f>776+3+12</f>
        <v>791</v>
      </c>
      <c r="H314" s="1">
        <v>0</v>
      </c>
      <c r="I314" s="1">
        <v>0</v>
      </c>
      <c r="J314" s="1"/>
    </row>
    <row r="315" spans="1:10" x14ac:dyDescent="0.25">
      <c r="A315" t="s">
        <v>848</v>
      </c>
      <c r="B315" t="s">
        <v>370</v>
      </c>
      <c r="C315" s="1">
        <v>837</v>
      </c>
      <c r="D315" s="1">
        <v>47</v>
      </c>
      <c r="E315" s="1">
        <v>0</v>
      </c>
      <c r="F315" s="1">
        <f>5935+25+2+5+108</f>
        <v>6075</v>
      </c>
      <c r="G315" s="1">
        <f>1+6</f>
        <v>7</v>
      </c>
      <c r="H315" s="1">
        <v>0</v>
      </c>
      <c r="I315" s="1">
        <v>0</v>
      </c>
      <c r="J315" s="1"/>
    </row>
    <row r="316" spans="1:10" x14ac:dyDescent="0.25">
      <c r="A316" t="s">
        <v>226</v>
      </c>
      <c r="B316" t="s">
        <v>371</v>
      </c>
      <c r="C316" s="1">
        <f>1349+5+2+71+2+1</f>
        <v>1430</v>
      </c>
      <c r="D316" s="1">
        <f>2</f>
        <v>2</v>
      </c>
      <c r="E316" s="1">
        <v>0</v>
      </c>
      <c r="F316" s="1">
        <f>12145+13+22+67+1310+28+6+1+158</f>
        <v>13750</v>
      </c>
      <c r="G316" s="1">
        <f>15</f>
        <v>15</v>
      </c>
      <c r="H316" s="1">
        <v>0</v>
      </c>
      <c r="I316" s="1">
        <v>0</v>
      </c>
      <c r="J316" s="1"/>
    </row>
    <row r="317" spans="1:10" x14ac:dyDescent="0.25">
      <c r="A317" t="s">
        <v>797</v>
      </c>
      <c r="B317" t="s">
        <v>372</v>
      </c>
      <c r="C317" s="1">
        <f>570+5+36+1+23</f>
        <v>635</v>
      </c>
      <c r="D317" s="1">
        <f>10</f>
        <v>10</v>
      </c>
      <c r="E317" s="1">
        <v>0</v>
      </c>
      <c r="F317" s="1">
        <f>5041+8+8+2+166</f>
        <v>5225</v>
      </c>
      <c r="G317" s="1">
        <f>138</f>
        <v>138</v>
      </c>
      <c r="H317" s="1">
        <v>0</v>
      </c>
      <c r="I317" s="1">
        <v>0</v>
      </c>
      <c r="J317" s="1"/>
    </row>
    <row r="318" spans="1:10" x14ac:dyDescent="0.25">
      <c r="A318" t="s">
        <v>791</v>
      </c>
      <c r="B318" t="s">
        <v>373</v>
      </c>
      <c r="C318" s="1">
        <f>1753+72+6+3</f>
        <v>1834</v>
      </c>
      <c r="D318" s="1">
        <v>0</v>
      </c>
      <c r="E318" s="1">
        <v>0</v>
      </c>
      <c r="F318" s="1">
        <f>7480+1+349+860</f>
        <v>8690</v>
      </c>
      <c r="G318" s="1">
        <f>9+2</f>
        <v>11</v>
      </c>
      <c r="H318" s="1">
        <v>0</v>
      </c>
      <c r="I318" s="1">
        <v>0</v>
      </c>
      <c r="J318" s="1"/>
    </row>
    <row r="319" spans="1:10" x14ac:dyDescent="0.25">
      <c r="A319" t="s">
        <v>826</v>
      </c>
      <c r="B319" t="s">
        <v>374</v>
      </c>
      <c r="C319" s="1">
        <f>1510+185</f>
        <v>1695</v>
      </c>
      <c r="D319" s="1">
        <f>8</f>
        <v>8</v>
      </c>
      <c r="E319" s="1">
        <v>0</v>
      </c>
      <c r="F319" s="1">
        <f>9116+815+4</f>
        <v>9935</v>
      </c>
      <c r="G319" s="1">
        <f>11+57</f>
        <v>68</v>
      </c>
      <c r="H319" s="1">
        <v>0</v>
      </c>
      <c r="I319" s="1">
        <v>0</v>
      </c>
      <c r="J319" s="1"/>
    </row>
    <row r="320" spans="1:10" x14ac:dyDescent="0.25">
      <c r="A320" t="s">
        <v>512</v>
      </c>
      <c r="B320" t="s">
        <v>375</v>
      </c>
      <c r="C320" s="1">
        <f>631</f>
        <v>631</v>
      </c>
      <c r="D320" s="1">
        <v>0</v>
      </c>
      <c r="E320" s="1">
        <v>0</v>
      </c>
      <c r="F320" s="1">
        <f>6477+4+7</f>
        <v>6488</v>
      </c>
      <c r="G320" s="1">
        <f>71</f>
        <v>71</v>
      </c>
      <c r="H320" s="1">
        <v>0</v>
      </c>
      <c r="I320" s="1">
        <v>0</v>
      </c>
      <c r="J320" s="1"/>
    </row>
    <row r="321" spans="1:10" x14ac:dyDescent="0.25">
      <c r="A321" t="s">
        <v>817</v>
      </c>
      <c r="B321" t="s">
        <v>376</v>
      </c>
      <c r="C321" s="1">
        <f>1697+24</f>
        <v>1721</v>
      </c>
      <c r="D321" s="1">
        <v>15</v>
      </c>
      <c r="E321" s="1">
        <v>0</v>
      </c>
      <c r="F321" s="1">
        <f>1650+5+3</f>
        <v>1658</v>
      </c>
      <c r="G321" s="1">
        <v>0</v>
      </c>
      <c r="H321" s="1">
        <v>0</v>
      </c>
      <c r="I321" s="1">
        <v>0</v>
      </c>
      <c r="J321" s="1"/>
    </row>
    <row r="322" spans="1:10" x14ac:dyDescent="0.25">
      <c r="A322" t="s">
        <v>83</v>
      </c>
      <c r="B322" t="s">
        <v>377</v>
      </c>
      <c r="C322" s="1">
        <v>2347</v>
      </c>
      <c r="D322" s="1">
        <v>184</v>
      </c>
      <c r="E322" s="1">
        <v>0</v>
      </c>
      <c r="F322" s="1">
        <v>13649</v>
      </c>
      <c r="G322" s="1">
        <v>139</v>
      </c>
      <c r="H322" s="1">
        <v>0</v>
      </c>
      <c r="I322" s="1">
        <v>0</v>
      </c>
      <c r="J322" s="7"/>
    </row>
    <row r="323" spans="1:10" x14ac:dyDescent="0.25">
      <c r="A323" t="s">
        <v>795</v>
      </c>
      <c r="B323" t="s">
        <v>378</v>
      </c>
      <c r="C323" s="1">
        <f>1712</f>
        <v>1712</v>
      </c>
      <c r="D323" s="1">
        <v>0</v>
      </c>
      <c r="E323" s="1">
        <v>0</v>
      </c>
      <c r="F323" s="1">
        <f>6163+1+1+2+1</f>
        <v>6168</v>
      </c>
      <c r="G323" s="1">
        <f>1+4</f>
        <v>5</v>
      </c>
      <c r="H323" s="1">
        <v>0</v>
      </c>
      <c r="I323" s="1">
        <v>0</v>
      </c>
      <c r="J323" s="1"/>
    </row>
    <row r="324" spans="1:10" x14ac:dyDescent="0.25">
      <c r="A324" t="s">
        <v>858</v>
      </c>
      <c r="B324" t="s">
        <v>379</v>
      </c>
      <c r="C324" s="1">
        <v>808</v>
      </c>
      <c r="D324" s="1">
        <v>1</v>
      </c>
      <c r="E324" s="1">
        <v>0</v>
      </c>
      <c r="F324" s="1">
        <f>1820+56</f>
        <v>1876</v>
      </c>
      <c r="G324" s="1">
        <f>1+4</f>
        <v>5</v>
      </c>
      <c r="H324" s="1">
        <v>0</v>
      </c>
      <c r="I324" s="1">
        <v>0</v>
      </c>
      <c r="J324" s="1"/>
    </row>
    <row r="325" spans="1:10" x14ac:dyDescent="0.25">
      <c r="A325" t="s">
        <v>848</v>
      </c>
      <c r="B325" t="s">
        <v>380</v>
      </c>
      <c r="C325" s="1">
        <v>914</v>
      </c>
      <c r="D325" s="1">
        <f>10416+47</f>
        <v>10463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/>
    </row>
    <row r="326" spans="1:10" x14ac:dyDescent="0.25">
      <c r="A326" t="s">
        <v>863</v>
      </c>
      <c r="B326" t="s">
        <v>381</v>
      </c>
      <c r="C326" s="1">
        <v>2986</v>
      </c>
      <c r="D326" s="1">
        <v>0</v>
      </c>
      <c r="E326" s="1">
        <v>0</v>
      </c>
      <c r="F326" s="1">
        <v>7486</v>
      </c>
      <c r="G326" s="1">
        <v>0</v>
      </c>
      <c r="H326" s="1">
        <v>0</v>
      </c>
      <c r="I326" s="1">
        <v>0</v>
      </c>
      <c r="J326" s="1"/>
    </row>
    <row r="327" spans="1:10" x14ac:dyDescent="0.25">
      <c r="A327" t="s">
        <v>854</v>
      </c>
      <c r="B327" t="s">
        <v>382</v>
      </c>
      <c r="C327" s="1">
        <f>5077+15</f>
        <v>5092</v>
      </c>
      <c r="D327" s="1">
        <f>131+3</f>
        <v>134</v>
      </c>
      <c r="E327" s="1">
        <v>0</v>
      </c>
      <c r="F327" s="1">
        <f>5125+111+111</f>
        <v>5347</v>
      </c>
      <c r="G327" s="1">
        <f>18+4</f>
        <v>22</v>
      </c>
      <c r="H327" s="1">
        <v>0</v>
      </c>
      <c r="I327" s="1">
        <v>0</v>
      </c>
      <c r="J327" s="1"/>
    </row>
    <row r="328" spans="1:10" x14ac:dyDescent="0.25">
      <c r="A328" t="s">
        <v>853</v>
      </c>
      <c r="B328" t="s">
        <v>383</v>
      </c>
      <c r="C328" s="1">
        <f>3379+8+42+5</f>
        <v>3434</v>
      </c>
      <c r="D328" s="1">
        <v>40</v>
      </c>
      <c r="E328" s="1">
        <v>0</v>
      </c>
      <c r="F328" s="1">
        <f>20923+6+877+1+1+11+106</f>
        <v>21925</v>
      </c>
      <c r="G328" s="1">
        <f>290+2+1+38</f>
        <v>331</v>
      </c>
      <c r="H328" s="1">
        <v>0</v>
      </c>
      <c r="I328" s="1">
        <v>0</v>
      </c>
      <c r="J328" s="1"/>
    </row>
    <row r="329" spans="1:10" x14ac:dyDescent="0.25">
      <c r="A329" t="s">
        <v>851</v>
      </c>
      <c r="B329" t="s">
        <v>384</v>
      </c>
      <c r="C329" s="1">
        <v>1291</v>
      </c>
      <c r="D329" s="1">
        <v>5</v>
      </c>
      <c r="E329" s="1">
        <v>0</v>
      </c>
      <c r="F329" s="1">
        <v>132</v>
      </c>
      <c r="G329" s="1">
        <v>0</v>
      </c>
      <c r="H329" s="1">
        <v>0</v>
      </c>
      <c r="I329" s="1">
        <v>0</v>
      </c>
      <c r="J329" s="1"/>
    </row>
    <row r="330" spans="1:10" x14ac:dyDescent="0.25">
      <c r="A330" t="s">
        <v>856</v>
      </c>
      <c r="B330" t="s">
        <v>385</v>
      </c>
      <c r="C330" s="1">
        <f>2473+4</f>
        <v>2477</v>
      </c>
      <c r="D330" s="1">
        <v>0</v>
      </c>
      <c r="E330" s="1">
        <v>0</v>
      </c>
      <c r="F330" s="1">
        <v>4700</v>
      </c>
      <c r="G330" s="1">
        <v>21</v>
      </c>
      <c r="H330" s="1">
        <v>0</v>
      </c>
      <c r="I330" s="1">
        <v>0</v>
      </c>
      <c r="J330" s="1"/>
    </row>
    <row r="331" spans="1:10" x14ac:dyDescent="0.25">
      <c r="A331" t="s">
        <v>847</v>
      </c>
      <c r="B331" t="s">
        <v>386</v>
      </c>
      <c r="C331" s="1">
        <v>744</v>
      </c>
      <c r="D331" s="1">
        <v>0</v>
      </c>
      <c r="E331" s="1">
        <v>0</v>
      </c>
      <c r="F331" s="1">
        <f>3111+35</f>
        <v>3146</v>
      </c>
      <c r="G331" s="1">
        <v>0</v>
      </c>
      <c r="H331" s="1">
        <v>0</v>
      </c>
      <c r="I331" s="1">
        <v>0</v>
      </c>
      <c r="J331" s="1"/>
    </row>
    <row r="332" spans="1:10" x14ac:dyDescent="0.25">
      <c r="A332" t="s">
        <v>849</v>
      </c>
      <c r="B332" t="s">
        <v>387</v>
      </c>
      <c r="C332" s="1">
        <v>2203</v>
      </c>
      <c r="D332" s="1">
        <v>0</v>
      </c>
      <c r="E332" s="1">
        <v>0</v>
      </c>
      <c r="F332" s="1">
        <f>4805+1+2</f>
        <v>4808</v>
      </c>
      <c r="G332" s="1">
        <v>4</v>
      </c>
      <c r="H332" s="1">
        <v>0</v>
      </c>
      <c r="I332" s="1">
        <v>0</v>
      </c>
      <c r="J332" s="1"/>
    </row>
    <row r="333" spans="1:10" x14ac:dyDescent="0.25">
      <c r="A333" s="9" t="s">
        <v>794</v>
      </c>
      <c r="B333" s="10" t="s">
        <v>388</v>
      </c>
      <c r="C333" s="1"/>
      <c r="D333" s="1"/>
      <c r="E333" s="1"/>
      <c r="F333" s="1"/>
      <c r="G333" s="1"/>
      <c r="H333" s="1"/>
      <c r="I333" s="1"/>
      <c r="J333" s="1"/>
    </row>
    <row r="334" spans="1:10" x14ac:dyDescent="0.25">
      <c r="A334" s="9" t="s">
        <v>805</v>
      </c>
      <c r="B334" s="10" t="s">
        <v>389</v>
      </c>
      <c r="C334" s="1"/>
      <c r="D334" s="1"/>
      <c r="E334" s="1"/>
      <c r="F334" s="1"/>
      <c r="G334" s="1"/>
      <c r="H334" s="1"/>
      <c r="I334" s="1">
        <f ca="1">Tabla13456[[#This Row],[ENVIAR]]+Tabla13456[[#This Row],[COPIAR]]</f>
        <v>0</v>
      </c>
      <c r="J334" s="1"/>
    </row>
    <row r="335" spans="1:10" x14ac:dyDescent="0.25">
      <c r="A335" t="s">
        <v>10</v>
      </c>
      <c r="B335" s="1" t="s">
        <v>390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/>
    </row>
    <row r="336" spans="1:10" x14ac:dyDescent="0.25">
      <c r="A336" t="s">
        <v>226</v>
      </c>
      <c r="B336" t="s">
        <v>391</v>
      </c>
      <c r="C336" s="1"/>
      <c r="D336" s="1"/>
      <c r="E336" s="1"/>
      <c r="F336" s="1"/>
      <c r="G336" s="1"/>
      <c r="H336" s="1"/>
      <c r="I336" s="1"/>
      <c r="J336" s="1"/>
    </row>
    <row r="337" spans="1:10" x14ac:dyDescent="0.25">
      <c r="A337" t="s">
        <v>798</v>
      </c>
      <c r="B337" t="s">
        <v>392</v>
      </c>
      <c r="C337" s="1"/>
      <c r="D337" s="1"/>
      <c r="E337" s="1"/>
      <c r="F337" s="1"/>
      <c r="G337" s="1"/>
      <c r="H337" s="1"/>
      <c r="I337" s="1"/>
      <c r="J337" s="1"/>
    </row>
    <row r="338" spans="1:10" x14ac:dyDescent="0.25">
      <c r="A338" t="s">
        <v>10</v>
      </c>
      <c r="B338" s="1" t="s">
        <v>393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/>
    </row>
    <row r="339" spans="1:10" x14ac:dyDescent="0.25">
      <c r="A339" t="s">
        <v>10</v>
      </c>
      <c r="B339" s="1" t="s">
        <v>394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/>
    </row>
    <row r="340" spans="1:10" x14ac:dyDescent="0.25">
      <c r="A340" s="27" t="s">
        <v>10</v>
      </c>
      <c r="B340" s="32" t="s">
        <v>778</v>
      </c>
      <c r="C340" s="1"/>
      <c r="D340" s="1"/>
      <c r="E340" s="1"/>
      <c r="F340" s="1"/>
      <c r="G340" s="1"/>
      <c r="H340" s="1"/>
      <c r="I340" s="1">
        <f ca="1">Tabla13456[[#This Row],[ENVIAR]]+Tabla13456[[#This Row],[COPIAR]]</f>
        <v>0</v>
      </c>
      <c r="J340" s="1"/>
    </row>
    <row r="341" spans="1:10" x14ac:dyDescent="0.25">
      <c r="A341" t="s">
        <v>69</v>
      </c>
      <c r="B341" t="s">
        <v>395</v>
      </c>
      <c r="C341" s="1"/>
      <c r="D341" s="1"/>
      <c r="E341" s="1"/>
      <c r="F341" s="1"/>
      <c r="G341" s="1"/>
      <c r="H341" s="1"/>
      <c r="I341" s="1"/>
      <c r="J341" s="1"/>
    </row>
    <row r="342" spans="1:10" x14ac:dyDescent="0.25">
      <c r="A342" t="s">
        <v>796</v>
      </c>
      <c r="B342" s="1" t="s">
        <v>396</v>
      </c>
      <c r="C342" s="1"/>
      <c r="D342" s="1"/>
      <c r="E342" s="1"/>
      <c r="F342" s="1"/>
      <c r="G342" s="1"/>
      <c r="H342" s="1"/>
      <c r="I342" s="1">
        <f ca="1">Tabla13456[[#This Row],[ENVIAR]]+Tabla13456[[#This Row],[COPIAR]]</f>
        <v>0</v>
      </c>
      <c r="J342" s="1"/>
    </row>
    <row r="343" spans="1:10" x14ac:dyDescent="0.25">
      <c r="A343" t="s">
        <v>512</v>
      </c>
      <c r="B343" t="s">
        <v>397</v>
      </c>
      <c r="C343" s="1"/>
      <c r="D343" s="1"/>
      <c r="E343" s="1"/>
      <c r="F343" s="1"/>
      <c r="G343" s="1"/>
      <c r="H343" s="1"/>
      <c r="I343" s="1"/>
      <c r="J343" s="1"/>
    </row>
    <row r="344" spans="1:10" x14ac:dyDescent="0.25">
      <c r="A344" t="s">
        <v>805</v>
      </c>
      <c r="B344" t="s">
        <v>398</v>
      </c>
      <c r="C344" s="1"/>
      <c r="D344" s="1"/>
      <c r="E344" s="1"/>
      <c r="F344" s="1"/>
      <c r="G344" s="1"/>
      <c r="H344" s="1"/>
      <c r="I344" s="1">
        <f ca="1">Tabla13456[[#This Row],[ENVIAR]]+Tabla13456[[#This Row],[COPIAR]]</f>
        <v>0</v>
      </c>
      <c r="J344" s="1"/>
    </row>
    <row r="345" spans="1:10" x14ac:dyDescent="0.25">
      <c r="A345" t="s">
        <v>10</v>
      </c>
      <c r="B345" s="1" t="s">
        <v>399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/>
    </row>
    <row r="346" spans="1:10" x14ac:dyDescent="0.25">
      <c r="A346" t="s">
        <v>805</v>
      </c>
      <c r="B346" t="s">
        <v>400</v>
      </c>
      <c r="C346" s="1"/>
      <c r="D346" s="1"/>
      <c r="E346" s="1"/>
      <c r="F346" s="1"/>
      <c r="G346" s="1"/>
      <c r="H346" s="1"/>
      <c r="I346" s="1"/>
      <c r="J346" s="1"/>
    </row>
    <row r="347" spans="1:10" x14ac:dyDescent="0.25">
      <c r="A347" t="s">
        <v>10</v>
      </c>
      <c r="B347" s="1" t="s">
        <v>401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/>
    </row>
    <row r="348" spans="1:10" x14ac:dyDescent="0.25">
      <c r="A348" s="23" t="s">
        <v>805</v>
      </c>
      <c r="B348" s="23" t="s">
        <v>402</v>
      </c>
      <c r="C348" s="1"/>
      <c r="D348" s="1"/>
      <c r="E348" s="1"/>
      <c r="F348" s="1"/>
      <c r="G348" s="1"/>
      <c r="H348" s="1"/>
      <c r="I348" s="1"/>
      <c r="J348" s="1"/>
    </row>
    <row r="349" spans="1:10" x14ac:dyDescent="0.25">
      <c r="A349" t="s">
        <v>10</v>
      </c>
      <c r="B349" s="1" t="s">
        <v>403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/>
    </row>
    <row r="350" spans="1:10" x14ac:dyDescent="0.25">
      <c r="A350" t="s">
        <v>797</v>
      </c>
      <c r="B350" t="s">
        <v>404</v>
      </c>
      <c r="C350" s="1">
        <f>2228+1+1478</f>
        <v>3707</v>
      </c>
      <c r="D350" s="1">
        <f>10+10+1</f>
        <v>21</v>
      </c>
      <c r="E350" s="1">
        <v>0</v>
      </c>
      <c r="F350" s="1">
        <v>0</v>
      </c>
      <c r="G350" s="1">
        <v>0</v>
      </c>
      <c r="H350" s="1">
        <v>2021</v>
      </c>
      <c r="I350" s="1">
        <v>1033</v>
      </c>
      <c r="J350" s="1"/>
    </row>
    <row r="351" spans="1:10" x14ac:dyDescent="0.25">
      <c r="A351" t="s">
        <v>83</v>
      </c>
      <c r="B351" t="s">
        <v>405</v>
      </c>
      <c r="C351" s="1">
        <v>8410</v>
      </c>
      <c r="D351" s="1">
        <v>9</v>
      </c>
      <c r="E351" s="1">
        <v>0</v>
      </c>
      <c r="F351" s="1">
        <v>0</v>
      </c>
      <c r="G351" s="1">
        <v>0</v>
      </c>
      <c r="H351" s="1">
        <v>5530</v>
      </c>
      <c r="I351" s="1">
        <v>2282</v>
      </c>
      <c r="J351" s="7"/>
    </row>
    <row r="352" spans="1:10" x14ac:dyDescent="0.25">
      <c r="A352" t="s">
        <v>248</v>
      </c>
      <c r="B352" t="s">
        <v>406</v>
      </c>
      <c r="C352" s="1">
        <f>27895+10+87+124+8+7+1+85+9402</f>
        <v>37619</v>
      </c>
      <c r="D352" s="1">
        <f>659+77+3+91+30</f>
        <v>860</v>
      </c>
      <c r="E352" s="1">
        <v>0</v>
      </c>
      <c r="F352" s="1">
        <v>0</v>
      </c>
      <c r="G352" s="1">
        <v>0</v>
      </c>
      <c r="H352" s="1">
        <v>79064</v>
      </c>
      <c r="I352" s="1">
        <v>6276</v>
      </c>
      <c r="J352" s="1"/>
    </row>
    <row r="353" spans="1:10" x14ac:dyDescent="0.25">
      <c r="A353" s="27" t="s">
        <v>10</v>
      </c>
      <c r="B353" s="32" t="s">
        <v>779</v>
      </c>
      <c r="C353" s="1"/>
      <c r="D353" s="1"/>
      <c r="E353" s="1"/>
      <c r="F353" s="1"/>
      <c r="G353" s="1"/>
      <c r="H353" s="1"/>
      <c r="I353" s="1">
        <f ca="1">Tabla13456[[#This Row],[ENVIAR]]+Tabla13456[[#This Row],[COPIAR]]</f>
        <v>0</v>
      </c>
      <c r="J353" s="1"/>
    </row>
    <row r="354" spans="1:10" x14ac:dyDescent="0.25">
      <c r="A354" t="s">
        <v>848</v>
      </c>
      <c r="B354" t="s">
        <v>407</v>
      </c>
      <c r="C354" s="1">
        <f>12364+4+14+1762+6</f>
        <v>14150</v>
      </c>
      <c r="D354" s="1">
        <f>88+23</f>
        <v>111</v>
      </c>
      <c r="E354" s="1">
        <v>0</v>
      </c>
      <c r="F354" s="1">
        <v>0</v>
      </c>
      <c r="G354" s="1">
        <v>0</v>
      </c>
      <c r="H354" s="1">
        <v>2129</v>
      </c>
      <c r="I354" s="1">
        <v>1745</v>
      </c>
      <c r="J354" s="1"/>
    </row>
    <row r="355" spans="1:10" x14ac:dyDescent="0.25">
      <c r="A355" t="s">
        <v>801</v>
      </c>
      <c r="B355" t="s">
        <v>408</v>
      </c>
      <c r="C355" s="1">
        <v>48574</v>
      </c>
      <c r="D355" s="1">
        <v>297</v>
      </c>
      <c r="E355" s="1">
        <v>0</v>
      </c>
      <c r="F355" s="1">
        <v>0</v>
      </c>
      <c r="G355" s="1">
        <v>0</v>
      </c>
      <c r="H355" s="1">
        <v>54882</v>
      </c>
      <c r="I355" s="1">
        <v>12354</v>
      </c>
      <c r="J355" s="7"/>
    </row>
    <row r="356" spans="1:10" x14ac:dyDescent="0.25">
      <c r="A356" t="s">
        <v>811</v>
      </c>
      <c r="B356" t="s">
        <v>409</v>
      </c>
      <c r="C356" s="1">
        <f>45711+5+381+19+32675+2</f>
        <v>78793</v>
      </c>
      <c r="D356" s="1">
        <f>83+76+6+52+251</f>
        <v>468</v>
      </c>
      <c r="E356" s="1">
        <v>0</v>
      </c>
      <c r="F356" s="1">
        <v>0</v>
      </c>
      <c r="G356" s="1">
        <v>0</v>
      </c>
      <c r="H356" s="1">
        <v>59282</v>
      </c>
      <c r="I356" s="1">
        <v>28650</v>
      </c>
      <c r="J356" s="1"/>
    </row>
    <row r="357" spans="1:10" x14ac:dyDescent="0.25">
      <c r="A357" t="s">
        <v>83</v>
      </c>
      <c r="B357" t="s">
        <v>410</v>
      </c>
      <c r="C357" s="1">
        <v>2893</v>
      </c>
      <c r="D357" s="1">
        <v>22</v>
      </c>
      <c r="E357" s="1">
        <v>0</v>
      </c>
      <c r="F357" s="1">
        <v>0</v>
      </c>
      <c r="G357" s="1">
        <v>0</v>
      </c>
      <c r="H357" s="1">
        <v>11119</v>
      </c>
      <c r="I357" s="1">
        <v>774</v>
      </c>
      <c r="J357" s="7"/>
    </row>
    <row r="358" spans="1:10" x14ac:dyDescent="0.25">
      <c r="A358" t="s">
        <v>120</v>
      </c>
      <c r="B358" t="s">
        <v>411</v>
      </c>
      <c r="C358" s="1">
        <f>25973+11+18053</f>
        <v>44037</v>
      </c>
      <c r="D358" s="1">
        <f>3+17+2</f>
        <v>22</v>
      </c>
      <c r="E358" s="1">
        <v>0</v>
      </c>
      <c r="F358" s="1">
        <v>0</v>
      </c>
      <c r="G358" s="1">
        <v>0</v>
      </c>
      <c r="H358" s="1">
        <v>16436</v>
      </c>
      <c r="I358" s="1">
        <f>14703</f>
        <v>14703</v>
      </c>
      <c r="J358" s="1"/>
    </row>
    <row r="359" spans="1:10" x14ac:dyDescent="0.25">
      <c r="A359" t="s">
        <v>134</v>
      </c>
      <c r="B359" t="s">
        <v>412</v>
      </c>
      <c r="C359" s="1">
        <f>5770+1971+1</f>
        <v>7742</v>
      </c>
      <c r="D359" s="1">
        <f>12+8</f>
        <v>20</v>
      </c>
      <c r="E359" s="1">
        <v>0</v>
      </c>
      <c r="F359" s="1">
        <v>0</v>
      </c>
      <c r="G359" s="1">
        <v>0</v>
      </c>
      <c r="H359" s="1">
        <v>5832</v>
      </c>
      <c r="I359" s="1">
        <v>1543</v>
      </c>
      <c r="J359" s="1"/>
    </row>
    <row r="360" spans="1:10" x14ac:dyDescent="0.25">
      <c r="A360" t="s">
        <v>120</v>
      </c>
      <c r="B360" t="s">
        <v>413</v>
      </c>
      <c r="C360" s="1">
        <f>17992+17+2+1+4379</f>
        <v>22391</v>
      </c>
      <c r="D360" s="1">
        <f>9+5+1+12</f>
        <v>27</v>
      </c>
      <c r="E360" s="1">
        <v>0</v>
      </c>
      <c r="F360" s="1">
        <v>0</v>
      </c>
      <c r="G360" s="1">
        <v>0</v>
      </c>
      <c r="H360" s="1">
        <v>8454</v>
      </c>
      <c r="I360" s="1">
        <f>2950</f>
        <v>2950</v>
      </c>
      <c r="J360" s="1"/>
    </row>
    <row r="361" spans="1:10" x14ac:dyDescent="0.25">
      <c r="A361" t="s">
        <v>138</v>
      </c>
      <c r="B361" t="s">
        <v>414</v>
      </c>
      <c r="C361" s="1">
        <f>23374+1+5+23+4+9718+116</f>
        <v>33241</v>
      </c>
      <c r="D361" s="1">
        <f>57+2+87</f>
        <v>146</v>
      </c>
      <c r="E361" s="1">
        <v>0</v>
      </c>
      <c r="F361" s="1">
        <v>0</v>
      </c>
      <c r="G361" s="1">
        <v>0</v>
      </c>
      <c r="H361" s="1">
        <v>30882</v>
      </c>
      <c r="I361" s="1">
        <v>8843</v>
      </c>
      <c r="J361" s="1"/>
    </row>
    <row r="362" spans="1:10" x14ac:dyDescent="0.25">
      <c r="A362" t="s">
        <v>796</v>
      </c>
      <c r="B362" t="s">
        <v>415</v>
      </c>
      <c r="C362" s="1">
        <f>7557+395+4347+6</f>
        <v>12305</v>
      </c>
      <c r="D362" s="1">
        <f>20+223+43+1</f>
        <v>287</v>
      </c>
      <c r="E362" s="1">
        <v>0</v>
      </c>
      <c r="F362" s="1">
        <v>0</v>
      </c>
      <c r="G362" s="1">
        <v>0</v>
      </c>
      <c r="H362" s="1">
        <v>7890</v>
      </c>
      <c r="I362" s="1">
        <v>3276</v>
      </c>
      <c r="J362" s="1"/>
    </row>
    <row r="363" spans="1:10" x14ac:dyDescent="0.25">
      <c r="A363" t="s">
        <v>226</v>
      </c>
      <c r="B363" t="s">
        <v>416</v>
      </c>
      <c r="C363" s="1">
        <f>5916+4+10+5+15+1785+1</f>
        <v>7736</v>
      </c>
      <c r="D363" s="1">
        <f>3+1</f>
        <v>4</v>
      </c>
      <c r="E363" s="1">
        <v>0</v>
      </c>
      <c r="F363" s="1">
        <v>0</v>
      </c>
      <c r="G363" s="1">
        <v>0</v>
      </c>
      <c r="H363" s="1">
        <v>40666</v>
      </c>
      <c r="I363" s="1">
        <f>1686</f>
        <v>1686</v>
      </c>
      <c r="J363" s="1"/>
    </row>
    <row r="364" spans="1:10" x14ac:dyDescent="0.25">
      <c r="A364" t="s">
        <v>138</v>
      </c>
      <c r="B364" t="s">
        <v>417</v>
      </c>
      <c r="C364" s="1">
        <f>28650+306+1+8+26358</f>
        <v>55323</v>
      </c>
      <c r="D364" s="1">
        <f>370+69+71+7</f>
        <v>517</v>
      </c>
      <c r="E364" s="1">
        <v>0</v>
      </c>
      <c r="F364" s="1">
        <v>0</v>
      </c>
      <c r="G364" s="1">
        <v>0</v>
      </c>
      <c r="H364" s="1">
        <v>47388</v>
      </c>
      <c r="I364" s="1">
        <v>20137</v>
      </c>
      <c r="J364" s="1"/>
    </row>
    <row r="365" spans="1:10" x14ac:dyDescent="0.25">
      <c r="A365" t="s">
        <v>138</v>
      </c>
      <c r="B365" t="s">
        <v>418</v>
      </c>
      <c r="C365" s="1">
        <f>26404+1+65+6+8282+89</f>
        <v>34847</v>
      </c>
      <c r="D365" s="1">
        <f>324+1+86</f>
        <v>411</v>
      </c>
      <c r="E365" s="1">
        <v>0</v>
      </c>
      <c r="F365" s="1">
        <v>0</v>
      </c>
      <c r="G365" s="1">
        <v>0</v>
      </c>
      <c r="H365" s="1">
        <v>46568</v>
      </c>
      <c r="I365" s="1">
        <v>7864</v>
      </c>
      <c r="J365" s="1"/>
    </row>
    <row r="366" spans="1:10" x14ac:dyDescent="0.25">
      <c r="A366" t="s">
        <v>796</v>
      </c>
      <c r="B366" t="s">
        <v>419</v>
      </c>
      <c r="C366" s="1">
        <f>38161+16+8+1+911+4+1+1+28+13432+1+1+1+1</f>
        <v>52567</v>
      </c>
      <c r="D366" s="1">
        <f>681+31+11+31+9</f>
        <v>763</v>
      </c>
      <c r="E366" s="1">
        <v>0</v>
      </c>
      <c r="F366" s="1">
        <v>0</v>
      </c>
      <c r="G366" s="1">
        <v>0</v>
      </c>
      <c r="H366" s="1">
        <v>122578</v>
      </c>
      <c r="I366" s="1">
        <v>0</v>
      </c>
      <c r="J366" s="1" t="s">
        <v>866</v>
      </c>
    </row>
    <row r="367" spans="1:10" x14ac:dyDescent="0.25">
      <c r="A367" t="s">
        <v>831</v>
      </c>
      <c r="B367" t="s">
        <v>420</v>
      </c>
      <c r="C367" s="1">
        <f>10091+2+33+12+2+5+13735+65+1+10+4527+1+1</f>
        <v>28485</v>
      </c>
      <c r="D367" s="1">
        <f>1+19+38+42</f>
        <v>100</v>
      </c>
      <c r="E367" s="1">
        <v>0</v>
      </c>
      <c r="F367" s="1">
        <v>0</v>
      </c>
      <c r="G367" s="1">
        <v>0</v>
      </c>
      <c r="H367" s="1">
        <v>29729</v>
      </c>
      <c r="I367" s="1">
        <v>15277</v>
      </c>
      <c r="J367" s="1"/>
    </row>
    <row r="368" spans="1:10" x14ac:dyDescent="0.25">
      <c r="A368" t="s">
        <v>69</v>
      </c>
      <c r="B368" t="s">
        <v>421</v>
      </c>
      <c r="C368" s="1">
        <v>22320</v>
      </c>
      <c r="D368" s="1">
        <v>281</v>
      </c>
      <c r="E368" s="1">
        <v>0</v>
      </c>
      <c r="F368" s="1">
        <v>0</v>
      </c>
      <c r="G368" s="1">
        <v>0</v>
      </c>
      <c r="H368" s="1">
        <v>8964</v>
      </c>
      <c r="I368" s="1">
        <v>7503</v>
      </c>
      <c r="J368" s="7"/>
    </row>
    <row r="369" spans="1:10" x14ac:dyDescent="0.25">
      <c r="A369" t="s">
        <v>146</v>
      </c>
      <c r="B369" t="s">
        <v>422</v>
      </c>
      <c r="C369" s="1">
        <f>3924+43+386+19469</f>
        <v>23822</v>
      </c>
      <c r="D369" s="1">
        <f>14+80+21+239</f>
        <v>354</v>
      </c>
      <c r="E369" s="1">
        <v>0</v>
      </c>
      <c r="F369" s="1">
        <v>0</v>
      </c>
      <c r="G369" s="1">
        <v>0</v>
      </c>
      <c r="H369" s="1">
        <v>28768</v>
      </c>
      <c r="I369" s="1">
        <v>14190</v>
      </c>
      <c r="J369" s="1"/>
    </row>
    <row r="370" spans="1:10" x14ac:dyDescent="0.25">
      <c r="A370" t="s">
        <v>146</v>
      </c>
      <c r="B370" t="s">
        <v>423</v>
      </c>
      <c r="C370" s="1">
        <f>7281+171+7831</f>
        <v>15283</v>
      </c>
      <c r="D370" s="1">
        <f>19+4</f>
        <v>23</v>
      </c>
      <c r="E370" s="1">
        <v>0</v>
      </c>
      <c r="F370" s="1">
        <v>0</v>
      </c>
      <c r="G370" s="1">
        <v>0</v>
      </c>
      <c r="H370" s="1">
        <v>5900</v>
      </c>
      <c r="I370" s="1">
        <v>5729</v>
      </c>
      <c r="J370" s="1"/>
    </row>
    <row r="371" spans="1:10" x14ac:dyDescent="0.25">
      <c r="A371" t="s">
        <v>76</v>
      </c>
      <c r="B371" t="s">
        <v>424</v>
      </c>
      <c r="C371" s="1">
        <v>61517</v>
      </c>
      <c r="D371" s="1">
        <v>41</v>
      </c>
      <c r="E371" s="1">
        <v>0</v>
      </c>
      <c r="F371" s="1">
        <v>0</v>
      </c>
      <c r="G371" s="1">
        <v>0</v>
      </c>
      <c r="H371" s="1">
        <v>100053</v>
      </c>
      <c r="I371" s="1">
        <v>14732</v>
      </c>
      <c r="J371" s="1"/>
    </row>
    <row r="372" spans="1:10" x14ac:dyDescent="0.25">
      <c r="A372" t="s">
        <v>795</v>
      </c>
      <c r="B372" t="s">
        <v>425</v>
      </c>
      <c r="C372" s="1">
        <f>90061+1+1+3+32741+370+2</f>
        <v>123179</v>
      </c>
      <c r="D372" s="1">
        <f>9+26+15+7</f>
        <v>57</v>
      </c>
      <c r="E372" s="1">
        <v>0</v>
      </c>
      <c r="F372" s="1">
        <v>0</v>
      </c>
      <c r="G372" s="1">
        <v>0</v>
      </c>
      <c r="H372" s="1">
        <v>69754</v>
      </c>
      <c r="I372" s="1">
        <f>30616</f>
        <v>30616</v>
      </c>
      <c r="J372" s="1"/>
    </row>
    <row r="373" spans="1:10" x14ac:dyDescent="0.25">
      <c r="A373" t="s">
        <v>824</v>
      </c>
      <c r="B373" t="s">
        <v>426</v>
      </c>
      <c r="C373" s="1">
        <f>17905+1+47+78+4+14438</f>
        <v>32473</v>
      </c>
      <c r="D373" s="1">
        <f>73+45+20</f>
        <v>138</v>
      </c>
      <c r="E373" s="1">
        <v>0</v>
      </c>
      <c r="F373" s="1">
        <v>0</v>
      </c>
      <c r="G373" s="1">
        <v>0</v>
      </c>
      <c r="H373" s="1">
        <v>26398</v>
      </c>
      <c r="I373" s="1">
        <v>12914</v>
      </c>
      <c r="J373" s="1"/>
    </row>
    <row r="374" spans="1:10" x14ac:dyDescent="0.25">
      <c r="A374" t="s">
        <v>788</v>
      </c>
      <c r="B374" t="s">
        <v>427</v>
      </c>
      <c r="C374" s="1">
        <f>50237+6+20+26516</f>
        <v>76779</v>
      </c>
      <c r="D374" s="1">
        <f>39+3+163+7</f>
        <v>212</v>
      </c>
      <c r="E374" s="1">
        <v>0</v>
      </c>
      <c r="F374" s="1">
        <v>0</v>
      </c>
      <c r="G374" s="1">
        <v>0</v>
      </c>
      <c r="H374" s="1">
        <v>88457</v>
      </c>
      <c r="I374" s="1">
        <v>25979</v>
      </c>
      <c r="J374" s="1"/>
    </row>
    <row r="375" spans="1:10" x14ac:dyDescent="0.25">
      <c r="A375" t="s">
        <v>226</v>
      </c>
      <c r="B375" t="s">
        <v>428</v>
      </c>
      <c r="C375" s="1">
        <f>9660+20+7+10+4806+7</f>
        <v>14510</v>
      </c>
      <c r="D375" s="1">
        <f>5</f>
        <v>5</v>
      </c>
      <c r="E375" s="1">
        <v>0</v>
      </c>
      <c r="F375" s="1">
        <v>0</v>
      </c>
      <c r="G375" s="1">
        <v>0</v>
      </c>
      <c r="H375" s="1">
        <v>13765</v>
      </c>
      <c r="I375" s="1">
        <f>3189</f>
        <v>3189</v>
      </c>
      <c r="J375" s="1"/>
    </row>
    <row r="376" spans="1:10" x14ac:dyDescent="0.25">
      <c r="A376" t="s">
        <v>791</v>
      </c>
      <c r="B376" t="s">
        <v>429</v>
      </c>
      <c r="C376" s="1">
        <f>2643+2+2+35+77+1850</f>
        <v>4609</v>
      </c>
      <c r="D376" s="1">
        <f>24+2+18</f>
        <v>44</v>
      </c>
      <c r="E376" s="1">
        <v>0</v>
      </c>
      <c r="F376" s="1">
        <v>0</v>
      </c>
      <c r="G376" s="1">
        <v>0</v>
      </c>
      <c r="H376" s="1">
        <v>168</v>
      </c>
      <c r="I376" s="1">
        <v>1321</v>
      </c>
      <c r="J376" s="1"/>
    </row>
    <row r="377" spans="1:10" x14ac:dyDescent="0.25">
      <c r="A377" t="s">
        <v>788</v>
      </c>
      <c r="B377" t="s">
        <v>430</v>
      </c>
      <c r="C377" s="1">
        <f>12820+13893</f>
        <v>26713</v>
      </c>
      <c r="D377" s="1">
        <v>0</v>
      </c>
      <c r="E377" s="1">
        <v>0</v>
      </c>
      <c r="F377" s="1">
        <v>0</v>
      </c>
      <c r="G377" s="1">
        <v>0</v>
      </c>
      <c r="H377" s="1">
        <v>11469</v>
      </c>
      <c r="I377" s="1">
        <v>6107</v>
      </c>
      <c r="J377" s="1"/>
    </row>
    <row r="378" spans="1:10" x14ac:dyDescent="0.25">
      <c r="A378" t="s">
        <v>10</v>
      </c>
      <c r="B378" s="1" t="s">
        <v>431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/>
    </row>
    <row r="379" spans="1:10" x14ac:dyDescent="0.25">
      <c r="A379" t="s">
        <v>69</v>
      </c>
      <c r="B379" t="s">
        <v>432</v>
      </c>
      <c r="C379" s="1">
        <v>30476</v>
      </c>
      <c r="D379" s="1">
        <v>62</v>
      </c>
      <c r="E379" s="1">
        <v>0</v>
      </c>
      <c r="F379" s="1">
        <v>0</v>
      </c>
      <c r="G379" s="1">
        <v>0</v>
      </c>
      <c r="H379" s="1">
        <v>48258</v>
      </c>
      <c r="I379" s="1">
        <v>9101</v>
      </c>
      <c r="J379" s="7"/>
    </row>
    <row r="380" spans="1:10" x14ac:dyDescent="0.25">
      <c r="A380" t="s">
        <v>226</v>
      </c>
      <c r="B380" t="s">
        <v>433</v>
      </c>
      <c r="C380" s="1">
        <f>25753+95+17+1+1+11682+8</f>
        <v>37557</v>
      </c>
      <c r="D380" s="1">
        <f>15+86</f>
        <v>101</v>
      </c>
      <c r="E380" s="1">
        <v>0</v>
      </c>
      <c r="F380" s="1">
        <v>0</v>
      </c>
      <c r="G380" s="1">
        <v>0</v>
      </c>
      <c r="H380" s="1">
        <v>15606</v>
      </c>
      <c r="I380" s="1">
        <f>8764</f>
        <v>8764</v>
      </c>
      <c r="J380" s="1"/>
    </row>
    <row r="381" spans="1:10" x14ac:dyDescent="0.25">
      <c r="A381" t="s">
        <v>864</v>
      </c>
      <c r="B381" t="s">
        <v>434</v>
      </c>
      <c r="C381" s="1">
        <f>7499+8351</f>
        <v>15850</v>
      </c>
      <c r="D381" s="1">
        <f>105+2+1+56</f>
        <v>164</v>
      </c>
      <c r="E381" s="1">
        <v>0</v>
      </c>
      <c r="F381" s="1">
        <v>0</v>
      </c>
      <c r="G381" s="1">
        <v>0</v>
      </c>
      <c r="H381" s="1">
        <v>10882</v>
      </c>
      <c r="I381" s="1">
        <v>7283</v>
      </c>
      <c r="J381" s="1"/>
    </row>
    <row r="382" spans="1:10" x14ac:dyDescent="0.25">
      <c r="A382" t="s">
        <v>809</v>
      </c>
      <c r="B382" t="s">
        <v>435</v>
      </c>
      <c r="C382" s="1">
        <f>44496+2+41+984+3+4+3+1+30+12533</f>
        <v>58097</v>
      </c>
      <c r="D382" s="1">
        <f>31+1+111+2</f>
        <v>145</v>
      </c>
      <c r="E382" s="1">
        <v>0</v>
      </c>
      <c r="F382" s="1">
        <v>0</v>
      </c>
      <c r="G382" s="1">
        <v>0</v>
      </c>
      <c r="H382" s="1">
        <v>94395</v>
      </c>
      <c r="I382" s="1">
        <v>10054</v>
      </c>
      <c r="J382" s="1"/>
    </row>
    <row r="383" spans="1:10" x14ac:dyDescent="0.25">
      <c r="A383" t="s">
        <v>138</v>
      </c>
      <c r="B383" t="s">
        <v>436</v>
      </c>
      <c r="C383" s="1">
        <f>48229+134+78+3+29414+123</f>
        <v>77981</v>
      </c>
      <c r="D383" s="1">
        <f>55+4+91+70+508</f>
        <v>728</v>
      </c>
      <c r="E383" s="1">
        <v>0</v>
      </c>
      <c r="F383" s="1">
        <v>0</v>
      </c>
      <c r="G383" s="1">
        <v>0</v>
      </c>
      <c r="H383" s="1">
        <v>53972</v>
      </c>
      <c r="I383" s="1">
        <v>18927</v>
      </c>
      <c r="J383" s="1"/>
    </row>
    <row r="384" spans="1:10" x14ac:dyDescent="0.25">
      <c r="A384" t="s">
        <v>229</v>
      </c>
      <c r="B384" t="s">
        <v>437</v>
      </c>
      <c r="C384" s="1">
        <f>21578+4+1+133+4+41+9499</f>
        <v>31260</v>
      </c>
      <c r="D384" s="1">
        <f>4+22+69+7</f>
        <v>102</v>
      </c>
      <c r="E384" s="1">
        <v>0</v>
      </c>
      <c r="F384" s="1">
        <v>0</v>
      </c>
      <c r="G384" s="1">
        <v>0</v>
      </c>
      <c r="H384" s="1">
        <v>67658</v>
      </c>
      <c r="I384" s="1">
        <f>8384</f>
        <v>8384</v>
      </c>
      <c r="J384" s="1"/>
    </row>
    <row r="385" spans="1:10" x14ac:dyDescent="0.25">
      <c r="A385" t="s">
        <v>801</v>
      </c>
      <c r="B385" t="s">
        <v>438</v>
      </c>
      <c r="C385" s="1">
        <v>61317</v>
      </c>
      <c r="D385" s="1">
        <v>51</v>
      </c>
      <c r="E385" s="1">
        <v>0</v>
      </c>
      <c r="F385" s="1">
        <v>0</v>
      </c>
      <c r="G385" s="1">
        <v>0</v>
      </c>
      <c r="H385" s="1">
        <v>182152</v>
      </c>
      <c r="I385" s="1">
        <v>20993</v>
      </c>
      <c r="J385" s="7"/>
    </row>
    <row r="386" spans="1:10" x14ac:dyDescent="0.25">
      <c r="A386" s="27" t="s">
        <v>10</v>
      </c>
      <c r="B386" s="32" t="s">
        <v>780</v>
      </c>
      <c r="C386" s="1"/>
      <c r="D386" s="1"/>
      <c r="E386" s="1"/>
      <c r="F386" s="1"/>
      <c r="G386" s="1"/>
      <c r="H386" s="1"/>
      <c r="I386" s="1">
        <f ca="1">Tabla13456[[#This Row],[ENVIAR]]+Tabla13456[[#This Row],[COPIAR]]</f>
        <v>0</v>
      </c>
      <c r="J386" s="1"/>
    </row>
    <row r="387" spans="1:10" x14ac:dyDescent="0.25">
      <c r="A387" t="s">
        <v>69</v>
      </c>
      <c r="B387" t="s">
        <v>439</v>
      </c>
      <c r="C387" s="1"/>
      <c r="D387" s="1"/>
      <c r="E387" s="1"/>
      <c r="F387" s="1"/>
      <c r="G387" s="1"/>
      <c r="H387" s="1"/>
      <c r="I387" s="1"/>
      <c r="J387" s="1"/>
    </row>
    <row r="388" spans="1:10" x14ac:dyDescent="0.25">
      <c r="A388" t="s">
        <v>83</v>
      </c>
      <c r="B388" t="s">
        <v>440</v>
      </c>
      <c r="C388" s="1">
        <v>6912</v>
      </c>
      <c r="D388" s="1">
        <v>24</v>
      </c>
      <c r="E388" s="1">
        <v>0</v>
      </c>
      <c r="F388" s="1">
        <v>0</v>
      </c>
      <c r="G388" s="1">
        <v>0</v>
      </c>
      <c r="H388" s="1">
        <v>14178</v>
      </c>
      <c r="I388" s="1">
        <v>1294</v>
      </c>
      <c r="J388" s="7"/>
    </row>
    <row r="389" spans="1:10" x14ac:dyDescent="0.25">
      <c r="A389" t="s">
        <v>809</v>
      </c>
      <c r="B389" t="s">
        <v>441</v>
      </c>
      <c r="C389" s="1">
        <f>20567+21+7+3718</f>
        <v>24313</v>
      </c>
      <c r="D389" s="1">
        <f>77+13+449+54</f>
        <v>593</v>
      </c>
      <c r="E389" s="1">
        <v>0</v>
      </c>
      <c r="F389" s="1">
        <v>0</v>
      </c>
      <c r="G389" s="1">
        <v>0</v>
      </c>
      <c r="H389" s="1">
        <v>14420</v>
      </c>
      <c r="I389" s="1">
        <v>3348</v>
      </c>
      <c r="J389" s="1"/>
    </row>
    <row r="390" spans="1:10" x14ac:dyDescent="0.25">
      <c r="A390" t="s">
        <v>794</v>
      </c>
      <c r="B390" t="s">
        <v>442</v>
      </c>
      <c r="C390" s="1">
        <f>31563+355+2+1+3+21484+2+1</f>
        <v>53411</v>
      </c>
      <c r="D390" s="1">
        <f>63+13+51+64+7</f>
        <v>198</v>
      </c>
      <c r="E390" s="1">
        <v>0</v>
      </c>
      <c r="F390" s="1">
        <v>0</v>
      </c>
      <c r="G390" s="1">
        <v>0</v>
      </c>
      <c r="H390" s="1">
        <v>45966</v>
      </c>
      <c r="I390" s="1">
        <v>18236</v>
      </c>
      <c r="J390" s="1"/>
    </row>
    <row r="391" spans="1:10" x14ac:dyDescent="0.25">
      <c r="A391" t="s">
        <v>796</v>
      </c>
      <c r="B391" t="s">
        <v>443</v>
      </c>
      <c r="C391" s="1">
        <f>50933+2+7568+2+140+19694+14</f>
        <v>78353</v>
      </c>
      <c r="D391" s="1">
        <f>10+3+12+91</f>
        <v>116</v>
      </c>
      <c r="E391" s="1">
        <v>0</v>
      </c>
      <c r="F391" s="1">
        <v>0</v>
      </c>
      <c r="G391" s="1">
        <v>0</v>
      </c>
      <c r="H391" s="1">
        <v>76130</v>
      </c>
      <c r="I391" s="1">
        <v>14612</v>
      </c>
      <c r="J391" s="1"/>
    </row>
    <row r="392" spans="1:10" x14ac:dyDescent="0.25">
      <c r="A392" t="s">
        <v>794</v>
      </c>
      <c r="B392" t="s">
        <v>444</v>
      </c>
      <c r="C392" s="1">
        <f>57131+4+1+2+3006+9+28831</f>
        <v>88984</v>
      </c>
      <c r="D392" s="1">
        <f>100+15+424+46</f>
        <v>585</v>
      </c>
      <c r="E392" s="1">
        <v>0</v>
      </c>
      <c r="F392" s="1">
        <v>0</v>
      </c>
      <c r="G392" s="1">
        <v>0</v>
      </c>
      <c r="H392" s="1">
        <v>37754</v>
      </c>
      <c r="I392" s="1">
        <v>26294</v>
      </c>
      <c r="J392" s="1"/>
    </row>
    <row r="393" spans="1:10" x14ac:dyDescent="0.25">
      <c r="A393" t="s">
        <v>811</v>
      </c>
      <c r="B393" t="s">
        <v>445</v>
      </c>
      <c r="C393" s="1">
        <f>81723+12+22+36+44917+25</f>
        <v>126735</v>
      </c>
      <c r="D393" s="1">
        <f>3570+213+22494+6135+7587+1454</f>
        <v>41453</v>
      </c>
      <c r="E393" s="1">
        <v>0</v>
      </c>
      <c r="F393" s="1">
        <v>0</v>
      </c>
      <c r="G393" s="1">
        <v>0</v>
      </c>
      <c r="H393" s="1">
        <v>31112</v>
      </c>
      <c r="I393" s="1">
        <v>51913</v>
      </c>
      <c r="J393" s="1"/>
    </row>
    <row r="394" spans="1:10" x14ac:dyDescent="0.25">
      <c r="A394" t="s">
        <v>848</v>
      </c>
      <c r="B394" t="s">
        <v>446</v>
      </c>
      <c r="C394" s="1">
        <f>16190+5+4153</f>
        <v>20348</v>
      </c>
      <c r="D394" s="1">
        <f>10+3</f>
        <v>13</v>
      </c>
      <c r="E394" s="1">
        <v>0</v>
      </c>
      <c r="F394" s="1">
        <v>0</v>
      </c>
      <c r="G394" s="1">
        <v>0</v>
      </c>
      <c r="H394" s="1">
        <v>6274</v>
      </c>
      <c r="I394" s="1">
        <v>3464</v>
      </c>
      <c r="J394" s="1"/>
    </row>
    <row r="395" spans="1:10" x14ac:dyDescent="0.25">
      <c r="A395" t="s">
        <v>134</v>
      </c>
      <c r="B395" t="s">
        <v>447</v>
      </c>
      <c r="C395" s="1"/>
      <c r="D395" s="1"/>
      <c r="E395" s="1"/>
      <c r="F395" s="1"/>
      <c r="G395" s="1"/>
      <c r="H395" s="1"/>
      <c r="I395" s="1"/>
      <c r="J395" s="1"/>
    </row>
    <row r="396" spans="1:10" x14ac:dyDescent="0.25">
      <c r="A396" t="s">
        <v>76</v>
      </c>
      <c r="B396" t="s">
        <v>448</v>
      </c>
      <c r="C396" s="1">
        <v>101143</v>
      </c>
      <c r="D396" s="1">
        <v>40</v>
      </c>
      <c r="E396" s="1">
        <v>0</v>
      </c>
      <c r="F396" s="1">
        <v>0</v>
      </c>
      <c r="G396" s="1">
        <v>0</v>
      </c>
      <c r="H396" s="1">
        <v>55626</v>
      </c>
      <c r="I396" s="1">
        <v>10905</v>
      </c>
      <c r="J396" s="1"/>
    </row>
    <row r="397" spans="1:10" x14ac:dyDescent="0.25">
      <c r="A397" t="s">
        <v>801</v>
      </c>
      <c r="B397" t="s">
        <v>449</v>
      </c>
      <c r="C397" s="1">
        <v>70641</v>
      </c>
      <c r="D397" s="1">
        <v>112</v>
      </c>
      <c r="E397" s="1">
        <v>0</v>
      </c>
      <c r="F397" s="1">
        <v>0</v>
      </c>
      <c r="G397" s="1">
        <v>0</v>
      </c>
      <c r="H397" s="1">
        <v>104083</v>
      </c>
      <c r="I397" s="1">
        <v>15943</v>
      </c>
      <c r="J397" s="7"/>
    </row>
    <row r="398" spans="1:10" x14ac:dyDescent="0.25">
      <c r="A398" t="s">
        <v>788</v>
      </c>
      <c r="B398" t="s">
        <v>450</v>
      </c>
      <c r="C398" s="1">
        <f>20136+9+4+1+13896</f>
        <v>34046</v>
      </c>
      <c r="D398" s="1">
        <f>10+129+205+10</f>
        <v>354</v>
      </c>
      <c r="E398" s="1">
        <v>0</v>
      </c>
      <c r="F398" s="1">
        <v>0</v>
      </c>
      <c r="G398" s="1">
        <v>0</v>
      </c>
      <c r="H398" s="1">
        <v>22881</v>
      </c>
      <c r="I398" s="1">
        <v>7655</v>
      </c>
      <c r="J398" s="1"/>
    </row>
    <row r="399" spans="1:10" x14ac:dyDescent="0.25">
      <c r="A399" t="s">
        <v>795</v>
      </c>
      <c r="B399" t="s">
        <v>451</v>
      </c>
      <c r="C399" s="1">
        <f>48464+13+104+88683+177+13</f>
        <v>137454</v>
      </c>
      <c r="D399" s="1">
        <f>292+303+8+425+530+41</f>
        <v>1599</v>
      </c>
      <c r="E399" s="1">
        <v>0</v>
      </c>
      <c r="F399" s="1">
        <v>0</v>
      </c>
      <c r="G399" s="1">
        <v>0</v>
      </c>
      <c r="H399" s="1">
        <v>55893</v>
      </c>
      <c r="I399" s="1">
        <f>52028</f>
        <v>52028</v>
      </c>
      <c r="J399" s="1"/>
    </row>
    <row r="400" spans="1:10" x14ac:dyDescent="0.25">
      <c r="A400" t="s">
        <v>825</v>
      </c>
      <c r="B400" t="s">
        <v>452</v>
      </c>
      <c r="C400" s="1">
        <f>6132+21+1+1+2065</f>
        <v>8220</v>
      </c>
      <c r="D400" s="1">
        <f>4+11</f>
        <v>15</v>
      </c>
      <c r="E400" s="1">
        <v>0</v>
      </c>
      <c r="F400" s="1">
        <v>0</v>
      </c>
      <c r="G400" s="1">
        <v>0</v>
      </c>
      <c r="H400" s="1">
        <v>9218</v>
      </c>
      <c r="I400" s="1">
        <v>1776</v>
      </c>
      <c r="J400" s="1"/>
    </row>
    <row r="401" spans="1:10" x14ac:dyDescent="0.25">
      <c r="A401" t="s">
        <v>101</v>
      </c>
      <c r="B401" t="s">
        <v>453</v>
      </c>
      <c r="C401" s="1">
        <f>33357+54+1+21+9754+1</f>
        <v>43188</v>
      </c>
      <c r="D401" s="1">
        <f>38+5+30+100+20</f>
        <v>193</v>
      </c>
      <c r="E401" s="1">
        <v>0</v>
      </c>
      <c r="F401" s="1">
        <v>0</v>
      </c>
      <c r="G401" s="1">
        <v>0</v>
      </c>
      <c r="H401" s="1">
        <v>34529</v>
      </c>
      <c r="I401" s="1">
        <v>8389</v>
      </c>
      <c r="J401" s="1"/>
    </row>
    <row r="402" spans="1:10" x14ac:dyDescent="0.25">
      <c r="A402" t="s">
        <v>265</v>
      </c>
      <c r="B402" t="s">
        <v>454</v>
      </c>
      <c r="C402" s="1">
        <f>61237+2+9170+375</f>
        <v>70784</v>
      </c>
      <c r="D402" s="1">
        <f>18+2</f>
        <v>20</v>
      </c>
      <c r="E402" s="1">
        <v>0</v>
      </c>
      <c r="F402" s="1">
        <v>0</v>
      </c>
      <c r="G402" s="1">
        <v>0</v>
      </c>
      <c r="H402" s="1">
        <v>86388</v>
      </c>
      <c r="I402" s="1">
        <v>6706</v>
      </c>
      <c r="J402" s="1"/>
    </row>
    <row r="403" spans="1:10" x14ac:dyDescent="0.25">
      <c r="A403" t="s">
        <v>248</v>
      </c>
      <c r="B403" t="s">
        <v>455</v>
      </c>
      <c r="C403" s="1">
        <f>13767+40+2200</f>
        <v>16007</v>
      </c>
      <c r="D403" s="1">
        <f>1+8+395+6</f>
        <v>410</v>
      </c>
      <c r="E403" s="1">
        <v>0</v>
      </c>
      <c r="F403" s="1">
        <v>0</v>
      </c>
      <c r="G403" s="1">
        <v>0</v>
      </c>
      <c r="H403" s="1">
        <v>37635</v>
      </c>
      <c r="I403" s="1">
        <v>2651</v>
      </c>
      <c r="J403" s="1"/>
    </row>
    <row r="404" spans="1:10" x14ac:dyDescent="0.25">
      <c r="A404" t="s">
        <v>76</v>
      </c>
      <c r="B404" t="s">
        <v>456</v>
      </c>
      <c r="C404" s="1">
        <v>72279</v>
      </c>
      <c r="D404" s="1">
        <v>119</v>
      </c>
      <c r="E404" s="1">
        <v>0</v>
      </c>
      <c r="F404" s="1">
        <v>0</v>
      </c>
      <c r="G404" s="1">
        <v>0</v>
      </c>
      <c r="H404" s="1">
        <v>200657</v>
      </c>
      <c r="I404" s="1">
        <v>8776</v>
      </c>
      <c r="J404" s="1"/>
    </row>
    <row r="405" spans="1:10" x14ac:dyDescent="0.25">
      <c r="A405" t="s">
        <v>76</v>
      </c>
      <c r="B405" t="s">
        <v>457</v>
      </c>
      <c r="C405" s="1">
        <v>47692</v>
      </c>
      <c r="D405" s="1">
        <v>242</v>
      </c>
      <c r="E405" s="1">
        <v>0</v>
      </c>
      <c r="F405" s="1">
        <v>0</v>
      </c>
      <c r="G405" s="1">
        <v>0</v>
      </c>
      <c r="H405" s="1">
        <v>26824</v>
      </c>
      <c r="I405" s="1">
        <v>15310</v>
      </c>
      <c r="J405" s="1"/>
    </row>
    <row r="406" spans="1:10" x14ac:dyDescent="0.25">
      <c r="A406" t="s">
        <v>146</v>
      </c>
      <c r="B406" t="s">
        <v>458</v>
      </c>
      <c r="C406" s="1">
        <f>9047+1330+24+5615+1+1+4+3</f>
        <v>16025</v>
      </c>
      <c r="D406" s="1">
        <f>628+2+672+192+1+140</f>
        <v>1635</v>
      </c>
      <c r="E406" s="1">
        <v>0</v>
      </c>
      <c r="F406" s="1">
        <v>0</v>
      </c>
      <c r="G406" s="1">
        <v>0</v>
      </c>
      <c r="H406" s="1">
        <v>41505</v>
      </c>
      <c r="I406" s="1">
        <v>5793</v>
      </c>
      <c r="J406" s="1"/>
    </row>
    <row r="407" spans="1:10" x14ac:dyDescent="0.25">
      <c r="A407" t="s">
        <v>83</v>
      </c>
      <c r="B407" t="s">
        <v>459</v>
      </c>
      <c r="C407" s="1">
        <v>7957</v>
      </c>
      <c r="D407" s="1">
        <v>48</v>
      </c>
      <c r="E407" s="1">
        <v>0</v>
      </c>
      <c r="F407" s="1">
        <v>0</v>
      </c>
      <c r="G407" s="1">
        <v>0</v>
      </c>
      <c r="H407" s="1">
        <v>10268</v>
      </c>
      <c r="I407" s="1">
        <v>2047</v>
      </c>
      <c r="J407" s="7"/>
    </row>
    <row r="408" spans="1:10" x14ac:dyDescent="0.25">
      <c r="A408" t="s">
        <v>248</v>
      </c>
      <c r="B408" t="s">
        <v>460</v>
      </c>
      <c r="C408" s="1">
        <f>28720+9+128+1+50+2+2+73+35731+2+1+1</f>
        <v>64720</v>
      </c>
      <c r="D408" s="1">
        <f>24+8+33+332+318</f>
        <v>715</v>
      </c>
      <c r="E408" s="1">
        <v>0</v>
      </c>
      <c r="F408" s="1">
        <v>0</v>
      </c>
      <c r="G408" s="1">
        <v>0</v>
      </c>
      <c r="H408" s="1">
        <v>241517</v>
      </c>
      <c r="I408" s="1">
        <v>29196</v>
      </c>
      <c r="J408" s="1"/>
    </row>
    <row r="409" spans="1:10" x14ac:dyDescent="0.25">
      <c r="A409" t="s">
        <v>248</v>
      </c>
      <c r="B409" t="s">
        <v>461</v>
      </c>
      <c r="C409" s="1">
        <f>54166+17+9+16811</f>
        <v>71003</v>
      </c>
      <c r="D409" s="1">
        <f>14+4+12+84</f>
        <v>114</v>
      </c>
      <c r="E409" s="1">
        <v>0</v>
      </c>
      <c r="F409" s="1">
        <v>0</v>
      </c>
      <c r="G409" s="1">
        <v>0</v>
      </c>
      <c r="H409" s="1">
        <v>94393</v>
      </c>
      <c r="I409" s="1">
        <v>12381</v>
      </c>
      <c r="J409" s="1"/>
    </row>
    <row r="410" spans="1:10" x14ac:dyDescent="0.25">
      <c r="A410" t="s">
        <v>226</v>
      </c>
      <c r="B410" t="s">
        <v>462</v>
      </c>
      <c r="C410" s="1">
        <f>13995+12+698+73+14+1602+183+2</f>
        <v>16579</v>
      </c>
      <c r="D410" s="1">
        <f>1+42</f>
        <v>43</v>
      </c>
      <c r="E410" s="1">
        <v>0</v>
      </c>
      <c r="F410" s="1">
        <v>0</v>
      </c>
      <c r="G410" s="1">
        <v>0</v>
      </c>
      <c r="H410" s="1">
        <v>1306</v>
      </c>
      <c r="I410" s="1">
        <f>1626</f>
        <v>1626</v>
      </c>
      <c r="J410" s="1"/>
    </row>
    <row r="411" spans="1:10" x14ac:dyDescent="0.25">
      <c r="A411" t="s">
        <v>826</v>
      </c>
      <c r="B411" t="s">
        <v>463</v>
      </c>
      <c r="C411" s="1">
        <f>2981+116+7958+2</f>
        <v>11057</v>
      </c>
      <c r="D411" s="1">
        <f>19+4+9</f>
        <v>32</v>
      </c>
      <c r="E411" s="1">
        <v>0</v>
      </c>
      <c r="F411" s="1">
        <v>0</v>
      </c>
      <c r="G411" s="1">
        <v>0</v>
      </c>
      <c r="H411" s="1">
        <v>42733</v>
      </c>
      <c r="I411" s="1">
        <f>7389</f>
        <v>7389</v>
      </c>
      <c r="J411" s="1"/>
    </row>
    <row r="412" spans="1:10" x14ac:dyDescent="0.25">
      <c r="A412" t="s">
        <v>248</v>
      </c>
      <c r="B412" t="s">
        <v>464</v>
      </c>
      <c r="C412" s="1">
        <f>20021+429+5+5014</f>
        <v>25469</v>
      </c>
      <c r="D412" s="1">
        <v>7</v>
      </c>
      <c r="E412" s="1">
        <v>0</v>
      </c>
      <c r="F412" s="1">
        <v>0</v>
      </c>
      <c r="G412" s="1">
        <v>0</v>
      </c>
      <c r="H412" s="1">
        <v>24840</v>
      </c>
      <c r="I412" s="1">
        <v>4697</v>
      </c>
      <c r="J412" s="1"/>
    </row>
    <row r="413" spans="1:10" x14ac:dyDescent="0.25">
      <c r="A413" t="s">
        <v>101</v>
      </c>
      <c r="B413" t="s">
        <v>465</v>
      </c>
      <c r="C413" s="1">
        <f>15901+3+2+8637+2</f>
        <v>24545</v>
      </c>
      <c r="D413" s="1">
        <v>7</v>
      </c>
      <c r="E413" s="1">
        <v>0</v>
      </c>
      <c r="F413" s="1">
        <v>0</v>
      </c>
      <c r="G413" s="1">
        <v>0</v>
      </c>
      <c r="H413" s="1">
        <v>57614</v>
      </c>
      <c r="I413" s="1">
        <v>8698</v>
      </c>
      <c r="J413" s="1"/>
    </row>
    <row r="414" spans="1:10" x14ac:dyDescent="0.25">
      <c r="A414" t="s">
        <v>865</v>
      </c>
      <c r="B414" t="s">
        <v>466</v>
      </c>
      <c r="C414" s="1">
        <f>40834+11+156+6+18+12+4+54+214+54+6219+38</f>
        <v>47620</v>
      </c>
      <c r="D414" s="1">
        <f>15+34</f>
        <v>49</v>
      </c>
      <c r="E414" s="1">
        <v>0</v>
      </c>
      <c r="F414" s="1">
        <v>0</v>
      </c>
      <c r="G414" s="1">
        <v>0</v>
      </c>
      <c r="H414" s="1">
        <v>14714</v>
      </c>
      <c r="I414" s="1">
        <v>5680</v>
      </c>
      <c r="J414" s="1"/>
    </row>
    <row r="415" spans="1:10" x14ac:dyDescent="0.25">
      <c r="A415" t="s">
        <v>512</v>
      </c>
      <c r="B415" t="s">
        <v>467</v>
      </c>
      <c r="C415" s="1">
        <f>16987+16+2+3+10866</f>
        <v>27874</v>
      </c>
      <c r="D415" s="1">
        <f>8+22+33</f>
        <v>63</v>
      </c>
      <c r="E415" s="1">
        <v>0</v>
      </c>
      <c r="F415" s="1">
        <v>0</v>
      </c>
      <c r="G415" s="1">
        <v>0</v>
      </c>
      <c r="H415" s="1">
        <v>21638</v>
      </c>
      <c r="I415" s="1">
        <f>8581</f>
        <v>8581</v>
      </c>
      <c r="J415" s="1"/>
    </row>
    <row r="416" spans="1:10" x14ac:dyDescent="0.25">
      <c r="A416" s="27" t="s">
        <v>10</v>
      </c>
      <c r="B416" s="32" t="s">
        <v>781</v>
      </c>
      <c r="C416" s="1"/>
      <c r="D416" s="1"/>
      <c r="E416" s="1"/>
      <c r="F416" s="1"/>
      <c r="G416" s="1"/>
      <c r="H416" s="1"/>
      <c r="I416" s="1">
        <f ca="1">Tabla13456[[#This Row],[ENVIAR]]+Tabla13456[[#This Row],[COPIAR]]</f>
        <v>0</v>
      </c>
      <c r="J416" s="1"/>
    </row>
    <row r="417" spans="1:10" x14ac:dyDescent="0.25">
      <c r="A417" t="s">
        <v>806</v>
      </c>
      <c r="B417" t="s">
        <v>468</v>
      </c>
      <c r="C417" s="1">
        <f>6741+2+67+1+10+1+6644+17+1+1</f>
        <v>13485</v>
      </c>
      <c r="D417" s="1">
        <f>26+25+18+45</f>
        <v>114</v>
      </c>
      <c r="E417" s="1">
        <v>0</v>
      </c>
      <c r="F417" s="1">
        <v>0</v>
      </c>
      <c r="G417" s="1">
        <v>0</v>
      </c>
      <c r="H417" s="1">
        <v>4528</v>
      </c>
      <c r="I417" s="1">
        <f>5845</f>
        <v>5845</v>
      </c>
      <c r="J417" s="1"/>
    </row>
    <row r="418" spans="1:10" x14ac:dyDescent="0.25">
      <c r="A418" t="s">
        <v>817</v>
      </c>
      <c r="B418" t="s">
        <v>469</v>
      </c>
      <c r="C418" s="1">
        <f>224073+2+2679</f>
        <v>226754</v>
      </c>
      <c r="D418" s="1">
        <f>95+201+1+15</f>
        <v>312</v>
      </c>
      <c r="E418" s="1">
        <v>0</v>
      </c>
      <c r="F418" s="1">
        <v>0</v>
      </c>
      <c r="G418" s="1">
        <v>0</v>
      </c>
      <c r="H418" s="1">
        <v>42142</v>
      </c>
      <c r="I418" s="1">
        <v>2103</v>
      </c>
      <c r="J418" s="1"/>
    </row>
    <row r="419" spans="1:10" x14ac:dyDescent="0.25">
      <c r="A419" t="s">
        <v>791</v>
      </c>
      <c r="B419" t="s">
        <v>470</v>
      </c>
      <c r="C419" s="1">
        <f>3174+1+4+7378+4</f>
        <v>10561</v>
      </c>
      <c r="D419" s="1">
        <f>731+181+1</f>
        <v>913</v>
      </c>
      <c r="E419" s="1">
        <v>0</v>
      </c>
      <c r="F419" s="1">
        <v>0</v>
      </c>
      <c r="G419" s="1">
        <v>0</v>
      </c>
      <c r="H419" s="1">
        <v>10057</v>
      </c>
      <c r="I419" s="1">
        <v>8230</v>
      </c>
      <c r="J419" s="1"/>
    </row>
    <row r="420" spans="1:10" x14ac:dyDescent="0.25">
      <c r="A420" t="s">
        <v>788</v>
      </c>
      <c r="B420" t="s">
        <v>471</v>
      </c>
      <c r="C420" s="1">
        <f>24008+16+33+7734</f>
        <v>31791</v>
      </c>
      <c r="D420" s="1">
        <f>91+39+22</f>
        <v>152</v>
      </c>
      <c r="E420" s="1">
        <v>0</v>
      </c>
      <c r="F420" s="1">
        <v>0</v>
      </c>
      <c r="G420" s="1">
        <v>0</v>
      </c>
      <c r="H420" s="1">
        <v>2068</v>
      </c>
      <c r="I420" s="1">
        <v>2497</v>
      </c>
      <c r="J420" s="1"/>
    </row>
    <row r="421" spans="1:10" x14ac:dyDescent="0.25">
      <c r="A421" t="s">
        <v>795</v>
      </c>
      <c r="B421" t="s">
        <v>472</v>
      </c>
      <c r="C421" s="1">
        <f>23220+10+202+10635+322</f>
        <v>34389</v>
      </c>
      <c r="D421" s="1">
        <f>650+121+132</f>
        <v>903</v>
      </c>
      <c r="E421" s="1">
        <v>0</v>
      </c>
      <c r="F421" s="1">
        <v>0</v>
      </c>
      <c r="G421" s="1">
        <v>0</v>
      </c>
      <c r="H421" s="1">
        <v>13690</v>
      </c>
      <c r="I421" s="1">
        <f>7118</f>
        <v>7118</v>
      </c>
      <c r="J421" s="1"/>
    </row>
    <row r="422" spans="1:10" x14ac:dyDescent="0.25">
      <c r="A422" t="s">
        <v>788</v>
      </c>
      <c r="B422" t="s">
        <v>473</v>
      </c>
      <c r="C422" s="1">
        <f>47701+30+3+1+2+4+21309</f>
        <v>69050</v>
      </c>
      <c r="D422" s="1">
        <f>406+22+55+740+1+2</f>
        <v>1226</v>
      </c>
      <c r="E422" s="1">
        <v>0</v>
      </c>
      <c r="F422" s="1">
        <v>0</v>
      </c>
      <c r="G422" s="1">
        <v>0</v>
      </c>
      <c r="H422" s="1">
        <v>27485</v>
      </c>
      <c r="I422" s="1">
        <v>20061</v>
      </c>
      <c r="J422" s="1"/>
    </row>
    <row r="423" spans="1:10" x14ac:dyDescent="0.25">
      <c r="A423" t="s">
        <v>817</v>
      </c>
      <c r="B423" t="s">
        <v>474</v>
      </c>
      <c r="C423" s="1">
        <f>17223+2+11+3+2+47088+20</f>
        <v>64349</v>
      </c>
      <c r="D423" s="1">
        <f>103+1+249+7</f>
        <v>360</v>
      </c>
      <c r="E423" s="1">
        <v>0</v>
      </c>
      <c r="F423" s="1">
        <v>0</v>
      </c>
      <c r="G423" s="1">
        <v>0</v>
      </c>
      <c r="H423" s="1">
        <v>277071</v>
      </c>
      <c r="I423" s="1">
        <v>34917</v>
      </c>
      <c r="J423" s="1"/>
    </row>
    <row r="424" spans="1:10" x14ac:dyDescent="0.25">
      <c r="A424" t="s">
        <v>512</v>
      </c>
      <c r="B424" t="s">
        <v>475</v>
      </c>
      <c r="C424" s="1">
        <f>8831+555+1+4+10+2802</f>
        <v>12203</v>
      </c>
      <c r="D424" s="1">
        <f>10+12+13</f>
        <v>35</v>
      </c>
      <c r="E424" s="1">
        <v>0</v>
      </c>
      <c r="F424" s="1">
        <v>0</v>
      </c>
      <c r="G424" s="1">
        <v>0</v>
      </c>
      <c r="H424" s="1">
        <v>25605</v>
      </c>
      <c r="I424" s="1">
        <f>2343</f>
        <v>2343</v>
      </c>
      <c r="J424" s="1"/>
    </row>
    <row r="425" spans="1:10" x14ac:dyDescent="0.25">
      <c r="A425" t="s">
        <v>146</v>
      </c>
      <c r="B425" t="s">
        <v>476</v>
      </c>
      <c r="C425" s="1">
        <f>33798+6+6+70+1+2+1+3+11019+1+1+1</f>
        <v>44909</v>
      </c>
      <c r="D425" s="1">
        <f>15+36+4</f>
        <v>55</v>
      </c>
      <c r="E425" s="1">
        <v>0</v>
      </c>
      <c r="F425" s="1">
        <v>0</v>
      </c>
      <c r="G425" s="1">
        <v>0</v>
      </c>
      <c r="H425" s="1">
        <v>20524</v>
      </c>
      <c r="I425" s="1">
        <v>10625</v>
      </c>
      <c r="J425" s="1"/>
    </row>
    <row r="426" spans="1:10" x14ac:dyDescent="0.25">
      <c r="A426" t="s">
        <v>76</v>
      </c>
      <c r="B426" t="s">
        <v>477</v>
      </c>
      <c r="C426" s="1">
        <v>66612</v>
      </c>
      <c r="D426" s="1">
        <v>1119</v>
      </c>
      <c r="E426" s="1">
        <v>0</v>
      </c>
      <c r="F426" s="1">
        <v>0</v>
      </c>
      <c r="G426" s="1">
        <v>0</v>
      </c>
      <c r="H426" s="1">
        <v>43955</v>
      </c>
      <c r="I426" s="1">
        <v>22473</v>
      </c>
      <c r="J426" s="1"/>
    </row>
    <row r="427" spans="1:10" x14ac:dyDescent="0.25">
      <c r="A427" t="s">
        <v>76</v>
      </c>
      <c r="B427" t="s">
        <v>478</v>
      </c>
      <c r="C427" s="1">
        <v>57709</v>
      </c>
      <c r="D427" s="1">
        <v>440</v>
      </c>
      <c r="E427" s="1">
        <v>0</v>
      </c>
      <c r="F427" s="1">
        <v>0</v>
      </c>
      <c r="G427" s="1">
        <v>0</v>
      </c>
      <c r="H427" s="1">
        <v>26702</v>
      </c>
      <c r="I427" s="1">
        <v>15886</v>
      </c>
      <c r="J427" s="1"/>
    </row>
    <row r="428" spans="1:10" x14ac:dyDescent="0.25">
      <c r="A428" t="s">
        <v>823</v>
      </c>
      <c r="B428" t="s">
        <v>479</v>
      </c>
      <c r="C428" s="1">
        <f>28230+394+7585</f>
        <v>36209</v>
      </c>
      <c r="D428" s="1">
        <v>0</v>
      </c>
      <c r="E428" s="1">
        <v>0</v>
      </c>
      <c r="F428" s="1">
        <v>0</v>
      </c>
      <c r="G428" s="1">
        <v>0</v>
      </c>
      <c r="H428" s="1">
        <v>3954</v>
      </c>
      <c r="I428" s="1">
        <f>5726</f>
        <v>5726</v>
      </c>
      <c r="J428" s="1"/>
    </row>
    <row r="429" spans="1:10" x14ac:dyDescent="0.25">
      <c r="A429" t="s">
        <v>83</v>
      </c>
      <c r="B429" t="s">
        <v>480</v>
      </c>
      <c r="C429" s="1">
        <v>31372</v>
      </c>
      <c r="D429" s="1">
        <v>48</v>
      </c>
      <c r="E429" s="1">
        <v>0</v>
      </c>
      <c r="F429" s="1">
        <v>0</v>
      </c>
      <c r="G429" s="1">
        <v>0</v>
      </c>
      <c r="H429" s="1">
        <v>30549</v>
      </c>
      <c r="I429" s="1">
        <v>12844</v>
      </c>
      <c r="J429" s="7"/>
    </row>
    <row r="430" spans="1:10" x14ac:dyDescent="0.25">
      <c r="A430" t="s">
        <v>512</v>
      </c>
      <c r="B430" t="s">
        <v>481</v>
      </c>
      <c r="C430" s="1">
        <f>19607+14+7+21+4977</f>
        <v>24626</v>
      </c>
      <c r="D430" s="1">
        <f>46+79+82+16</f>
        <v>223</v>
      </c>
      <c r="E430" s="1">
        <v>0</v>
      </c>
      <c r="F430" s="1">
        <v>0</v>
      </c>
      <c r="G430" s="1">
        <v>0</v>
      </c>
      <c r="H430" s="1">
        <v>2876</v>
      </c>
      <c r="I430" s="1">
        <f>4190</f>
        <v>4190</v>
      </c>
      <c r="J430" s="1"/>
    </row>
    <row r="431" spans="1:10" x14ac:dyDescent="0.25">
      <c r="A431" t="s">
        <v>824</v>
      </c>
      <c r="B431" t="s">
        <v>482</v>
      </c>
      <c r="C431" s="1">
        <f>4716+2606</f>
        <v>7322</v>
      </c>
      <c r="D431" s="1">
        <f>325+43</f>
        <v>368</v>
      </c>
      <c r="E431" s="1">
        <v>0</v>
      </c>
      <c r="F431" s="1">
        <v>0</v>
      </c>
      <c r="G431" s="1">
        <v>0</v>
      </c>
      <c r="H431" s="1">
        <v>4326</v>
      </c>
      <c r="I431" s="1">
        <v>1790</v>
      </c>
      <c r="J431" s="1"/>
    </row>
    <row r="432" spans="1:10" x14ac:dyDescent="0.25">
      <c r="A432" t="s">
        <v>72</v>
      </c>
      <c r="B432" t="s">
        <v>483</v>
      </c>
      <c r="C432" s="1">
        <f>35730+4+5+4608+4</f>
        <v>40351</v>
      </c>
      <c r="D432" s="1">
        <f>15+8+5+61</f>
        <v>89</v>
      </c>
      <c r="E432" s="1">
        <v>0</v>
      </c>
      <c r="F432" s="1">
        <v>0</v>
      </c>
      <c r="G432" s="1">
        <v>0</v>
      </c>
      <c r="H432" s="1">
        <v>111366</v>
      </c>
      <c r="I432" s="1">
        <f>4456</f>
        <v>4456</v>
      </c>
      <c r="J432" s="1"/>
    </row>
    <row r="433" spans="1:10" x14ac:dyDescent="0.25">
      <c r="A433" t="s">
        <v>801</v>
      </c>
      <c r="B433" t="s">
        <v>484</v>
      </c>
      <c r="C433" s="1">
        <v>44117</v>
      </c>
      <c r="D433" s="1">
        <v>18</v>
      </c>
      <c r="E433" s="1">
        <v>0</v>
      </c>
      <c r="F433" s="1">
        <v>0</v>
      </c>
      <c r="G433" s="1">
        <v>0</v>
      </c>
      <c r="H433" s="1">
        <v>91556</v>
      </c>
      <c r="I433" s="1">
        <v>17375</v>
      </c>
      <c r="J433" s="7"/>
    </row>
    <row r="434" spans="1:10" x14ac:dyDescent="0.25">
      <c r="A434" t="s">
        <v>818</v>
      </c>
      <c r="B434" t="s">
        <v>485</v>
      </c>
      <c r="C434" s="1">
        <f>16201+2+15+134+12907</f>
        <v>29259</v>
      </c>
      <c r="D434" s="1">
        <v>1</v>
      </c>
      <c r="E434" s="1">
        <v>0</v>
      </c>
      <c r="F434" s="1">
        <v>0</v>
      </c>
      <c r="G434" s="1">
        <v>0</v>
      </c>
      <c r="H434" s="1">
        <v>17743</v>
      </c>
      <c r="I434" s="1">
        <v>7063</v>
      </c>
      <c r="J434" s="1"/>
    </row>
    <row r="435" spans="1:10" x14ac:dyDescent="0.25">
      <c r="A435" t="s">
        <v>797</v>
      </c>
      <c r="B435" t="s">
        <v>486</v>
      </c>
      <c r="C435" s="1">
        <f>51009+2+1+153+1+1+3+4+10468+5</f>
        <v>61647</v>
      </c>
      <c r="D435" s="1">
        <f>68+8+2</f>
        <v>78</v>
      </c>
      <c r="E435" s="1">
        <v>0</v>
      </c>
      <c r="F435" s="1">
        <v>0</v>
      </c>
      <c r="G435" s="1">
        <v>0</v>
      </c>
      <c r="H435" s="1">
        <v>17835</v>
      </c>
      <c r="I435" s="1">
        <v>8681</v>
      </c>
      <c r="J435" s="1"/>
    </row>
    <row r="436" spans="1:10" x14ac:dyDescent="0.25">
      <c r="A436" t="s">
        <v>804</v>
      </c>
      <c r="B436" t="s">
        <v>487</v>
      </c>
      <c r="C436" s="1">
        <f>21718+10263+698</f>
        <v>32679</v>
      </c>
      <c r="D436" s="1">
        <f>5+14</f>
        <v>19</v>
      </c>
      <c r="E436" s="1">
        <v>0</v>
      </c>
      <c r="F436" s="1">
        <v>0</v>
      </c>
      <c r="G436" s="1">
        <v>0</v>
      </c>
      <c r="H436" s="1">
        <v>16918</v>
      </c>
      <c r="I436" s="1">
        <f>9639</f>
        <v>9639</v>
      </c>
      <c r="J436" s="1"/>
    </row>
    <row r="437" spans="1:10" x14ac:dyDescent="0.25">
      <c r="A437" t="s">
        <v>226</v>
      </c>
      <c r="B437" t="s">
        <v>488</v>
      </c>
      <c r="C437" s="1">
        <f>36439+114+231+14+8+17+16+11551</f>
        <v>48390</v>
      </c>
      <c r="D437" s="1">
        <f>77+94+35+38</f>
        <v>244</v>
      </c>
      <c r="E437" s="1">
        <v>0</v>
      </c>
      <c r="F437" s="1">
        <v>0</v>
      </c>
      <c r="G437" s="1">
        <v>0</v>
      </c>
      <c r="H437" s="1">
        <v>23436</v>
      </c>
      <c r="I437" s="1">
        <f>10597</f>
        <v>10597</v>
      </c>
      <c r="J437" s="1"/>
    </row>
    <row r="438" spans="1:10" x14ac:dyDescent="0.25">
      <c r="A438" t="s">
        <v>265</v>
      </c>
      <c r="B438" t="s">
        <v>489</v>
      </c>
      <c r="C438" s="1">
        <f>22191+7+22+158+1+5+24+1+8+4427</f>
        <v>26844</v>
      </c>
      <c r="D438" s="1">
        <f>24+1+2+33</f>
        <v>60</v>
      </c>
      <c r="E438" s="1">
        <v>0</v>
      </c>
      <c r="F438" s="1">
        <v>0</v>
      </c>
      <c r="G438" s="1">
        <v>0</v>
      </c>
      <c r="H438" s="1">
        <v>34873</v>
      </c>
      <c r="I438" s="1">
        <v>3926</v>
      </c>
      <c r="J438" s="1"/>
    </row>
    <row r="439" spans="1:10" x14ac:dyDescent="0.25">
      <c r="A439" t="s">
        <v>10</v>
      </c>
      <c r="B439" s="1" t="s">
        <v>490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/>
    </row>
    <row r="440" spans="1:10" x14ac:dyDescent="0.25">
      <c r="A440" t="s">
        <v>801</v>
      </c>
      <c r="B440" t="s">
        <v>491</v>
      </c>
      <c r="C440" s="1">
        <v>36544</v>
      </c>
      <c r="D440" s="1">
        <v>1017</v>
      </c>
      <c r="E440" s="1">
        <v>0</v>
      </c>
      <c r="F440" s="1">
        <v>0</v>
      </c>
      <c r="G440" s="1">
        <v>0</v>
      </c>
      <c r="H440" s="1">
        <v>43131</v>
      </c>
      <c r="I440" s="1">
        <v>16793</v>
      </c>
      <c r="J440" s="7"/>
    </row>
    <row r="441" spans="1:10" x14ac:dyDescent="0.25">
      <c r="A441" t="s">
        <v>818</v>
      </c>
      <c r="B441" t="s">
        <v>492</v>
      </c>
      <c r="C441" s="1">
        <f>13561+20+5+17+4587</f>
        <v>18190</v>
      </c>
      <c r="D441" s="1">
        <f>1+42+3+10</f>
        <v>56</v>
      </c>
      <c r="E441" s="1">
        <v>0</v>
      </c>
      <c r="F441" s="1">
        <v>0</v>
      </c>
      <c r="G441" s="1">
        <v>0</v>
      </c>
      <c r="H441" s="1">
        <v>22041</v>
      </c>
      <c r="I441" s="1">
        <v>4376</v>
      </c>
      <c r="J441" s="1"/>
    </row>
    <row r="442" spans="1:10" x14ac:dyDescent="0.25">
      <c r="A442" t="s">
        <v>791</v>
      </c>
      <c r="B442" t="s">
        <v>493</v>
      </c>
      <c r="C442" s="1">
        <f>15255+9+1+15+2889</f>
        <v>18169</v>
      </c>
      <c r="D442" s="1">
        <f>29+338+33</f>
        <v>400</v>
      </c>
      <c r="E442" s="1">
        <v>0</v>
      </c>
      <c r="F442" s="1">
        <v>0</v>
      </c>
      <c r="G442" s="1">
        <v>0</v>
      </c>
      <c r="H442" s="1">
        <v>35046</v>
      </c>
      <c r="I442" s="1">
        <v>3049</v>
      </c>
      <c r="J442" s="1"/>
    </row>
    <row r="443" spans="1:10" x14ac:dyDescent="0.25">
      <c r="A443" t="s">
        <v>138</v>
      </c>
      <c r="B443" t="s">
        <v>494</v>
      </c>
      <c r="C443" s="1">
        <f>9240+2+1+3881</f>
        <v>13124</v>
      </c>
      <c r="D443" s="1">
        <v>6</v>
      </c>
      <c r="E443" s="1">
        <v>0</v>
      </c>
      <c r="F443" s="1">
        <v>0</v>
      </c>
      <c r="G443" s="1">
        <v>0</v>
      </c>
      <c r="H443" s="1">
        <v>33964</v>
      </c>
      <c r="I443" s="1">
        <v>3126</v>
      </c>
      <c r="J443" s="1"/>
    </row>
    <row r="444" spans="1:10" x14ac:dyDescent="0.25">
      <c r="A444" t="s">
        <v>495</v>
      </c>
      <c r="B444" t="s">
        <v>496</v>
      </c>
      <c r="C444" s="1">
        <f>124901+6+3648+10+63+1+3+486+72556+1+1+1</f>
        <v>201677</v>
      </c>
      <c r="D444" s="1">
        <f>252+11+12+298+20+8</f>
        <v>601</v>
      </c>
      <c r="E444" s="1">
        <v>0</v>
      </c>
      <c r="F444" s="1">
        <v>0</v>
      </c>
      <c r="G444" s="1">
        <v>0</v>
      </c>
      <c r="H444" s="1">
        <v>49798</v>
      </c>
      <c r="I444" s="1">
        <v>56747</v>
      </c>
      <c r="J444" s="1"/>
    </row>
    <row r="445" spans="1:10" x14ac:dyDescent="0.25">
      <c r="A445" t="s">
        <v>791</v>
      </c>
      <c r="B445" t="s">
        <v>497</v>
      </c>
      <c r="C445" s="1">
        <f>8043+1+3+42+2+50+6862</f>
        <v>15003</v>
      </c>
      <c r="D445" s="1">
        <f>13+1+2+64</f>
        <v>80</v>
      </c>
      <c r="E445" s="1">
        <v>0</v>
      </c>
      <c r="F445" s="1">
        <v>0</v>
      </c>
      <c r="G445" s="1">
        <v>0</v>
      </c>
      <c r="H445" s="1">
        <v>12731</v>
      </c>
      <c r="I445" s="1">
        <v>5969</v>
      </c>
      <c r="J445" s="1"/>
    </row>
    <row r="446" spans="1:10" x14ac:dyDescent="0.25">
      <c r="A446" s="27" t="s">
        <v>10</v>
      </c>
      <c r="B446" s="32" t="s">
        <v>782</v>
      </c>
      <c r="C446" s="1"/>
      <c r="D446" s="1"/>
      <c r="E446" s="1"/>
      <c r="F446" s="1"/>
      <c r="G446" s="1"/>
      <c r="H446" s="1"/>
      <c r="I446" s="1">
        <f ca="1">Tabla13456[[#This Row],[ENVIAR]]+Tabla13456[[#This Row],[COPIAR]]</f>
        <v>0</v>
      </c>
      <c r="J446" s="1"/>
    </row>
    <row r="447" spans="1:10" x14ac:dyDescent="0.25">
      <c r="A447" s="27" t="s">
        <v>10</v>
      </c>
      <c r="B447" s="32" t="s">
        <v>783</v>
      </c>
      <c r="C447" s="1"/>
      <c r="D447" s="1"/>
      <c r="E447" s="1"/>
      <c r="F447" s="1"/>
      <c r="G447" s="1"/>
      <c r="H447" s="1"/>
      <c r="I447" s="1">
        <f ca="1">Tabla13456[[#This Row],[ENVIAR]]+Tabla13456[[#This Row],[COPIAR]]</f>
        <v>0</v>
      </c>
      <c r="J447" s="1"/>
    </row>
    <row r="448" spans="1:10" x14ac:dyDescent="0.25">
      <c r="A448" s="27" t="s">
        <v>10</v>
      </c>
      <c r="B448" s="32" t="s">
        <v>784</v>
      </c>
      <c r="C448" s="1"/>
      <c r="D448" s="1"/>
      <c r="E448" s="1"/>
      <c r="F448" s="1"/>
      <c r="G448" s="1"/>
      <c r="H448" s="1"/>
      <c r="I448" s="1">
        <f ca="1">Tabla13456[[#This Row],[ENVIAR]]+Tabla13456[[#This Row],[COPIAR]]</f>
        <v>0</v>
      </c>
      <c r="J448" s="1"/>
    </row>
    <row r="449" spans="1:10" x14ac:dyDescent="0.25">
      <c r="A449" s="27" t="s">
        <v>10</v>
      </c>
      <c r="B449" s="32" t="s">
        <v>785</v>
      </c>
      <c r="C449" s="1"/>
      <c r="D449" s="1"/>
      <c r="E449" s="1"/>
      <c r="F449" s="1"/>
      <c r="G449" s="1"/>
      <c r="H449" s="1"/>
      <c r="I449" s="1">
        <f ca="1">Tabla13456[[#This Row],[ENVIAR]]+Tabla13456[[#This Row],[COPIAR]]</f>
        <v>0</v>
      </c>
      <c r="J449" s="1"/>
    </row>
    <row r="450" spans="1:10" x14ac:dyDescent="0.25">
      <c r="A450" t="s">
        <v>10</v>
      </c>
      <c r="B450" s="1" t="s">
        <v>498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/>
    </row>
    <row r="451" spans="1:10" x14ac:dyDescent="0.25">
      <c r="A451" s="27" t="s">
        <v>10</v>
      </c>
      <c r="B451" s="32" t="s">
        <v>786</v>
      </c>
      <c r="C451" s="1"/>
      <c r="D451" s="1"/>
      <c r="E451" s="1"/>
      <c r="F451" s="1"/>
      <c r="G451" s="1"/>
      <c r="H451" s="1"/>
      <c r="I451" s="1">
        <f ca="1">Tabla13456[[#This Row],[ENVIAR]]+Tabla13456[[#This Row],[COPIAR]]</f>
        <v>0</v>
      </c>
      <c r="J451" s="1"/>
    </row>
    <row r="452" spans="1:10" x14ac:dyDescent="0.25">
      <c r="A452" t="s">
        <v>10</v>
      </c>
      <c r="B452" s="1" t="s">
        <v>499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/>
    </row>
    <row r="453" spans="1:10" x14ac:dyDescent="0.25">
      <c r="A453" t="s">
        <v>10</v>
      </c>
      <c r="B453" s="1" t="s">
        <v>500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/>
    </row>
    <row r="454" spans="1:10" x14ac:dyDescent="0.25">
      <c r="A454" t="s">
        <v>76</v>
      </c>
      <c r="B454" t="s">
        <v>501</v>
      </c>
      <c r="C454" s="1">
        <v>8510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/>
    </row>
    <row r="455" spans="1:10" x14ac:dyDescent="0.25">
      <c r="A455" t="s">
        <v>817</v>
      </c>
      <c r="B455" t="s">
        <v>502</v>
      </c>
      <c r="C455" s="1">
        <v>610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/>
    </row>
    <row r="456" spans="1:10" x14ac:dyDescent="0.25">
      <c r="A456" t="s">
        <v>831</v>
      </c>
      <c r="B456" t="s">
        <v>503</v>
      </c>
      <c r="C456" s="1">
        <v>1384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/>
    </row>
    <row r="457" spans="1:10" x14ac:dyDescent="0.25">
      <c r="A457" t="s">
        <v>76</v>
      </c>
      <c r="B457" t="s">
        <v>504</v>
      </c>
      <c r="C457" s="1">
        <v>14816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/>
    </row>
    <row r="458" spans="1:10" x14ac:dyDescent="0.25">
      <c r="A458" t="s">
        <v>817</v>
      </c>
      <c r="B458" t="s">
        <v>505</v>
      </c>
      <c r="C458" s="1">
        <v>5422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/>
    </row>
    <row r="459" spans="1:10" x14ac:dyDescent="0.25">
      <c r="A459" s="9" t="s">
        <v>824</v>
      </c>
      <c r="B459" s="10" t="s">
        <v>506</v>
      </c>
      <c r="C459" s="1">
        <v>3194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/>
    </row>
    <row r="460" spans="1:10" x14ac:dyDescent="0.25">
      <c r="A460" t="s">
        <v>817</v>
      </c>
      <c r="B460" t="s">
        <v>507</v>
      </c>
      <c r="C460" s="1">
        <v>10021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/>
    </row>
    <row r="461" spans="1:10" x14ac:dyDescent="0.25">
      <c r="A461" t="s">
        <v>817</v>
      </c>
      <c r="B461" t="s">
        <v>508</v>
      </c>
      <c r="C461" s="1">
        <v>2497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/>
    </row>
    <row r="462" spans="1:10" x14ac:dyDescent="0.25">
      <c r="A462" t="s">
        <v>801</v>
      </c>
      <c r="B462" t="s">
        <v>509</v>
      </c>
      <c r="C462" s="1"/>
      <c r="D462" s="1"/>
      <c r="E462" s="1"/>
      <c r="F462" s="1"/>
      <c r="G462" s="1"/>
      <c r="H462" s="1"/>
      <c r="I462" s="1"/>
      <c r="J462" s="1"/>
    </row>
    <row r="463" spans="1:10" x14ac:dyDescent="0.25">
      <c r="A463" t="s">
        <v>801</v>
      </c>
      <c r="B463" t="s">
        <v>510</v>
      </c>
      <c r="C463" s="1">
        <v>14624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7"/>
    </row>
    <row r="464" spans="1:10" x14ac:dyDescent="0.25">
      <c r="A464" t="s">
        <v>831</v>
      </c>
      <c r="B464" t="s">
        <v>511</v>
      </c>
      <c r="C464" s="1">
        <v>1087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/>
    </row>
    <row r="465" spans="1:10" x14ac:dyDescent="0.25">
      <c r="A465" t="s">
        <v>512</v>
      </c>
      <c r="B465" t="s">
        <v>513</v>
      </c>
      <c r="C465" s="1">
        <f>4216</f>
        <v>4216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/>
    </row>
    <row r="466" spans="1:10" x14ac:dyDescent="0.25">
      <c r="A466" t="s">
        <v>817</v>
      </c>
      <c r="B466" t="s">
        <v>514</v>
      </c>
      <c r="C466" s="1">
        <v>4732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/>
    </row>
    <row r="467" spans="1:10" x14ac:dyDescent="0.25">
      <c r="A467" t="s">
        <v>801</v>
      </c>
      <c r="B467" t="s">
        <v>515</v>
      </c>
      <c r="C467" s="1">
        <v>1705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7"/>
    </row>
    <row r="468" spans="1:10" x14ac:dyDescent="0.25">
      <c r="A468" t="s">
        <v>848</v>
      </c>
      <c r="B468" t="s">
        <v>516</v>
      </c>
      <c r="C468" s="1">
        <v>1941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/>
    </row>
    <row r="469" spans="1:10" x14ac:dyDescent="0.25">
      <c r="A469" t="s">
        <v>797</v>
      </c>
      <c r="B469" t="s">
        <v>517</v>
      </c>
      <c r="C469" s="1">
        <f>2778</f>
        <v>2778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/>
    </row>
    <row r="470" spans="1:10" x14ac:dyDescent="0.25">
      <c r="A470" t="s">
        <v>811</v>
      </c>
      <c r="B470" t="s">
        <v>518</v>
      </c>
      <c r="C470" s="1">
        <f>17031</f>
        <v>17031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/>
    </row>
    <row r="471" spans="1:10" x14ac:dyDescent="0.25">
      <c r="A471" t="s">
        <v>226</v>
      </c>
      <c r="B471" t="s">
        <v>519</v>
      </c>
      <c r="C471" s="1">
        <f>823</f>
        <v>823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/>
    </row>
    <row r="472" spans="1:10" x14ac:dyDescent="0.25">
      <c r="A472" t="s">
        <v>76</v>
      </c>
      <c r="B472" t="s">
        <v>520</v>
      </c>
      <c r="C472" s="1">
        <v>7336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/>
    </row>
    <row r="473" spans="1:10" x14ac:dyDescent="0.25">
      <c r="A473" t="s">
        <v>831</v>
      </c>
      <c r="B473" t="s">
        <v>521</v>
      </c>
      <c r="C473" s="1">
        <v>21088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/>
    </row>
    <row r="474" spans="1:10" x14ac:dyDescent="0.25">
      <c r="A474" t="s">
        <v>72</v>
      </c>
      <c r="B474" t="s">
        <v>522</v>
      </c>
      <c r="C474" s="1">
        <f>813</f>
        <v>813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/>
    </row>
    <row r="475" spans="1:10" x14ac:dyDescent="0.25">
      <c r="A475" t="s">
        <v>823</v>
      </c>
      <c r="B475" t="s">
        <v>523</v>
      </c>
      <c r="C475" s="1">
        <f>7732</f>
        <v>7732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/>
    </row>
    <row r="476" spans="1:10" x14ac:dyDescent="0.25">
      <c r="A476" t="s">
        <v>248</v>
      </c>
      <c r="B476" t="s">
        <v>524</v>
      </c>
      <c r="C476" s="1">
        <v>2434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/>
    </row>
    <row r="477" spans="1:10" x14ac:dyDescent="0.25">
      <c r="A477" t="s">
        <v>231</v>
      </c>
      <c r="B477" t="s">
        <v>525</v>
      </c>
      <c r="C477" s="1">
        <v>3083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/>
    </row>
    <row r="478" spans="1:10" x14ac:dyDescent="0.25">
      <c r="A478" t="s">
        <v>76</v>
      </c>
      <c r="B478" t="s">
        <v>526</v>
      </c>
      <c r="C478" s="1">
        <v>123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/>
    </row>
    <row r="479" spans="1:10" x14ac:dyDescent="0.25">
      <c r="A479" t="s">
        <v>804</v>
      </c>
      <c r="B479" t="s">
        <v>527</v>
      </c>
      <c r="C479" s="1">
        <f>1964</f>
        <v>1964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/>
    </row>
    <row r="480" spans="1:10" x14ac:dyDescent="0.25">
      <c r="A480" t="s">
        <v>76</v>
      </c>
      <c r="B480" t="s">
        <v>528</v>
      </c>
      <c r="C480" s="1">
        <v>877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/>
    </row>
    <row r="481" spans="1:10" x14ac:dyDescent="0.25">
      <c r="A481" t="s">
        <v>801</v>
      </c>
      <c r="B481" t="s">
        <v>529</v>
      </c>
      <c r="C481" s="1">
        <v>4323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7"/>
    </row>
    <row r="482" spans="1:10" x14ac:dyDescent="0.25">
      <c r="A482" t="s">
        <v>795</v>
      </c>
      <c r="B482" t="s">
        <v>530</v>
      </c>
      <c r="C482" s="1">
        <f>78341</f>
        <v>78341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/>
    </row>
    <row r="483" spans="1:10" x14ac:dyDescent="0.25">
      <c r="A483" t="s">
        <v>848</v>
      </c>
      <c r="B483" t="s">
        <v>531</v>
      </c>
      <c r="C483" s="1">
        <v>1667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/>
    </row>
    <row r="484" spans="1:10" x14ac:dyDescent="0.25">
      <c r="A484" t="s">
        <v>824</v>
      </c>
      <c r="B484" t="s">
        <v>532</v>
      </c>
      <c r="C484" s="1">
        <v>8763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/>
    </row>
    <row r="485" spans="1:10" x14ac:dyDescent="0.25">
      <c r="A485" t="s">
        <v>76</v>
      </c>
      <c r="B485" t="s">
        <v>533</v>
      </c>
      <c r="C485" s="1">
        <v>1085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/>
    </row>
    <row r="486" spans="1:10" x14ac:dyDescent="0.25">
      <c r="A486" t="s">
        <v>101</v>
      </c>
      <c r="B486" t="s">
        <v>534</v>
      </c>
      <c r="C486" s="1">
        <v>5412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/>
    </row>
    <row r="487" spans="1:10" x14ac:dyDescent="0.25">
      <c r="A487" t="s">
        <v>797</v>
      </c>
      <c r="B487" t="s">
        <v>535</v>
      </c>
      <c r="C487" s="1"/>
      <c r="D487" s="1"/>
      <c r="E487" s="1"/>
      <c r="F487" s="1"/>
      <c r="G487" s="1"/>
      <c r="H487" s="1"/>
      <c r="I487" s="1"/>
      <c r="J487" s="1"/>
    </row>
    <row r="488" spans="1:10" x14ac:dyDescent="0.25">
      <c r="A488" t="s">
        <v>120</v>
      </c>
      <c r="B488" t="s">
        <v>536</v>
      </c>
      <c r="C488" s="1">
        <f>3170</f>
        <v>3170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/>
    </row>
    <row r="489" spans="1:10" x14ac:dyDescent="0.25">
      <c r="A489" t="s">
        <v>817</v>
      </c>
      <c r="B489" t="s">
        <v>537</v>
      </c>
      <c r="C489" s="1">
        <v>28265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/>
    </row>
    <row r="490" spans="1:10" x14ac:dyDescent="0.25">
      <c r="A490" t="s">
        <v>811</v>
      </c>
      <c r="B490" t="s">
        <v>538</v>
      </c>
      <c r="C490" s="1">
        <f>80231</f>
        <v>80231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/>
    </row>
    <row r="491" spans="1:10" x14ac:dyDescent="0.25">
      <c r="A491" t="s">
        <v>817</v>
      </c>
      <c r="B491" t="s">
        <v>539</v>
      </c>
      <c r="C491" s="1">
        <v>5910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/>
    </row>
    <row r="492" spans="1:10" x14ac:dyDescent="0.25">
      <c r="A492" t="s">
        <v>146</v>
      </c>
      <c r="B492" t="s">
        <v>540</v>
      </c>
      <c r="C492" s="1">
        <v>7393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/>
    </row>
    <row r="493" spans="1:10" x14ac:dyDescent="0.25">
      <c r="A493" t="s">
        <v>817</v>
      </c>
      <c r="B493" t="s">
        <v>541</v>
      </c>
      <c r="C493" s="1">
        <v>15209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/>
    </row>
    <row r="494" spans="1:10" x14ac:dyDescent="0.25">
      <c r="A494" t="s">
        <v>72</v>
      </c>
      <c r="B494" t="s">
        <v>542</v>
      </c>
      <c r="C494" s="1">
        <f>16478</f>
        <v>16478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/>
    </row>
    <row r="495" spans="1:10" x14ac:dyDescent="0.25">
      <c r="A495" t="s">
        <v>795</v>
      </c>
      <c r="B495" t="s">
        <v>543</v>
      </c>
      <c r="C495" s="1">
        <f>11687</f>
        <v>11687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/>
    </row>
    <row r="496" spans="1:10" x14ac:dyDescent="0.25">
      <c r="A496" t="s">
        <v>83</v>
      </c>
      <c r="B496" t="s">
        <v>544</v>
      </c>
      <c r="C496" s="1"/>
      <c r="D496" s="1"/>
      <c r="E496" s="1"/>
      <c r="F496" s="1"/>
      <c r="G496" s="1"/>
      <c r="H496" s="1"/>
      <c r="I496" s="1"/>
      <c r="J496" s="1"/>
    </row>
    <row r="497" spans="1:10" x14ac:dyDescent="0.25">
      <c r="A497" t="s">
        <v>134</v>
      </c>
      <c r="B497" t="s">
        <v>545</v>
      </c>
      <c r="C497" s="1">
        <v>4164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/>
    </row>
    <row r="498" spans="1:10" x14ac:dyDescent="0.25">
      <c r="A498" t="s">
        <v>76</v>
      </c>
      <c r="B498" t="s">
        <v>546</v>
      </c>
      <c r="C498" s="1">
        <v>1784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/>
    </row>
    <row r="499" spans="1:10" x14ac:dyDescent="0.25">
      <c r="A499" t="s">
        <v>495</v>
      </c>
      <c r="B499" t="s">
        <v>547</v>
      </c>
      <c r="C499" s="1">
        <v>11334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/>
    </row>
    <row r="500" spans="1:10" x14ac:dyDescent="0.25">
      <c r="A500" t="s">
        <v>825</v>
      </c>
      <c r="B500" t="s">
        <v>548</v>
      </c>
      <c r="C500" s="1">
        <v>6459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/>
    </row>
    <row r="501" spans="1:10" x14ac:dyDescent="0.25">
      <c r="A501" t="s">
        <v>72</v>
      </c>
      <c r="B501" t="s">
        <v>549</v>
      </c>
      <c r="C501" s="1">
        <f>21979</f>
        <v>21979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/>
    </row>
    <row r="502" spans="1:10" x14ac:dyDescent="0.25">
      <c r="A502" t="s">
        <v>134</v>
      </c>
      <c r="B502" t="s">
        <v>550</v>
      </c>
      <c r="C502" s="1">
        <v>10369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/>
    </row>
    <row r="503" spans="1:10" x14ac:dyDescent="0.25">
      <c r="A503" t="s">
        <v>795</v>
      </c>
      <c r="B503" t="s">
        <v>551</v>
      </c>
      <c r="C503" s="1">
        <f>2408</f>
        <v>2408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/>
    </row>
    <row r="504" spans="1:10" x14ac:dyDescent="0.25">
      <c r="A504" t="s">
        <v>76</v>
      </c>
      <c r="B504" t="s">
        <v>552</v>
      </c>
      <c r="C504" s="1">
        <v>1498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/>
    </row>
    <row r="505" spans="1:10" x14ac:dyDescent="0.25">
      <c r="A505" t="s">
        <v>824</v>
      </c>
      <c r="B505" t="s">
        <v>553</v>
      </c>
      <c r="C505" s="1">
        <v>1097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/>
    </row>
    <row r="506" spans="1:10" x14ac:dyDescent="0.25">
      <c r="A506" t="s">
        <v>512</v>
      </c>
      <c r="B506" t="s">
        <v>554</v>
      </c>
      <c r="C506" s="1">
        <f>10795</f>
        <v>10795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/>
    </row>
    <row r="507" spans="1:10" x14ac:dyDescent="0.25">
      <c r="A507" t="s">
        <v>788</v>
      </c>
      <c r="B507" t="s">
        <v>555</v>
      </c>
      <c r="C507" s="1">
        <v>65771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/>
    </row>
    <row r="508" spans="1:10" x14ac:dyDescent="0.25">
      <c r="A508" t="s">
        <v>101</v>
      </c>
      <c r="B508" t="s">
        <v>556</v>
      </c>
      <c r="C508" s="1">
        <v>17462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/>
    </row>
    <row r="509" spans="1:10" x14ac:dyDescent="0.25">
      <c r="A509" t="s">
        <v>796</v>
      </c>
      <c r="B509" t="s">
        <v>557</v>
      </c>
      <c r="C509" s="1">
        <f>1854</f>
        <v>1854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/>
    </row>
    <row r="510" spans="1:10" x14ac:dyDescent="0.25">
      <c r="A510" t="s">
        <v>817</v>
      </c>
      <c r="B510" t="s">
        <v>558</v>
      </c>
      <c r="C510" s="1">
        <v>3881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/>
    </row>
    <row r="511" spans="1:10" x14ac:dyDescent="0.25">
      <c r="A511" t="s">
        <v>76</v>
      </c>
      <c r="B511" t="s">
        <v>559</v>
      </c>
      <c r="C511" s="1">
        <v>2853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/>
    </row>
    <row r="512" spans="1:10" x14ac:dyDescent="0.25">
      <c r="A512" t="s">
        <v>801</v>
      </c>
      <c r="B512" t="s">
        <v>560</v>
      </c>
      <c r="C512" s="1">
        <v>22762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7"/>
    </row>
    <row r="513" spans="1:10" x14ac:dyDescent="0.25">
      <c r="A513" t="s">
        <v>796</v>
      </c>
      <c r="B513" t="s">
        <v>561</v>
      </c>
      <c r="C513" s="1">
        <f>8113</f>
        <v>8113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/>
    </row>
    <row r="514" spans="1:10" x14ac:dyDescent="0.25">
      <c r="A514" t="s">
        <v>817</v>
      </c>
      <c r="B514" t="s">
        <v>562</v>
      </c>
      <c r="C514" s="1">
        <v>11696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/>
    </row>
    <row r="515" spans="1:10" x14ac:dyDescent="0.25">
      <c r="A515" t="s">
        <v>248</v>
      </c>
      <c r="B515" t="s">
        <v>563</v>
      </c>
      <c r="C515" s="1">
        <v>18698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/>
    </row>
    <row r="516" spans="1:10" x14ac:dyDescent="0.25">
      <c r="A516" t="s">
        <v>791</v>
      </c>
      <c r="B516" t="s">
        <v>564</v>
      </c>
      <c r="C516" s="1">
        <f>6668</f>
        <v>6668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/>
    </row>
    <row r="517" spans="1:10" x14ac:dyDescent="0.25">
      <c r="A517" t="s">
        <v>69</v>
      </c>
      <c r="B517" t="s">
        <v>565</v>
      </c>
      <c r="C517" s="1">
        <v>10364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7"/>
    </row>
    <row r="518" spans="1:10" x14ac:dyDescent="0.25">
      <c r="A518" t="s">
        <v>794</v>
      </c>
      <c r="B518" t="s">
        <v>566</v>
      </c>
      <c r="C518" s="1">
        <v>1726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/>
    </row>
    <row r="519" spans="1:10" x14ac:dyDescent="0.25">
      <c r="A519" t="s">
        <v>797</v>
      </c>
      <c r="B519" t="s">
        <v>567</v>
      </c>
      <c r="C519" s="1">
        <f>917</f>
        <v>917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/>
    </row>
    <row r="520" spans="1:10" x14ac:dyDescent="0.25">
      <c r="A520" t="s">
        <v>826</v>
      </c>
      <c r="B520" t="s">
        <v>568</v>
      </c>
      <c r="C520" s="1"/>
      <c r="D520" s="1"/>
      <c r="E520" s="1"/>
      <c r="F520" s="1"/>
      <c r="G520" s="1"/>
      <c r="H520" s="1"/>
      <c r="I520" s="1"/>
      <c r="J520" s="1"/>
    </row>
    <row r="521" spans="1:10" x14ac:dyDescent="0.25">
      <c r="A521" t="s">
        <v>864</v>
      </c>
      <c r="B521" t="s">
        <v>569</v>
      </c>
      <c r="C521" s="1">
        <v>8369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/>
    </row>
    <row r="522" spans="1:10" x14ac:dyDescent="0.25">
      <c r="A522" t="s">
        <v>826</v>
      </c>
      <c r="B522" t="s">
        <v>570</v>
      </c>
      <c r="C522" s="1"/>
      <c r="D522" s="1"/>
      <c r="E522" s="1"/>
      <c r="F522" s="1"/>
      <c r="G522" s="1"/>
      <c r="H522" s="1"/>
      <c r="I522" s="1"/>
      <c r="J522" s="1"/>
    </row>
    <row r="523" spans="1:10" x14ac:dyDescent="0.25">
      <c r="A523" t="s">
        <v>72</v>
      </c>
      <c r="B523" t="s">
        <v>571</v>
      </c>
      <c r="C523" s="1">
        <f>14939</f>
        <v>14939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/>
    </row>
    <row r="524" spans="1:10" x14ac:dyDescent="0.25">
      <c r="A524" t="s">
        <v>801</v>
      </c>
      <c r="B524" t="s">
        <v>572</v>
      </c>
      <c r="C524" s="1">
        <v>16786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7"/>
    </row>
    <row r="525" spans="1:10" x14ac:dyDescent="0.25">
      <c r="A525" t="s">
        <v>859</v>
      </c>
      <c r="B525" t="s">
        <v>573</v>
      </c>
      <c r="C525" s="1">
        <v>3669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/>
    </row>
    <row r="526" spans="1:10" x14ac:dyDescent="0.25">
      <c r="A526" t="s">
        <v>816</v>
      </c>
      <c r="B526" t="s">
        <v>574</v>
      </c>
      <c r="C526" s="1">
        <v>10724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/>
    </row>
    <row r="527" spans="1:10" x14ac:dyDescent="0.25">
      <c r="A527" t="s">
        <v>864</v>
      </c>
      <c r="B527" t="s">
        <v>575</v>
      </c>
      <c r="C527" s="1">
        <v>19828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/>
    </row>
    <row r="528" spans="1:10" x14ac:dyDescent="0.25">
      <c r="A528" t="s">
        <v>146</v>
      </c>
      <c r="B528" t="s">
        <v>576</v>
      </c>
      <c r="C528" s="1">
        <v>1853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/>
    </row>
    <row r="529" spans="1:10" x14ac:dyDescent="0.25">
      <c r="A529" t="s">
        <v>794</v>
      </c>
      <c r="B529" t="s">
        <v>577</v>
      </c>
      <c r="C529" s="1">
        <v>6748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/>
    </row>
    <row r="530" spans="1:10" x14ac:dyDescent="0.25">
      <c r="A530" t="s">
        <v>146</v>
      </c>
      <c r="B530" t="s">
        <v>578</v>
      </c>
      <c r="C530" s="1">
        <v>16597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/>
    </row>
    <row r="531" spans="1:10" x14ac:dyDescent="0.25">
      <c r="A531" t="s">
        <v>832</v>
      </c>
      <c r="B531" t="s">
        <v>579</v>
      </c>
      <c r="C531" s="1">
        <v>5538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/>
    </row>
    <row r="532" spans="1:10" x14ac:dyDescent="0.25">
      <c r="A532" t="s">
        <v>839</v>
      </c>
      <c r="B532" t="s">
        <v>580</v>
      </c>
      <c r="C532" s="1">
        <f>13426</f>
        <v>13426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/>
    </row>
    <row r="533" spans="1:10" x14ac:dyDescent="0.25">
      <c r="A533" t="s">
        <v>794</v>
      </c>
      <c r="B533" t="s">
        <v>581</v>
      </c>
      <c r="C533" s="1"/>
      <c r="D533" s="1"/>
      <c r="E533" s="1"/>
      <c r="F533" s="1"/>
      <c r="G533" s="1"/>
      <c r="H533" s="1"/>
      <c r="I533" s="1"/>
      <c r="J533" s="1"/>
    </row>
    <row r="534" spans="1:10" x14ac:dyDescent="0.25">
      <c r="A534" t="s">
        <v>794</v>
      </c>
      <c r="B534" t="s">
        <v>582</v>
      </c>
      <c r="C534" s="1">
        <v>14063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/>
    </row>
    <row r="535" spans="1:10" x14ac:dyDescent="0.25">
      <c r="A535" t="s">
        <v>794</v>
      </c>
      <c r="B535" t="s">
        <v>583</v>
      </c>
      <c r="C535" s="1">
        <v>3674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/>
    </row>
    <row r="536" spans="1:10" x14ac:dyDescent="0.25">
      <c r="A536" t="s">
        <v>120</v>
      </c>
      <c r="B536" t="s">
        <v>584</v>
      </c>
      <c r="C536" s="1">
        <f>1501</f>
        <v>1501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/>
    </row>
    <row r="537" spans="1:10" x14ac:dyDescent="0.25">
      <c r="A537" t="s">
        <v>837</v>
      </c>
      <c r="B537" t="s">
        <v>585</v>
      </c>
      <c r="C537" s="1">
        <v>5643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/>
    </row>
    <row r="538" spans="1:10" x14ac:dyDescent="0.25">
      <c r="A538" t="s">
        <v>794</v>
      </c>
      <c r="B538" t="s">
        <v>586</v>
      </c>
      <c r="C538" s="1">
        <v>8047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/>
    </row>
    <row r="539" spans="1:10" x14ac:dyDescent="0.25">
      <c r="A539" t="s">
        <v>836</v>
      </c>
      <c r="B539" t="s">
        <v>587</v>
      </c>
      <c r="C539" s="1">
        <v>16549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/>
    </row>
    <row r="540" spans="1:10" x14ac:dyDescent="0.25">
      <c r="A540" t="s">
        <v>844</v>
      </c>
      <c r="B540" t="s">
        <v>588</v>
      </c>
      <c r="C540" s="1">
        <v>11103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/>
    </row>
    <row r="541" spans="1:10" x14ac:dyDescent="0.25">
      <c r="A541" t="s">
        <v>838</v>
      </c>
      <c r="B541" t="s">
        <v>589</v>
      </c>
      <c r="C541" s="1">
        <v>6004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/>
    </row>
    <row r="542" spans="1:10" x14ac:dyDescent="0.25">
      <c r="A542" t="s">
        <v>833</v>
      </c>
      <c r="B542" t="s">
        <v>590</v>
      </c>
      <c r="C542" s="1">
        <v>11953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/>
    </row>
    <row r="543" spans="1:10" x14ac:dyDescent="0.25">
      <c r="A543" t="s">
        <v>845</v>
      </c>
      <c r="B543" t="s">
        <v>591</v>
      </c>
      <c r="C543" s="1">
        <v>532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/>
    </row>
    <row r="544" spans="1:10" x14ac:dyDescent="0.25">
      <c r="A544" t="s">
        <v>794</v>
      </c>
      <c r="B544" t="s">
        <v>592</v>
      </c>
      <c r="C544" s="1">
        <v>1292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/>
    </row>
    <row r="545" spans="1:10" x14ac:dyDescent="0.25">
      <c r="A545" t="s">
        <v>843</v>
      </c>
      <c r="B545" t="s">
        <v>593</v>
      </c>
      <c r="C545" s="1">
        <v>1815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/>
    </row>
    <row r="546" spans="1:10" x14ac:dyDescent="0.25">
      <c r="A546" t="s">
        <v>863</v>
      </c>
      <c r="B546" t="s">
        <v>594</v>
      </c>
      <c r="C546" s="1">
        <v>2957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/>
    </row>
    <row r="547" spans="1:10" x14ac:dyDescent="0.25">
      <c r="A547" t="s">
        <v>804</v>
      </c>
      <c r="B547" t="s">
        <v>595</v>
      </c>
      <c r="C547" s="1">
        <f>2379</f>
        <v>2379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/>
    </row>
    <row r="548" spans="1:10" x14ac:dyDescent="0.25">
      <c r="A548" t="s">
        <v>795</v>
      </c>
      <c r="B548" t="s">
        <v>596</v>
      </c>
      <c r="C548" s="1">
        <f>4813</f>
        <v>4813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/>
    </row>
    <row r="549" spans="1:10" x14ac:dyDescent="0.25">
      <c r="A549" t="s">
        <v>101</v>
      </c>
      <c r="B549" t="s">
        <v>597</v>
      </c>
      <c r="C549" s="1">
        <v>10693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/>
    </row>
    <row r="550" spans="1:10" x14ac:dyDescent="0.25">
      <c r="A550" t="s">
        <v>835</v>
      </c>
      <c r="B550" t="s">
        <v>598</v>
      </c>
      <c r="C550" s="1">
        <v>4514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/>
    </row>
    <row r="551" spans="1:10" x14ac:dyDescent="0.25">
      <c r="A551" t="s">
        <v>842</v>
      </c>
      <c r="B551" t="s">
        <v>599</v>
      </c>
      <c r="C551" s="1">
        <v>3087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/>
    </row>
    <row r="552" spans="1:10" x14ac:dyDescent="0.25">
      <c r="A552" t="s">
        <v>226</v>
      </c>
      <c r="B552" t="s">
        <v>600</v>
      </c>
      <c r="C552" s="1">
        <f>2149</f>
        <v>2149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/>
    </row>
    <row r="553" spans="1:10" x14ac:dyDescent="0.25">
      <c r="A553" t="s">
        <v>817</v>
      </c>
      <c r="B553" t="s">
        <v>601</v>
      </c>
      <c r="C553" s="1">
        <v>11183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/>
    </row>
    <row r="554" spans="1:10" x14ac:dyDescent="0.25">
      <c r="A554" t="s">
        <v>788</v>
      </c>
      <c r="B554" t="s">
        <v>602</v>
      </c>
      <c r="C554" s="1">
        <v>14445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/>
    </row>
    <row r="555" spans="1:10" x14ac:dyDescent="0.25">
      <c r="A555" t="s">
        <v>859</v>
      </c>
      <c r="B555" t="s">
        <v>603</v>
      </c>
      <c r="C555" s="1">
        <v>1924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/>
    </row>
    <row r="556" spans="1:10" x14ac:dyDescent="0.25">
      <c r="A556" t="s">
        <v>831</v>
      </c>
      <c r="B556" t="s">
        <v>604</v>
      </c>
      <c r="C556" s="1">
        <v>10377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/>
    </row>
    <row r="557" spans="1:10" x14ac:dyDescent="0.25">
      <c r="A557" t="s">
        <v>809</v>
      </c>
      <c r="B557" t="s">
        <v>605</v>
      </c>
      <c r="C557" s="1">
        <v>928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/>
    </row>
    <row r="558" spans="1:10" x14ac:dyDescent="0.25">
      <c r="A558" t="s">
        <v>817</v>
      </c>
      <c r="B558" t="s">
        <v>606</v>
      </c>
      <c r="C558" s="1">
        <v>50976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/>
    </row>
    <row r="559" spans="1:10" x14ac:dyDescent="0.25">
      <c r="A559" t="s">
        <v>824</v>
      </c>
      <c r="B559" t="s">
        <v>607</v>
      </c>
      <c r="C559" s="1">
        <v>2573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/>
    </row>
    <row r="560" spans="1:10" x14ac:dyDescent="0.25">
      <c r="A560" t="s">
        <v>138</v>
      </c>
      <c r="B560" t="s">
        <v>608</v>
      </c>
      <c r="C560" s="1">
        <v>16962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/>
    </row>
    <row r="561" spans="1:10" x14ac:dyDescent="0.25">
      <c r="A561" t="s">
        <v>859</v>
      </c>
      <c r="B561" t="s">
        <v>609</v>
      </c>
      <c r="C561" s="1">
        <v>2340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/>
    </row>
    <row r="562" spans="1:10" x14ac:dyDescent="0.25">
      <c r="A562" t="s">
        <v>817</v>
      </c>
      <c r="B562" t="s">
        <v>610</v>
      </c>
      <c r="C562" s="1">
        <v>23260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/>
    </row>
    <row r="563" spans="1:10" x14ac:dyDescent="0.25">
      <c r="A563" t="s">
        <v>817</v>
      </c>
      <c r="B563" t="s">
        <v>611</v>
      </c>
      <c r="C563" s="1">
        <v>8230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/>
    </row>
    <row r="564" spans="1:10" x14ac:dyDescent="0.25">
      <c r="A564" t="s">
        <v>134</v>
      </c>
      <c r="B564" t="s">
        <v>612</v>
      </c>
      <c r="C564" s="1">
        <v>27810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/>
    </row>
    <row r="565" spans="1:10" x14ac:dyDescent="0.25">
      <c r="A565" t="s">
        <v>817</v>
      </c>
      <c r="B565" t="s">
        <v>613</v>
      </c>
      <c r="C565" s="1">
        <v>31571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/>
    </row>
    <row r="566" spans="1:10" x14ac:dyDescent="0.25">
      <c r="A566" t="s">
        <v>817</v>
      </c>
      <c r="B566" t="s">
        <v>614</v>
      </c>
      <c r="C566" s="1">
        <v>2465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/>
    </row>
    <row r="567" spans="1:10" x14ac:dyDescent="0.25">
      <c r="A567" t="s">
        <v>826</v>
      </c>
      <c r="B567" t="s">
        <v>615</v>
      </c>
      <c r="C567" s="1">
        <f>4620</f>
        <v>4620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/>
    </row>
    <row r="568" spans="1:10" x14ac:dyDescent="0.25">
      <c r="A568" t="s">
        <v>101</v>
      </c>
      <c r="B568" t="s">
        <v>616</v>
      </c>
      <c r="C568" s="1">
        <v>9387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/>
    </row>
    <row r="569" spans="1:10" x14ac:dyDescent="0.25">
      <c r="A569" t="s">
        <v>811</v>
      </c>
      <c r="B569" t="s">
        <v>617</v>
      </c>
      <c r="C569" s="1">
        <f>2447</f>
        <v>2447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/>
    </row>
    <row r="570" spans="1:10" x14ac:dyDescent="0.25">
      <c r="A570" t="s">
        <v>101</v>
      </c>
      <c r="B570" t="s">
        <v>618</v>
      </c>
      <c r="C570" s="1">
        <v>3767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/>
    </row>
    <row r="571" spans="1:10" x14ac:dyDescent="0.25">
      <c r="A571" t="s">
        <v>788</v>
      </c>
      <c r="B571" t="s">
        <v>619</v>
      </c>
      <c r="C571" s="1">
        <v>12230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/>
    </row>
    <row r="572" spans="1:10" x14ac:dyDescent="0.25">
      <c r="A572" t="s">
        <v>817</v>
      </c>
      <c r="B572" t="s">
        <v>620</v>
      </c>
      <c r="C572" s="1">
        <v>12941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/>
    </row>
    <row r="573" spans="1:10" x14ac:dyDescent="0.25">
      <c r="A573" t="s">
        <v>248</v>
      </c>
      <c r="B573" t="s">
        <v>621</v>
      </c>
      <c r="C573" s="1">
        <v>4301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/>
    </row>
    <row r="574" spans="1:10" x14ac:dyDescent="0.25">
      <c r="A574" t="s">
        <v>831</v>
      </c>
      <c r="B574" t="s">
        <v>622</v>
      </c>
      <c r="C574" s="1">
        <v>23351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/>
    </row>
    <row r="575" spans="1:10" x14ac:dyDescent="0.25">
      <c r="A575" t="s">
        <v>823</v>
      </c>
      <c r="B575" t="s">
        <v>623</v>
      </c>
      <c r="C575" s="1">
        <f>2861</f>
        <v>2861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/>
    </row>
    <row r="576" spans="1:10" x14ac:dyDescent="0.25">
      <c r="A576" t="s">
        <v>817</v>
      </c>
      <c r="B576" t="s">
        <v>624</v>
      </c>
      <c r="C576" s="1">
        <v>3077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/>
    </row>
    <row r="577" spans="1:10" x14ac:dyDescent="0.25">
      <c r="A577" t="s">
        <v>76</v>
      </c>
      <c r="B577" t="s">
        <v>625</v>
      </c>
      <c r="C577" s="1">
        <v>13645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/>
    </row>
    <row r="578" spans="1:10" x14ac:dyDescent="0.25">
      <c r="A578" t="s">
        <v>69</v>
      </c>
      <c r="B578" t="s">
        <v>626</v>
      </c>
      <c r="C578" s="1">
        <v>35224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7"/>
    </row>
    <row r="579" spans="1:10" x14ac:dyDescent="0.25">
      <c r="A579" t="s">
        <v>83</v>
      </c>
      <c r="B579" t="s">
        <v>627</v>
      </c>
      <c r="C579" s="1">
        <v>5756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7"/>
    </row>
    <row r="580" spans="1:10" x14ac:dyDescent="0.25">
      <c r="A580" t="s">
        <v>791</v>
      </c>
      <c r="B580" t="s">
        <v>628</v>
      </c>
      <c r="C580" s="1">
        <f>3298</f>
        <v>3298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/>
    </row>
    <row r="581" spans="1:10" x14ac:dyDescent="0.25">
      <c r="A581" t="s">
        <v>797</v>
      </c>
      <c r="B581" t="s">
        <v>629</v>
      </c>
      <c r="C581" s="1">
        <f>552</f>
        <v>552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/>
    </row>
    <row r="582" spans="1:10" x14ac:dyDescent="0.25">
      <c r="A582" t="s">
        <v>69</v>
      </c>
      <c r="B582" t="s">
        <v>630</v>
      </c>
      <c r="C582" s="1">
        <v>7216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7"/>
    </row>
    <row r="583" spans="1:10" x14ac:dyDescent="0.25">
      <c r="A583" t="s">
        <v>69</v>
      </c>
      <c r="B583" t="s">
        <v>631</v>
      </c>
      <c r="C583" s="1">
        <v>22193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7"/>
    </row>
    <row r="584" spans="1:10" x14ac:dyDescent="0.25">
      <c r="A584" t="s">
        <v>823</v>
      </c>
      <c r="B584" t="s">
        <v>632</v>
      </c>
      <c r="C584" s="1">
        <f>1626</f>
        <v>1626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/>
    </row>
    <row r="585" spans="1:10" x14ac:dyDescent="0.25">
      <c r="A585" t="s">
        <v>76</v>
      </c>
      <c r="B585" t="s">
        <v>633</v>
      </c>
      <c r="C585" s="1">
        <v>6501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/>
    </row>
    <row r="586" spans="1:10" x14ac:dyDescent="0.25">
      <c r="A586" t="s">
        <v>817</v>
      </c>
      <c r="B586" t="s">
        <v>634</v>
      </c>
      <c r="C586" s="1">
        <v>4426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/>
    </row>
    <row r="587" spans="1:10" x14ac:dyDescent="0.25">
      <c r="A587" t="s">
        <v>801</v>
      </c>
      <c r="B587" t="s">
        <v>635</v>
      </c>
      <c r="C587" s="1">
        <v>31609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7"/>
    </row>
    <row r="588" spans="1:10" x14ac:dyDescent="0.25">
      <c r="A588" t="s">
        <v>817</v>
      </c>
      <c r="B588" t="s">
        <v>636</v>
      </c>
      <c r="C588" s="1">
        <v>6503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/>
    </row>
    <row r="589" spans="1:10" x14ac:dyDescent="0.25">
      <c r="A589" t="s">
        <v>824</v>
      </c>
      <c r="B589" t="s">
        <v>637</v>
      </c>
      <c r="C589" s="1">
        <v>4888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/>
    </row>
    <row r="590" spans="1:10" x14ac:dyDescent="0.25">
      <c r="A590" t="s">
        <v>818</v>
      </c>
      <c r="B590" t="s">
        <v>638</v>
      </c>
      <c r="C590" s="1">
        <v>17001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/>
    </row>
    <row r="591" spans="1:10" x14ac:dyDescent="0.25">
      <c r="A591" t="s">
        <v>817</v>
      </c>
      <c r="B591" t="s">
        <v>639</v>
      </c>
      <c r="C591" s="1">
        <v>11907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/>
    </row>
    <row r="592" spans="1:10" x14ac:dyDescent="0.25">
      <c r="A592" t="s">
        <v>811</v>
      </c>
      <c r="B592" t="s">
        <v>640</v>
      </c>
      <c r="C592" s="1">
        <f>65911</f>
        <v>65911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/>
    </row>
    <row r="593" spans="1:10" x14ac:dyDescent="0.25">
      <c r="A593" t="s">
        <v>811</v>
      </c>
      <c r="B593" t="s">
        <v>641</v>
      </c>
      <c r="C593" s="1">
        <f>18433</f>
        <v>18433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/>
    </row>
    <row r="594" spans="1:10" x14ac:dyDescent="0.25">
      <c r="A594" t="s">
        <v>76</v>
      </c>
      <c r="B594" t="s">
        <v>642</v>
      </c>
      <c r="C594" s="1">
        <v>2627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/>
    </row>
    <row r="595" spans="1:10" x14ac:dyDescent="0.25">
      <c r="A595" t="s">
        <v>817</v>
      </c>
      <c r="B595" t="s">
        <v>643</v>
      </c>
      <c r="C595" s="1">
        <v>699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/>
    </row>
    <row r="596" spans="1:10" x14ac:dyDescent="0.25">
      <c r="A596" t="s">
        <v>76</v>
      </c>
      <c r="B596" t="s">
        <v>644</v>
      </c>
      <c r="C596" s="1">
        <v>5149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/>
    </row>
    <row r="597" spans="1:10" x14ac:dyDescent="0.25">
      <c r="A597" t="s">
        <v>817</v>
      </c>
      <c r="B597" t="s">
        <v>645</v>
      </c>
      <c r="C597" s="1">
        <v>22824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/>
    </row>
    <row r="598" spans="1:10" x14ac:dyDescent="0.25">
      <c r="A598" t="s">
        <v>817</v>
      </c>
      <c r="B598" t="s">
        <v>646</v>
      </c>
      <c r="C598" s="1">
        <v>5266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/>
    </row>
    <row r="599" spans="1:10" x14ac:dyDescent="0.25">
      <c r="A599" t="s">
        <v>226</v>
      </c>
      <c r="B599" t="s">
        <v>647</v>
      </c>
      <c r="C599" s="1">
        <f>689</f>
        <v>689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/>
    </row>
    <row r="600" spans="1:10" x14ac:dyDescent="0.25">
      <c r="A600" t="s">
        <v>831</v>
      </c>
      <c r="B600" t="s">
        <v>648</v>
      </c>
      <c r="C600" s="1">
        <v>20058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/>
    </row>
    <row r="601" spans="1:10" x14ac:dyDescent="0.25">
      <c r="A601" t="s">
        <v>818</v>
      </c>
      <c r="B601" t="s">
        <v>649</v>
      </c>
      <c r="C601" s="1">
        <v>6727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/>
    </row>
    <row r="602" spans="1:10" x14ac:dyDescent="0.25">
      <c r="A602" t="s">
        <v>817</v>
      </c>
      <c r="B602" t="s">
        <v>650</v>
      </c>
      <c r="C602" s="1">
        <v>14296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/>
    </row>
    <row r="603" spans="1:10" x14ac:dyDescent="0.25">
      <c r="A603" t="s">
        <v>817</v>
      </c>
      <c r="B603" t="s">
        <v>651</v>
      </c>
      <c r="C603" s="1">
        <v>8975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/>
    </row>
    <row r="604" spans="1:10" x14ac:dyDescent="0.25">
      <c r="A604" t="s">
        <v>817</v>
      </c>
      <c r="B604" t="s">
        <v>652</v>
      </c>
      <c r="C604" s="1">
        <v>1210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/>
    </row>
    <row r="605" spans="1:10" x14ac:dyDescent="0.25">
      <c r="A605" t="s">
        <v>817</v>
      </c>
      <c r="B605" t="s">
        <v>653</v>
      </c>
      <c r="C605" s="1">
        <v>27898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/>
    </row>
    <row r="606" spans="1:10" x14ac:dyDescent="0.25">
      <c r="A606" t="s">
        <v>817</v>
      </c>
      <c r="B606" t="s">
        <v>654</v>
      </c>
      <c r="C606" s="1">
        <v>18166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/>
    </row>
    <row r="607" spans="1:10" x14ac:dyDescent="0.25">
      <c r="A607" t="s">
        <v>826</v>
      </c>
      <c r="B607" t="s">
        <v>655</v>
      </c>
      <c r="C607" s="1">
        <f>13342</f>
        <v>13342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/>
    </row>
    <row r="608" spans="1:10" x14ac:dyDescent="0.25">
      <c r="A608" t="s">
        <v>817</v>
      </c>
      <c r="B608" t="s">
        <v>656</v>
      </c>
      <c r="C608" s="1">
        <v>5137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/>
    </row>
    <row r="609" spans="1:10" x14ac:dyDescent="0.25">
      <c r="A609" t="s">
        <v>811</v>
      </c>
      <c r="B609" t="s">
        <v>657</v>
      </c>
      <c r="C609" s="1">
        <f>30961</f>
        <v>30961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/>
    </row>
    <row r="610" spans="1:10" x14ac:dyDescent="0.25">
      <c r="A610" t="s">
        <v>817</v>
      </c>
      <c r="B610" t="s">
        <v>658</v>
      </c>
      <c r="C610" s="1">
        <v>30859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/>
    </row>
    <row r="611" spans="1:10" x14ac:dyDescent="0.25">
      <c r="A611" t="s">
        <v>860</v>
      </c>
      <c r="B611" t="s">
        <v>659</v>
      </c>
      <c r="C611" s="1">
        <v>6461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/>
    </row>
    <row r="612" spans="1:10" x14ac:dyDescent="0.25">
      <c r="A612" t="s">
        <v>248</v>
      </c>
      <c r="B612" t="s">
        <v>660</v>
      </c>
      <c r="C612" s="1">
        <v>7397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/>
    </row>
    <row r="613" spans="1:10" x14ac:dyDescent="0.25">
      <c r="A613" t="s">
        <v>861</v>
      </c>
      <c r="B613" t="s">
        <v>661</v>
      </c>
      <c r="C613" s="1">
        <v>4375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/>
    </row>
    <row r="614" spans="1:10" x14ac:dyDescent="0.25">
      <c r="A614" t="s">
        <v>229</v>
      </c>
      <c r="B614" t="s">
        <v>662</v>
      </c>
      <c r="C614" s="1">
        <f>6172</f>
        <v>6172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/>
    </row>
    <row r="615" spans="1:10" x14ac:dyDescent="0.25">
      <c r="A615" t="s">
        <v>101</v>
      </c>
      <c r="B615" t="s">
        <v>663</v>
      </c>
      <c r="C615" s="1">
        <v>2843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/>
    </row>
    <row r="616" spans="1:10" x14ac:dyDescent="0.25">
      <c r="A616" t="s">
        <v>69</v>
      </c>
      <c r="B616" t="s">
        <v>664</v>
      </c>
      <c r="C616" s="1">
        <v>8847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7"/>
    </row>
    <row r="617" spans="1:10" x14ac:dyDescent="0.25">
      <c r="A617" t="s">
        <v>859</v>
      </c>
      <c r="B617" t="s">
        <v>665</v>
      </c>
      <c r="C617" s="1">
        <v>3238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/>
    </row>
    <row r="618" spans="1:10" x14ac:dyDescent="0.25">
      <c r="A618" t="s">
        <v>804</v>
      </c>
      <c r="B618" t="s">
        <v>666</v>
      </c>
      <c r="C618" s="1">
        <f>15297</f>
        <v>15297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/>
    </row>
    <row r="619" spans="1:10" x14ac:dyDescent="0.25">
      <c r="A619" t="s">
        <v>853</v>
      </c>
      <c r="B619" t="s">
        <v>667</v>
      </c>
      <c r="C619" s="1">
        <v>2886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/>
    </row>
    <row r="620" spans="1:10" x14ac:dyDescent="0.25">
      <c r="A620" t="s">
        <v>862</v>
      </c>
      <c r="B620" t="s">
        <v>668</v>
      </c>
      <c r="C620" s="1">
        <v>5716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/>
    </row>
    <row r="621" spans="1:10" x14ac:dyDescent="0.25">
      <c r="A621" t="s">
        <v>847</v>
      </c>
      <c r="B621" t="s">
        <v>669</v>
      </c>
      <c r="C621" s="1">
        <v>2039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/>
    </row>
    <row r="622" spans="1:10" x14ac:dyDescent="0.25">
      <c r="A622" t="s">
        <v>849</v>
      </c>
      <c r="B622" t="s">
        <v>670</v>
      </c>
      <c r="C622" s="1">
        <v>81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/>
    </row>
    <row r="623" spans="1:10" x14ac:dyDescent="0.25">
      <c r="A623" t="s">
        <v>226</v>
      </c>
      <c r="B623" t="s">
        <v>671</v>
      </c>
      <c r="C623" s="1">
        <f>51</f>
        <v>51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/>
    </row>
    <row r="624" spans="1:10" x14ac:dyDescent="0.25">
      <c r="A624" t="s">
        <v>795</v>
      </c>
      <c r="B624" t="s">
        <v>672</v>
      </c>
      <c r="C624" s="1">
        <f>30320</f>
        <v>30320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/>
    </row>
    <row r="625" spans="1:10" x14ac:dyDescent="0.25">
      <c r="A625" t="s">
        <v>830</v>
      </c>
      <c r="B625" t="s">
        <v>673</v>
      </c>
      <c r="C625" s="1">
        <v>5106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/>
    </row>
    <row r="626" spans="1:10" x14ac:dyDescent="0.25">
      <c r="A626" t="s">
        <v>795</v>
      </c>
      <c r="B626" t="s">
        <v>674</v>
      </c>
      <c r="C626" s="1">
        <f>26658</f>
        <v>26658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/>
    </row>
    <row r="627" spans="1:10" x14ac:dyDescent="0.25">
      <c r="A627" t="s">
        <v>854</v>
      </c>
      <c r="B627" t="s">
        <v>675</v>
      </c>
      <c r="C627" s="1">
        <v>2177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/>
    </row>
    <row r="628" spans="1:10" x14ac:dyDescent="0.25">
      <c r="A628" t="s">
        <v>101</v>
      </c>
      <c r="B628" t="s">
        <v>676</v>
      </c>
      <c r="C628" s="1">
        <v>14711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/>
    </row>
    <row r="629" spans="1:10" x14ac:dyDescent="0.25">
      <c r="A629" t="s">
        <v>226</v>
      </c>
      <c r="B629" t="s">
        <v>677</v>
      </c>
      <c r="C629" s="1">
        <f>2830</f>
        <v>2830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/>
    </row>
    <row r="630" spans="1:10" x14ac:dyDescent="0.25">
      <c r="A630" t="s">
        <v>138</v>
      </c>
      <c r="B630" t="s">
        <v>678</v>
      </c>
      <c r="C630" s="1">
        <v>12762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/>
    </row>
    <row r="631" spans="1:10" x14ac:dyDescent="0.25">
      <c r="A631" t="s">
        <v>804</v>
      </c>
      <c r="B631" t="s">
        <v>679</v>
      </c>
      <c r="C631" s="1">
        <f>6688</f>
        <v>6688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/>
    </row>
    <row r="632" spans="1:10" x14ac:dyDescent="0.25">
      <c r="A632" t="s">
        <v>823</v>
      </c>
      <c r="B632" t="s">
        <v>680</v>
      </c>
      <c r="C632" s="1">
        <f>19521</f>
        <v>19521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/>
    </row>
    <row r="633" spans="1:10" x14ac:dyDescent="0.25">
      <c r="A633" t="s">
        <v>809</v>
      </c>
      <c r="B633" t="s">
        <v>681</v>
      </c>
      <c r="C633" s="1">
        <v>30669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/>
    </row>
    <row r="634" spans="1:10" x14ac:dyDescent="0.25">
      <c r="A634" t="s">
        <v>248</v>
      </c>
      <c r="B634" t="s">
        <v>682</v>
      </c>
      <c r="C634" s="1">
        <v>11952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/>
    </row>
    <row r="635" spans="1:10" x14ac:dyDescent="0.25">
      <c r="A635" t="s">
        <v>795</v>
      </c>
      <c r="B635" t="s">
        <v>683</v>
      </c>
      <c r="C635" s="1">
        <f>17967</f>
        <v>17967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/>
    </row>
    <row r="636" spans="1:10" x14ac:dyDescent="0.25">
      <c r="A636" t="s">
        <v>795</v>
      </c>
      <c r="B636" t="s">
        <v>684</v>
      </c>
      <c r="C636" s="1">
        <f>49967</f>
        <v>49967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/>
    </row>
    <row r="637" spans="1:10" x14ac:dyDescent="0.25">
      <c r="A637" t="s">
        <v>795</v>
      </c>
      <c r="B637" t="s">
        <v>685</v>
      </c>
      <c r="C637" s="1">
        <f>6758</f>
        <v>6758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/>
    </row>
    <row r="638" spans="1:10" x14ac:dyDescent="0.25">
      <c r="A638" t="s">
        <v>851</v>
      </c>
      <c r="B638" t="s">
        <v>686</v>
      </c>
      <c r="C638" s="1">
        <v>1693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/>
    </row>
    <row r="639" spans="1:10" x14ac:dyDescent="0.25">
      <c r="A639" t="s">
        <v>841</v>
      </c>
      <c r="B639" t="s">
        <v>687</v>
      </c>
      <c r="C639" s="1">
        <v>9813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/>
    </row>
    <row r="640" spans="1:10" x14ac:dyDescent="0.25">
      <c r="A640" t="s">
        <v>859</v>
      </c>
      <c r="B640" t="s">
        <v>688</v>
      </c>
      <c r="C640" s="1">
        <v>2150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/>
    </row>
    <row r="641" spans="1:10" x14ac:dyDescent="0.25">
      <c r="A641" t="s">
        <v>248</v>
      </c>
      <c r="B641" t="s">
        <v>689</v>
      </c>
      <c r="C641" s="1">
        <v>19712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/>
    </row>
    <row r="642" spans="1:10" x14ac:dyDescent="0.25">
      <c r="A642" t="s">
        <v>831</v>
      </c>
      <c r="B642" t="s">
        <v>690</v>
      </c>
      <c r="C642" s="1">
        <v>9131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/>
    </row>
    <row r="643" spans="1:10" x14ac:dyDescent="0.25">
      <c r="A643" t="s">
        <v>840</v>
      </c>
      <c r="B643" t="s">
        <v>691</v>
      </c>
      <c r="C643" s="1">
        <v>1100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/>
    </row>
    <row r="644" spans="1:10" x14ac:dyDescent="0.25">
      <c r="A644" t="s">
        <v>495</v>
      </c>
      <c r="B644" t="s">
        <v>692</v>
      </c>
      <c r="C644" s="1">
        <v>11074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/>
    </row>
    <row r="645" spans="1:10" x14ac:dyDescent="0.25">
      <c r="A645" t="s">
        <v>824</v>
      </c>
      <c r="B645" t="s">
        <v>693</v>
      </c>
      <c r="C645" s="1">
        <v>6067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/>
    </row>
    <row r="646" spans="1:10" x14ac:dyDescent="0.25">
      <c r="A646" t="s">
        <v>795</v>
      </c>
      <c r="B646" t="s">
        <v>694</v>
      </c>
      <c r="C646" s="1">
        <f>3563</f>
        <v>3563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/>
    </row>
    <row r="647" spans="1:10" x14ac:dyDescent="0.25">
      <c r="A647" t="s">
        <v>72</v>
      </c>
      <c r="B647" t="s">
        <v>695</v>
      </c>
      <c r="C647" s="1">
        <f>2275</f>
        <v>2275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/>
    </row>
    <row r="648" spans="1:10" x14ac:dyDescent="0.25">
      <c r="A648" t="s">
        <v>795</v>
      </c>
      <c r="B648" t="s">
        <v>696</v>
      </c>
      <c r="C648" s="1">
        <f>8091</f>
        <v>8091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/>
    </row>
    <row r="649" spans="1:10" x14ac:dyDescent="0.25">
      <c r="A649" t="s">
        <v>831</v>
      </c>
      <c r="B649" t="s">
        <v>697</v>
      </c>
      <c r="C649" s="1">
        <v>9014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/>
    </row>
    <row r="650" spans="1:10" x14ac:dyDescent="0.25">
      <c r="A650" t="s">
        <v>829</v>
      </c>
      <c r="B650" t="s">
        <v>698</v>
      </c>
      <c r="C650" s="1">
        <v>17367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/>
    </row>
    <row r="651" spans="1:10" x14ac:dyDescent="0.25">
      <c r="A651" t="s">
        <v>811</v>
      </c>
      <c r="B651" t="s">
        <v>699</v>
      </c>
      <c r="C651" s="1">
        <f>15263</f>
        <v>15263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/>
    </row>
    <row r="652" spans="1:10" x14ac:dyDescent="0.25">
      <c r="A652" t="s">
        <v>856</v>
      </c>
      <c r="B652" t="s">
        <v>700</v>
      </c>
      <c r="C652" s="1">
        <v>15543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/>
    </row>
    <row r="653" spans="1:10" x14ac:dyDescent="0.25">
      <c r="A653" t="s">
        <v>796</v>
      </c>
      <c r="B653" t="s">
        <v>701</v>
      </c>
      <c r="C653" s="1">
        <f>12288</f>
        <v>12288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/>
    </row>
    <row r="654" spans="1:10" x14ac:dyDescent="0.25">
      <c r="A654" t="s">
        <v>512</v>
      </c>
      <c r="B654" t="s">
        <v>702</v>
      </c>
      <c r="C654" s="1">
        <f>2383</f>
        <v>2383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/>
    </row>
    <row r="655" spans="1:10" x14ac:dyDescent="0.25">
      <c r="A655" t="s">
        <v>850</v>
      </c>
      <c r="B655" t="s">
        <v>703</v>
      </c>
      <c r="C655" s="1">
        <v>1576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/>
    </row>
    <row r="656" spans="1:10" x14ac:dyDescent="0.25">
      <c r="A656" t="s">
        <v>146</v>
      </c>
      <c r="B656" t="s">
        <v>704</v>
      </c>
      <c r="C656" s="1">
        <v>9782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/>
    </row>
    <row r="657" spans="1:10" x14ac:dyDescent="0.25">
      <c r="A657" t="s">
        <v>846</v>
      </c>
      <c r="B657" t="s">
        <v>705</v>
      </c>
      <c r="C657" s="1">
        <v>3334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/>
    </row>
    <row r="658" spans="1:10" x14ac:dyDescent="0.25">
      <c r="A658" t="s">
        <v>855</v>
      </c>
      <c r="B658" t="s">
        <v>706</v>
      </c>
      <c r="C658" s="1">
        <v>4859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/>
    </row>
    <row r="659" spans="1:10" x14ac:dyDescent="0.25">
      <c r="A659" t="s">
        <v>794</v>
      </c>
      <c r="B659" t="s">
        <v>707</v>
      </c>
      <c r="C659" s="1">
        <v>3680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/>
    </row>
    <row r="660" spans="1:10" x14ac:dyDescent="0.25">
      <c r="A660" t="s">
        <v>108</v>
      </c>
      <c r="B660" t="s">
        <v>708</v>
      </c>
      <c r="C660" s="1"/>
      <c r="D660" s="1"/>
      <c r="E660" s="1"/>
      <c r="F660" s="1"/>
      <c r="G660" s="1"/>
      <c r="H660" s="1"/>
      <c r="I660" s="1">
        <f ca="1">Tabla13456[[#This Row],[ENVIAR]]+Tabla13456[[#This Row],[COPIAR]]</f>
        <v>0</v>
      </c>
      <c r="J660" s="1"/>
    </row>
    <row r="661" spans="1:10" x14ac:dyDescent="0.25">
      <c r="A661" t="s">
        <v>834</v>
      </c>
      <c r="B661" t="s">
        <v>709</v>
      </c>
      <c r="C661" s="1">
        <v>4802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/>
    </row>
    <row r="662" spans="1:10" x14ac:dyDescent="0.25">
      <c r="A662" t="s">
        <v>852</v>
      </c>
      <c r="B662" t="s">
        <v>710</v>
      </c>
      <c r="C662" s="1">
        <v>3648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/>
    </row>
    <row r="663" spans="1:10" x14ac:dyDescent="0.25">
      <c r="A663" t="s">
        <v>824</v>
      </c>
      <c r="B663" t="s">
        <v>711</v>
      </c>
      <c r="C663" s="1">
        <v>5395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/>
    </row>
    <row r="664" spans="1:10" x14ac:dyDescent="0.25">
      <c r="A664" t="s">
        <v>817</v>
      </c>
      <c r="B664" t="s">
        <v>712</v>
      </c>
      <c r="C664" s="1">
        <v>6993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/>
    </row>
    <row r="665" spans="1:10" x14ac:dyDescent="0.25">
      <c r="A665" t="s">
        <v>857</v>
      </c>
      <c r="B665" t="s">
        <v>713</v>
      </c>
      <c r="C665" s="1">
        <v>4610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/>
    </row>
    <row r="666" spans="1:10" x14ac:dyDescent="0.25">
      <c r="A666" t="s">
        <v>146</v>
      </c>
      <c r="B666" t="s">
        <v>714</v>
      </c>
      <c r="C666" s="1">
        <v>18165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/>
    </row>
    <row r="667" spans="1:10" x14ac:dyDescent="0.25">
      <c r="A667" t="s">
        <v>120</v>
      </c>
      <c r="B667" t="s">
        <v>715</v>
      </c>
      <c r="C667" s="1">
        <f>5970</f>
        <v>5970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/>
    </row>
    <row r="668" spans="1:10" x14ac:dyDescent="0.25">
      <c r="A668" t="s">
        <v>146</v>
      </c>
      <c r="B668" t="s">
        <v>716</v>
      </c>
      <c r="C668" s="1">
        <v>4789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/>
    </row>
    <row r="669" spans="1:10" x14ac:dyDescent="0.25">
      <c r="A669" t="s">
        <v>795</v>
      </c>
      <c r="B669" t="s">
        <v>717</v>
      </c>
      <c r="C669" s="1">
        <f>7648</f>
        <v>7648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/>
    </row>
    <row r="670" spans="1:10" x14ac:dyDescent="0.25">
      <c r="A670" t="s">
        <v>146</v>
      </c>
      <c r="B670" t="s">
        <v>718</v>
      </c>
      <c r="C670" s="1">
        <v>14625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/>
    </row>
    <row r="671" spans="1:10" x14ac:dyDescent="0.25">
      <c r="A671" t="s">
        <v>816</v>
      </c>
      <c r="B671" t="s">
        <v>719</v>
      </c>
      <c r="C671" s="1">
        <v>1520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/>
    </row>
    <row r="672" spans="1:10" x14ac:dyDescent="0.25">
      <c r="A672" t="s">
        <v>817</v>
      </c>
      <c r="B672" t="s">
        <v>720</v>
      </c>
      <c r="C672" s="1">
        <v>21497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/>
    </row>
    <row r="673" spans="1:10" x14ac:dyDescent="0.25">
      <c r="A673" t="s">
        <v>864</v>
      </c>
      <c r="B673" t="s">
        <v>721</v>
      </c>
      <c r="C673" s="1">
        <v>39387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/>
    </row>
    <row r="674" spans="1:10" x14ac:dyDescent="0.25">
      <c r="A674" t="s">
        <v>146</v>
      </c>
      <c r="B674" t="s">
        <v>722</v>
      </c>
      <c r="C674" s="1">
        <v>4461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/>
    </row>
    <row r="675" spans="1:10" x14ac:dyDescent="0.25">
      <c r="A675" t="s">
        <v>858</v>
      </c>
      <c r="B675" t="s">
        <v>723</v>
      </c>
      <c r="C675" s="1">
        <v>5860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/>
    </row>
    <row r="676" spans="1:10" x14ac:dyDescent="0.25">
      <c r="A676" t="s">
        <v>864</v>
      </c>
      <c r="B676" t="s">
        <v>724</v>
      </c>
      <c r="C676" s="1">
        <v>64566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/>
    </row>
    <row r="677" spans="1:10" x14ac:dyDescent="0.25">
      <c r="A677" t="s">
        <v>794</v>
      </c>
      <c r="B677" t="s">
        <v>725</v>
      </c>
      <c r="C677" s="1">
        <v>18568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/>
    </row>
    <row r="678" spans="1:10" x14ac:dyDescent="0.25">
      <c r="A678" t="s">
        <v>864</v>
      </c>
      <c r="B678" t="s">
        <v>726</v>
      </c>
      <c r="C678" s="1">
        <v>26118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/>
    </row>
    <row r="679" spans="1:10" x14ac:dyDescent="0.25">
      <c r="A679" t="s">
        <v>796</v>
      </c>
      <c r="B679" t="s">
        <v>727</v>
      </c>
      <c r="C679" s="1">
        <f>1130</f>
        <v>1130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/>
    </row>
    <row r="680" spans="1:10" x14ac:dyDescent="0.25">
      <c r="A680" t="s">
        <v>134</v>
      </c>
      <c r="B680" t="s">
        <v>728</v>
      </c>
      <c r="C680" s="1">
        <v>1583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/>
    </row>
    <row r="681" spans="1:10" x14ac:dyDescent="0.25">
      <c r="A681" t="s">
        <v>138</v>
      </c>
      <c r="B681" t="s">
        <v>729</v>
      </c>
      <c r="C681" s="1">
        <v>5401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/>
    </row>
    <row r="682" spans="1:10" x14ac:dyDescent="0.25">
      <c r="A682" t="s">
        <v>788</v>
      </c>
      <c r="B682" t="s">
        <v>730</v>
      </c>
      <c r="C682" s="1">
        <v>1350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/>
    </row>
    <row r="683" spans="1:10" x14ac:dyDescent="0.25">
      <c r="A683" t="s">
        <v>831</v>
      </c>
      <c r="B683" t="s">
        <v>731</v>
      </c>
      <c r="C683" s="1">
        <v>1374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/>
    </row>
    <row r="684" spans="1:10" x14ac:dyDescent="0.25">
      <c r="A684" t="s">
        <v>138</v>
      </c>
      <c r="B684" t="s">
        <v>732</v>
      </c>
      <c r="C684" s="1">
        <v>4029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/>
    </row>
    <row r="685" spans="1:10" x14ac:dyDescent="0.25">
      <c r="A685" t="s">
        <v>809</v>
      </c>
      <c r="B685" t="s">
        <v>733</v>
      </c>
      <c r="C685" s="1">
        <v>15938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/>
    </row>
    <row r="686" spans="1:10" x14ac:dyDescent="0.25">
      <c r="A686" t="s">
        <v>806</v>
      </c>
      <c r="B686" t="s">
        <v>734</v>
      </c>
      <c r="C686" s="1">
        <f>1299</f>
        <v>1299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/>
    </row>
    <row r="687" spans="1:10" x14ac:dyDescent="0.25">
      <c r="A687" t="s">
        <v>817</v>
      </c>
      <c r="B687" t="s">
        <v>735</v>
      </c>
      <c r="C687" s="1">
        <v>3433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/>
    </row>
    <row r="688" spans="1:10" x14ac:dyDescent="0.25">
      <c r="A688" t="s">
        <v>801</v>
      </c>
      <c r="B688" t="s">
        <v>736</v>
      </c>
      <c r="C688" s="1"/>
      <c r="D688" s="1"/>
      <c r="E688" s="1"/>
      <c r="F688" s="1"/>
      <c r="G688" s="1"/>
      <c r="H688" s="1"/>
      <c r="I688" s="1"/>
      <c r="J688" s="1"/>
    </row>
    <row r="689" spans="1:10" x14ac:dyDescent="0.25">
      <c r="A689" t="s">
        <v>138</v>
      </c>
      <c r="B689" t="s">
        <v>737</v>
      </c>
      <c r="C689" s="1">
        <v>7481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/>
    </row>
    <row r="690" spans="1:10" x14ac:dyDescent="0.25">
      <c r="A690" t="s">
        <v>138</v>
      </c>
      <c r="B690" t="s">
        <v>738</v>
      </c>
      <c r="C690" s="1">
        <v>6995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/>
    </row>
    <row r="691" spans="1:10" x14ac:dyDescent="0.25">
      <c r="A691" t="s">
        <v>248</v>
      </c>
      <c r="B691" t="s">
        <v>739</v>
      </c>
      <c r="C691" s="1">
        <v>9084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/>
    </row>
    <row r="692" spans="1:10" x14ac:dyDescent="0.25">
      <c r="A692" t="s">
        <v>138</v>
      </c>
      <c r="B692" t="s">
        <v>740</v>
      </c>
      <c r="C692" s="1">
        <v>3482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/>
    </row>
    <row r="693" spans="1:10" x14ac:dyDescent="0.25">
      <c r="A693" t="s">
        <v>134</v>
      </c>
      <c r="B693" t="s">
        <v>741</v>
      </c>
      <c r="C693" s="1">
        <v>3317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/>
    </row>
    <row r="694" spans="1:10" x14ac:dyDescent="0.25">
      <c r="A694" t="s">
        <v>231</v>
      </c>
      <c r="B694" t="s">
        <v>742</v>
      </c>
      <c r="C694" s="1">
        <v>10466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/>
    </row>
    <row r="695" spans="1:10" x14ac:dyDescent="0.25">
      <c r="A695" t="s">
        <v>83</v>
      </c>
      <c r="B695" t="s">
        <v>743</v>
      </c>
      <c r="C695" s="1">
        <v>1352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7"/>
    </row>
    <row r="696" spans="1:10" x14ac:dyDescent="0.25">
      <c r="A696" t="s">
        <v>826</v>
      </c>
      <c r="B696" t="s">
        <v>744</v>
      </c>
      <c r="C696" s="1">
        <f>1276</f>
        <v>1276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/>
    </row>
    <row r="697" spans="1:10" x14ac:dyDescent="0.25">
      <c r="A697" t="s">
        <v>811</v>
      </c>
      <c r="B697" t="s">
        <v>745</v>
      </c>
      <c r="C697" s="1">
        <f>17253</f>
        <v>17253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/>
    </row>
    <row r="698" spans="1:10" x14ac:dyDescent="0.25">
      <c r="A698" t="s">
        <v>248</v>
      </c>
      <c r="B698" t="s">
        <v>746</v>
      </c>
      <c r="C698" s="1">
        <v>69647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/>
    </row>
    <row r="699" spans="1:10" x14ac:dyDescent="0.25">
      <c r="A699" t="s">
        <v>801</v>
      </c>
      <c r="B699" t="s">
        <v>747</v>
      </c>
      <c r="C699" s="1">
        <v>3342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7"/>
    </row>
    <row r="700" spans="1:10" x14ac:dyDescent="0.25">
      <c r="A700" t="s">
        <v>809</v>
      </c>
      <c r="B700" t="s">
        <v>748</v>
      </c>
      <c r="C700" s="1">
        <f>11239+2+6+2+328+1+1+244</f>
        <v>11823</v>
      </c>
      <c r="D700" s="1">
        <f>222+11</f>
        <v>233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/>
    </row>
    <row r="701" spans="1:10" x14ac:dyDescent="0.25">
      <c r="A701" t="s">
        <v>823</v>
      </c>
      <c r="B701" t="s">
        <v>749</v>
      </c>
      <c r="C701" s="1">
        <f>29610+12+307+2</f>
        <v>29931</v>
      </c>
      <c r="D701" s="1">
        <f>10+17</f>
        <v>27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/>
    </row>
    <row r="702" spans="1:10" x14ac:dyDescent="0.25">
      <c r="A702" t="s">
        <v>226</v>
      </c>
      <c r="B702" t="s">
        <v>750</v>
      </c>
      <c r="C702" s="1">
        <f>2150+27+5</f>
        <v>2182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/>
    </row>
    <row r="703" spans="1:10" x14ac:dyDescent="0.25">
      <c r="A703" t="s">
        <v>811</v>
      </c>
      <c r="B703" t="s">
        <v>751</v>
      </c>
      <c r="C703" s="1">
        <f>5371+7</f>
        <v>5378</v>
      </c>
      <c r="D703" s="1">
        <f>21+7</f>
        <v>28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/>
    </row>
    <row r="704" spans="1:10" x14ac:dyDescent="0.25">
      <c r="A704" t="s">
        <v>797</v>
      </c>
      <c r="B704" t="s">
        <v>752</v>
      </c>
      <c r="C704" s="1">
        <f>24130+1+4+3</f>
        <v>24138</v>
      </c>
      <c r="D704" s="1">
        <f>31+4</f>
        <v>35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/>
    </row>
    <row r="705" spans="1:10" x14ac:dyDescent="0.25">
      <c r="A705" t="s">
        <v>69</v>
      </c>
      <c r="B705" t="s">
        <v>753</v>
      </c>
      <c r="C705" s="1">
        <v>34513</v>
      </c>
      <c r="D705" s="1">
        <v>7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7"/>
    </row>
    <row r="706" spans="1:10" x14ac:dyDescent="0.25">
      <c r="A706" t="s">
        <v>824</v>
      </c>
      <c r="B706" t="s">
        <v>754</v>
      </c>
      <c r="C706" s="1">
        <f>7772+32</f>
        <v>7804</v>
      </c>
      <c r="D706" s="1">
        <v>20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/>
    </row>
    <row r="707" spans="1:10" x14ac:dyDescent="0.25">
      <c r="A707" t="s">
        <v>817</v>
      </c>
      <c r="B707" t="s">
        <v>755</v>
      </c>
      <c r="C707" s="1">
        <f>43051+5+1+47+1+61+4+1+1+54</f>
        <v>43226</v>
      </c>
      <c r="D707" s="1">
        <f>63+1+5+27</f>
        <v>96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/>
    </row>
    <row r="708" spans="1:10" x14ac:dyDescent="0.25">
      <c r="A708" t="s">
        <v>794</v>
      </c>
      <c r="B708" t="s">
        <v>756</v>
      </c>
      <c r="C708" s="1">
        <f>30266+23+1+4</f>
        <v>30294</v>
      </c>
      <c r="D708" s="1">
        <f>117+2+7</f>
        <v>126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/>
    </row>
    <row r="709" spans="1:10" x14ac:dyDescent="0.25">
      <c r="A709" t="s">
        <v>120</v>
      </c>
      <c r="B709" t="s">
        <v>757</v>
      </c>
      <c r="C709" s="1"/>
      <c r="D709" s="1"/>
      <c r="E709" s="1"/>
      <c r="F709" s="1"/>
      <c r="G709" s="1"/>
      <c r="H709" s="1"/>
      <c r="I709" s="1"/>
      <c r="J709" s="1"/>
    </row>
    <row r="710" spans="1:10" x14ac:dyDescent="0.25">
      <c r="A710" t="s">
        <v>788</v>
      </c>
      <c r="B710" t="s">
        <v>758</v>
      </c>
      <c r="C710" s="1">
        <f>17601+1111</f>
        <v>18712</v>
      </c>
      <c r="D710" s="1">
        <v>1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/>
    </row>
    <row r="711" spans="1:10" x14ac:dyDescent="0.25">
      <c r="A711" t="s">
        <v>146</v>
      </c>
      <c r="B711" t="s">
        <v>759</v>
      </c>
      <c r="C711" s="1">
        <v>60190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/>
    </row>
    <row r="712" spans="1:10" x14ac:dyDescent="0.25">
      <c r="A712" t="s">
        <v>795</v>
      </c>
      <c r="B712" t="s">
        <v>760</v>
      </c>
      <c r="C712" s="1">
        <f>41518+2</f>
        <v>41520</v>
      </c>
      <c r="D712" s="1">
        <f>72</f>
        <v>72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/>
    </row>
    <row r="713" spans="1:10" x14ac:dyDescent="0.25">
      <c r="A713" t="s">
        <v>248</v>
      </c>
      <c r="B713" t="s">
        <v>761</v>
      </c>
      <c r="C713" s="1">
        <f>9898+3+2</f>
        <v>9903</v>
      </c>
      <c r="D713" s="1">
        <v>6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/>
    </row>
    <row r="714" spans="1:10" x14ac:dyDescent="0.25">
      <c r="A714" t="s">
        <v>796</v>
      </c>
      <c r="B714" t="s">
        <v>762</v>
      </c>
      <c r="C714" s="1">
        <f>440</f>
        <v>440</v>
      </c>
      <c r="D714" s="1">
        <f>2</f>
        <v>2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/>
    </row>
    <row r="715" spans="1:10" x14ac:dyDescent="0.25">
      <c r="A715" t="s">
        <v>138</v>
      </c>
      <c r="B715" t="s">
        <v>763</v>
      </c>
      <c r="C715" s="1">
        <f>26473+4+4</f>
        <v>26481</v>
      </c>
      <c r="D715" s="1">
        <f>39+20</f>
        <v>59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/>
    </row>
    <row r="716" spans="1:10" x14ac:dyDescent="0.25">
      <c r="A716" t="s">
        <v>265</v>
      </c>
      <c r="B716" t="s">
        <v>764</v>
      </c>
      <c r="C716" s="1">
        <v>7032</v>
      </c>
      <c r="D716" s="1">
        <v>2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/>
    </row>
    <row r="717" spans="1:10" x14ac:dyDescent="0.25">
      <c r="A717" t="s">
        <v>823</v>
      </c>
      <c r="B717" t="s">
        <v>765</v>
      </c>
      <c r="C717" s="1">
        <f>23715+18+4</f>
        <v>23737</v>
      </c>
      <c r="D717" s="1">
        <f>460</f>
        <v>460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/>
    </row>
    <row r="718" spans="1:10" x14ac:dyDescent="0.25">
      <c r="A718" t="s">
        <v>83</v>
      </c>
      <c r="B718" t="s">
        <v>766</v>
      </c>
      <c r="C718" s="1">
        <v>5614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7"/>
    </row>
    <row r="719" spans="1:10" x14ac:dyDescent="0.25">
      <c r="A719" t="s">
        <v>864</v>
      </c>
      <c r="B719" t="s">
        <v>767</v>
      </c>
      <c r="C719" s="1">
        <f>13219</f>
        <v>13219</v>
      </c>
      <c r="D719" s="1">
        <f>20+16</f>
        <v>36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/>
    </row>
    <row r="720" spans="1:10" x14ac:dyDescent="0.25">
      <c r="A720" t="s">
        <v>76</v>
      </c>
      <c r="B720" t="s">
        <v>768</v>
      </c>
      <c r="C720" s="1">
        <v>26900</v>
      </c>
      <c r="D720" s="1">
        <v>109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/>
    </row>
    <row r="721" spans="1:10" x14ac:dyDescent="0.25">
      <c r="A721" s="53" t="s">
        <v>101</v>
      </c>
      <c r="B721" s="55" t="s">
        <v>769</v>
      </c>
      <c r="C721" s="1">
        <v>17228</v>
      </c>
      <c r="D721" s="1">
        <v>19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/>
    </row>
    <row r="722" spans="1:10" x14ac:dyDescent="0.25">
      <c r="A722" s="53" t="s">
        <v>831</v>
      </c>
      <c r="B722" s="55" t="s">
        <v>770</v>
      </c>
      <c r="C722" s="1">
        <v>1223</v>
      </c>
      <c r="D722" s="1">
        <v>1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/>
    </row>
    <row r="723" spans="1:10" x14ac:dyDescent="0.25">
      <c r="A723" s="53" t="s">
        <v>512</v>
      </c>
      <c r="B723" s="55" t="s">
        <v>771</v>
      </c>
      <c r="C723" s="1">
        <f>6413+1</f>
        <v>6414</v>
      </c>
      <c r="D723" s="1">
        <f>1</f>
        <v>1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/>
    </row>
    <row r="724" spans="1:10" x14ac:dyDescent="0.25">
      <c r="A724" s="53" t="s">
        <v>848</v>
      </c>
      <c r="B724" s="55" t="s">
        <v>772</v>
      </c>
      <c r="C724" s="1">
        <f>3168+22</f>
        <v>3190</v>
      </c>
      <c r="D724" s="1">
        <v>6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/>
    </row>
    <row r="725" spans="1:10" x14ac:dyDescent="0.25">
      <c r="A725" s="53" t="s">
        <v>796</v>
      </c>
      <c r="B725" s="55" t="s">
        <v>773</v>
      </c>
      <c r="C725" s="1">
        <f>3872+174</f>
        <v>4046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/>
    </row>
    <row r="726" spans="1:10" x14ac:dyDescent="0.25">
      <c r="A726" s="53" t="s">
        <v>826</v>
      </c>
      <c r="B726" s="55" t="s">
        <v>774</v>
      </c>
      <c r="C726" s="1"/>
      <c r="D726" s="1"/>
      <c r="E726" s="1"/>
      <c r="F726" s="1"/>
      <c r="G726" s="1"/>
      <c r="H726" s="1"/>
      <c r="I726" s="1"/>
      <c r="J726" s="1"/>
    </row>
    <row r="727" spans="1:10" x14ac:dyDescent="0.25">
      <c r="A727" s="53" t="s">
        <v>805</v>
      </c>
      <c r="B727" s="55" t="s">
        <v>775</v>
      </c>
      <c r="C727" s="1"/>
      <c r="D727" s="1"/>
      <c r="E727" s="1"/>
      <c r="F727" s="1"/>
      <c r="G727" s="1"/>
      <c r="H727" s="1"/>
      <c r="I727" s="1"/>
      <c r="J727" s="1"/>
    </row>
    <row r="728" spans="1:10" x14ac:dyDescent="0.25">
      <c r="A728" s="53" t="s">
        <v>805</v>
      </c>
      <c r="B728" s="55" t="s">
        <v>776</v>
      </c>
      <c r="C728" s="1"/>
      <c r="D728" s="1"/>
      <c r="E728" s="1"/>
      <c r="F728" s="1"/>
      <c r="G728" s="1"/>
      <c r="H728" s="1"/>
      <c r="I728" s="1"/>
      <c r="J728" s="1"/>
    </row>
    <row r="729" spans="1:10" x14ac:dyDescent="0.25">
      <c r="A729" s="54" t="s">
        <v>805</v>
      </c>
      <c r="B729" s="56" t="s">
        <v>777</v>
      </c>
      <c r="C729" s="1"/>
      <c r="D729" s="1"/>
      <c r="E729" s="1"/>
      <c r="F729" s="1"/>
      <c r="G729" s="1"/>
      <c r="H729" s="1"/>
      <c r="I729" s="1"/>
      <c r="J729" s="1"/>
    </row>
  </sheetData>
  <conditionalFormatting sqref="A709:B709">
    <cfRule type="expression" dxfId="69" priority="7">
      <formula>A709&lt;&gt;N709</formula>
    </cfRule>
  </conditionalFormatting>
  <conditionalFormatting sqref="B709">
    <cfRule type="expression" dxfId="68" priority="6">
      <formula>B709&lt;&gt;#REF!</formula>
    </cfRule>
  </conditionalFormatting>
  <conditionalFormatting sqref="B721:B729">
    <cfRule type="expression" dxfId="67" priority="1">
      <formula>B721&lt;&gt;M721</formula>
    </cfRule>
  </conditionalFormatting>
  <conditionalFormatting sqref="B710:C710">
    <cfRule type="expression" dxfId="66" priority="4">
      <formula>B710&lt;&gt;#REF!</formula>
    </cfRule>
  </conditionalFormatting>
  <conditionalFormatting sqref="B712:C712">
    <cfRule type="expression" dxfId="65" priority="3">
      <formula>B712&lt;&gt;#REF!</formula>
    </cfRule>
  </conditionalFormatting>
  <pageMargins left="0.7" right="0.7" top="0.75" bottom="0.75" header="0.3" footer="0.3"/>
  <pageSetup paperSize="9" orientation="portrait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A2DF8DE6-9030-4E8C-9C7B-E1A91DEBB260}">
            <xm:f>A721&lt;&gt;'202212 DICIEMBRE'!#REF!</xm:f>
            <x14:dxf>
              <fill>
                <patternFill>
                  <bgColor theme="7" tint="0.39994506668294322"/>
                </patternFill>
              </fill>
            </x14:dxf>
          </x14:cfRule>
          <xm:sqref>A721:B729</xm:sqref>
        </x14:conditionalFormatting>
        <x14:conditionalFormatting xmlns:xm="http://schemas.microsoft.com/office/excel/2006/main">
          <x14:cfRule type="expression" priority="5" id="{87CD8EF7-5F5B-40FA-8DAC-F0391590325D}">
            <xm:f>A710&lt;&gt;'202210 OCTUBRE'!#REF!</xm:f>
            <x14:dxf>
              <fill>
                <patternFill>
                  <bgColor theme="7" tint="0.39994506668294322"/>
                </patternFill>
              </fill>
            </x14:dxf>
          </x14:cfRule>
          <xm:sqref>A710:I720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CCF32-77C7-4D57-98C3-A7E4CAF5BDD6}">
  <sheetPr>
    <tabColor rgb="FF92D050"/>
  </sheetPr>
  <dimension ref="A1:K729"/>
  <sheetViews>
    <sheetView topLeftCell="A416" zoomScaleNormal="100" workbookViewId="0">
      <selection activeCell="B451" sqref="B451"/>
    </sheetView>
  </sheetViews>
  <sheetFormatPr baseColWidth="10" defaultColWidth="11.42578125" defaultRowHeight="15" x14ac:dyDescent="0.25"/>
  <cols>
    <col min="1" max="1" width="11.85546875" bestFit="1" customWidth="1"/>
    <col min="2" max="2" width="14.42578125" bestFit="1" customWidth="1"/>
    <col min="3" max="3" width="12.5703125" bestFit="1" customWidth="1"/>
    <col min="4" max="4" width="12.7109375" bestFit="1" customWidth="1"/>
    <col min="5" max="5" width="9" bestFit="1" customWidth="1"/>
    <col min="6" max="6" width="16.140625" bestFit="1" customWidth="1"/>
    <col min="7" max="7" width="16.42578125" bestFit="1" customWidth="1"/>
    <col min="8" max="9" width="10.28515625" bestFit="1" customWidth="1"/>
    <col min="10" max="11" width="23.5703125" customWidth="1"/>
  </cols>
  <sheetData>
    <row r="1" spans="1:11" x14ac:dyDescent="0.25">
      <c r="A1" s="4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</row>
    <row r="2" spans="1:11" x14ac:dyDescent="0.25">
      <c r="A2" t="s">
        <v>76</v>
      </c>
      <c r="B2" t="s">
        <v>11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f>36207</f>
        <v>36207</v>
      </c>
      <c r="I2" s="1">
        <v>0</v>
      </c>
      <c r="J2" s="1"/>
      <c r="K2" s="1"/>
    </row>
    <row r="3" spans="1:11" x14ac:dyDescent="0.25">
      <c r="A3" t="s">
        <v>796</v>
      </c>
      <c r="B3" t="s">
        <v>12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f>829</f>
        <v>829</v>
      </c>
      <c r="I3" s="1">
        <v>0</v>
      </c>
      <c r="J3" s="1"/>
      <c r="K3" s="1"/>
    </row>
    <row r="4" spans="1:11" x14ac:dyDescent="0.25">
      <c r="A4" t="s">
        <v>76</v>
      </c>
      <c r="B4" t="s">
        <v>13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f>7290</f>
        <v>7290</v>
      </c>
      <c r="I4" s="1">
        <v>0</v>
      </c>
      <c r="J4" s="1"/>
      <c r="K4" s="1"/>
    </row>
    <row r="5" spans="1:11" x14ac:dyDescent="0.25">
      <c r="A5" t="s">
        <v>801</v>
      </c>
      <c r="B5" t="s">
        <v>14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f>3365</f>
        <v>3365</v>
      </c>
      <c r="I5" s="1">
        <v>0</v>
      </c>
      <c r="J5" s="1"/>
      <c r="K5" s="1"/>
    </row>
    <row r="6" spans="1:11" x14ac:dyDescent="0.25">
      <c r="A6" t="s">
        <v>826</v>
      </c>
      <c r="B6" t="s">
        <v>15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f>5263</f>
        <v>5263</v>
      </c>
      <c r="I6" s="1">
        <v>0</v>
      </c>
      <c r="J6" s="1"/>
      <c r="K6" s="1"/>
    </row>
    <row r="7" spans="1:11" x14ac:dyDescent="0.25">
      <c r="A7" t="s">
        <v>796</v>
      </c>
      <c r="B7" t="s">
        <v>16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1522</v>
      </c>
      <c r="I7" s="1">
        <v>0</v>
      </c>
      <c r="J7" s="1"/>
      <c r="K7" s="1"/>
    </row>
    <row r="8" spans="1:11" x14ac:dyDescent="0.25">
      <c r="A8" t="s">
        <v>83</v>
      </c>
      <c r="B8" t="s">
        <v>17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>524</f>
        <v>524</v>
      </c>
      <c r="I8" s="1">
        <v>0</v>
      </c>
      <c r="J8" s="1"/>
      <c r="K8" s="1"/>
    </row>
    <row r="9" spans="1:11" x14ac:dyDescent="0.25">
      <c r="A9" t="s">
        <v>803</v>
      </c>
      <c r="B9" s="1" t="s">
        <v>18</v>
      </c>
      <c r="C9" s="1"/>
      <c r="D9" s="1"/>
      <c r="E9" s="1"/>
      <c r="F9" s="1"/>
      <c r="G9" s="1"/>
      <c r="H9" s="1"/>
      <c r="I9" s="1"/>
      <c r="J9" s="1"/>
      <c r="K9" s="1"/>
    </row>
    <row r="10" spans="1:11" x14ac:dyDescent="0.25">
      <c r="A10" t="s">
        <v>76</v>
      </c>
      <c r="B10" t="s">
        <v>19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f>15651</f>
        <v>15651</v>
      </c>
      <c r="I10" s="1">
        <v>0</v>
      </c>
      <c r="J10" s="1"/>
      <c r="K10" s="1"/>
    </row>
    <row r="11" spans="1:11" x14ac:dyDescent="0.25">
      <c r="A11" t="s">
        <v>83</v>
      </c>
      <c r="B11" t="s">
        <v>20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f>789</f>
        <v>789</v>
      </c>
      <c r="I11" s="1">
        <v>0</v>
      </c>
      <c r="J11" s="1"/>
      <c r="K11" s="1"/>
    </row>
    <row r="12" spans="1:11" x14ac:dyDescent="0.25">
      <c r="A12" t="s">
        <v>248</v>
      </c>
      <c r="B12" t="s">
        <v>21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f>3429</f>
        <v>3429</v>
      </c>
      <c r="I12" s="1">
        <v>0</v>
      </c>
      <c r="J12" s="1"/>
      <c r="K12" s="1"/>
    </row>
    <row r="13" spans="1:11" x14ac:dyDescent="0.25">
      <c r="A13" t="s">
        <v>83</v>
      </c>
      <c r="B13" t="s">
        <v>22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f>2105</f>
        <v>2105</v>
      </c>
      <c r="I13" s="1">
        <v>0</v>
      </c>
      <c r="J13" s="1"/>
      <c r="K13" s="1"/>
    </row>
    <row r="14" spans="1:11" x14ac:dyDescent="0.25">
      <c r="A14" t="s">
        <v>801</v>
      </c>
      <c r="B14" t="s">
        <v>23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f>374</f>
        <v>374</v>
      </c>
      <c r="I14" s="1">
        <v>0</v>
      </c>
      <c r="J14" s="1"/>
      <c r="K14" s="1"/>
    </row>
    <row r="15" spans="1:11" x14ac:dyDescent="0.25">
      <c r="A15" t="s">
        <v>796</v>
      </c>
      <c r="B15" t="s">
        <v>24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73</v>
      </c>
      <c r="I15" s="1">
        <v>0</v>
      </c>
      <c r="J15" s="1"/>
      <c r="K15" s="1"/>
    </row>
    <row r="16" spans="1:11" x14ac:dyDescent="0.25">
      <c r="A16" t="s">
        <v>804</v>
      </c>
      <c r="B16" t="s">
        <v>25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f>1299</f>
        <v>1299</v>
      </c>
      <c r="I16" s="1">
        <v>0</v>
      </c>
      <c r="J16" s="1"/>
      <c r="K16" s="1"/>
    </row>
    <row r="17" spans="1:11" x14ac:dyDescent="0.25">
      <c r="A17" t="s">
        <v>248</v>
      </c>
      <c r="B17" t="s">
        <v>26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f>75099</f>
        <v>75099</v>
      </c>
      <c r="I17" s="1">
        <v>0</v>
      </c>
      <c r="J17" s="1"/>
      <c r="K17" s="1"/>
    </row>
    <row r="18" spans="1:11" x14ac:dyDescent="0.25">
      <c r="A18" t="s">
        <v>805</v>
      </c>
      <c r="B18" t="s">
        <v>27</v>
      </c>
      <c r="C18" s="1"/>
      <c r="D18" s="1"/>
      <c r="E18" s="1"/>
      <c r="F18" s="1"/>
      <c r="G18" s="1"/>
      <c r="H18" s="1"/>
      <c r="I18" s="1"/>
      <c r="J18" s="1"/>
      <c r="K18" s="1"/>
    </row>
    <row r="19" spans="1:11" x14ac:dyDescent="0.25">
      <c r="A19" t="s">
        <v>805</v>
      </c>
      <c r="B19" t="s">
        <v>28</v>
      </c>
      <c r="C19" s="1"/>
      <c r="D19" s="1"/>
      <c r="E19" s="1"/>
      <c r="F19" s="1"/>
      <c r="G19" s="1"/>
      <c r="H19" s="1"/>
      <c r="I19" s="1"/>
      <c r="J19" s="1"/>
      <c r="K19" s="1"/>
    </row>
    <row r="20" spans="1:11" x14ac:dyDescent="0.25">
      <c r="A20" t="s">
        <v>806</v>
      </c>
      <c r="B20" t="s">
        <v>29</v>
      </c>
      <c r="C20" s="1"/>
      <c r="D20" s="1"/>
      <c r="E20" s="1"/>
      <c r="F20" s="1"/>
      <c r="G20" s="1"/>
      <c r="H20" s="1"/>
      <c r="I20" s="1"/>
      <c r="J20" s="1"/>
      <c r="K20" s="1"/>
    </row>
    <row r="21" spans="1:11" x14ac:dyDescent="0.25">
      <c r="A21" t="s">
        <v>805</v>
      </c>
      <c r="B21" t="s">
        <v>30</v>
      </c>
      <c r="C21" s="1"/>
      <c r="D21" s="1"/>
      <c r="E21" s="1"/>
      <c r="F21" s="1"/>
      <c r="G21" s="1"/>
      <c r="H21" s="1"/>
      <c r="I21" s="1"/>
      <c r="J21" s="1"/>
      <c r="K21" s="1"/>
    </row>
    <row r="22" spans="1:11" x14ac:dyDescent="0.25">
      <c r="A22" t="s">
        <v>829</v>
      </c>
      <c r="B22" t="s">
        <v>32</v>
      </c>
      <c r="C22" s="1">
        <f>15591+3913</f>
        <v>19504</v>
      </c>
      <c r="D22" s="1">
        <f>1+11</f>
        <v>12</v>
      </c>
      <c r="E22" s="1">
        <v>0</v>
      </c>
      <c r="F22" s="1">
        <v>0</v>
      </c>
      <c r="G22" s="1">
        <v>0</v>
      </c>
      <c r="H22" s="1">
        <f>14973</f>
        <v>14973</v>
      </c>
      <c r="I22" s="1">
        <f>3443</f>
        <v>3443</v>
      </c>
      <c r="J22" s="1"/>
      <c r="K22" s="1"/>
    </row>
    <row r="23" spans="1:11" x14ac:dyDescent="0.25">
      <c r="A23" t="s">
        <v>830</v>
      </c>
      <c r="B23" t="s">
        <v>34</v>
      </c>
      <c r="C23" s="1">
        <f>2224+83+2+3799</f>
        <v>6108</v>
      </c>
      <c r="D23" s="1">
        <f>58+1</f>
        <v>59</v>
      </c>
      <c r="E23" s="1">
        <v>0</v>
      </c>
      <c r="F23" s="1">
        <v>0</v>
      </c>
      <c r="G23" s="1">
        <v>0</v>
      </c>
      <c r="H23" s="1">
        <f>4969</f>
        <v>4969</v>
      </c>
      <c r="I23" s="1">
        <f>3713</f>
        <v>3713</v>
      </c>
      <c r="J23" s="1"/>
      <c r="K23" s="1"/>
    </row>
    <row r="24" spans="1:11" x14ac:dyDescent="0.25">
      <c r="A24" t="s">
        <v>831</v>
      </c>
      <c r="B24" t="s">
        <v>35</v>
      </c>
      <c r="C24" s="1">
        <f>6174+1481</f>
        <v>7655</v>
      </c>
      <c r="D24" s="1">
        <f>1</f>
        <v>1</v>
      </c>
      <c r="E24" s="1">
        <v>0</v>
      </c>
      <c r="F24" s="1">
        <v>0</v>
      </c>
      <c r="G24" s="1">
        <v>0</v>
      </c>
      <c r="H24" s="1">
        <f>2810</f>
        <v>2810</v>
      </c>
      <c r="I24" s="1">
        <f>1145</f>
        <v>1145</v>
      </c>
      <c r="J24" s="1"/>
      <c r="K24" s="1"/>
    </row>
    <row r="25" spans="1:11" x14ac:dyDescent="0.25">
      <c r="A25" t="s">
        <v>832</v>
      </c>
      <c r="B25" t="s">
        <v>37</v>
      </c>
      <c r="C25" s="1">
        <f>8500+132+2531</f>
        <v>11163</v>
      </c>
      <c r="D25" s="1">
        <f>17+23+1</f>
        <v>41</v>
      </c>
      <c r="E25" s="1">
        <v>0</v>
      </c>
      <c r="F25" s="1">
        <v>0</v>
      </c>
      <c r="G25" s="1">
        <v>0</v>
      </c>
      <c r="H25" s="1">
        <f>6511</f>
        <v>6511</v>
      </c>
      <c r="I25" s="1">
        <f>2157</f>
        <v>2157</v>
      </c>
      <c r="J25" s="1"/>
      <c r="K25" s="1"/>
    </row>
    <row r="26" spans="1:11" x14ac:dyDescent="0.25">
      <c r="A26" t="s">
        <v>833</v>
      </c>
      <c r="B26" t="s">
        <v>39</v>
      </c>
      <c r="C26" s="1">
        <f>2225+138+2707</f>
        <v>5070</v>
      </c>
      <c r="D26" s="1">
        <f>8</f>
        <v>8</v>
      </c>
      <c r="E26" s="1">
        <v>0</v>
      </c>
      <c r="F26" s="1">
        <v>0</v>
      </c>
      <c r="G26" s="1">
        <v>0</v>
      </c>
      <c r="H26" s="1">
        <f>12140</f>
        <v>12140</v>
      </c>
      <c r="I26" s="1">
        <f>2461</f>
        <v>2461</v>
      </c>
      <c r="J26" s="1"/>
      <c r="K26" s="1"/>
    </row>
    <row r="27" spans="1:11" x14ac:dyDescent="0.25">
      <c r="A27" t="s">
        <v>834</v>
      </c>
      <c r="B27" t="s">
        <v>41</v>
      </c>
      <c r="C27" s="1">
        <f>14357+264+8745</f>
        <v>23366</v>
      </c>
      <c r="D27" s="1">
        <f>104+11+36</f>
        <v>151</v>
      </c>
      <c r="E27" s="1">
        <v>0</v>
      </c>
      <c r="F27" s="1">
        <v>0</v>
      </c>
      <c r="G27" s="1">
        <v>0</v>
      </c>
      <c r="H27" s="1">
        <f>6157</f>
        <v>6157</v>
      </c>
      <c r="I27" s="1">
        <f>5417</f>
        <v>5417</v>
      </c>
      <c r="J27" s="1"/>
      <c r="K27" s="1"/>
    </row>
    <row r="28" spans="1:11" x14ac:dyDescent="0.25">
      <c r="A28" t="s">
        <v>835</v>
      </c>
      <c r="B28" t="s">
        <v>42</v>
      </c>
      <c r="C28" s="1">
        <f>5200+8+1+2429</f>
        <v>7638</v>
      </c>
      <c r="D28" s="1">
        <f>46+10+4</f>
        <v>60</v>
      </c>
      <c r="E28" s="1">
        <v>0</v>
      </c>
      <c r="F28" s="1">
        <v>0</v>
      </c>
      <c r="G28" s="1">
        <v>0</v>
      </c>
      <c r="H28" s="1">
        <f>4121</f>
        <v>4121</v>
      </c>
      <c r="I28" s="1">
        <f>1854</f>
        <v>1854</v>
      </c>
      <c r="J28" s="1"/>
      <c r="K28" s="1"/>
    </row>
    <row r="29" spans="1:11" x14ac:dyDescent="0.25">
      <c r="A29" t="s">
        <v>836</v>
      </c>
      <c r="B29" t="s">
        <v>44</v>
      </c>
      <c r="C29" s="1">
        <f>14756+2572+3+31+10+1+7075+1175</f>
        <v>25623</v>
      </c>
      <c r="D29" s="1">
        <f>3+14+16+4+4</f>
        <v>41</v>
      </c>
      <c r="E29" s="1">
        <v>0</v>
      </c>
      <c r="F29" s="1">
        <v>0</v>
      </c>
      <c r="G29" s="1">
        <v>0</v>
      </c>
      <c r="H29" s="1">
        <f>10400</f>
        <v>10400</v>
      </c>
      <c r="I29" s="1">
        <f>5028</f>
        <v>5028</v>
      </c>
      <c r="J29" s="1"/>
      <c r="K29" s="1"/>
    </row>
    <row r="30" spans="1:11" x14ac:dyDescent="0.25">
      <c r="A30" t="s">
        <v>837</v>
      </c>
      <c r="B30" t="s">
        <v>46</v>
      </c>
      <c r="C30" s="1">
        <f>7941+2692</f>
        <v>10633</v>
      </c>
      <c r="D30" s="1">
        <v>0</v>
      </c>
      <c r="E30" s="1">
        <v>0</v>
      </c>
      <c r="F30" s="1">
        <v>0</v>
      </c>
      <c r="G30" s="1">
        <v>0</v>
      </c>
      <c r="H30" s="1">
        <f>7497</f>
        <v>7497</v>
      </c>
      <c r="I30" s="1">
        <f>1989</f>
        <v>1989</v>
      </c>
      <c r="J30" s="1"/>
      <c r="K30" s="1"/>
    </row>
    <row r="31" spans="1:11" x14ac:dyDescent="0.25">
      <c r="A31" t="s">
        <v>838</v>
      </c>
      <c r="B31" t="s">
        <v>48</v>
      </c>
      <c r="C31" s="1">
        <f>13608+11+3+3+16+7069</f>
        <v>20710</v>
      </c>
      <c r="D31" s="1">
        <f>15+3+5</f>
        <v>23</v>
      </c>
      <c r="E31" s="1">
        <v>0</v>
      </c>
      <c r="F31" s="1">
        <v>0</v>
      </c>
      <c r="G31" s="1">
        <v>0</v>
      </c>
      <c r="H31" s="1">
        <f>10761</f>
        <v>10761</v>
      </c>
      <c r="I31" s="1">
        <f>6213</f>
        <v>6213</v>
      </c>
      <c r="J31" s="1"/>
      <c r="K31" s="1"/>
    </row>
    <row r="32" spans="1:11" x14ac:dyDescent="0.25">
      <c r="A32" t="s">
        <v>839</v>
      </c>
      <c r="B32" t="s">
        <v>49</v>
      </c>
      <c r="C32" s="1">
        <f>3654+3253</f>
        <v>6907</v>
      </c>
      <c r="D32" s="1">
        <f>5</f>
        <v>5</v>
      </c>
      <c r="E32" s="1">
        <v>0</v>
      </c>
      <c r="F32" s="1">
        <v>0</v>
      </c>
      <c r="G32" s="1">
        <v>0</v>
      </c>
      <c r="H32" s="1">
        <f>3677</f>
        <v>3677</v>
      </c>
      <c r="I32" s="1">
        <f>2633</f>
        <v>2633</v>
      </c>
      <c r="J32" s="1"/>
      <c r="K32" s="1"/>
    </row>
    <row r="33" spans="1:11" x14ac:dyDescent="0.25">
      <c r="A33" t="s">
        <v>840</v>
      </c>
      <c r="B33" t="s">
        <v>51</v>
      </c>
      <c r="C33" s="1">
        <f>178+1350</f>
        <v>1528</v>
      </c>
      <c r="D33" s="1">
        <v>0</v>
      </c>
      <c r="E33" s="1">
        <v>0</v>
      </c>
      <c r="F33" s="1">
        <v>0</v>
      </c>
      <c r="G33" s="1">
        <v>0</v>
      </c>
      <c r="H33" s="1">
        <v>445</v>
      </c>
      <c r="I33" s="1">
        <f>674</f>
        <v>674</v>
      </c>
      <c r="J33" s="1"/>
      <c r="K33" s="1"/>
    </row>
    <row r="34" spans="1:11" x14ac:dyDescent="0.25">
      <c r="A34" t="s">
        <v>841</v>
      </c>
      <c r="B34" t="s">
        <v>53</v>
      </c>
      <c r="C34" s="1">
        <f>5683+363+9045+602</f>
        <v>15693</v>
      </c>
      <c r="D34" s="1">
        <v>0</v>
      </c>
      <c r="E34" s="1">
        <v>0</v>
      </c>
      <c r="F34" s="1">
        <v>0</v>
      </c>
      <c r="G34" s="1">
        <v>0</v>
      </c>
      <c r="H34" s="1">
        <f>9123</f>
        <v>9123</v>
      </c>
      <c r="I34" s="1">
        <f>7614</f>
        <v>7614</v>
      </c>
      <c r="J34" s="1"/>
      <c r="K34" s="1"/>
    </row>
    <row r="35" spans="1:11" x14ac:dyDescent="0.25">
      <c r="A35" t="s">
        <v>842</v>
      </c>
      <c r="B35" t="s">
        <v>55</v>
      </c>
      <c r="C35" s="1">
        <f>12161+7082</f>
        <v>19243</v>
      </c>
      <c r="D35" s="1">
        <f>9+318+20</f>
        <v>347</v>
      </c>
      <c r="E35" s="1">
        <v>0</v>
      </c>
      <c r="F35" s="1">
        <v>0</v>
      </c>
      <c r="G35" s="1">
        <v>0</v>
      </c>
      <c r="H35" s="1">
        <f>14386</f>
        <v>14386</v>
      </c>
      <c r="I35" s="1">
        <f>5567</f>
        <v>5567</v>
      </c>
      <c r="J35" s="1"/>
      <c r="K35" s="1"/>
    </row>
    <row r="36" spans="1:11" x14ac:dyDescent="0.25">
      <c r="A36" t="s">
        <v>788</v>
      </c>
      <c r="B36" t="s">
        <v>56</v>
      </c>
      <c r="C36" s="1">
        <f>48064+1+1+1+2+6+26852</f>
        <v>74927</v>
      </c>
      <c r="D36" s="1">
        <f>95+85+1</f>
        <v>181</v>
      </c>
      <c r="E36" s="1">
        <v>0</v>
      </c>
      <c r="F36" s="1">
        <v>0</v>
      </c>
      <c r="G36" s="1">
        <v>0</v>
      </c>
      <c r="H36" s="1">
        <f>17465</f>
        <v>17465</v>
      </c>
      <c r="I36" s="1">
        <f>20193</f>
        <v>20193</v>
      </c>
      <c r="J36" s="1"/>
      <c r="K36" s="1"/>
    </row>
    <row r="37" spans="1:11" x14ac:dyDescent="0.25">
      <c r="A37" t="s">
        <v>495</v>
      </c>
      <c r="B37" t="s">
        <v>57</v>
      </c>
      <c r="C37" s="1">
        <f>12957+697</f>
        <v>13654</v>
      </c>
      <c r="D37" s="1">
        <v>0</v>
      </c>
      <c r="E37" s="1">
        <v>0</v>
      </c>
      <c r="F37" s="1">
        <v>0</v>
      </c>
      <c r="G37" s="1">
        <v>0</v>
      </c>
      <c r="H37" s="1">
        <f>3237</f>
        <v>3237</v>
      </c>
      <c r="I37" s="1">
        <v>0</v>
      </c>
      <c r="J37" s="1"/>
      <c r="K37" s="1"/>
    </row>
    <row r="38" spans="1:11" x14ac:dyDescent="0.25">
      <c r="A38" t="s">
        <v>248</v>
      </c>
      <c r="B38" t="s">
        <v>58</v>
      </c>
      <c r="C38" s="1">
        <f>14021+26+96+2871</f>
        <v>17014</v>
      </c>
      <c r="D38" s="1">
        <f>263+1+1+1</f>
        <v>266</v>
      </c>
      <c r="E38" s="1">
        <v>0</v>
      </c>
      <c r="F38" s="1">
        <v>0</v>
      </c>
      <c r="G38" s="1">
        <v>0</v>
      </c>
      <c r="H38" s="1">
        <f>15965</f>
        <v>15965</v>
      </c>
      <c r="I38" s="1">
        <f>2507</f>
        <v>2507</v>
      </c>
      <c r="J38" s="1"/>
      <c r="K38" s="1"/>
    </row>
    <row r="39" spans="1:11" x14ac:dyDescent="0.25">
      <c r="A39" t="s">
        <v>843</v>
      </c>
      <c r="B39" t="s">
        <v>60</v>
      </c>
      <c r="C39" s="1">
        <f>4094+3026</f>
        <v>7120</v>
      </c>
      <c r="D39" s="1">
        <v>0</v>
      </c>
      <c r="E39" s="1">
        <v>0</v>
      </c>
      <c r="F39" s="1">
        <v>0</v>
      </c>
      <c r="G39" s="1">
        <v>0</v>
      </c>
      <c r="H39" s="1">
        <f>6434</f>
        <v>6434</v>
      </c>
      <c r="I39" s="1">
        <f>2432</f>
        <v>2432</v>
      </c>
      <c r="J39" s="1"/>
      <c r="K39" s="1"/>
    </row>
    <row r="40" spans="1:11" x14ac:dyDescent="0.25">
      <c r="A40" t="s">
        <v>844</v>
      </c>
      <c r="B40" t="s">
        <v>62</v>
      </c>
      <c r="C40" s="1">
        <f>6847+58+4532</f>
        <v>11437</v>
      </c>
      <c r="D40" s="1">
        <f>13+4</f>
        <v>17</v>
      </c>
      <c r="E40" s="1">
        <v>0</v>
      </c>
      <c r="F40" s="1">
        <v>0</v>
      </c>
      <c r="G40" s="1">
        <v>0</v>
      </c>
      <c r="H40" s="1">
        <f>6941</f>
        <v>6941</v>
      </c>
      <c r="I40" s="1">
        <f>3458</f>
        <v>3458</v>
      </c>
      <c r="J40" s="1"/>
      <c r="K40" s="1"/>
    </row>
    <row r="41" spans="1:11" x14ac:dyDescent="0.25">
      <c r="A41" t="s">
        <v>845</v>
      </c>
      <c r="B41" t="s">
        <v>63</v>
      </c>
      <c r="C41" s="1">
        <f>24163+1+5+1017+3+3+22+57+37+17+1+8385</f>
        <v>33711</v>
      </c>
      <c r="D41" s="1">
        <f>31+58+53+12+5+2</f>
        <v>161</v>
      </c>
      <c r="E41" s="1">
        <v>0</v>
      </c>
      <c r="F41" s="1">
        <v>0</v>
      </c>
      <c r="G41" s="1">
        <v>0</v>
      </c>
      <c r="H41" s="1">
        <f>17153</f>
        <v>17153</v>
      </c>
      <c r="I41" s="1">
        <f>5771</f>
        <v>5771</v>
      </c>
      <c r="J41" s="1"/>
      <c r="K41" s="1"/>
    </row>
    <row r="42" spans="1:11" x14ac:dyDescent="0.25">
      <c r="A42" t="s">
        <v>846</v>
      </c>
      <c r="B42" s="10" t="s">
        <v>64</v>
      </c>
      <c r="C42" s="1">
        <f>6557+2752</f>
        <v>9309</v>
      </c>
      <c r="D42" s="1">
        <v>0</v>
      </c>
      <c r="E42" s="1">
        <v>0</v>
      </c>
      <c r="F42" s="1">
        <v>0</v>
      </c>
      <c r="G42" s="1">
        <v>0</v>
      </c>
      <c r="H42" s="1">
        <f>14083</f>
        <v>14083</v>
      </c>
      <c r="I42" s="1">
        <f>2453</f>
        <v>2453</v>
      </c>
      <c r="J42" s="1"/>
      <c r="K42" s="1"/>
    </row>
    <row r="43" spans="1:11" x14ac:dyDescent="0.25">
      <c r="A43" t="s">
        <v>788</v>
      </c>
      <c r="B43" t="s">
        <v>65</v>
      </c>
      <c r="C43" s="1">
        <f>9739+2+2+2+4607</f>
        <v>14352</v>
      </c>
      <c r="D43" s="1">
        <f>101+2</f>
        <v>103</v>
      </c>
      <c r="E43" s="1">
        <v>0</v>
      </c>
      <c r="F43" s="1">
        <v>0</v>
      </c>
      <c r="G43" s="1">
        <v>0</v>
      </c>
      <c r="H43" s="1">
        <f>10539</f>
        <v>10539</v>
      </c>
      <c r="I43" s="1">
        <f>3138</f>
        <v>3138</v>
      </c>
      <c r="J43" s="1"/>
      <c r="K43" s="1"/>
    </row>
    <row r="44" spans="1:11" x14ac:dyDescent="0.25">
      <c r="A44" t="s">
        <v>76</v>
      </c>
      <c r="B44" t="s">
        <v>66</v>
      </c>
      <c r="C44" s="1">
        <f>6080+112+141+4145</f>
        <v>10478</v>
      </c>
      <c r="D44" s="1">
        <f>40+1+5</f>
        <v>46</v>
      </c>
      <c r="E44" s="1">
        <v>0</v>
      </c>
      <c r="F44" s="1">
        <v>0</v>
      </c>
      <c r="G44" s="1">
        <v>0</v>
      </c>
      <c r="H44" s="1">
        <f>1576</f>
        <v>1576</v>
      </c>
      <c r="I44" s="1">
        <v>0</v>
      </c>
      <c r="J44" s="1"/>
      <c r="K44" s="1"/>
    </row>
    <row r="45" spans="1:11" x14ac:dyDescent="0.25">
      <c r="A45" t="s">
        <v>67</v>
      </c>
      <c r="B45" t="s">
        <v>68</v>
      </c>
      <c r="C45" s="1">
        <f>12507+8+63+1686</f>
        <v>14264</v>
      </c>
      <c r="D45" s="1">
        <f>147+146+2</f>
        <v>295</v>
      </c>
      <c r="E45" s="1">
        <v>0</v>
      </c>
      <c r="F45" s="1">
        <v>0</v>
      </c>
      <c r="G45" s="1">
        <v>0</v>
      </c>
      <c r="H45" s="1">
        <f>9727</f>
        <v>9727</v>
      </c>
      <c r="I45" s="1">
        <f>1430</f>
        <v>1430</v>
      </c>
      <c r="J45" s="1"/>
      <c r="K45" s="1"/>
    </row>
    <row r="46" spans="1:11" x14ac:dyDescent="0.25">
      <c r="A46" t="s">
        <v>76</v>
      </c>
      <c r="B46" t="s">
        <v>70</v>
      </c>
      <c r="C46" s="1">
        <f>81355+4+355+46+36</f>
        <v>81796</v>
      </c>
      <c r="D46" s="1">
        <f>59+5+1+46</f>
        <v>111</v>
      </c>
      <c r="E46" s="1">
        <v>0</v>
      </c>
      <c r="F46" s="1">
        <v>0</v>
      </c>
      <c r="G46" s="1">
        <v>0</v>
      </c>
      <c r="H46" s="1">
        <f>94037</f>
        <v>94037</v>
      </c>
      <c r="I46" s="1">
        <v>0</v>
      </c>
      <c r="J46" s="1"/>
      <c r="K46" s="1"/>
    </row>
    <row r="47" spans="1:11" x14ac:dyDescent="0.25">
      <c r="A47" t="s">
        <v>803</v>
      </c>
      <c r="B47" s="23" t="s">
        <v>71</v>
      </c>
      <c r="C47" s="1"/>
      <c r="D47" s="1"/>
      <c r="E47" s="1"/>
      <c r="F47" s="1"/>
      <c r="G47" s="1"/>
      <c r="H47" s="1"/>
      <c r="I47" s="1"/>
      <c r="J47" s="1"/>
      <c r="K47" s="1"/>
    </row>
    <row r="48" spans="1:11" x14ac:dyDescent="0.25">
      <c r="A48" t="s">
        <v>72</v>
      </c>
      <c r="B48" t="s">
        <v>73</v>
      </c>
      <c r="C48" s="1">
        <f>13039+13+8+2405</f>
        <v>15465</v>
      </c>
      <c r="D48" s="1">
        <f>103</f>
        <v>103</v>
      </c>
      <c r="E48" s="1">
        <v>0</v>
      </c>
      <c r="F48" s="1">
        <v>0</v>
      </c>
      <c r="G48" s="1">
        <v>0</v>
      </c>
      <c r="H48" s="1">
        <f>9864</f>
        <v>9864</v>
      </c>
      <c r="I48" s="1">
        <f>2152</f>
        <v>2152</v>
      </c>
      <c r="J48" s="1"/>
      <c r="K48" s="1"/>
    </row>
    <row r="49" spans="1:11" x14ac:dyDescent="0.25">
      <c r="A49" t="s">
        <v>809</v>
      </c>
      <c r="B49" t="s">
        <v>74</v>
      </c>
      <c r="C49" s="1">
        <f>40625+10+303+385+24+4+1+241+10226</f>
        <v>51819</v>
      </c>
      <c r="D49" s="1">
        <f>451</f>
        <v>451</v>
      </c>
      <c r="E49" s="1">
        <v>0</v>
      </c>
      <c r="F49" s="1">
        <v>0</v>
      </c>
      <c r="G49" s="1">
        <v>0</v>
      </c>
      <c r="H49" s="1">
        <f>24445</f>
        <v>24445</v>
      </c>
      <c r="I49" s="1">
        <v>0</v>
      </c>
      <c r="J49" s="1"/>
      <c r="K49" s="1"/>
    </row>
    <row r="50" spans="1:11" x14ac:dyDescent="0.25">
      <c r="A50" t="s">
        <v>146</v>
      </c>
      <c r="B50" t="s">
        <v>75</v>
      </c>
      <c r="C50" s="1">
        <f>6254+11766</f>
        <v>18020</v>
      </c>
      <c r="D50" s="1">
        <f>34+6</f>
        <v>40</v>
      </c>
      <c r="E50" s="1">
        <v>0</v>
      </c>
      <c r="F50" s="1">
        <v>0</v>
      </c>
      <c r="G50" s="1">
        <v>0</v>
      </c>
      <c r="H50" s="1">
        <f>12318</f>
        <v>12318</v>
      </c>
      <c r="I50" s="1">
        <f>11382</f>
        <v>11382</v>
      </c>
      <c r="J50" s="1"/>
      <c r="K50" s="1"/>
    </row>
    <row r="51" spans="1:11" x14ac:dyDescent="0.25">
      <c r="A51" t="s">
        <v>76</v>
      </c>
      <c r="B51" t="s">
        <v>77</v>
      </c>
      <c r="C51" s="1">
        <f>13717+2+5+8075</f>
        <v>21799</v>
      </c>
      <c r="D51" s="1">
        <f>45+137+5</f>
        <v>187</v>
      </c>
      <c r="E51" s="1">
        <v>0</v>
      </c>
      <c r="F51" s="1">
        <v>0</v>
      </c>
      <c r="G51" s="1">
        <v>0</v>
      </c>
      <c r="H51" s="1">
        <f>8176</f>
        <v>8176</v>
      </c>
      <c r="I51" s="1">
        <v>0</v>
      </c>
      <c r="J51" s="1"/>
      <c r="K51" s="1"/>
    </row>
    <row r="52" spans="1:11" x14ac:dyDescent="0.25">
      <c r="A52" t="s">
        <v>801</v>
      </c>
      <c r="B52" t="s">
        <v>78</v>
      </c>
      <c r="C52" s="1">
        <f>26870+50+7+8+21172+572+58</f>
        <v>48737</v>
      </c>
      <c r="D52" s="1">
        <f>1+17</f>
        <v>18</v>
      </c>
      <c r="E52" s="1">
        <v>0</v>
      </c>
      <c r="F52" s="1">
        <v>0</v>
      </c>
      <c r="G52" s="1">
        <v>0</v>
      </c>
      <c r="H52" s="1">
        <f>117886</f>
        <v>117886</v>
      </c>
      <c r="I52" s="1">
        <v>0</v>
      </c>
      <c r="J52" s="1"/>
      <c r="K52" s="1"/>
    </row>
    <row r="53" spans="1:11" x14ac:dyDescent="0.25">
      <c r="A53" t="s">
        <v>847</v>
      </c>
      <c r="B53" t="s">
        <v>79</v>
      </c>
      <c r="C53" s="1">
        <f>7148+1822</f>
        <v>8970</v>
      </c>
      <c r="D53" s="1">
        <v>0</v>
      </c>
      <c r="E53" s="1">
        <v>0</v>
      </c>
      <c r="F53" s="1">
        <v>0</v>
      </c>
      <c r="G53" s="1">
        <v>0</v>
      </c>
      <c r="H53" s="1">
        <f>1678</f>
        <v>1678</v>
      </c>
      <c r="I53" s="1">
        <f>1630</f>
        <v>1630</v>
      </c>
      <c r="J53" s="1"/>
      <c r="K53" s="1"/>
    </row>
    <row r="54" spans="1:11" x14ac:dyDescent="0.25">
      <c r="A54" t="s">
        <v>226</v>
      </c>
      <c r="B54" t="s">
        <v>80</v>
      </c>
      <c r="C54" s="1">
        <f>2913+1+15+2107</f>
        <v>5036</v>
      </c>
      <c r="D54" s="1">
        <f>7</f>
        <v>7</v>
      </c>
      <c r="E54" s="1">
        <v>0</v>
      </c>
      <c r="F54" s="1">
        <v>0</v>
      </c>
      <c r="G54" s="1">
        <v>0</v>
      </c>
      <c r="H54" s="1">
        <f>3673</f>
        <v>3673</v>
      </c>
      <c r="I54" s="1">
        <f>2107</f>
        <v>2107</v>
      </c>
      <c r="J54" s="1"/>
      <c r="K54" s="1"/>
    </row>
    <row r="55" spans="1:11" x14ac:dyDescent="0.25">
      <c r="A55" t="s">
        <v>826</v>
      </c>
      <c r="B55" t="s">
        <v>81</v>
      </c>
      <c r="C55" s="1">
        <f>8728+2+1+65+2442</f>
        <v>11238</v>
      </c>
      <c r="D55" s="1">
        <v>0</v>
      </c>
      <c r="E55" s="1">
        <v>0</v>
      </c>
      <c r="F55" s="1">
        <v>0</v>
      </c>
      <c r="G55" s="1">
        <v>0</v>
      </c>
      <c r="H55" s="1">
        <f>3440</f>
        <v>3440</v>
      </c>
      <c r="I55" s="1">
        <f>2096</f>
        <v>2096</v>
      </c>
      <c r="J55" s="1"/>
      <c r="K55" s="1"/>
    </row>
    <row r="56" spans="1:11" x14ac:dyDescent="0.25">
      <c r="A56" t="s">
        <v>76</v>
      </c>
      <c r="B56" t="s">
        <v>82</v>
      </c>
      <c r="C56" s="1">
        <f>45996+1+9+10+7254+3</f>
        <v>53273</v>
      </c>
      <c r="D56" s="1">
        <f>228+241+46</f>
        <v>515</v>
      </c>
      <c r="E56" s="1">
        <v>0</v>
      </c>
      <c r="F56" s="1">
        <v>0</v>
      </c>
      <c r="G56" s="1">
        <v>0</v>
      </c>
      <c r="H56" s="1">
        <f>6231</f>
        <v>6231</v>
      </c>
      <c r="I56" s="1">
        <v>0</v>
      </c>
      <c r="J56" s="1"/>
      <c r="K56" s="1"/>
    </row>
    <row r="57" spans="1:11" x14ac:dyDescent="0.25">
      <c r="A57" t="s">
        <v>83</v>
      </c>
      <c r="B57" t="s">
        <v>84</v>
      </c>
      <c r="C57" s="1">
        <f>8372+20533</f>
        <v>28905</v>
      </c>
      <c r="D57" s="1">
        <f>1</f>
        <v>1</v>
      </c>
      <c r="E57" s="1">
        <v>0</v>
      </c>
      <c r="F57" s="1">
        <v>0</v>
      </c>
      <c r="G57" s="1">
        <v>0</v>
      </c>
      <c r="H57" s="1">
        <f>22943</f>
        <v>22943</v>
      </c>
      <c r="I57" s="1">
        <v>0</v>
      </c>
      <c r="J57" s="1"/>
      <c r="K57" s="1"/>
    </row>
    <row r="58" spans="1:11" x14ac:dyDescent="0.25">
      <c r="A58" t="s">
        <v>809</v>
      </c>
      <c r="B58" t="s">
        <v>85</v>
      </c>
      <c r="C58" s="1">
        <f>6168+1+1+26+418</f>
        <v>6614</v>
      </c>
      <c r="D58" s="1">
        <v>0</v>
      </c>
      <c r="E58" s="1">
        <v>0</v>
      </c>
      <c r="F58" s="1">
        <v>0</v>
      </c>
      <c r="G58" s="1">
        <v>0</v>
      </c>
      <c r="H58" s="1">
        <f>1373</f>
        <v>1373</v>
      </c>
      <c r="I58" s="1">
        <v>0</v>
      </c>
      <c r="J58" s="1"/>
      <c r="K58" s="1"/>
    </row>
    <row r="59" spans="1:11" x14ac:dyDescent="0.25">
      <c r="A59" t="s">
        <v>811</v>
      </c>
      <c r="B59" t="s">
        <v>86</v>
      </c>
      <c r="C59" s="1">
        <f>22512+215+6+229+2+31481+2</f>
        <v>54447</v>
      </c>
      <c r="D59" s="1">
        <f>1214+28+19+1574+10361+58</f>
        <v>13254</v>
      </c>
      <c r="E59" s="1">
        <v>0</v>
      </c>
      <c r="F59" s="1">
        <v>0</v>
      </c>
      <c r="G59" s="1">
        <v>0</v>
      </c>
      <c r="H59" s="1">
        <f>8745</f>
        <v>8745</v>
      </c>
      <c r="I59" s="1">
        <f>31945</f>
        <v>31945</v>
      </c>
      <c r="J59" s="1"/>
      <c r="K59" s="1"/>
    </row>
    <row r="60" spans="1:11" x14ac:dyDescent="0.25">
      <c r="A60" t="s">
        <v>811</v>
      </c>
      <c r="B60" t="s">
        <v>87</v>
      </c>
      <c r="C60" s="1">
        <f>21975+1+7+32+37+8+276+17+1+1+1+6+333+5238</f>
        <v>27933</v>
      </c>
      <c r="D60" s="1">
        <f>614+1342+112</f>
        <v>2068</v>
      </c>
      <c r="E60" s="1">
        <v>0</v>
      </c>
      <c r="F60" s="1">
        <v>0</v>
      </c>
      <c r="G60" s="1">
        <v>0</v>
      </c>
      <c r="H60" s="1">
        <f>8757</f>
        <v>8757</v>
      </c>
      <c r="I60" s="1">
        <f>5649</f>
        <v>5649</v>
      </c>
      <c r="J60" s="1"/>
      <c r="K60" s="1"/>
    </row>
    <row r="61" spans="1:11" x14ac:dyDescent="0.25">
      <c r="A61" t="s">
        <v>791</v>
      </c>
      <c r="B61" t="s">
        <v>88</v>
      </c>
      <c r="C61" s="1">
        <f>10772+10+17+19+6958</f>
        <v>17776</v>
      </c>
      <c r="D61" s="1">
        <f>381+26+101</f>
        <v>508</v>
      </c>
      <c r="E61" s="1">
        <v>0</v>
      </c>
      <c r="F61" s="1">
        <v>0</v>
      </c>
      <c r="G61" s="1">
        <v>0</v>
      </c>
      <c r="H61" s="1">
        <f>3570</f>
        <v>3570</v>
      </c>
      <c r="I61" s="1">
        <f>6568</f>
        <v>6568</v>
      </c>
      <c r="J61" s="1"/>
      <c r="K61" s="1"/>
    </row>
    <row r="62" spans="1:11" x14ac:dyDescent="0.25">
      <c r="A62" t="s">
        <v>809</v>
      </c>
      <c r="B62" t="s">
        <v>89</v>
      </c>
      <c r="C62" s="1">
        <f>2438+12+217</f>
        <v>2667</v>
      </c>
      <c r="D62" s="1">
        <f>24</f>
        <v>24</v>
      </c>
      <c r="E62" s="1">
        <v>0</v>
      </c>
      <c r="F62" s="1">
        <v>0</v>
      </c>
      <c r="G62" s="1">
        <v>0</v>
      </c>
      <c r="H62" s="1">
        <f>5545</f>
        <v>5545</v>
      </c>
      <c r="I62" s="1">
        <v>0</v>
      </c>
      <c r="J62" s="1"/>
      <c r="K62" s="1"/>
    </row>
    <row r="63" spans="1:11" x14ac:dyDescent="0.25">
      <c r="A63" t="s">
        <v>848</v>
      </c>
      <c r="B63" t="s">
        <v>90</v>
      </c>
      <c r="C63" s="1">
        <f>15354+54+67+1+99+19053</f>
        <v>34628</v>
      </c>
      <c r="D63" s="1">
        <f>21+19+72</f>
        <v>112</v>
      </c>
      <c r="E63" s="1">
        <v>0</v>
      </c>
      <c r="F63" s="1">
        <v>0</v>
      </c>
      <c r="G63" s="1">
        <v>0</v>
      </c>
      <c r="H63" s="1">
        <f>5555</f>
        <v>5555</v>
      </c>
      <c r="I63" s="1">
        <f>18226</f>
        <v>18226</v>
      </c>
      <c r="J63" s="1"/>
      <c r="K63" s="1"/>
    </row>
    <row r="64" spans="1:11" x14ac:dyDescent="0.25">
      <c r="A64" t="s">
        <v>811</v>
      </c>
      <c r="B64" t="s">
        <v>91</v>
      </c>
      <c r="C64" s="1">
        <f>58175+506+2+2+124070+1</f>
        <v>182756</v>
      </c>
      <c r="D64" s="1">
        <f>2444+1+298+1241+337</f>
        <v>4321</v>
      </c>
      <c r="E64" s="1">
        <v>0</v>
      </c>
      <c r="F64" s="1">
        <v>0</v>
      </c>
      <c r="G64" s="1">
        <v>0</v>
      </c>
      <c r="H64" s="1">
        <f>64609</f>
        <v>64609</v>
      </c>
      <c r="I64" s="1">
        <f>95243</f>
        <v>95243</v>
      </c>
      <c r="J64" s="1"/>
      <c r="K64" s="1"/>
    </row>
    <row r="65" spans="1:11" x14ac:dyDescent="0.25">
      <c r="A65" t="s">
        <v>826</v>
      </c>
      <c r="B65" t="s">
        <v>92</v>
      </c>
      <c r="C65" s="1">
        <f>37170+11+151+258+1+18+12+17+669+6958</f>
        <v>45265</v>
      </c>
      <c r="D65" s="1">
        <f>1298+46+577+66+1</f>
        <v>1988</v>
      </c>
      <c r="E65" s="1">
        <v>0</v>
      </c>
      <c r="F65" s="1">
        <v>0</v>
      </c>
      <c r="G65" s="1">
        <v>0</v>
      </c>
      <c r="H65" s="1">
        <f>4196</f>
        <v>4196</v>
      </c>
      <c r="I65" s="1">
        <f>6260</f>
        <v>6260</v>
      </c>
      <c r="J65" s="1"/>
      <c r="K65" s="1"/>
    </row>
    <row r="66" spans="1:11" x14ac:dyDescent="0.25">
      <c r="A66" t="s">
        <v>849</v>
      </c>
      <c r="B66" t="s">
        <v>93</v>
      </c>
      <c r="C66" s="1">
        <f>3299+7+115+3615</f>
        <v>7036</v>
      </c>
      <c r="D66" s="1">
        <f>132+61</f>
        <v>193</v>
      </c>
      <c r="E66" s="1">
        <v>0</v>
      </c>
      <c r="F66" s="1">
        <v>0</v>
      </c>
      <c r="G66" s="1">
        <v>0</v>
      </c>
      <c r="H66" s="1">
        <f>5244</f>
        <v>5244</v>
      </c>
      <c r="I66" s="1">
        <f>3166</f>
        <v>3166</v>
      </c>
      <c r="J66" s="1"/>
      <c r="K66" s="1"/>
    </row>
    <row r="67" spans="1:11" x14ac:dyDescent="0.25">
      <c r="A67" t="s">
        <v>791</v>
      </c>
      <c r="B67" t="s">
        <v>94</v>
      </c>
      <c r="C67" s="1">
        <f>10567+23+36+16+7+24+1430</f>
        <v>12103</v>
      </c>
      <c r="D67" s="1">
        <f>66+15+1+1</f>
        <v>83</v>
      </c>
      <c r="E67" s="1">
        <v>0</v>
      </c>
      <c r="F67" s="1">
        <v>0</v>
      </c>
      <c r="G67" s="1">
        <v>0</v>
      </c>
      <c r="H67" s="1">
        <f>6220</f>
        <v>6220</v>
      </c>
      <c r="I67" s="1">
        <f>1121</f>
        <v>1121</v>
      </c>
      <c r="J67" s="1"/>
      <c r="K67" s="1"/>
    </row>
    <row r="68" spans="1:11" x14ac:dyDescent="0.25">
      <c r="A68" t="s">
        <v>848</v>
      </c>
      <c r="B68" t="s">
        <v>95</v>
      </c>
      <c r="C68" s="1">
        <f>1982+510</f>
        <v>2492</v>
      </c>
      <c r="D68" s="1">
        <f>41+6</f>
        <v>47</v>
      </c>
      <c r="E68" s="1">
        <v>0</v>
      </c>
      <c r="F68" s="1">
        <v>0</v>
      </c>
      <c r="G68" s="1">
        <v>0</v>
      </c>
      <c r="H68" s="1">
        <f>801</f>
        <v>801</v>
      </c>
      <c r="I68" s="1">
        <f>336</f>
        <v>336</v>
      </c>
      <c r="J68" s="1"/>
      <c r="K68" s="1"/>
    </row>
    <row r="69" spans="1:11" x14ac:dyDescent="0.25">
      <c r="A69" t="s">
        <v>826</v>
      </c>
      <c r="B69" t="s">
        <v>96</v>
      </c>
      <c r="C69" s="1"/>
      <c r="D69" s="1"/>
      <c r="E69" s="1"/>
      <c r="F69" s="1"/>
      <c r="G69" s="1"/>
      <c r="H69" s="1"/>
      <c r="I69" s="1"/>
      <c r="J69" s="1"/>
      <c r="K69" s="1"/>
    </row>
    <row r="70" spans="1:11" x14ac:dyDescent="0.25">
      <c r="A70" t="s">
        <v>850</v>
      </c>
      <c r="B70" t="s">
        <v>98</v>
      </c>
      <c r="C70" s="1">
        <f>6032+3115</f>
        <v>9147</v>
      </c>
      <c r="D70" s="1">
        <f>10+9</f>
        <v>19</v>
      </c>
      <c r="E70" s="1">
        <v>0</v>
      </c>
      <c r="F70" s="1">
        <v>0</v>
      </c>
      <c r="G70" s="1">
        <v>0</v>
      </c>
      <c r="H70" s="1">
        <f>6576</f>
        <v>6576</v>
      </c>
      <c r="I70" s="1">
        <f>2746</f>
        <v>2746</v>
      </c>
      <c r="J70" s="1"/>
      <c r="K70" s="1"/>
    </row>
    <row r="71" spans="1:11" x14ac:dyDescent="0.25">
      <c r="A71" t="s">
        <v>851</v>
      </c>
      <c r="B71" t="s">
        <v>100</v>
      </c>
      <c r="C71" s="1">
        <f>4046+1+1975</f>
        <v>6022</v>
      </c>
      <c r="D71" s="1">
        <f>113+73</f>
        <v>186</v>
      </c>
      <c r="E71" s="1">
        <v>0</v>
      </c>
      <c r="F71" s="1">
        <v>0</v>
      </c>
      <c r="G71" s="1">
        <v>0</v>
      </c>
      <c r="H71" s="1">
        <f>3635</f>
        <v>3635</v>
      </c>
      <c r="I71" s="1">
        <f>1678</f>
        <v>1678</v>
      </c>
      <c r="J71" s="1"/>
      <c r="K71" s="1"/>
    </row>
    <row r="72" spans="1:11" x14ac:dyDescent="0.25">
      <c r="A72" t="s">
        <v>101</v>
      </c>
      <c r="B72" t="s">
        <v>102</v>
      </c>
      <c r="C72" s="1">
        <f>28114+16+6+7194</f>
        <v>35330</v>
      </c>
      <c r="D72" s="1">
        <f>2</f>
        <v>2</v>
      </c>
      <c r="E72" s="1">
        <v>0</v>
      </c>
      <c r="F72" s="1">
        <v>0</v>
      </c>
      <c r="G72" s="1">
        <v>0</v>
      </c>
      <c r="H72" s="1">
        <f>22085</f>
        <v>22085</v>
      </c>
      <c r="I72" s="1">
        <f>5492</f>
        <v>5492</v>
      </c>
      <c r="J72" s="1"/>
      <c r="K72" s="1"/>
    </row>
    <row r="73" spans="1:11" x14ac:dyDescent="0.25">
      <c r="A73" t="s">
        <v>512</v>
      </c>
      <c r="B73" t="s">
        <v>103</v>
      </c>
      <c r="C73" s="1">
        <f>10892+1+4750</f>
        <v>15643</v>
      </c>
      <c r="D73" s="1">
        <v>0</v>
      </c>
      <c r="E73" s="1">
        <v>0</v>
      </c>
      <c r="F73" s="1">
        <v>0</v>
      </c>
      <c r="G73" s="1">
        <v>0</v>
      </c>
      <c r="H73" s="1">
        <f>834</f>
        <v>834</v>
      </c>
      <c r="I73" s="1">
        <f>3117</f>
        <v>3117</v>
      </c>
      <c r="J73" s="1"/>
      <c r="K73" s="1"/>
    </row>
    <row r="74" spans="1:11" x14ac:dyDescent="0.25">
      <c r="A74" t="s">
        <v>852</v>
      </c>
      <c r="B74" t="s">
        <v>105</v>
      </c>
      <c r="C74" s="1">
        <f>6606+4623</f>
        <v>11229</v>
      </c>
      <c r="D74" s="1">
        <f>2+14+2</f>
        <v>18</v>
      </c>
      <c r="E74" s="1">
        <v>0</v>
      </c>
      <c r="F74" s="1">
        <v>0</v>
      </c>
      <c r="G74" s="1">
        <v>0</v>
      </c>
      <c r="H74" s="1">
        <f>6082</f>
        <v>6082</v>
      </c>
      <c r="I74" s="1">
        <f>3372</f>
        <v>3372</v>
      </c>
      <c r="J74" s="1"/>
      <c r="K74" s="1"/>
    </row>
    <row r="75" spans="1:11" x14ac:dyDescent="0.25">
      <c r="A75" t="s">
        <v>853</v>
      </c>
      <c r="B75" t="s">
        <v>107</v>
      </c>
      <c r="C75" s="1">
        <f>24483+800+5+7723</f>
        <v>33011</v>
      </c>
      <c r="D75" s="1">
        <f>57+1+97</f>
        <v>155</v>
      </c>
      <c r="E75" s="1">
        <v>0</v>
      </c>
      <c r="F75" s="1">
        <v>0</v>
      </c>
      <c r="G75" s="1">
        <v>0</v>
      </c>
      <c r="H75" s="1">
        <f>20395</f>
        <v>20395</v>
      </c>
      <c r="I75" s="1">
        <f>7019</f>
        <v>7019</v>
      </c>
      <c r="J75" s="1"/>
      <c r="K75" s="1"/>
    </row>
    <row r="76" spans="1:11" x14ac:dyDescent="0.25">
      <c r="A76" t="s">
        <v>854</v>
      </c>
      <c r="B76" t="s">
        <v>109</v>
      </c>
      <c r="C76" s="1">
        <f>12956+18+3+28+5177+2</f>
        <v>18184</v>
      </c>
      <c r="D76" s="1">
        <f>778</f>
        <v>778</v>
      </c>
      <c r="E76" s="1">
        <v>0</v>
      </c>
      <c r="F76" s="1">
        <v>0</v>
      </c>
      <c r="G76" s="1">
        <v>0</v>
      </c>
      <c r="H76" s="1">
        <f>11028</f>
        <v>11028</v>
      </c>
      <c r="I76" s="1">
        <f>4321</f>
        <v>4321</v>
      </c>
      <c r="J76" s="1"/>
      <c r="K76" s="1"/>
    </row>
    <row r="77" spans="1:11" x14ac:dyDescent="0.25">
      <c r="A77" t="s">
        <v>855</v>
      </c>
      <c r="B77" t="s">
        <v>111</v>
      </c>
      <c r="C77" s="1">
        <f>5542+4+3364</f>
        <v>8910</v>
      </c>
      <c r="D77" s="1">
        <f>34+59</f>
        <v>93</v>
      </c>
      <c r="E77" s="1">
        <v>0</v>
      </c>
      <c r="F77" s="1">
        <v>0</v>
      </c>
      <c r="G77" s="1">
        <v>0</v>
      </c>
      <c r="H77" s="1">
        <f>9063</f>
        <v>9063</v>
      </c>
      <c r="I77" s="1">
        <f>2920</f>
        <v>2920</v>
      </c>
      <c r="J77" s="1"/>
      <c r="K77" s="1"/>
    </row>
    <row r="78" spans="1:11" x14ac:dyDescent="0.25">
      <c r="A78" t="s">
        <v>101</v>
      </c>
      <c r="B78" t="s">
        <v>112</v>
      </c>
      <c r="C78" s="1">
        <f>25101+25+1+156+14+2576</f>
        <v>27873</v>
      </c>
      <c r="D78" s="1">
        <f>3+6</f>
        <v>9</v>
      </c>
      <c r="E78" s="1">
        <v>0</v>
      </c>
      <c r="F78" s="1">
        <v>0</v>
      </c>
      <c r="G78" s="1">
        <v>0</v>
      </c>
      <c r="H78" s="1">
        <f>46470</f>
        <v>46470</v>
      </c>
      <c r="I78" s="1">
        <f>2146</f>
        <v>2146</v>
      </c>
      <c r="J78" s="1"/>
      <c r="K78" s="1"/>
    </row>
    <row r="79" spans="1:11" x14ac:dyDescent="0.25">
      <c r="A79" t="s">
        <v>856</v>
      </c>
      <c r="B79" t="s">
        <v>114</v>
      </c>
      <c r="C79" s="1">
        <f>2587+2+6+8097+1</f>
        <v>10693</v>
      </c>
      <c r="D79" s="1">
        <f>145+30</f>
        <v>175</v>
      </c>
      <c r="E79" s="1">
        <v>0</v>
      </c>
      <c r="F79" s="1">
        <v>0</v>
      </c>
      <c r="G79" s="1">
        <v>0</v>
      </c>
      <c r="H79" s="1">
        <f>17620</f>
        <v>17620</v>
      </c>
      <c r="I79" s="1">
        <f>6990</f>
        <v>6990</v>
      </c>
      <c r="J79" s="1"/>
      <c r="K79" s="1"/>
    </row>
    <row r="80" spans="1:11" x14ac:dyDescent="0.25">
      <c r="A80" t="s">
        <v>857</v>
      </c>
      <c r="B80" t="s">
        <v>116</v>
      </c>
      <c r="C80" s="1">
        <f>9637+5231</f>
        <v>14868</v>
      </c>
      <c r="D80" s="1">
        <f>122+20+5</f>
        <v>147</v>
      </c>
      <c r="E80" s="1">
        <v>0</v>
      </c>
      <c r="F80" s="1">
        <v>0</v>
      </c>
      <c r="G80" s="1">
        <v>0</v>
      </c>
      <c r="H80" s="1">
        <f>2945</f>
        <v>2945</v>
      </c>
      <c r="I80" s="1">
        <f>4296</f>
        <v>4296</v>
      </c>
      <c r="J80" s="1"/>
      <c r="K80" s="1"/>
    </row>
    <row r="81" spans="1:11" x14ac:dyDescent="0.25">
      <c r="A81" t="s">
        <v>823</v>
      </c>
      <c r="B81" t="s">
        <v>117</v>
      </c>
      <c r="C81" s="1">
        <f>11340+25+4596</f>
        <v>15961</v>
      </c>
      <c r="D81" s="1">
        <v>0</v>
      </c>
      <c r="E81" s="1">
        <v>0</v>
      </c>
      <c r="F81" s="1">
        <v>0</v>
      </c>
      <c r="G81" s="1">
        <v>0</v>
      </c>
      <c r="H81" s="1">
        <f>123</f>
        <v>123</v>
      </c>
      <c r="I81" s="1">
        <f>3542</f>
        <v>3542</v>
      </c>
      <c r="J81" s="1"/>
      <c r="K81" s="1"/>
    </row>
    <row r="82" spans="1:11" x14ac:dyDescent="0.25">
      <c r="A82" t="s">
        <v>858</v>
      </c>
      <c r="B82" t="s">
        <v>119</v>
      </c>
      <c r="C82" s="1">
        <f>6085+6+8307</f>
        <v>14398</v>
      </c>
      <c r="D82" s="1">
        <f>8+6+73</f>
        <v>87</v>
      </c>
      <c r="E82" s="1">
        <v>0</v>
      </c>
      <c r="F82" s="1">
        <v>0</v>
      </c>
      <c r="G82" s="1">
        <v>0</v>
      </c>
      <c r="H82" s="1">
        <f>5396</f>
        <v>5396</v>
      </c>
      <c r="I82" s="1">
        <f>5161</f>
        <v>5161</v>
      </c>
      <c r="J82" s="1"/>
      <c r="K82" s="1"/>
    </row>
    <row r="83" spans="1:11" x14ac:dyDescent="0.25">
      <c r="A83" t="s">
        <v>859</v>
      </c>
      <c r="B83" t="s">
        <v>121</v>
      </c>
      <c r="C83" s="1">
        <f>8253+4+45+7+3261</f>
        <v>11570</v>
      </c>
      <c r="D83" s="1">
        <f>4+2</f>
        <v>6</v>
      </c>
      <c r="E83" s="1">
        <v>0</v>
      </c>
      <c r="F83" s="1">
        <v>0</v>
      </c>
      <c r="G83" s="1">
        <v>0</v>
      </c>
      <c r="H83" s="1">
        <f>9577</f>
        <v>9577</v>
      </c>
      <c r="I83" s="1">
        <v>0</v>
      </c>
      <c r="J83" s="1"/>
      <c r="K83" s="1"/>
    </row>
    <row r="84" spans="1:11" x14ac:dyDescent="0.25">
      <c r="A84" t="s">
        <v>860</v>
      </c>
      <c r="B84" t="s">
        <v>122</v>
      </c>
      <c r="C84" s="1">
        <f>9748+1+5562</f>
        <v>15311</v>
      </c>
      <c r="D84" s="1">
        <f>1+1+39</f>
        <v>41</v>
      </c>
      <c r="E84" s="1">
        <v>0</v>
      </c>
      <c r="F84" s="1">
        <v>0</v>
      </c>
      <c r="G84" s="1">
        <v>0</v>
      </c>
      <c r="H84" s="1">
        <f>6638</f>
        <v>6638</v>
      </c>
      <c r="I84" s="1">
        <f>4238</f>
        <v>4238</v>
      </c>
      <c r="J84" s="1"/>
      <c r="K84" s="1"/>
    </row>
    <row r="85" spans="1:11" x14ac:dyDescent="0.25">
      <c r="A85" t="s">
        <v>861</v>
      </c>
      <c r="B85" t="s">
        <v>124</v>
      </c>
      <c r="C85" s="1">
        <f>9640+3319</f>
        <v>12959</v>
      </c>
      <c r="D85" s="1">
        <v>0</v>
      </c>
      <c r="E85" s="1">
        <v>0</v>
      </c>
      <c r="F85" s="1">
        <v>0</v>
      </c>
      <c r="G85" s="1">
        <v>0</v>
      </c>
      <c r="H85" s="1">
        <f>6902</f>
        <v>6902</v>
      </c>
      <c r="I85" s="1">
        <f>2720</f>
        <v>2720</v>
      </c>
      <c r="J85" s="1"/>
      <c r="K85" s="1"/>
    </row>
    <row r="86" spans="1:11" x14ac:dyDescent="0.25">
      <c r="A86" t="s">
        <v>823</v>
      </c>
      <c r="B86" t="s">
        <v>125</v>
      </c>
      <c r="C86" s="1">
        <f>49801+287+3435</f>
        <v>53523</v>
      </c>
      <c r="D86" s="1">
        <v>0</v>
      </c>
      <c r="E86" s="1">
        <v>0</v>
      </c>
      <c r="F86" s="1">
        <v>0</v>
      </c>
      <c r="G86" s="1">
        <v>0</v>
      </c>
      <c r="H86" s="1">
        <f>655</f>
        <v>655</v>
      </c>
      <c r="I86" s="1">
        <f>1830</f>
        <v>1830</v>
      </c>
      <c r="J86" s="1"/>
      <c r="K86" s="1"/>
    </row>
    <row r="87" spans="1:11" x14ac:dyDescent="0.25">
      <c r="A87" t="s">
        <v>248</v>
      </c>
      <c r="B87" t="s">
        <v>126</v>
      </c>
      <c r="C87" s="1">
        <f>14280+2+2+4533</f>
        <v>18817</v>
      </c>
      <c r="D87" s="1">
        <f>8+1+1</f>
        <v>10</v>
      </c>
      <c r="E87" s="1">
        <v>0</v>
      </c>
      <c r="F87" s="1">
        <v>0</v>
      </c>
      <c r="G87" s="1">
        <v>0</v>
      </c>
      <c r="H87" s="1">
        <f>33398</f>
        <v>33398</v>
      </c>
      <c r="I87" s="1">
        <f>3817</f>
        <v>3817</v>
      </c>
      <c r="J87" s="1"/>
      <c r="K87" s="1"/>
    </row>
    <row r="88" spans="1:11" x14ac:dyDescent="0.25">
      <c r="A88" t="s">
        <v>862</v>
      </c>
      <c r="B88" t="s">
        <v>127</v>
      </c>
      <c r="C88" s="1">
        <f>4317+2441</f>
        <v>6758</v>
      </c>
      <c r="D88" s="1">
        <f>64+4</f>
        <v>68</v>
      </c>
      <c r="E88" s="1">
        <v>0</v>
      </c>
      <c r="F88" s="1">
        <v>0</v>
      </c>
      <c r="G88" s="1">
        <v>0</v>
      </c>
      <c r="H88" s="1">
        <f>4594</f>
        <v>4594</v>
      </c>
      <c r="I88" s="1">
        <f>2392</f>
        <v>2392</v>
      </c>
      <c r="J88" s="1"/>
      <c r="K88" s="1"/>
    </row>
    <row r="89" spans="1:11" x14ac:dyDescent="0.25">
      <c r="A89" t="s">
        <v>863</v>
      </c>
      <c r="B89" t="s">
        <v>129</v>
      </c>
      <c r="C89" s="1">
        <f>14391+6740</f>
        <v>21131</v>
      </c>
      <c r="D89" s="1">
        <f>271+11</f>
        <v>282</v>
      </c>
      <c r="E89" s="1">
        <v>0</v>
      </c>
      <c r="F89" s="1">
        <v>0</v>
      </c>
      <c r="G89" s="1">
        <v>0</v>
      </c>
      <c r="H89" s="1">
        <f>6333</f>
        <v>6333</v>
      </c>
      <c r="I89" s="1">
        <f>5028</f>
        <v>5028</v>
      </c>
      <c r="J89" s="1"/>
      <c r="K89" s="1"/>
    </row>
    <row r="90" spans="1:11" x14ac:dyDescent="0.25">
      <c r="A90" t="s">
        <v>794</v>
      </c>
      <c r="B90" t="s">
        <v>130</v>
      </c>
      <c r="C90" s="1">
        <f>30868+1037+3867</f>
        <v>35772</v>
      </c>
      <c r="D90" s="1">
        <f>31+69+10+8</f>
        <v>118</v>
      </c>
      <c r="E90" s="1">
        <v>0</v>
      </c>
      <c r="F90" s="1">
        <v>0</v>
      </c>
      <c r="G90" s="1">
        <v>0</v>
      </c>
      <c r="H90" s="1">
        <f>3616</f>
        <v>3616</v>
      </c>
      <c r="I90" s="1">
        <v>0</v>
      </c>
      <c r="J90" s="1"/>
      <c r="K90" s="1"/>
    </row>
    <row r="91" spans="1:11" x14ac:dyDescent="0.25">
      <c r="A91" t="s">
        <v>864</v>
      </c>
      <c r="B91" t="s">
        <v>132</v>
      </c>
      <c r="C91" s="1">
        <f>15165+11156</f>
        <v>26321</v>
      </c>
      <c r="D91" s="1">
        <f>6+1+18+24</f>
        <v>49</v>
      </c>
      <c r="E91" s="1">
        <v>0</v>
      </c>
      <c r="F91" s="1">
        <v>0</v>
      </c>
      <c r="G91" s="1">
        <v>0</v>
      </c>
      <c r="H91" s="1">
        <f>31366</f>
        <v>31366</v>
      </c>
      <c r="I91" s="1">
        <f>10021</f>
        <v>10021</v>
      </c>
      <c r="J91" s="1"/>
      <c r="K91" s="1"/>
    </row>
    <row r="92" spans="1:11" x14ac:dyDescent="0.25">
      <c r="A92" t="s">
        <v>512</v>
      </c>
      <c r="B92" t="s">
        <v>133</v>
      </c>
      <c r="C92" s="1">
        <f>8189+2+3162</f>
        <v>11353</v>
      </c>
      <c r="D92" s="1">
        <f>11+61</f>
        <v>72</v>
      </c>
      <c r="E92" s="1">
        <v>0</v>
      </c>
      <c r="F92" s="1">
        <v>0</v>
      </c>
      <c r="G92" s="1">
        <v>0</v>
      </c>
      <c r="H92" s="1">
        <f>2846</f>
        <v>2846</v>
      </c>
      <c r="I92" s="1">
        <f>2332</f>
        <v>2332</v>
      </c>
      <c r="J92" s="1"/>
      <c r="K92" s="1"/>
    </row>
    <row r="93" spans="1:11" x14ac:dyDescent="0.25">
      <c r="A93" t="s">
        <v>134</v>
      </c>
      <c r="B93" t="s">
        <v>135</v>
      </c>
      <c r="C93" s="1">
        <f>16357+63+71+10172</f>
        <v>26663</v>
      </c>
      <c r="D93" s="1">
        <f>7+3</f>
        <v>10</v>
      </c>
      <c r="E93" s="1">
        <v>0</v>
      </c>
      <c r="F93" s="1">
        <v>0</v>
      </c>
      <c r="G93" s="1">
        <v>0</v>
      </c>
      <c r="H93" s="1">
        <f>42955</f>
        <v>42955</v>
      </c>
      <c r="I93" s="1">
        <f>8376</f>
        <v>8376</v>
      </c>
      <c r="J93" s="1"/>
      <c r="K93" s="1"/>
    </row>
    <row r="94" spans="1:11" x14ac:dyDescent="0.25">
      <c r="A94" t="s">
        <v>795</v>
      </c>
      <c r="B94" t="s">
        <v>136</v>
      </c>
      <c r="C94" s="1">
        <f>9065+16+4+3488</f>
        <v>12573</v>
      </c>
      <c r="D94" s="1">
        <f>105+36+26+7</f>
        <v>174</v>
      </c>
      <c r="E94" s="1">
        <v>0</v>
      </c>
      <c r="F94" s="1">
        <v>0</v>
      </c>
      <c r="G94" s="1">
        <v>0</v>
      </c>
      <c r="H94" s="1">
        <f>8157</f>
        <v>8157</v>
      </c>
      <c r="I94" s="1">
        <f>3284</f>
        <v>3284</v>
      </c>
      <c r="J94" s="1"/>
      <c r="K94" s="1"/>
    </row>
    <row r="95" spans="1:11" x14ac:dyDescent="0.25">
      <c r="A95" t="s">
        <v>120</v>
      </c>
      <c r="B95" t="s">
        <v>137</v>
      </c>
      <c r="C95" s="1">
        <f>33018+1813+7+99+3906</f>
        <v>38843</v>
      </c>
      <c r="D95" s="1">
        <f>92+2+1</f>
        <v>95</v>
      </c>
      <c r="E95" s="1">
        <v>0</v>
      </c>
      <c r="F95" s="1">
        <v>0</v>
      </c>
      <c r="G95" s="1">
        <v>0</v>
      </c>
      <c r="H95" s="1">
        <f>24864</f>
        <v>24864</v>
      </c>
      <c r="I95" s="1">
        <f>2680</f>
        <v>2680</v>
      </c>
      <c r="J95" s="1"/>
      <c r="K95" s="1"/>
    </row>
    <row r="96" spans="1:11" x14ac:dyDescent="0.25">
      <c r="A96" t="s">
        <v>138</v>
      </c>
      <c r="B96" t="s">
        <v>139</v>
      </c>
      <c r="C96" s="1">
        <f>20436+26+4+416+4+69+4668</f>
        <v>25623</v>
      </c>
      <c r="D96" s="1">
        <f>2+17</f>
        <v>19</v>
      </c>
      <c r="E96" s="1">
        <v>0</v>
      </c>
      <c r="F96" s="1">
        <v>0</v>
      </c>
      <c r="G96" s="1">
        <v>0</v>
      </c>
      <c r="H96" s="1">
        <f>6046</f>
        <v>6046</v>
      </c>
      <c r="I96" s="1">
        <v>0</v>
      </c>
      <c r="J96" s="1"/>
      <c r="K96" s="1"/>
    </row>
    <row r="97" spans="1:11" x14ac:dyDescent="0.25">
      <c r="A97" t="s">
        <v>806</v>
      </c>
      <c r="B97" t="s">
        <v>141</v>
      </c>
      <c r="C97" s="1"/>
      <c r="D97" s="1"/>
      <c r="E97" s="1"/>
      <c r="F97" s="1"/>
      <c r="G97" s="1"/>
      <c r="H97" s="1"/>
      <c r="I97" s="1"/>
      <c r="J97" s="1"/>
      <c r="K97" s="1"/>
    </row>
    <row r="98" spans="1:11" x14ac:dyDescent="0.25">
      <c r="A98" t="s">
        <v>67</v>
      </c>
      <c r="B98" t="s">
        <v>142</v>
      </c>
      <c r="C98" s="1">
        <f>16171+2+1751+21+1895</f>
        <v>19840</v>
      </c>
      <c r="D98" s="1">
        <f>29+4+1</f>
        <v>34</v>
      </c>
      <c r="E98" s="1">
        <v>0</v>
      </c>
      <c r="F98" s="1">
        <v>0</v>
      </c>
      <c r="G98" s="1">
        <v>0</v>
      </c>
      <c r="H98" s="1">
        <f>6245</f>
        <v>6245</v>
      </c>
      <c r="I98" s="1">
        <f>1516</f>
        <v>1516</v>
      </c>
      <c r="J98" s="1"/>
      <c r="K98" s="1"/>
    </row>
    <row r="99" spans="1:11" x14ac:dyDescent="0.25">
      <c r="A99" t="s">
        <v>823</v>
      </c>
      <c r="B99" t="s">
        <v>143</v>
      </c>
      <c r="C99" s="1">
        <f>8886+6718</f>
        <v>15604</v>
      </c>
      <c r="D99" s="1">
        <v>0</v>
      </c>
      <c r="E99" s="1">
        <v>0</v>
      </c>
      <c r="F99" s="1">
        <v>0</v>
      </c>
      <c r="G99" s="1">
        <v>0</v>
      </c>
      <c r="H99" s="1">
        <f>536</f>
        <v>536</v>
      </c>
      <c r="I99" s="1">
        <f>1037</f>
        <v>1037</v>
      </c>
      <c r="J99" s="1"/>
      <c r="K99" s="1"/>
    </row>
    <row r="100" spans="1:11" x14ac:dyDescent="0.25">
      <c r="A100" t="s">
        <v>848</v>
      </c>
      <c r="B100" t="s">
        <v>144</v>
      </c>
      <c r="C100" s="1">
        <f>5309+2679</f>
        <v>7988</v>
      </c>
      <c r="D100" s="1">
        <f>367+5</f>
        <v>372</v>
      </c>
      <c r="E100" s="1">
        <v>0</v>
      </c>
      <c r="F100" s="1">
        <v>0</v>
      </c>
      <c r="G100" s="1">
        <v>0</v>
      </c>
      <c r="H100" s="1">
        <f>1450</f>
        <v>1450</v>
      </c>
      <c r="I100" s="1">
        <f>2442</f>
        <v>2442</v>
      </c>
      <c r="J100" s="1"/>
      <c r="K100" s="1"/>
    </row>
    <row r="101" spans="1:11" x14ac:dyDescent="0.25">
      <c r="A101" t="s">
        <v>816</v>
      </c>
      <c r="B101" t="s">
        <v>145</v>
      </c>
      <c r="C101" s="1">
        <f>29042+1+33+6+16880+1</f>
        <v>45963</v>
      </c>
      <c r="D101" s="1">
        <f>22+22+1</f>
        <v>45</v>
      </c>
      <c r="E101" s="1">
        <v>0</v>
      </c>
      <c r="F101" s="1">
        <v>0</v>
      </c>
      <c r="G101" s="1">
        <v>0</v>
      </c>
      <c r="H101" s="1">
        <f>33345</f>
        <v>33345</v>
      </c>
      <c r="I101" s="1">
        <f>14901</f>
        <v>14901</v>
      </c>
      <c r="J101" s="1"/>
      <c r="K101" s="1"/>
    </row>
    <row r="102" spans="1:11" x14ac:dyDescent="0.25">
      <c r="A102" t="s">
        <v>146</v>
      </c>
      <c r="B102" t="s">
        <v>147</v>
      </c>
      <c r="C102" s="1">
        <f>57367+179+16403</f>
        <v>73949</v>
      </c>
      <c r="D102" s="1">
        <f>54+2+2+2</f>
        <v>60</v>
      </c>
      <c r="E102" s="1">
        <v>0</v>
      </c>
      <c r="F102" s="1">
        <v>0</v>
      </c>
      <c r="G102" s="1">
        <v>0</v>
      </c>
      <c r="H102" s="1">
        <f>33191</f>
        <v>33191</v>
      </c>
      <c r="I102" s="1">
        <f>13629</f>
        <v>13629</v>
      </c>
      <c r="J102" s="1"/>
      <c r="K102" s="1"/>
    </row>
    <row r="103" spans="1:11" x14ac:dyDescent="0.25">
      <c r="A103" t="s">
        <v>804</v>
      </c>
      <c r="B103" t="s">
        <v>148</v>
      </c>
      <c r="C103" s="1">
        <f>73498+4+5+121+22+25510</f>
        <v>99160</v>
      </c>
      <c r="D103" s="1">
        <f>42+4+22+36+2</f>
        <v>106</v>
      </c>
      <c r="E103" s="1">
        <v>0</v>
      </c>
      <c r="F103" s="1">
        <v>0</v>
      </c>
      <c r="G103" s="1">
        <v>0</v>
      </c>
      <c r="H103" s="1">
        <f>118809</f>
        <v>118809</v>
      </c>
      <c r="I103" s="1">
        <f>20612</f>
        <v>20612</v>
      </c>
      <c r="J103" s="1"/>
      <c r="K103" s="1"/>
    </row>
    <row r="104" spans="1:11" x14ac:dyDescent="0.25">
      <c r="A104" t="s">
        <v>817</v>
      </c>
      <c r="B104" t="s">
        <v>149</v>
      </c>
      <c r="C104" s="1">
        <f>9213+1+7429+2</f>
        <v>16645</v>
      </c>
      <c r="D104" s="1">
        <f>368+58+37+2</f>
        <v>465</v>
      </c>
      <c r="E104" s="1">
        <v>0</v>
      </c>
      <c r="F104" s="1">
        <v>0</v>
      </c>
      <c r="G104" s="1">
        <v>0</v>
      </c>
      <c r="H104" s="1">
        <f>20100</f>
        <v>20100</v>
      </c>
      <c r="I104" s="1">
        <v>0</v>
      </c>
      <c r="J104" s="1"/>
      <c r="K104" s="1"/>
    </row>
    <row r="105" spans="1:11" x14ac:dyDescent="0.25">
      <c r="A105" t="s">
        <v>831</v>
      </c>
      <c r="B105" t="s">
        <v>151</v>
      </c>
      <c r="C105" s="1">
        <f>3881+2+17+1+46+1395</f>
        <v>5342</v>
      </c>
      <c r="D105" s="1">
        <f>3</f>
        <v>3</v>
      </c>
      <c r="E105" s="1">
        <v>0</v>
      </c>
      <c r="F105" s="1">
        <v>0</v>
      </c>
      <c r="G105" s="1">
        <v>0</v>
      </c>
      <c r="H105" s="1">
        <f>2409</f>
        <v>2409</v>
      </c>
      <c r="I105" s="1">
        <f>1041</f>
        <v>1041</v>
      </c>
      <c r="J105" s="1"/>
      <c r="K105" s="1"/>
    </row>
    <row r="106" spans="1:11" x14ac:dyDescent="0.25">
      <c r="A106" t="s">
        <v>146</v>
      </c>
      <c r="B106" t="s">
        <v>152</v>
      </c>
      <c r="C106" s="1">
        <f>8327+159+65+9208</f>
        <v>17759</v>
      </c>
      <c r="D106" s="1">
        <f>37</f>
        <v>37</v>
      </c>
      <c r="E106" s="1">
        <v>0</v>
      </c>
      <c r="F106" s="1">
        <v>0</v>
      </c>
      <c r="G106" s="1">
        <v>0</v>
      </c>
      <c r="H106" s="1">
        <f>13252</f>
        <v>13252</v>
      </c>
      <c r="I106" s="1">
        <f>6261</f>
        <v>6261</v>
      </c>
      <c r="J106" s="1"/>
      <c r="K106" s="1"/>
    </row>
    <row r="107" spans="1:11" x14ac:dyDescent="0.25">
      <c r="A107" t="s">
        <v>495</v>
      </c>
      <c r="B107" t="s">
        <v>153</v>
      </c>
      <c r="C107" s="1">
        <f>5373+48+665</f>
        <v>6086</v>
      </c>
      <c r="D107" s="1">
        <f>4</f>
        <v>4</v>
      </c>
      <c r="E107" s="1">
        <v>0</v>
      </c>
      <c r="F107" s="1">
        <v>0</v>
      </c>
      <c r="G107" s="1">
        <v>0</v>
      </c>
      <c r="H107" s="1">
        <f>1628</f>
        <v>1628</v>
      </c>
      <c r="I107" s="1">
        <v>0</v>
      </c>
      <c r="J107" s="1"/>
      <c r="K107" s="1"/>
    </row>
    <row r="108" spans="1:11" x14ac:dyDescent="0.25">
      <c r="A108" t="s">
        <v>76</v>
      </c>
      <c r="B108" t="s">
        <v>154</v>
      </c>
      <c r="C108" s="1">
        <f>18270+137+18671</f>
        <v>37078</v>
      </c>
      <c r="D108" s="1">
        <f>9+1+490+1</f>
        <v>501</v>
      </c>
      <c r="E108" s="1">
        <v>0</v>
      </c>
      <c r="F108" s="1">
        <v>0</v>
      </c>
      <c r="G108" s="1">
        <v>0</v>
      </c>
      <c r="H108" s="1">
        <f>5635</f>
        <v>5635</v>
      </c>
      <c r="I108" s="1">
        <v>0</v>
      </c>
      <c r="J108" s="1"/>
      <c r="K108" s="1"/>
    </row>
    <row r="109" spans="1:11" x14ac:dyDescent="0.25">
      <c r="A109" t="s">
        <v>83</v>
      </c>
      <c r="B109" t="s">
        <v>155</v>
      </c>
      <c r="C109" s="1">
        <f>9805+3060</f>
        <v>12865</v>
      </c>
      <c r="D109" s="1">
        <f>5+8</f>
        <v>13</v>
      </c>
      <c r="E109" s="1">
        <v>0</v>
      </c>
      <c r="F109" s="1">
        <v>0</v>
      </c>
      <c r="G109" s="1">
        <v>0</v>
      </c>
      <c r="H109" s="1">
        <f>50200</f>
        <v>50200</v>
      </c>
      <c r="I109" s="1">
        <v>0</v>
      </c>
      <c r="J109" s="1"/>
      <c r="K109" s="1"/>
    </row>
    <row r="110" spans="1:11" x14ac:dyDescent="0.25">
      <c r="A110" t="s">
        <v>138</v>
      </c>
      <c r="B110" t="s">
        <v>156</v>
      </c>
      <c r="C110" s="1">
        <f>24621+1+10268</f>
        <v>34890</v>
      </c>
      <c r="D110" s="1">
        <f>30+1+12+161</f>
        <v>204</v>
      </c>
      <c r="E110" s="1">
        <v>0</v>
      </c>
      <c r="F110" s="1">
        <v>0</v>
      </c>
      <c r="G110" s="1">
        <v>0</v>
      </c>
      <c r="H110" s="1">
        <f>37312</f>
        <v>37312</v>
      </c>
      <c r="I110" s="1">
        <v>0</v>
      </c>
      <c r="J110" s="1"/>
      <c r="K110" s="1"/>
    </row>
    <row r="111" spans="1:11" x14ac:dyDescent="0.25">
      <c r="A111" t="s">
        <v>831</v>
      </c>
      <c r="B111" t="s">
        <v>157</v>
      </c>
      <c r="C111" s="1">
        <f>5146+7+2140</f>
        <v>7293</v>
      </c>
      <c r="D111" s="1">
        <f>16</f>
        <v>16</v>
      </c>
      <c r="E111" s="1">
        <v>0</v>
      </c>
      <c r="F111" s="1">
        <v>0</v>
      </c>
      <c r="G111" s="1">
        <v>0</v>
      </c>
      <c r="H111" s="1">
        <f>3476</f>
        <v>3476</v>
      </c>
      <c r="I111" s="1">
        <f>1984</f>
        <v>1984</v>
      </c>
      <c r="J111" s="1"/>
      <c r="K111" s="1"/>
    </row>
    <row r="112" spans="1:11" x14ac:dyDescent="0.25">
      <c r="A112" t="s">
        <v>818</v>
      </c>
      <c r="B112" t="s">
        <v>158</v>
      </c>
      <c r="C112" s="1">
        <f>15948+115+7+3524</f>
        <v>19594</v>
      </c>
      <c r="D112" s="1">
        <f>12</f>
        <v>12</v>
      </c>
      <c r="E112" s="1">
        <v>0</v>
      </c>
      <c r="F112" s="1">
        <v>0</v>
      </c>
      <c r="G112" s="1">
        <v>0</v>
      </c>
      <c r="H112" s="1">
        <f>10869</f>
        <v>10869</v>
      </c>
      <c r="I112" s="1">
        <v>0</v>
      </c>
      <c r="J112" s="1"/>
      <c r="K112" s="1"/>
    </row>
    <row r="113" spans="1:11" x14ac:dyDescent="0.25">
      <c r="A113" t="s">
        <v>134</v>
      </c>
      <c r="B113" t="s">
        <v>159</v>
      </c>
      <c r="C113" s="1">
        <f>2031+1+4+183</f>
        <v>2219</v>
      </c>
      <c r="D113" s="1">
        <f>81</f>
        <v>81</v>
      </c>
      <c r="E113" s="1">
        <v>0</v>
      </c>
      <c r="F113" s="1">
        <v>0</v>
      </c>
      <c r="G113" s="1">
        <v>0</v>
      </c>
      <c r="H113" s="1">
        <f>1638</f>
        <v>1638</v>
      </c>
      <c r="I113" s="1">
        <f>133</f>
        <v>133</v>
      </c>
      <c r="J113" s="1"/>
      <c r="K113" s="1"/>
    </row>
    <row r="114" spans="1:11" x14ac:dyDescent="0.25">
      <c r="A114" t="s">
        <v>795</v>
      </c>
      <c r="B114" t="s">
        <v>160</v>
      </c>
      <c r="C114" s="1">
        <f>30957+13381</f>
        <v>44338</v>
      </c>
      <c r="D114" s="1">
        <f>156+55+7+129+449+525</f>
        <v>1321</v>
      </c>
      <c r="E114" s="1">
        <v>0</v>
      </c>
      <c r="F114" s="1">
        <v>0</v>
      </c>
      <c r="G114" s="1">
        <v>0</v>
      </c>
      <c r="H114" s="1">
        <f>4063</f>
        <v>4063</v>
      </c>
      <c r="I114" s="1">
        <f>9783</f>
        <v>9783</v>
      </c>
      <c r="J114" s="1"/>
      <c r="K114" s="1"/>
    </row>
    <row r="115" spans="1:11" x14ac:dyDescent="0.25">
      <c r="A115" t="s">
        <v>226</v>
      </c>
      <c r="B115" t="s">
        <v>161</v>
      </c>
      <c r="C115" s="1">
        <f>3585+26+44+266</f>
        <v>3921</v>
      </c>
      <c r="D115" s="1">
        <f>1</f>
        <v>1</v>
      </c>
      <c r="E115" s="1">
        <v>0</v>
      </c>
      <c r="F115" s="1">
        <v>0</v>
      </c>
      <c r="G115" s="1">
        <v>0</v>
      </c>
      <c r="H115" s="1">
        <f>1136</f>
        <v>1136</v>
      </c>
      <c r="I115" s="1">
        <f>262</f>
        <v>262</v>
      </c>
      <c r="J115" s="1"/>
      <c r="K115" s="1"/>
    </row>
    <row r="116" spans="1:11" x14ac:dyDescent="0.25">
      <c r="A116" t="s">
        <v>791</v>
      </c>
      <c r="B116" t="s">
        <v>162</v>
      </c>
      <c r="C116" s="1">
        <f>6904+1+14+1+1+3+34+48+2484</f>
        <v>9490</v>
      </c>
      <c r="D116" s="1">
        <f>2+8+24</f>
        <v>34</v>
      </c>
      <c r="E116" s="1">
        <v>0</v>
      </c>
      <c r="F116" s="1">
        <v>0</v>
      </c>
      <c r="G116" s="1">
        <v>0</v>
      </c>
      <c r="H116" s="1">
        <f>5243</f>
        <v>5243</v>
      </c>
      <c r="I116" s="1">
        <f>2474</f>
        <v>2474</v>
      </c>
      <c r="J116" s="1"/>
      <c r="K116" s="1"/>
    </row>
    <row r="117" spans="1:11" x14ac:dyDescent="0.25">
      <c r="A117" t="s">
        <v>811</v>
      </c>
      <c r="B117" t="s">
        <v>163</v>
      </c>
      <c r="C117" s="1">
        <f>19998+4+1+28+21927</f>
        <v>41958</v>
      </c>
      <c r="D117" s="1">
        <f>1180+5+139+29</f>
        <v>1353</v>
      </c>
      <c r="E117" s="1">
        <v>0</v>
      </c>
      <c r="F117" s="1">
        <v>0</v>
      </c>
      <c r="G117" s="1">
        <v>0</v>
      </c>
      <c r="H117" s="1">
        <f>50614</f>
        <v>50614</v>
      </c>
      <c r="I117" s="1">
        <f>18679</f>
        <v>18679</v>
      </c>
      <c r="J117" s="1"/>
      <c r="K117" s="1"/>
    </row>
    <row r="118" spans="1:11" x14ac:dyDescent="0.25">
      <c r="A118" t="s">
        <v>138</v>
      </c>
      <c r="B118" t="s">
        <v>164</v>
      </c>
      <c r="C118" s="1">
        <f>50162+1+7+18060</f>
        <v>68230</v>
      </c>
      <c r="D118" s="1">
        <f>89+36+20+34</f>
        <v>179</v>
      </c>
      <c r="E118" s="1">
        <v>0</v>
      </c>
      <c r="F118" s="1">
        <v>0</v>
      </c>
      <c r="G118" s="1">
        <v>0</v>
      </c>
      <c r="H118" s="1">
        <f>64077</f>
        <v>64077</v>
      </c>
      <c r="I118" s="1">
        <v>0</v>
      </c>
      <c r="J118" s="1"/>
      <c r="K118" s="1"/>
    </row>
    <row r="119" spans="1:11" x14ac:dyDescent="0.25">
      <c r="A119" t="s">
        <v>83</v>
      </c>
      <c r="B119" t="s">
        <v>165</v>
      </c>
      <c r="C119" s="1">
        <f>7112+2387</f>
        <v>9499</v>
      </c>
      <c r="D119" s="1">
        <f>99+24+4</f>
        <v>127</v>
      </c>
      <c r="E119" s="1">
        <v>0</v>
      </c>
      <c r="F119" s="1">
        <v>0</v>
      </c>
      <c r="G119" s="1">
        <v>0</v>
      </c>
      <c r="H119" s="1">
        <f>4318</f>
        <v>4318</v>
      </c>
      <c r="I119" s="1">
        <v>0</v>
      </c>
      <c r="J119" s="1"/>
      <c r="K119" s="1"/>
    </row>
    <row r="120" spans="1:11" x14ac:dyDescent="0.25">
      <c r="A120" t="s">
        <v>818</v>
      </c>
      <c r="B120" t="s">
        <v>166</v>
      </c>
      <c r="C120" s="1">
        <f>6624+111+2+26+566</f>
        <v>7329</v>
      </c>
      <c r="D120" s="1">
        <f>6+1</f>
        <v>7</v>
      </c>
      <c r="E120" s="1">
        <v>0</v>
      </c>
      <c r="F120" s="1">
        <v>0</v>
      </c>
      <c r="G120" s="1">
        <f>4813</f>
        <v>4813</v>
      </c>
      <c r="H120" s="1">
        <v>0</v>
      </c>
      <c r="I120" s="1">
        <v>0</v>
      </c>
      <c r="J120" s="1"/>
      <c r="K120" s="1"/>
    </row>
    <row r="121" spans="1:11" x14ac:dyDescent="0.25">
      <c r="A121" t="s">
        <v>801</v>
      </c>
      <c r="B121" t="s">
        <v>167</v>
      </c>
      <c r="C121" s="1">
        <f>18922+14+19+2+2385</f>
        <v>21342</v>
      </c>
      <c r="D121" s="1">
        <f>3</f>
        <v>3</v>
      </c>
      <c r="E121" s="1">
        <v>0</v>
      </c>
      <c r="F121" s="1">
        <v>0</v>
      </c>
      <c r="G121" s="1">
        <v>0</v>
      </c>
      <c r="H121" s="1">
        <f>19362</f>
        <v>19362</v>
      </c>
      <c r="I121" s="1">
        <v>0</v>
      </c>
      <c r="J121" s="1"/>
      <c r="K121" s="1"/>
    </row>
    <row r="122" spans="1:11" x14ac:dyDescent="0.25">
      <c r="A122" t="s">
        <v>826</v>
      </c>
      <c r="B122" t="s">
        <v>168</v>
      </c>
      <c r="C122" s="1">
        <f>28824+4+42+557+24+1+4+6+20+321+1823</f>
        <v>31626</v>
      </c>
      <c r="D122" s="1">
        <f>175+7+2</f>
        <v>184</v>
      </c>
      <c r="E122" s="1">
        <v>0</v>
      </c>
      <c r="F122" s="1">
        <v>0</v>
      </c>
      <c r="G122" s="1">
        <v>0</v>
      </c>
      <c r="H122" s="1">
        <v>10732</v>
      </c>
      <c r="I122" s="1">
        <f>1744</f>
        <v>1744</v>
      </c>
      <c r="J122" s="1"/>
      <c r="K122" s="1"/>
    </row>
    <row r="123" spans="1:11" x14ac:dyDescent="0.25">
      <c r="A123" t="s">
        <v>848</v>
      </c>
      <c r="B123" t="s">
        <v>169</v>
      </c>
      <c r="C123" s="1">
        <f>4504+33+2+27+1881</f>
        <v>6447</v>
      </c>
      <c r="D123" s="1">
        <f>73+2</f>
        <v>75</v>
      </c>
      <c r="E123" s="1">
        <v>0</v>
      </c>
      <c r="F123" s="1">
        <v>0</v>
      </c>
      <c r="G123" s="1">
        <v>0</v>
      </c>
      <c r="H123" s="1">
        <f>1252</f>
        <v>1252</v>
      </c>
      <c r="I123" s="1">
        <f>1813</f>
        <v>1813</v>
      </c>
      <c r="J123" s="1"/>
      <c r="K123" s="1"/>
    </row>
    <row r="124" spans="1:11" x14ac:dyDescent="0.25">
      <c r="A124" t="s">
        <v>811</v>
      </c>
      <c r="B124" t="s">
        <v>170</v>
      </c>
      <c r="C124" s="1">
        <f>12756+194+6461</f>
        <v>19411</v>
      </c>
      <c r="D124" s="1">
        <v>409</v>
      </c>
      <c r="E124" s="1">
        <v>0</v>
      </c>
      <c r="F124" s="1">
        <v>0</v>
      </c>
      <c r="G124" s="1">
        <v>0</v>
      </c>
      <c r="H124" s="1">
        <f>10208</f>
        <v>10208</v>
      </c>
      <c r="I124" s="1">
        <f>5802</f>
        <v>5802</v>
      </c>
      <c r="J124" s="1"/>
      <c r="K124" s="1"/>
    </row>
    <row r="125" spans="1:11" x14ac:dyDescent="0.25">
      <c r="A125" t="s">
        <v>512</v>
      </c>
      <c r="B125" t="s">
        <v>171</v>
      </c>
      <c r="C125" s="1">
        <f>4649+2783</f>
        <v>7432</v>
      </c>
      <c r="D125" s="1">
        <f>3</f>
        <v>3</v>
      </c>
      <c r="E125" s="1">
        <v>0</v>
      </c>
      <c r="F125" s="1">
        <v>0</v>
      </c>
      <c r="G125" s="1">
        <v>0</v>
      </c>
      <c r="H125" s="1">
        <v>3646</v>
      </c>
      <c r="I125" s="1">
        <f>1442</f>
        <v>1442</v>
      </c>
      <c r="J125" s="1"/>
      <c r="K125" s="1"/>
    </row>
    <row r="126" spans="1:11" x14ac:dyDescent="0.25">
      <c r="A126" t="s">
        <v>848</v>
      </c>
      <c r="B126" t="s">
        <v>172</v>
      </c>
      <c r="C126" s="1">
        <f>2015+1599</f>
        <v>3614</v>
      </c>
      <c r="D126" s="1">
        <f>1</f>
        <v>1</v>
      </c>
      <c r="E126" s="1">
        <v>0</v>
      </c>
      <c r="F126" s="1">
        <v>0</v>
      </c>
      <c r="G126" s="1">
        <v>0</v>
      </c>
      <c r="H126" s="1">
        <f>415</f>
        <v>415</v>
      </c>
      <c r="I126" s="1">
        <f>259</f>
        <v>259</v>
      </c>
      <c r="J126" s="1"/>
      <c r="K126" s="1"/>
    </row>
    <row r="127" spans="1:11" x14ac:dyDescent="0.25">
      <c r="A127" t="s">
        <v>801</v>
      </c>
      <c r="B127" t="s">
        <v>173</v>
      </c>
      <c r="C127" s="1">
        <f>23768+1+2556+6+3+14334</f>
        <v>40668</v>
      </c>
      <c r="D127" s="1">
        <f>104+898+6+47</f>
        <v>1055</v>
      </c>
      <c r="E127" s="1">
        <v>0</v>
      </c>
      <c r="F127" s="1">
        <v>0</v>
      </c>
      <c r="G127" s="1">
        <v>0</v>
      </c>
      <c r="H127" s="1">
        <f>29639</f>
        <v>29639</v>
      </c>
      <c r="I127" s="1">
        <v>0</v>
      </c>
      <c r="J127" s="1"/>
      <c r="K127" s="1"/>
    </row>
    <row r="128" spans="1:11" x14ac:dyDescent="0.25">
      <c r="A128" t="s">
        <v>864</v>
      </c>
      <c r="B128" t="s">
        <v>174</v>
      </c>
      <c r="C128" s="1">
        <f>7765+5+2667</f>
        <v>10437</v>
      </c>
      <c r="D128" s="1">
        <f>2+14</f>
        <v>16</v>
      </c>
      <c r="E128" s="1">
        <v>0</v>
      </c>
      <c r="F128" s="1">
        <v>0</v>
      </c>
      <c r="G128" s="1">
        <v>0</v>
      </c>
      <c r="H128" s="1">
        <f>7764</f>
        <v>7764</v>
      </c>
      <c r="I128" s="1">
        <f>2381</f>
        <v>2381</v>
      </c>
      <c r="J128" s="1"/>
      <c r="K128" s="1"/>
    </row>
    <row r="129" spans="1:11" x14ac:dyDescent="0.25">
      <c r="A129" t="s">
        <v>226</v>
      </c>
      <c r="B129" t="s">
        <v>175</v>
      </c>
      <c r="C129" s="1">
        <f>2240+24+8+541</f>
        <v>2813</v>
      </c>
      <c r="D129" s="1">
        <f>344</f>
        <v>344</v>
      </c>
      <c r="E129" s="1">
        <v>0</v>
      </c>
      <c r="F129" s="1">
        <v>0</v>
      </c>
      <c r="G129" s="1">
        <v>0</v>
      </c>
      <c r="H129" s="1">
        <f>934</f>
        <v>934</v>
      </c>
      <c r="I129" s="1">
        <f>509</f>
        <v>509</v>
      </c>
      <c r="J129" s="1"/>
      <c r="K129" s="1"/>
    </row>
    <row r="130" spans="1:11" x14ac:dyDescent="0.25">
      <c r="A130" t="s">
        <v>794</v>
      </c>
      <c r="B130" t="s">
        <v>176</v>
      </c>
      <c r="C130" s="1">
        <f>88538+30+10+7623</f>
        <v>96201</v>
      </c>
      <c r="D130" s="1">
        <f>11+1</f>
        <v>12</v>
      </c>
      <c r="E130" s="1">
        <v>0</v>
      </c>
      <c r="F130" s="1">
        <v>0</v>
      </c>
      <c r="G130" s="1">
        <v>0</v>
      </c>
      <c r="H130" s="1">
        <f>18175</f>
        <v>18175</v>
      </c>
      <c r="I130" s="1">
        <v>0</v>
      </c>
      <c r="J130" s="1"/>
      <c r="K130" s="1"/>
    </row>
    <row r="131" spans="1:11" x14ac:dyDescent="0.25">
      <c r="A131" t="s">
        <v>248</v>
      </c>
      <c r="B131" t="s">
        <v>177</v>
      </c>
      <c r="C131" s="1">
        <f>12108+3+1+12+2+19+5+54+2494</f>
        <v>14698</v>
      </c>
      <c r="D131" s="1">
        <f>7+2+10</f>
        <v>19</v>
      </c>
      <c r="E131" s="1">
        <v>0</v>
      </c>
      <c r="F131" s="1">
        <v>0</v>
      </c>
      <c r="G131" s="1">
        <v>0</v>
      </c>
      <c r="H131" s="1">
        <f>10723</f>
        <v>10723</v>
      </c>
      <c r="I131" s="1">
        <f>1602</f>
        <v>1602</v>
      </c>
      <c r="J131" s="1"/>
      <c r="K131" s="1"/>
    </row>
    <row r="132" spans="1:11" x14ac:dyDescent="0.25">
      <c r="A132" t="s">
        <v>83</v>
      </c>
      <c r="B132" t="s">
        <v>178</v>
      </c>
      <c r="C132" s="1">
        <f>30565+8+11+5113</f>
        <v>35697</v>
      </c>
      <c r="D132" s="1">
        <f>180+26+14</f>
        <v>220</v>
      </c>
      <c r="E132" s="1">
        <v>0</v>
      </c>
      <c r="F132" s="1">
        <v>0</v>
      </c>
      <c r="G132" s="1">
        <v>0</v>
      </c>
      <c r="H132" s="1">
        <f>44551</f>
        <v>44551</v>
      </c>
      <c r="I132" s="1">
        <v>0</v>
      </c>
      <c r="J132" s="1"/>
      <c r="K132" s="1"/>
    </row>
    <row r="133" spans="1:11" x14ac:dyDescent="0.25">
      <c r="A133" t="s">
        <v>823</v>
      </c>
      <c r="B133" t="s">
        <v>179</v>
      </c>
      <c r="C133" s="1">
        <f>19188+1718+1+9491+1089</f>
        <v>31487</v>
      </c>
      <c r="D133" s="1">
        <f>4+1+4+52+6</f>
        <v>67</v>
      </c>
      <c r="E133" s="1">
        <v>0</v>
      </c>
      <c r="F133" s="1">
        <v>0</v>
      </c>
      <c r="G133" s="1">
        <v>0</v>
      </c>
      <c r="H133" s="1">
        <f>13107</f>
        <v>13107</v>
      </c>
      <c r="I133" s="1">
        <f>9046</f>
        <v>9046</v>
      </c>
      <c r="J133" s="1"/>
      <c r="K133" s="1"/>
    </row>
    <row r="134" spans="1:11" x14ac:dyDescent="0.25">
      <c r="A134" t="s">
        <v>795</v>
      </c>
      <c r="B134" t="s">
        <v>180</v>
      </c>
      <c r="C134" s="1">
        <f>68836+16+25182</f>
        <v>94034</v>
      </c>
      <c r="D134" s="1">
        <f>23+23</f>
        <v>46</v>
      </c>
      <c r="E134" s="1">
        <v>0</v>
      </c>
      <c r="F134" s="1">
        <v>0</v>
      </c>
      <c r="G134" s="1">
        <v>0</v>
      </c>
      <c r="H134" s="1">
        <f>40140</f>
        <v>40140</v>
      </c>
      <c r="I134" s="1">
        <f>23368</f>
        <v>23368</v>
      </c>
      <c r="J134" s="1"/>
      <c r="K134" s="1"/>
    </row>
    <row r="135" spans="1:11" x14ac:dyDescent="0.25">
      <c r="A135" t="s">
        <v>791</v>
      </c>
      <c r="B135" t="s">
        <v>181</v>
      </c>
      <c r="C135" s="1">
        <f>1709+3466</f>
        <v>5175</v>
      </c>
      <c r="D135" s="1">
        <f>465+39+1</f>
        <v>505</v>
      </c>
      <c r="E135" s="1">
        <v>0</v>
      </c>
      <c r="F135" s="1">
        <v>0</v>
      </c>
      <c r="G135" s="1">
        <v>0</v>
      </c>
      <c r="H135" s="1">
        <f>7450</f>
        <v>7450</v>
      </c>
      <c r="I135" s="1">
        <f>1557</f>
        <v>1557</v>
      </c>
      <c r="J135" s="1"/>
      <c r="K135" s="1"/>
    </row>
    <row r="136" spans="1:11" x14ac:dyDescent="0.25">
      <c r="A136" t="s">
        <v>83</v>
      </c>
      <c r="B136" t="s">
        <v>182</v>
      </c>
      <c r="C136" s="1">
        <f>19072+5575</f>
        <v>24647</v>
      </c>
      <c r="D136" s="1">
        <f>75+3</f>
        <v>78</v>
      </c>
      <c r="E136" s="1">
        <v>0</v>
      </c>
      <c r="F136" s="1">
        <v>0</v>
      </c>
      <c r="G136" s="1">
        <v>0</v>
      </c>
      <c r="H136" s="1">
        <f>3438</f>
        <v>3438</v>
      </c>
      <c r="I136" s="1">
        <v>0</v>
      </c>
      <c r="J136" s="1"/>
      <c r="K136" s="1"/>
    </row>
    <row r="137" spans="1:11" x14ac:dyDescent="0.25">
      <c r="A137" t="s">
        <v>817</v>
      </c>
      <c r="B137" t="s">
        <v>183</v>
      </c>
      <c r="C137" s="1">
        <f>3439+91+38+2642</f>
        <v>6210</v>
      </c>
      <c r="D137" s="1">
        <f>24+15+1</f>
        <v>40</v>
      </c>
      <c r="E137" s="1">
        <v>0</v>
      </c>
      <c r="F137" s="1">
        <v>0</v>
      </c>
      <c r="G137" s="1">
        <v>0</v>
      </c>
      <c r="H137" s="1">
        <f>9707</f>
        <v>9707</v>
      </c>
      <c r="I137" s="1">
        <v>0</v>
      </c>
      <c r="J137" s="1"/>
      <c r="K137" s="1"/>
    </row>
    <row r="138" spans="1:11" x14ac:dyDescent="0.25">
      <c r="A138" t="s">
        <v>67</v>
      </c>
      <c r="B138" t="s">
        <v>184</v>
      </c>
      <c r="C138" s="1">
        <f>24267+2+450+17+4269</f>
        <v>29005</v>
      </c>
      <c r="D138" s="1">
        <f>176+84+1+7+19</f>
        <v>287</v>
      </c>
      <c r="E138" s="1">
        <v>0</v>
      </c>
      <c r="F138" s="1">
        <v>0</v>
      </c>
      <c r="G138" s="1">
        <v>0</v>
      </c>
      <c r="H138" s="1">
        <f>35269</f>
        <v>35269</v>
      </c>
      <c r="I138" s="1">
        <f>3798</f>
        <v>3798</v>
      </c>
      <c r="J138" s="1"/>
      <c r="K138" s="1"/>
    </row>
    <row r="139" spans="1:11" x14ac:dyDescent="0.25">
      <c r="A139" t="s">
        <v>865</v>
      </c>
      <c r="B139" t="s">
        <v>186</v>
      </c>
      <c r="C139" s="1">
        <f>7941+1+7+3+6002</f>
        <v>13954</v>
      </c>
      <c r="D139" s="1">
        <v>0</v>
      </c>
      <c r="E139" s="1">
        <v>0</v>
      </c>
      <c r="F139" s="1">
        <v>0</v>
      </c>
      <c r="G139" s="1">
        <v>0</v>
      </c>
      <c r="H139" s="1">
        <f>14594</f>
        <v>14594</v>
      </c>
      <c r="I139" s="1">
        <f>3277</f>
        <v>3277</v>
      </c>
      <c r="J139" s="1"/>
      <c r="K139" s="1"/>
    </row>
    <row r="140" spans="1:11" x14ac:dyDescent="0.25">
      <c r="A140" t="s">
        <v>512</v>
      </c>
      <c r="B140" t="s">
        <v>187</v>
      </c>
      <c r="C140" s="1">
        <f>11152+112+29+27+2683</f>
        <v>14003</v>
      </c>
      <c r="D140" s="1">
        <v>0</v>
      </c>
      <c r="E140" s="1">
        <v>0</v>
      </c>
      <c r="F140" s="1">
        <v>0</v>
      </c>
      <c r="G140" s="1">
        <v>0</v>
      </c>
      <c r="H140" s="1">
        <f>10908</f>
        <v>10908</v>
      </c>
      <c r="I140" s="1">
        <f>2213</f>
        <v>2213</v>
      </c>
      <c r="J140" s="1"/>
      <c r="K140" s="1"/>
    </row>
    <row r="141" spans="1:11" x14ac:dyDescent="0.25">
      <c r="A141" t="s">
        <v>231</v>
      </c>
      <c r="B141" t="s">
        <v>189</v>
      </c>
      <c r="C141" s="1">
        <f>27398+8+496+30+1+53+7792</f>
        <v>35778</v>
      </c>
      <c r="D141" s="1">
        <f>2+35+36</f>
        <v>73</v>
      </c>
      <c r="E141" s="1">
        <v>0</v>
      </c>
      <c r="F141" s="1">
        <v>0</v>
      </c>
      <c r="G141" s="1">
        <v>0</v>
      </c>
      <c r="H141" s="1">
        <f>3464</f>
        <v>3464</v>
      </c>
      <c r="I141" s="1">
        <f>4915</f>
        <v>4915</v>
      </c>
      <c r="J141" s="1"/>
      <c r="K141" s="1"/>
    </row>
    <row r="142" spans="1:11" x14ac:dyDescent="0.25">
      <c r="A142" t="s">
        <v>83</v>
      </c>
      <c r="B142" t="s">
        <v>190</v>
      </c>
      <c r="C142" s="1">
        <f>29294+106+1+9+1700</f>
        <v>31110</v>
      </c>
      <c r="D142" s="1">
        <f>52+8</f>
        <v>60</v>
      </c>
      <c r="E142" s="1">
        <v>0</v>
      </c>
      <c r="F142" s="1">
        <v>0</v>
      </c>
      <c r="G142" s="1">
        <v>0</v>
      </c>
      <c r="H142" s="1">
        <f>3117</f>
        <v>3117</v>
      </c>
      <c r="I142" s="1">
        <v>0</v>
      </c>
      <c r="J142" s="1"/>
      <c r="K142" s="1"/>
    </row>
    <row r="143" spans="1:11" x14ac:dyDescent="0.25">
      <c r="A143" t="s">
        <v>76</v>
      </c>
      <c r="B143" t="s">
        <v>191</v>
      </c>
      <c r="C143" s="1">
        <f>36796+127+15124</f>
        <v>52047</v>
      </c>
      <c r="D143" s="1">
        <f>4+1+1775+248</f>
        <v>2028</v>
      </c>
      <c r="E143" s="1">
        <v>0</v>
      </c>
      <c r="F143" s="1">
        <v>0</v>
      </c>
      <c r="G143" s="1">
        <v>0</v>
      </c>
      <c r="H143" s="1">
        <f>1081</f>
        <v>1081</v>
      </c>
      <c r="I143" s="1">
        <v>0</v>
      </c>
      <c r="J143" s="1"/>
      <c r="K143" s="1"/>
    </row>
    <row r="144" spans="1:11" x14ac:dyDescent="0.25">
      <c r="A144" t="s">
        <v>101</v>
      </c>
      <c r="B144" t="s">
        <v>192</v>
      </c>
      <c r="C144" s="1">
        <f>36974+5+7+6972</f>
        <v>43958</v>
      </c>
      <c r="D144" s="1">
        <f>302+2+9</f>
        <v>313</v>
      </c>
      <c r="E144" s="1">
        <v>0</v>
      </c>
      <c r="F144" s="1">
        <v>0</v>
      </c>
      <c r="G144" s="1">
        <v>0</v>
      </c>
      <c r="H144" s="1">
        <f>54129</f>
        <v>54129</v>
      </c>
      <c r="I144" s="1">
        <f>4956</f>
        <v>4956</v>
      </c>
      <c r="J144" s="1"/>
      <c r="K144" s="1"/>
    </row>
    <row r="145" spans="1:11" x14ac:dyDescent="0.25">
      <c r="A145" t="s">
        <v>831</v>
      </c>
      <c r="B145" t="s">
        <v>193</v>
      </c>
      <c r="C145" s="1">
        <f>1495+327</f>
        <v>1822</v>
      </c>
      <c r="D145" s="1">
        <v>0</v>
      </c>
      <c r="E145" s="1">
        <v>0</v>
      </c>
      <c r="F145" s="1">
        <v>0</v>
      </c>
      <c r="G145" s="1">
        <v>0</v>
      </c>
      <c r="H145" s="1">
        <f>546</f>
        <v>546</v>
      </c>
      <c r="I145" s="1">
        <f>275</f>
        <v>275</v>
      </c>
      <c r="J145" s="1"/>
      <c r="K145" s="1"/>
    </row>
    <row r="146" spans="1:11" x14ac:dyDescent="0.25">
      <c r="A146" t="s">
        <v>811</v>
      </c>
      <c r="B146" t="s">
        <v>194</v>
      </c>
      <c r="C146" s="1">
        <f>54896+95+3+7262</f>
        <v>62256</v>
      </c>
      <c r="D146" s="1">
        <f>145+164+4</f>
        <v>313</v>
      </c>
      <c r="E146" s="1">
        <v>0</v>
      </c>
      <c r="F146" s="1">
        <v>0</v>
      </c>
      <c r="G146" s="1">
        <v>0</v>
      </c>
      <c r="H146" s="1">
        <f>1837</f>
        <v>1837</v>
      </c>
      <c r="I146" s="1">
        <f>5657</f>
        <v>5657</v>
      </c>
      <c r="J146" s="1"/>
      <c r="K146" s="1"/>
    </row>
    <row r="147" spans="1:11" x14ac:dyDescent="0.25">
      <c r="A147" t="s">
        <v>76</v>
      </c>
      <c r="B147" t="s">
        <v>195</v>
      </c>
      <c r="C147" s="1">
        <f>47133+8+56+8188</f>
        <v>55385</v>
      </c>
      <c r="D147" s="1">
        <f>196+8+8+495</f>
        <v>707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/>
      <c r="K147" s="1"/>
    </row>
    <row r="148" spans="1:11" x14ac:dyDescent="0.25">
      <c r="A148" t="s">
        <v>788</v>
      </c>
      <c r="B148" t="s">
        <v>196</v>
      </c>
      <c r="C148" s="1">
        <f>19968+103+5+13+1+17503</f>
        <v>37593</v>
      </c>
      <c r="D148" s="1">
        <f>21+2+198+375</f>
        <v>596</v>
      </c>
      <c r="E148" s="1">
        <v>0</v>
      </c>
      <c r="F148" s="1">
        <v>0</v>
      </c>
      <c r="G148" s="1">
        <v>0</v>
      </c>
      <c r="H148" s="1">
        <f>54006</f>
        <v>54006</v>
      </c>
      <c r="I148" s="1">
        <f>14430</f>
        <v>14430</v>
      </c>
      <c r="J148" s="1"/>
      <c r="K148" s="1"/>
    </row>
    <row r="149" spans="1:11" x14ac:dyDescent="0.25">
      <c r="A149" t="s">
        <v>817</v>
      </c>
      <c r="B149" t="s">
        <v>197</v>
      </c>
      <c r="C149" s="1">
        <f>5608+30+43+12282</f>
        <v>17963</v>
      </c>
      <c r="D149" s="1">
        <f>8+5+25+87</f>
        <v>125</v>
      </c>
      <c r="E149" s="1">
        <v>0</v>
      </c>
      <c r="F149" s="1">
        <v>0</v>
      </c>
      <c r="G149" s="1">
        <v>0</v>
      </c>
      <c r="H149" s="1">
        <f>41073</f>
        <v>41073</v>
      </c>
      <c r="I149" s="1">
        <v>0</v>
      </c>
      <c r="J149" s="1"/>
      <c r="K149" s="1"/>
    </row>
    <row r="150" spans="1:11" x14ac:dyDescent="0.25">
      <c r="A150" t="s">
        <v>817</v>
      </c>
      <c r="B150" t="s">
        <v>198</v>
      </c>
      <c r="C150" s="1">
        <f>4578+1+11527</f>
        <v>16106</v>
      </c>
      <c r="D150" s="1">
        <f>18+3+17+175+74</f>
        <v>287</v>
      </c>
      <c r="E150" s="1">
        <v>0</v>
      </c>
      <c r="F150" s="1">
        <v>0</v>
      </c>
      <c r="G150" s="1">
        <v>0</v>
      </c>
      <c r="H150" s="1">
        <f>16345</f>
        <v>16345</v>
      </c>
      <c r="I150" s="1">
        <v>0</v>
      </c>
      <c r="J150" s="1"/>
      <c r="K150" s="1"/>
    </row>
    <row r="151" spans="1:11" x14ac:dyDescent="0.25">
      <c r="A151" t="s">
        <v>69</v>
      </c>
      <c r="B151" t="s">
        <v>199</v>
      </c>
      <c r="C151" s="1">
        <f>56508+15+2+12+16+69+13065</f>
        <v>69687</v>
      </c>
      <c r="D151" s="1">
        <f>16+18</f>
        <v>34</v>
      </c>
      <c r="E151" s="1">
        <v>0</v>
      </c>
      <c r="F151" s="1">
        <v>0</v>
      </c>
      <c r="G151" s="1">
        <v>0</v>
      </c>
      <c r="H151" s="1">
        <f>127422</f>
        <v>127422</v>
      </c>
      <c r="I151" s="1">
        <v>0</v>
      </c>
      <c r="J151" s="1"/>
      <c r="K151" s="1"/>
    </row>
    <row r="152" spans="1:11" x14ac:dyDescent="0.25">
      <c r="A152" t="s">
        <v>76</v>
      </c>
      <c r="B152" t="s">
        <v>200</v>
      </c>
      <c r="C152" s="1">
        <f>25399+23+12+68+27+11184</f>
        <v>36713</v>
      </c>
      <c r="D152" s="1">
        <f>128+4+24+33</f>
        <v>189</v>
      </c>
      <c r="E152" s="1">
        <v>0</v>
      </c>
      <c r="F152" s="1">
        <v>0</v>
      </c>
      <c r="G152" s="1">
        <v>0</v>
      </c>
      <c r="H152" s="1">
        <f>19583</f>
        <v>19583</v>
      </c>
      <c r="I152" s="1">
        <v>0</v>
      </c>
      <c r="J152" s="1"/>
      <c r="K152" s="1"/>
    </row>
    <row r="153" spans="1:11" x14ac:dyDescent="0.25">
      <c r="A153" t="s">
        <v>120</v>
      </c>
      <c r="B153" t="s">
        <v>201</v>
      </c>
      <c r="C153" s="1">
        <f>14822+5022</f>
        <v>19844</v>
      </c>
      <c r="D153" s="1">
        <f>198+193+21</f>
        <v>412</v>
      </c>
      <c r="E153" s="1">
        <v>0</v>
      </c>
      <c r="F153" s="1">
        <v>0</v>
      </c>
      <c r="G153" s="1">
        <v>0</v>
      </c>
      <c r="H153" s="1">
        <f>5671</f>
        <v>5671</v>
      </c>
      <c r="I153" s="1">
        <f>2714</f>
        <v>2714</v>
      </c>
      <c r="J153" s="1"/>
      <c r="K153" s="1"/>
    </row>
    <row r="154" spans="1:11" x14ac:dyDescent="0.25">
      <c r="A154" t="s">
        <v>495</v>
      </c>
      <c r="B154" t="s">
        <v>202</v>
      </c>
      <c r="C154" s="1">
        <f>25967+2+243+1+456+10238+2+44</f>
        <v>36953</v>
      </c>
      <c r="D154" s="1">
        <f>20+15+9</f>
        <v>44</v>
      </c>
      <c r="E154" s="1">
        <v>0</v>
      </c>
      <c r="F154" s="1">
        <v>0</v>
      </c>
      <c r="G154" s="1">
        <v>0</v>
      </c>
      <c r="H154" s="1">
        <f>23877</f>
        <v>23877</v>
      </c>
      <c r="I154" s="1">
        <v>0</v>
      </c>
      <c r="J154" s="1"/>
      <c r="K154" s="1"/>
    </row>
    <row r="155" spans="1:11" x14ac:dyDescent="0.25">
      <c r="A155" t="s">
        <v>788</v>
      </c>
      <c r="B155" t="s">
        <v>203</v>
      </c>
      <c r="C155" s="1">
        <f>30189+679+3+3+34233</f>
        <v>65107</v>
      </c>
      <c r="D155" s="1">
        <f>10+3+2+2</f>
        <v>17</v>
      </c>
      <c r="E155" s="1">
        <v>0</v>
      </c>
      <c r="F155" s="1">
        <v>0</v>
      </c>
      <c r="G155" s="1">
        <v>0</v>
      </c>
      <c r="H155" s="1">
        <f>9975</f>
        <v>9975</v>
      </c>
      <c r="I155" s="1">
        <f>8889</f>
        <v>8889</v>
      </c>
      <c r="J155" s="1"/>
      <c r="K155" s="1"/>
    </row>
    <row r="156" spans="1:11" x14ac:dyDescent="0.25">
      <c r="A156" t="s">
        <v>72</v>
      </c>
      <c r="B156" t="s">
        <v>204</v>
      </c>
      <c r="C156" s="1">
        <f>14488+5+42+13+21+2987</f>
        <v>17556</v>
      </c>
      <c r="D156" s="1">
        <f>46</f>
        <v>46</v>
      </c>
      <c r="E156" s="1">
        <v>0</v>
      </c>
      <c r="F156" s="1">
        <v>0</v>
      </c>
      <c r="G156" s="1">
        <v>0</v>
      </c>
      <c r="H156" s="1">
        <f>3083</f>
        <v>3083</v>
      </c>
      <c r="I156" s="1">
        <f>2183</f>
        <v>2183</v>
      </c>
      <c r="J156" s="1"/>
      <c r="K156" s="1"/>
    </row>
    <row r="157" spans="1:11" x14ac:dyDescent="0.25">
      <c r="A157" t="s">
        <v>76</v>
      </c>
      <c r="B157" t="s">
        <v>205</v>
      </c>
      <c r="C157" s="1">
        <f>8257+18+52+1+14543+2</f>
        <v>22873</v>
      </c>
      <c r="D157" s="1">
        <f>46+163</f>
        <v>209</v>
      </c>
      <c r="E157" s="1">
        <v>0</v>
      </c>
      <c r="F157" s="1">
        <v>0</v>
      </c>
      <c r="G157" s="1">
        <v>0</v>
      </c>
      <c r="H157" s="1">
        <f>20002</f>
        <v>20002</v>
      </c>
      <c r="I157" s="1">
        <v>0</v>
      </c>
      <c r="J157" s="1"/>
      <c r="K157" s="1"/>
    </row>
    <row r="158" spans="1:11" x14ac:dyDescent="0.25">
      <c r="A158" t="s">
        <v>864</v>
      </c>
      <c r="B158" t="s">
        <v>206</v>
      </c>
      <c r="C158" s="1">
        <f>5486+261+14222+1007</f>
        <v>20976</v>
      </c>
      <c r="D158" s="1">
        <f>3+4+9</f>
        <v>16</v>
      </c>
      <c r="E158" s="1">
        <v>0</v>
      </c>
      <c r="F158" s="1">
        <v>0</v>
      </c>
      <c r="G158" s="1">
        <v>0</v>
      </c>
      <c r="H158" s="1">
        <f>12229</f>
        <v>12229</v>
      </c>
      <c r="I158" s="1">
        <f>14327</f>
        <v>14327</v>
      </c>
      <c r="J158" s="1"/>
      <c r="K158" s="1"/>
    </row>
    <row r="159" spans="1:11" x14ac:dyDescent="0.25">
      <c r="A159" t="s">
        <v>76</v>
      </c>
      <c r="B159" t="s">
        <v>207</v>
      </c>
      <c r="C159" s="1">
        <f>24244+15535</f>
        <v>39779</v>
      </c>
      <c r="D159" s="1">
        <f>7+2+26</f>
        <v>35</v>
      </c>
      <c r="E159" s="1">
        <v>0</v>
      </c>
      <c r="F159" s="1">
        <v>0</v>
      </c>
      <c r="G159" s="1">
        <v>0</v>
      </c>
      <c r="H159" s="1">
        <f>26103</f>
        <v>26103</v>
      </c>
      <c r="I159" s="1">
        <v>0</v>
      </c>
      <c r="J159" s="1"/>
      <c r="K159" s="1"/>
    </row>
    <row r="160" spans="1:11" x14ac:dyDescent="0.25">
      <c r="A160" t="s">
        <v>265</v>
      </c>
      <c r="B160" t="s">
        <v>208</v>
      </c>
      <c r="C160" s="1">
        <f>6429+1+1822</f>
        <v>8252</v>
      </c>
      <c r="D160" s="1">
        <f>59</f>
        <v>59</v>
      </c>
      <c r="E160" s="1">
        <v>0</v>
      </c>
      <c r="F160" s="1">
        <v>0</v>
      </c>
      <c r="G160" s="1">
        <v>0</v>
      </c>
      <c r="H160" s="1">
        <f>9245</f>
        <v>9245</v>
      </c>
      <c r="I160" s="1">
        <v>0</v>
      </c>
      <c r="J160" s="1"/>
      <c r="K160" s="1"/>
    </row>
    <row r="161" spans="1:11" x14ac:dyDescent="0.25">
      <c r="A161" t="s">
        <v>801</v>
      </c>
      <c r="B161" t="s">
        <v>209</v>
      </c>
      <c r="C161" s="1">
        <f>13823+21+14+14120+2</f>
        <v>27980</v>
      </c>
      <c r="D161" s="1">
        <f>14+2+188+6+84</f>
        <v>294</v>
      </c>
      <c r="E161" s="1">
        <v>0</v>
      </c>
      <c r="F161" s="1">
        <v>0</v>
      </c>
      <c r="G161" s="1">
        <v>0</v>
      </c>
      <c r="H161" s="1">
        <f>40158</f>
        <v>40158</v>
      </c>
      <c r="I161" s="1">
        <v>0</v>
      </c>
      <c r="J161" s="1"/>
      <c r="K161" s="1"/>
    </row>
    <row r="162" spans="1:11" x14ac:dyDescent="0.25">
      <c r="A162" t="s">
        <v>72</v>
      </c>
      <c r="B162" t="s">
        <v>210</v>
      </c>
      <c r="C162" s="1">
        <f>17048+69+5+1+17+11270</f>
        <v>28410</v>
      </c>
      <c r="D162" s="1">
        <f>39+34+3</f>
        <v>76</v>
      </c>
      <c r="E162" s="1">
        <v>0</v>
      </c>
      <c r="F162" s="1">
        <v>0</v>
      </c>
      <c r="G162" s="1">
        <v>0</v>
      </c>
      <c r="H162" s="1">
        <f>23885</f>
        <v>23885</v>
      </c>
      <c r="I162" s="1">
        <f>10448</f>
        <v>10448</v>
      </c>
      <c r="J162" s="1"/>
      <c r="K162" s="1"/>
    </row>
    <row r="163" spans="1:11" x14ac:dyDescent="0.25">
      <c r="A163" t="s">
        <v>817</v>
      </c>
      <c r="B163" t="s">
        <v>211</v>
      </c>
      <c r="C163" s="1">
        <f>1836+38+4+62246+1</f>
        <v>64125</v>
      </c>
      <c r="D163" s="1">
        <f>106+159+36</f>
        <v>301</v>
      </c>
      <c r="E163" s="1">
        <v>0</v>
      </c>
      <c r="F163" s="1">
        <v>0</v>
      </c>
      <c r="G163" s="1">
        <v>0</v>
      </c>
      <c r="H163" s="1">
        <f>40669</f>
        <v>40669</v>
      </c>
      <c r="I163" s="1">
        <v>0</v>
      </c>
      <c r="J163" s="1"/>
      <c r="K163" s="1"/>
    </row>
    <row r="164" spans="1:11" x14ac:dyDescent="0.25">
      <c r="A164" t="s">
        <v>72</v>
      </c>
      <c r="B164" t="s">
        <v>212</v>
      </c>
      <c r="C164" s="1">
        <f>18994+9+2586</f>
        <v>21589</v>
      </c>
      <c r="D164" s="1">
        <f>1</f>
        <v>1</v>
      </c>
      <c r="E164" s="1">
        <v>0</v>
      </c>
      <c r="F164" s="1">
        <v>0</v>
      </c>
      <c r="G164" s="1">
        <v>0</v>
      </c>
      <c r="H164" s="1">
        <f>3818</f>
        <v>3818</v>
      </c>
      <c r="I164" s="1">
        <f>2561</f>
        <v>2561</v>
      </c>
      <c r="J164" s="1"/>
      <c r="K164" s="1"/>
    </row>
    <row r="165" spans="1:11" x14ac:dyDescent="0.25">
      <c r="A165" t="s">
        <v>134</v>
      </c>
      <c r="B165" t="s">
        <v>213</v>
      </c>
      <c r="C165" s="1">
        <f>5967+688</f>
        <v>6655</v>
      </c>
      <c r="D165" s="1">
        <v>0</v>
      </c>
      <c r="E165" s="1">
        <v>0</v>
      </c>
      <c r="F165" s="1">
        <v>0</v>
      </c>
      <c r="G165" s="1">
        <v>0</v>
      </c>
      <c r="H165" s="1">
        <f>22564</f>
        <v>22564</v>
      </c>
      <c r="I165" s="1">
        <f>653</f>
        <v>653</v>
      </c>
      <c r="J165" s="1"/>
      <c r="K165" s="1"/>
    </row>
    <row r="166" spans="1:11" x14ac:dyDescent="0.25">
      <c r="A166" t="s">
        <v>495</v>
      </c>
      <c r="B166" t="s">
        <v>214</v>
      </c>
      <c r="C166" s="1">
        <f>22806+225+19+8916</f>
        <v>31966</v>
      </c>
      <c r="D166" s="1">
        <f>427+2+8+116+2+2</f>
        <v>557</v>
      </c>
      <c r="E166" s="1">
        <v>0</v>
      </c>
      <c r="F166" s="1">
        <v>0</v>
      </c>
      <c r="G166" s="1">
        <v>0</v>
      </c>
      <c r="H166" s="1">
        <f>19145</f>
        <v>19145</v>
      </c>
      <c r="I166" s="1">
        <v>0</v>
      </c>
      <c r="J166" s="1"/>
      <c r="K166" s="1"/>
    </row>
    <row r="167" spans="1:11" x14ac:dyDescent="0.25">
      <c r="A167" t="s">
        <v>146</v>
      </c>
      <c r="B167" t="s">
        <v>215</v>
      </c>
      <c r="C167" s="1">
        <f>43158+266+1+5+2+15610</f>
        <v>59042</v>
      </c>
      <c r="D167" s="1">
        <f>6+6</f>
        <v>12</v>
      </c>
      <c r="E167" s="1">
        <v>0</v>
      </c>
      <c r="F167" s="1">
        <v>0</v>
      </c>
      <c r="G167" s="1">
        <v>0</v>
      </c>
      <c r="H167" s="1">
        <f>35080</f>
        <v>35080</v>
      </c>
      <c r="I167" s="1">
        <f>14718</f>
        <v>14718</v>
      </c>
      <c r="J167" s="1"/>
      <c r="K167" s="1"/>
    </row>
    <row r="168" spans="1:11" x14ac:dyDescent="0.25">
      <c r="A168" t="s">
        <v>138</v>
      </c>
      <c r="B168" t="s">
        <v>216</v>
      </c>
      <c r="C168" s="1">
        <f>17204+128+7716</f>
        <v>25048</v>
      </c>
      <c r="D168" s="1">
        <f>10+3</f>
        <v>13</v>
      </c>
      <c r="E168" s="1">
        <v>0</v>
      </c>
      <c r="F168" s="1">
        <v>0</v>
      </c>
      <c r="G168" s="1">
        <v>0</v>
      </c>
      <c r="H168" s="1">
        <f>27603</f>
        <v>27603</v>
      </c>
      <c r="I168" s="1">
        <v>0</v>
      </c>
      <c r="J168" s="1"/>
      <c r="K168" s="1"/>
    </row>
    <row r="169" spans="1:11" x14ac:dyDescent="0.25">
      <c r="A169" t="s">
        <v>794</v>
      </c>
      <c r="B169" t="s">
        <v>217</v>
      </c>
      <c r="C169" s="1">
        <f>7556+1+3975</f>
        <v>11532</v>
      </c>
      <c r="D169" s="1">
        <v>0</v>
      </c>
      <c r="E169" s="1">
        <v>0</v>
      </c>
      <c r="F169" s="1">
        <v>0</v>
      </c>
      <c r="G169" s="1">
        <v>0</v>
      </c>
      <c r="H169" s="1">
        <f>12059</f>
        <v>12059</v>
      </c>
      <c r="I169" s="1">
        <v>0</v>
      </c>
      <c r="J169" s="1"/>
      <c r="K169" s="1"/>
    </row>
    <row r="170" spans="1:11" x14ac:dyDescent="0.25">
      <c r="A170" t="s">
        <v>265</v>
      </c>
      <c r="B170" t="s">
        <v>218</v>
      </c>
      <c r="C170" s="1">
        <f>5901+2+5+3+4+1+1042</f>
        <v>6958</v>
      </c>
      <c r="D170" s="1">
        <v>0</v>
      </c>
      <c r="E170" s="1">
        <v>0</v>
      </c>
      <c r="F170" s="1">
        <v>0</v>
      </c>
      <c r="G170" s="1">
        <v>0</v>
      </c>
      <c r="H170" s="1">
        <f>33530</f>
        <v>33530</v>
      </c>
      <c r="I170" s="1">
        <v>0</v>
      </c>
      <c r="J170" s="1"/>
      <c r="K170" s="1"/>
    </row>
    <row r="171" spans="1:11" x14ac:dyDescent="0.25">
      <c r="A171" t="s">
        <v>801</v>
      </c>
      <c r="B171" t="s">
        <v>219</v>
      </c>
      <c r="C171" s="1">
        <f>36928+2+311+5775</f>
        <v>43016</v>
      </c>
      <c r="D171" s="1">
        <f>177+5</f>
        <v>182</v>
      </c>
      <c r="E171" s="1">
        <v>0</v>
      </c>
      <c r="F171" s="1">
        <v>0</v>
      </c>
      <c r="G171" s="1">
        <v>0</v>
      </c>
      <c r="H171" s="1">
        <f>17627</f>
        <v>17627</v>
      </c>
      <c r="I171" s="1">
        <v>0</v>
      </c>
      <c r="J171" s="1"/>
      <c r="K171" s="1"/>
    </row>
    <row r="172" spans="1:11" x14ac:dyDescent="0.25">
      <c r="A172" t="s">
        <v>831</v>
      </c>
      <c r="B172" t="s">
        <v>220</v>
      </c>
      <c r="C172" s="1">
        <f>2151+5+530</f>
        <v>2686</v>
      </c>
      <c r="D172" s="1">
        <v>0</v>
      </c>
      <c r="E172" s="1">
        <v>0</v>
      </c>
      <c r="F172" s="1">
        <v>0</v>
      </c>
      <c r="G172" s="1">
        <v>0</v>
      </c>
      <c r="H172" s="1">
        <f>3636</f>
        <v>3636</v>
      </c>
      <c r="I172" s="1">
        <f>536</f>
        <v>536</v>
      </c>
      <c r="J172" s="1"/>
      <c r="K172" s="1"/>
    </row>
    <row r="173" spans="1:11" x14ac:dyDescent="0.25">
      <c r="A173" t="s">
        <v>794</v>
      </c>
      <c r="B173" t="s">
        <v>221</v>
      </c>
      <c r="C173" s="1">
        <f>18964+4+1+4+139+11386+2</f>
        <v>30500</v>
      </c>
      <c r="D173" s="1">
        <f>8+36</f>
        <v>44</v>
      </c>
      <c r="E173" s="1">
        <v>0</v>
      </c>
      <c r="F173" s="1">
        <v>0</v>
      </c>
      <c r="G173" s="1">
        <v>0</v>
      </c>
      <c r="H173" s="1">
        <f>17425</f>
        <v>17425</v>
      </c>
      <c r="I173" s="1">
        <v>0</v>
      </c>
      <c r="J173" s="1"/>
      <c r="K173" s="1"/>
    </row>
    <row r="174" spans="1:11" x14ac:dyDescent="0.25">
      <c r="A174" t="s">
        <v>120</v>
      </c>
      <c r="B174" t="s">
        <v>222</v>
      </c>
      <c r="C174" s="1">
        <f>40231+154+4897</f>
        <v>45282</v>
      </c>
      <c r="D174" s="1">
        <f>14+4</f>
        <v>18</v>
      </c>
      <c r="E174" s="1">
        <v>0</v>
      </c>
      <c r="F174" s="1">
        <v>0</v>
      </c>
      <c r="G174" s="1">
        <v>0</v>
      </c>
      <c r="H174" s="1">
        <f>4905</f>
        <v>4905</v>
      </c>
      <c r="I174" s="1">
        <f>3179</f>
        <v>3179</v>
      </c>
      <c r="J174" s="1"/>
      <c r="K174" s="1"/>
    </row>
    <row r="175" spans="1:11" x14ac:dyDescent="0.25">
      <c r="A175" t="s">
        <v>848</v>
      </c>
      <c r="B175" t="s">
        <v>223</v>
      </c>
      <c r="C175" s="1">
        <f>6260+1253</f>
        <v>7513</v>
      </c>
      <c r="D175" s="1">
        <f>13</f>
        <v>13</v>
      </c>
      <c r="E175" s="1">
        <v>0</v>
      </c>
      <c r="F175" s="1">
        <v>0</v>
      </c>
      <c r="G175" s="1">
        <v>0</v>
      </c>
      <c r="H175" s="1">
        <f>1332</f>
        <v>1332</v>
      </c>
      <c r="I175" s="1">
        <f>964</f>
        <v>964</v>
      </c>
      <c r="J175" s="1"/>
      <c r="K175" s="1"/>
    </row>
    <row r="176" spans="1:11" x14ac:dyDescent="0.25">
      <c r="A176" t="s">
        <v>825</v>
      </c>
      <c r="B176" t="s">
        <v>224</v>
      </c>
      <c r="C176" s="1">
        <f>9644+345+4+1791</f>
        <v>11784</v>
      </c>
      <c r="D176" s="1">
        <f>32+12+1</f>
        <v>45</v>
      </c>
      <c r="E176" s="1">
        <v>0</v>
      </c>
      <c r="F176" s="1">
        <v>0</v>
      </c>
      <c r="G176" s="1">
        <v>0</v>
      </c>
      <c r="H176" s="1">
        <f>7269</f>
        <v>7269</v>
      </c>
      <c r="I176" s="1">
        <f>1492</f>
        <v>1492</v>
      </c>
      <c r="J176" s="1"/>
      <c r="K176" s="1"/>
    </row>
    <row r="177" spans="1:11" x14ac:dyDescent="0.25">
      <c r="A177" t="s">
        <v>788</v>
      </c>
      <c r="B177" t="s">
        <v>225</v>
      </c>
      <c r="C177" s="1">
        <f>9886+1+2+32775</f>
        <v>42664</v>
      </c>
      <c r="D177" s="1">
        <f>36+2</f>
        <v>38</v>
      </c>
      <c r="E177" s="1">
        <v>0</v>
      </c>
      <c r="F177" s="1">
        <v>0</v>
      </c>
      <c r="G177" s="1">
        <v>0</v>
      </c>
      <c r="H177" s="1">
        <v>132830</v>
      </c>
      <c r="I177" s="1">
        <f>26934</f>
        <v>26934</v>
      </c>
      <c r="J177" s="1"/>
      <c r="K177" s="1"/>
    </row>
    <row r="178" spans="1:11" x14ac:dyDescent="0.25">
      <c r="A178" t="s">
        <v>226</v>
      </c>
      <c r="B178" t="s">
        <v>227</v>
      </c>
      <c r="C178" s="1">
        <f>11365+1+3+4470</f>
        <v>15839</v>
      </c>
      <c r="D178" s="1">
        <f>17</f>
        <v>17</v>
      </c>
      <c r="E178" s="1">
        <v>0</v>
      </c>
      <c r="F178" s="1">
        <v>0</v>
      </c>
      <c r="G178" s="1">
        <v>0</v>
      </c>
      <c r="H178" s="1">
        <f>8153</f>
        <v>8153</v>
      </c>
      <c r="I178" s="1">
        <f>4078</f>
        <v>4078</v>
      </c>
      <c r="J178" s="1"/>
      <c r="K178" s="1"/>
    </row>
    <row r="179" spans="1:11" x14ac:dyDescent="0.25">
      <c r="A179" t="s">
        <v>226</v>
      </c>
      <c r="B179" t="s">
        <v>228</v>
      </c>
      <c r="C179" s="1">
        <f>12651+2+1+3+3071</f>
        <v>15728</v>
      </c>
      <c r="D179" s="1">
        <f>20+2+1</f>
        <v>23</v>
      </c>
      <c r="E179" s="1">
        <v>0</v>
      </c>
      <c r="F179" s="1">
        <v>0</v>
      </c>
      <c r="G179" s="1">
        <v>0</v>
      </c>
      <c r="H179" s="1">
        <f>15440</f>
        <v>15440</v>
      </c>
      <c r="I179" s="1">
        <v>0</v>
      </c>
      <c r="J179" s="1"/>
      <c r="K179" s="1"/>
    </row>
    <row r="180" spans="1:11" x14ac:dyDescent="0.25">
      <c r="A180" t="s">
        <v>229</v>
      </c>
      <c r="B180" t="s">
        <v>230</v>
      </c>
      <c r="C180" s="1">
        <f>6779+1+2779</f>
        <v>9559</v>
      </c>
      <c r="D180" s="1">
        <f>10+11+1</f>
        <v>22</v>
      </c>
      <c r="E180" s="1">
        <v>0</v>
      </c>
      <c r="F180" s="1">
        <v>0</v>
      </c>
      <c r="G180" s="1">
        <v>0</v>
      </c>
      <c r="H180" s="1">
        <f>7127</f>
        <v>7127</v>
      </c>
      <c r="I180" s="1">
        <f>2637</f>
        <v>2637</v>
      </c>
      <c r="J180" s="1"/>
      <c r="K180" s="1"/>
    </row>
    <row r="181" spans="1:11" x14ac:dyDescent="0.25">
      <c r="A181" t="s">
        <v>231</v>
      </c>
      <c r="B181" t="s">
        <v>232</v>
      </c>
      <c r="C181" s="1">
        <f>6895+1+1+833</f>
        <v>7730</v>
      </c>
      <c r="D181" s="1">
        <v>0</v>
      </c>
      <c r="E181" s="1">
        <v>0</v>
      </c>
      <c r="F181" s="1">
        <v>0</v>
      </c>
      <c r="G181" s="1">
        <v>0</v>
      </c>
      <c r="H181" s="1">
        <f>507</f>
        <v>507</v>
      </c>
      <c r="I181" s="1">
        <f>615</f>
        <v>615</v>
      </c>
      <c r="J181" s="1"/>
      <c r="K181" s="1"/>
    </row>
    <row r="182" spans="1:11" x14ac:dyDescent="0.25">
      <c r="A182" t="s">
        <v>248</v>
      </c>
      <c r="B182" t="s">
        <v>233</v>
      </c>
      <c r="C182" s="1">
        <f>5396+4+411+466+36</f>
        <v>6313</v>
      </c>
      <c r="D182" s="1">
        <f>3</f>
        <v>3</v>
      </c>
      <c r="E182" s="1">
        <v>0</v>
      </c>
      <c r="F182" s="1">
        <v>0</v>
      </c>
      <c r="G182" s="1">
        <v>0</v>
      </c>
      <c r="H182" s="1">
        <f>8014</f>
        <v>8014</v>
      </c>
      <c r="I182" s="1">
        <f>432</f>
        <v>432</v>
      </c>
      <c r="J182" s="1"/>
      <c r="K182" s="1"/>
    </row>
    <row r="183" spans="1:11" x14ac:dyDescent="0.25">
      <c r="A183" t="s">
        <v>69</v>
      </c>
      <c r="B183" t="s">
        <v>234</v>
      </c>
      <c r="C183" s="1">
        <f>94896+37+93+293+19784</f>
        <v>115103</v>
      </c>
      <c r="D183" s="1">
        <f>23+11+39+1+59</f>
        <v>133</v>
      </c>
      <c r="E183" s="1">
        <v>0</v>
      </c>
      <c r="F183" s="1">
        <v>0</v>
      </c>
      <c r="G183" s="1">
        <v>0</v>
      </c>
      <c r="H183" s="1">
        <f>140915</f>
        <v>140915</v>
      </c>
      <c r="I183" s="1">
        <v>0</v>
      </c>
      <c r="J183" s="1"/>
      <c r="K183" s="1"/>
    </row>
    <row r="184" spans="1:11" x14ac:dyDescent="0.25">
      <c r="A184" t="s">
        <v>795</v>
      </c>
      <c r="B184" t="s">
        <v>235</v>
      </c>
      <c r="C184" s="1">
        <f>12318+15707</f>
        <v>28025</v>
      </c>
      <c r="D184" s="1">
        <f>29+1</f>
        <v>30</v>
      </c>
      <c r="E184" s="1">
        <v>0</v>
      </c>
      <c r="F184" s="1">
        <v>0</v>
      </c>
      <c r="G184" s="1">
        <v>0</v>
      </c>
      <c r="H184" s="1">
        <f>580</f>
        <v>580</v>
      </c>
      <c r="I184" s="1">
        <f>14027</f>
        <v>14027</v>
      </c>
      <c r="J184" s="1"/>
      <c r="K184" s="1"/>
    </row>
    <row r="185" spans="1:11" x14ac:dyDescent="0.25">
      <c r="A185" t="s">
        <v>795</v>
      </c>
      <c r="B185" t="s">
        <v>236</v>
      </c>
      <c r="C185" s="1">
        <f>9183+1+1+202+2+2+10262+1</f>
        <v>19654</v>
      </c>
      <c r="D185" s="1">
        <f>20+1+4+77+6</f>
        <v>108</v>
      </c>
      <c r="E185" s="1">
        <v>0</v>
      </c>
      <c r="F185" s="1">
        <v>0</v>
      </c>
      <c r="G185" s="1">
        <v>0</v>
      </c>
      <c r="H185" s="1">
        <f>16390</f>
        <v>16390</v>
      </c>
      <c r="I185" s="1">
        <f>8233</f>
        <v>8233</v>
      </c>
      <c r="J185" s="1"/>
      <c r="K185" s="1"/>
    </row>
    <row r="186" spans="1:11" x14ac:dyDescent="0.25">
      <c r="A186" t="s">
        <v>801</v>
      </c>
      <c r="B186" t="s">
        <v>237</v>
      </c>
      <c r="C186" s="1">
        <f>26204+2+3736</f>
        <v>29942</v>
      </c>
      <c r="D186" s="1">
        <f>210+4</f>
        <v>214</v>
      </c>
      <c r="E186" s="1">
        <v>0</v>
      </c>
      <c r="F186" s="1">
        <v>0</v>
      </c>
      <c r="G186" s="1">
        <v>0</v>
      </c>
      <c r="H186" s="1">
        <f>17183</f>
        <v>17183</v>
      </c>
      <c r="I186" s="1">
        <v>0</v>
      </c>
      <c r="J186" s="1"/>
      <c r="K186" s="1"/>
    </row>
    <row r="187" spans="1:11" x14ac:dyDescent="0.25">
      <c r="A187" t="s">
        <v>788</v>
      </c>
      <c r="B187" t="s">
        <v>238</v>
      </c>
      <c r="C187" s="1">
        <f>9366+91+1677</f>
        <v>11134</v>
      </c>
      <c r="D187" s="1">
        <v>0</v>
      </c>
      <c r="E187" s="1">
        <v>0</v>
      </c>
      <c r="F187" s="1">
        <v>0</v>
      </c>
      <c r="G187" s="1">
        <v>0</v>
      </c>
      <c r="H187" s="1">
        <f>8579</f>
        <v>8579</v>
      </c>
      <c r="I187" s="1">
        <f>1637</f>
        <v>1637</v>
      </c>
      <c r="J187" s="1"/>
      <c r="K187" s="1"/>
    </row>
    <row r="188" spans="1:11" x14ac:dyDescent="0.25">
      <c r="A188" t="s">
        <v>791</v>
      </c>
      <c r="B188" t="s">
        <v>239</v>
      </c>
      <c r="C188" s="1">
        <f>4559+1+1971</f>
        <v>6531</v>
      </c>
      <c r="D188" s="1">
        <f>2</f>
        <v>2</v>
      </c>
      <c r="E188" s="1">
        <v>0</v>
      </c>
      <c r="F188" s="1">
        <v>0</v>
      </c>
      <c r="G188" s="1">
        <v>0</v>
      </c>
      <c r="H188" s="1">
        <f>2720</f>
        <v>2720</v>
      </c>
      <c r="I188" s="1">
        <f>1366</f>
        <v>1366</v>
      </c>
      <c r="J188" s="1"/>
      <c r="K188" s="1"/>
    </row>
    <row r="189" spans="1:11" x14ac:dyDescent="0.25">
      <c r="A189" t="s">
        <v>801</v>
      </c>
      <c r="B189" t="s">
        <v>240</v>
      </c>
      <c r="C189" s="1">
        <f>53308+6+1341+1</f>
        <v>54656</v>
      </c>
      <c r="D189" s="1">
        <f>173+6+4+1+22</f>
        <v>206</v>
      </c>
      <c r="E189" s="1">
        <v>0</v>
      </c>
      <c r="F189" s="1">
        <v>0</v>
      </c>
      <c r="G189" s="1">
        <v>0</v>
      </c>
      <c r="H189" s="1">
        <f>11560</f>
        <v>11560</v>
      </c>
      <c r="I189" s="1">
        <v>0</v>
      </c>
      <c r="J189" s="1"/>
      <c r="K189" s="1"/>
    </row>
    <row r="190" spans="1:11" x14ac:dyDescent="0.25">
      <c r="A190" t="s">
        <v>788</v>
      </c>
      <c r="B190" t="s">
        <v>241</v>
      </c>
      <c r="C190" s="1">
        <f>45217+528+5+15723</f>
        <v>61473</v>
      </c>
      <c r="D190" s="1">
        <f>14+12</f>
        <v>26</v>
      </c>
      <c r="E190" s="1">
        <v>0</v>
      </c>
      <c r="F190" s="1">
        <v>0</v>
      </c>
      <c r="G190" s="1">
        <v>0</v>
      </c>
      <c r="H190" s="1">
        <f>23578</f>
        <v>23578</v>
      </c>
      <c r="I190" s="1">
        <f>12980</f>
        <v>12980</v>
      </c>
      <c r="J190" s="1"/>
      <c r="K190" s="1"/>
    </row>
    <row r="191" spans="1:11" x14ac:dyDescent="0.25">
      <c r="A191" t="s">
        <v>138</v>
      </c>
      <c r="B191" t="s">
        <v>242</v>
      </c>
      <c r="C191" s="1">
        <f>26186+1+5+10+13+124+2+7+5151</f>
        <v>31499</v>
      </c>
      <c r="D191" s="1">
        <f>9+5+7</f>
        <v>21</v>
      </c>
      <c r="E191" s="1">
        <v>0</v>
      </c>
      <c r="F191" s="1">
        <v>0</v>
      </c>
      <c r="G191" s="1">
        <v>0</v>
      </c>
      <c r="H191" s="1">
        <f>11065</f>
        <v>11065</v>
      </c>
      <c r="I191" s="1">
        <v>0</v>
      </c>
      <c r="J191" s="1"/>
      <c r="K191" s="1"/>
    </row>
    <row r="192" spans="1:11" x14ac:dyDescent="0.25">
      <c r="A192" t="s">
        <v>512</v>
      </c>
      <c r="B192" t="s">
        <v>243</v>
      </c>
      <c r="C192" s="1">
        <f>5448+1+885</f>
        <v>6334</v>
      </c>
      <c r="D192" s="1">
        <f>6</f>
        <v>6</v>
      </c>
      <c r="E192" s="1">
        <v>0</v>
      </c>
      <c r="F192" s="1">
        <v>0</v>
      </c>
      <c r="G192" s="1">
        <v>0</v>
      </c>
      <c r="H192" s="1">
        <f>255</f>
        <v>255</v>
      </c>
      <c r="I192" s="1">
        <f>691</f>
        <v>691</v>
      </c>
      <c r="J192" s="1"/>
      <c r="K192" s="1"/>
    </row>
    <row r="193" spans="1:11" x14ac:dyDescent="0.25">
      <c r="A193" t="s">
        <v>796</v>
      </c>
      <c r="B193" t="s">
        <v>244</v>
      </c>
      <c r="C193" s="1">
        <v>65018</v>
      </c>
      <c r="D193" s="1">
        <v>493</v>
      </c>
      <c r="E193" s="1">
        <v>0</v>
      </c>
      <c r="F193" s="1">
        <v>0</v>
      </c>
      <c r="G193" s="1">
        <v>0</v>
      </c>
      <c r="H193" s="1">
        <v>91525</v>
      </c>
      <c r="I193" s="1">
        <v>0</v>
      </c>
      <c r="J193" s="1"/>
      <c r="K193" s="1"/>
    </row>
    <row r="194" spans="1:11" x14ac:dyDescent="0.25">
      <c r="A194" t="s">
        <v>146</v>
      </c>
      <c r="B194" t="s">
        <v>245</v>
      </c>
      <c r="C194" s="1">
        <f>10095+23+5+2325</f>
        <v>12448</v>
      </c>
      <c r="D194" s="1">
        <f>11+1+5</f>
        <v>17</v>
      </c>
      <c r="E194" s="1">
        <v>0</v>
      </c>
      <c r="F194" s="1">
        <v>0</v>
      </c>
      <c r="G194" s="1">
        <v>0</v>
      </c>
      <c r="H194" s="1">
        <f>16715</f>
        <v>16715</v>
      </c>
      <c r="I194" s="1">
        <f>2302</f>
        <v>2302</v>
      </c>
      <c r="J194" s="1"/>
      <c r="K194" s="1"/>
    </row>
    <row r="195" spans="1:11" x14ac:dyDescent="0.25">
      <c r="A195" t="s">
        <v>831</v>
      </c>
      <c r="B195" t="s">
        <v>246</v>
      </c>
      <c r="C195" s="1">
        <f>2387+955</f>
        <v>3342</v>
      </c>
      <c r="D195" s="1">
        <f>8</f>
        <v>8</v>
      </c>
      <c r="E195" s="1">
        <v>0</v>
      </c>
      <c r="F195" s="1">
        <v>0</v>
      </c>
      <c r="G195" s="1">
        <v>0</v>
      </c>
      <c r="H195" s="1">
        <f>933</f>
        <v>933</v>
      </c>
      <c r="I195" s="1">
        <f>644</f>
        <v>644</v>
      </c>
      <c r="J195" s="1"/>
      <c r="K195" s="1"/>
    </row>
    <row r="196" spans="1:11" x14ac:dyDescent="0.25">
      <c r="A196" t="s">
        <v>791</v>
      </c>
      <c r="B196" t="s">
        <v>247</v>
      </c>
      <c r="C196" s="1">
        <f>1172+6457</f>
        <v>7629</v>
      </c>
      <c r="D196" s="1">
        <f>3+302</f>
        <v>305</v>
      </c>
      <c r="E196" s="1">
        <v>0</v>
      </c>
      <c r="F196" s="1">
        <v>0</v>
      </c>
      <c r="G196" s="1">
        <v>0</v>
      </c>
      <c r="H196" s="1">
        <f>2028</f>
        <v>2028</v>
      </c>
      <c r="I196" s="1">
        <f>4046</f>
        <v>4046</v>
      </c>
      <c r="J196" s="1"/>
      <c r="K196" s="1"/>
    </row>
    <row r="197" spans="1:11" x14ac:dyDescent="0.25">
      <c r="A197" t="s">
        <v>248</v>
      </c>
      <c r="B197" t="s">
        <v>249</v>
      </c>
      <c r="C197" s="1">
        <f>25796+4+1+10+3+6037+2</f>
        <v>31853</v>
      </c>
      <c r="D197" s="1">
        <f>168+4+30+21+5</f>
        <v>228</v>
      </c>
      <c r="E197" s="1">
        <v>0</v>
      </c>
      <c r="F197" s="1">
        <v>0</v>
      </c>
      <c r="G197" s="1">
        <v>0</v>
      </c>
      <c r="H197" s="1">
        <f>42237</f>
        <v>42237</v>
      </c>
      <c r="I197" s="1">
        <f>5432</f>
        <v>5432</v>
      </c>
      <c r="J197" s="1"/>
      <c r="K197" s="1"/>
    </row>
    <row r="198" spans="1:11" x14ac:dyDescent="0.25">
      <c r="A198" t="s">
        <v>865</v>
      </c>
      <c r="B198" t="s">
        <v>250</v>
      </c>
      <c r="C198" s="1">
        <f>7306+8+19+1528</f>
        <v>8861</v>
      </c>
      <c r="D198" s="1">
        <f>14+2+1+1</f>
        <v>18</v>
      </c>
      <c r="E198" s="1">
        <v>0</v>
      </c>
      <c r="F198" s="1">
        <v>0</v>
      </c>
      <c r="G198" s="1">
        <v>0</v>
      </c>
      <c r="H198" s="1">
        <f>8349</f>
        <v>8349</v>
      </c>
      <c r="I198" s="1">
        <f>1395</f>
        <v>1395</v>
      </c>
      <c r="J198" s="1"/>
      <c r="K198" s="1"/>
    </row>
    <row r="199" spans="1:11" x14ac:dyDescent="0.25">
      <c r="A199" t="s">
        <v>248</v>
      </c>
      <c r="B199" t="s">
        <v>251</v>
      </c>
      <c r="C199" s="1">
        <f>19687+4+3+4680</f>
        <v>24374</v>
      </c>
      <c r="D199" s="1">
        <f>294+158+36</f>
        <v>488</v>
      </c>
      <c r="E199" s="1">
        <v>0</v>
      </c>
      <c r="F199" s="1">
        <v>0</v>
      </c>
      <c r="G199" s="1">
        <v>0</v>
      </c>
      <c r="H199" s="1">
        <f>27515</f>
        <v>27515</v>
      </c>
      <c r="I199" s="1">
        <f>3910</f>
        <v>3910</v>
      </c>
      <c r="J199" s="1"/>
      <c r="K199" s="1"/>
    </row>
    <row r="200" spans="1:11" x14ac:dyDescent="0.25">
      <c r="A200" t="s">
        <v>795</v>
      </c>
      <c r="B200" t="s">
        <v>252</v>
      </c>
      <c r="C200" s="1">
        <f>12570+74+11+49+2+10608</f>
        <v>23314</v>
      </c>
      <c r="D200" s="1">
        <f>11+16+1+41</f>
        <v>69</v>
      </c>
      <c r="E200" s="1">
        <v>0</v>
      </c>
      <c r="F200" s="1">
        <v>0</v>
      </c>
      <c r="G200" s="1">
        <v>0</v>
      </c>
      <c r="H200" s="1">
        <f>10142</f>
        <v>10142</v>
      </c>
      <c r="I200" s="1">
        <f>7484</f>
        <v>7484</v>
      </c>
      <c r="J200" s="1"/>
      <c r="K200" s="1"/>
    </row>
    <row r="201" spans="1:11" x14ac:dyDescent="0.25">
      <c r="A201" t="s">
        <v>248</v>
      </c>
      <c r="B201" t="s">
        <v>253</v>
      </c>
      <c r="C201" s="1">
        <f>27998+56+8+8+7145</f>
        <v>35215</v>
      </c>
      <c r="D201" s="1">
        <f>170</f>
        <v>170</v>
      </c>
      <c r="E201" s="1">
        <v>0</v>
      </c>
      <c r="F201" s="1">
        <v>0</v>
      </c>
      <c r="G201" s="1">
        <v>0</v>
      </c>
      <c r="H201" s="1">
        <f>10398</f>
        <v>10398</v>
      </c>
      <c r="I201" s="1">
        <f>6046</f>
        <v>6046</v>
      </c>
      <c r="J201" s="1"/>
      <c r="K201" s="1"/>
    </row>
    <row r="202" spans="1:11" x14ac:dyDescent="0.25">
      <c r="A202" t="s">
        <v>823</v>
      </c>
      <c r="B202" t="s">
        <v>254</v>
      </c>
      <c r="C202" s="1">
        <f>9146+6339</f>
        <v>15485</v>
      </c>
      <c r="D202" s="1">
        <f>4</f>
        <v>4</v>
      </c>
      <c r="E202" s="1">
        <v>0</v>
      </c>
      <c r="F202" s="1">
        <v>0</v>
      </c>
      <c r="G202" s="1">
        <v>0</v>
      </c>
      <c r="H202" s="1">
        <f>4330</f>
        <v>4330</v>
      </c>
      <c r="I202" s="1">
        <f>3262</f>
        <v>3262</v>
      </c>
      <c r="J202" s="1"/>
      <c r="K202" s="1"/>
    </row>
    <row r="203" spans="1:11" x14ac:dyDescent="0.25">
      <c r="A203" t="s">
        <v>67</v>
      </c>
      <c r="B203" t="s">
        <v>255</v>
      </c>
      <c r="C203" s="1">
        <f>21732+2+19+2820</f>
        <v>24573</v>
      </c>
      <c r="D203" s="1">
        <f>21+2+14</f>
        <v>37</v>
      </c>
      <c r="E203" s="1">
        <v>0</v>
      </c>
      <c r="F203" s="1">
        <v>0</v>
      </c>
      <c r="G203" s="1">
        <v>0</v>
      </c>
      <c r="H203" s="1">
        <f>17522</f>
        <v>17522</v>
      </c>
      <c r="I203" s="1">
        <f>2454</f>
        <v>2454</v>
      </c>
      <c r="J203" s="1"/>
      <c r="K203" s="1"/>
    </row>
    <row r="204" spans="1:11" x14ac:dyDescent="0.25">
      <c r="A204" t="s">
        <v>72</v>
      </c>
      <c r="B204" t="s">
        <v>256</v>
      </c>
      <c r="C204" s="1">
        <f>10012+474+1+2+28+2231</f>
        <v>12748</v>
      </c>
      <c r="D204" s="1">
        <f>6+2</f>
        <v>8</v>
      </c>
      <c r="E204" s="1">
        <v>0</v>
      </c>
      <c r="F204" s="1">
        <v>0</v>
      </c>
      <c r="G204" s="1">
        <v>0</v>
      </c>
      <c r="H204" s="1">
        <f>4709</f>
        <v>4709</v>
      </c>
      <c r="I204" s="1">
        <f>2138</f>
        <v>2138</v>
      </c>
      <c r="J204" s="1"/>
      <c r="K204" s="1"/>
    </row>
    <row r="205" spans="1:11" x14ac:dyDescent="0.25">
      <c r="A205" t="s">
        <v>138</v>
      </c>
      <c r="B205" t="s">
        <v>257</v>
      </c>
      <c r="C205" s="1">
        <f>38603+1+26+10573</f>
        <v>49203</v>
      </c>
      <c r="D205" s="1">
        <f>233+74+70+777+64+1553</f>
        <v>2771</v>
      </c>
      <c r="E205" s="1">
        <v>0</v>
      </c>
      <c r="F205" s="1">
        <v>0</v>
      </c>
      <c r="G205" s="1">
        <v>0</v>
      </c>
      <c r="H205" s="1">
        <f>9410</f>
        <v>9410</v>
      </c>
      <c r="I205" s="1">
        <v>0</v>
      </c>
      <c r="J205" s="1"/>
      <c r="K205" s="1"/>
    </row>
    <row r="206" spans="1:11" x14ac:dyDescent="0.25">
      <c r="A206" t="s">
        <v>817</v>
      </c>
      <c r="B206" t="s">
        <v>258</v>
      </c>
      <c r="C206" s="1">
        <f>14416+73+7+11201+1</f>
        <v>25698</v>
      </c>
      <c r="D206" s="1">
        <f>422+3</f>
        <v>425</v>
      </c>
      <c r="E206" s="1">
        <v>0</v>
      </c>
      <c r="F206" s="1">
        <v>0</v>
      </c>
      <c r="G206" s="1">
        <v>0</v>
      </c>
      <c r="H206" s="1">
        <f>85480</f>
        <v>85480</v>
      </c>
      <c r="I206" s="1">
        <v>0</v>
      </c>
      <c r="J206" s="1"/>
      <c r="K206" s="1"/>
    </row>
    <row r="207" spans="1:11" x14ac:dyDescent="0.25">
      <c r="A207" t="s">
        <v>795</v>
      </c>
      <c r="B207" t="s">
        <v>259</v>
      </c>
      <c r="C207" s="1">
        <f>38790+15574+28719+858</f>
        <v>83941</v>
      </c>
      <c r="D207" s="1">
        <f>483+3+9+40</f>
        <v>535</v>
      </c>
      <c r="E207" s="1">
        <v>0</v>
      </c>
      <c r="F207" s="1">
        <v>0</v>
      </c>
      <c r="G207" s="1">
        <v>0</v>
      </c>
      <c r="H207" s="1">
        <f>27082</f>
        <v>27082</v>
      </c>
      <c r="I207" s="1">
        <f>24068</f>
        <v>24068</v>
      </c>
      <c r="J207" s="1"/>
      <c r="K207" s="1"/>
    </row>
    <row r="208" spans="1:11" x14ac:dyDescent="0.25">
      <c r="A208" t="s">
        <v>864</v>
      </c>
      <c r="B208" t="s">
        <v>260</v>
      </c>
      <c r="C208" s="1">
        <f>16084+4+343+2+2+8+13518</f>
        <v>29961</v>
      </c>
      <c r="D208" s="1">
        <f>103+212+12</f>
        <v>327</v>
      </c>
      <c r="E208" s="1">
        <v>0</v>
      </c>
      <c r="F208" s="1">
        <v>0</v>
      </c>
      <c r="G208" s="1">
        <v>0</v>
      </c>
      <c r="H208" s="1">
        <f>21598</f>
        <v>21598</v>
      </c>
      <c r="I208" s="1">
        <f>11057</f>
        <v>11057</v>
      </c>
      <c r="J208" s="1"/>
      <c r="K208" s="1"/>
    </row>
    <row r="209" spans="1:11" x14ac:dyDescent="0.25">
      <c r="A209" t="s">
        <v>826</v>
      </c>
      <c r="B209" t="s">
        <v>261</v>
      </c>
      <c r="C209" s="1"/>
      <c r="D209" s="1"/>
      <c r="E209" s="1"/>
      <c r="F209" s="1"/>
      <c r="G209" s="1"/>
      <c r="H209" s="1"/>
      <c r="I209" s="1"/>
      <c r="J209" s="1"/>
      <c r="K209" s="1"/>
    </row>
    <row r="210" spans="1:11" x14ac:dyDescent="0.25">
      <c r="A210" t="s">
        <v>801</v>
      </c>
      <c r="B210" t="s">
        <v>262</v>
      </c>
      <c r="C210" s="1">
        <f>27816+1+2+989+1+25+16+1+1+13461</f>
        <v>42313</v>
      </c>
      <c r="D210" s="1">
        <f>149+10+161+153+22+2</f>
        <v>497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/>
      <c r="K210" s="1"/>
    </row>
    <row r="211" spans="1:11" x14ac:dyDescent="0.25">
      <c r="A211" t="s">
        <v>120</v>
      </c>
      <c r="B211" t="s">
        <v>263</v>
      </c>
      <c r="C211" s="1">
        <f>16545+52+5+15+2+14+1387</f>
        <v>18020</v>
      </c>
      <c r="D211" s="1">
        <f>16</f>
        <v>16</v>
      </c>
      <c r="E211" s="1">
        <v>0</v>
      </c>
      <c r="F211" s="1">
        <v>0</v>
      </c>
      <c r="G211" s="1">
        <v>0</v>
      </c>
      <c r="H211" s="1">
        <f>1858</f>
        <v>1858</v>
      </c>
      <c r="I211" s="1">
        <f>1167</f>
        <v>1167</v>
      </c>
      <c r="J211" s="1"/>
      <c r="K211" s="1"/>
    </row>
    <row r="212" spans="1:11" x14ac:dyDescent="0.25">
      <c r="A212" t="s">
        <v>806</v>
      </c>
      <c r="B212" t="s">
        <v>264</v>
      </c>
      <c r="C212" s="1"/>
      <c r="D212" s="1"/>
      <c r="E212" s="1"/>
      <c r="F212" s="1"/>
      <c r="G212" s="1"/>
      <c r="H212" s="1"/>
      <c r="I212" s="1"/>
      <c r="J212" s="1"/>
      <c r="K212" s="1"/>
    </row>
    <row r="213" spans="1:11" x14ac:dyDescent="0.25">
      <c r="A213" t="s">
        <v>265</v>
      </c>
      <c r="B213" t="s">
        <v>266</v>
      </c>
      <c r="C213" s="1">
        <f>48876+2+1+122+2+1+31+15431</f>
        <v>64466</v>
      </c>
      <c r="D213" s="1">
        <f>79+270</f>
        <v>349</v>
      </c>
      <c r="E213" s="1">
        <v>0</v>
      </c>
      <c r="F213" s="1">
        <v>0</v>
      </c>
      <c r="G213" s="1">
        <v>0</v>
      </c>
      <c r="H213" s="1">
        <f>39244</f>
        <v>39244</v>
      </c>
      <c r="I213" s="1">
        <v>0</v>
      </c>
      <c r="J213" s="1"/>
      <c r="K213" s="1"/>
    </row>
    <row r="214" spans="1:11" x14ac:dyDescent="0.25">
      <c r="A214" t="s">
        <v>797</v>
      </c>
      <c r="B214" t="s">
        <v>267</v>
      </c>
      <c r="C214" s="1">
        <f>29262+3+37+1+1+48963</f>
        <v>78267</v>
      </c>
      <c r="D214" s="1">
        <f>1550</f>
        <v>1550</v>
      </c>
      <c r="E214" s="1">
        <v>0</v>
      </c>
      <c r="F214" s="1">
        <v>0</v>
      </c>
      <c r="G214" s="1">
        <v>0</v>
      </c>
      <c r="H214" s="1">
        <f>44308</f>
        <v>44308</v>
      </c>
      <c r="I214" s="1">
        <f>41627</f>
        <v>41627</v>
      </c>
      <c r="J214" s="1"/>
      <c r="K214" s="1"/>
    </row>
    <row r="215" spans="1:11" x14ac:dyDescent="0.25">
      <c r="A215" t="s">
        <v>831</v>
      </c>
      <c r="B215" t="s">
        <v>268</v>
      </c>
      <c r="C215" s="1">
        <f>12833+5754</f>
        <v>18587</v>
      </c>
      <c r="D215" s="1">
        <f>234+49</f>
        <v>283</v>
      </c>
      <c r="E215" s="1">
        <v>0</v>
      </c>
      <c r="F215" s="1">
        <v>0</v>
      </c>
      <c r="G215" s="1">
        <v>0</v>
      </c>
      <c r="H215" s="1">
        <f>7570</f>
        <v>7570</v>
      </c>
      <c r="I215" s="1">
        <f>5317</f>
        <v>5317</v>
      </c>
      <c r="J215" s="1"/>
      <c r="K215" s="1"/>
    </row>
    <row r="216" spans="1:11" x14ac:dyDescent="0.25">
      <c r="A216" t="s">
        <v>794</v>
      </c>
      <c r="B216" t="s">
        <v>269</v>
      </c>
      <c r="C216" s="1">
        <f>10361+3+21+48+1904</f>
        <v>12337</v>
      </c>
      <c r="D216" s="1">
        <f>81+2</f>
        <v>83</v>
      </c>
      <c r="E216" s="1">
        <v>0</v>
      </c>
      <c r="F216" s="1">
        <v>0</v>
      </c>
      <c r="G216" s="1">
        <v>0</v>
      </c>
      <c r="H216" s="1">
        <f>7286</f>
        <v>7286</v>
      </c>
      <c r="I216" s="1">
        <v>0</v>
      </c>
      <c r="J216" s="1"/>
      <c r="K216" s="1"/>
    </row>
    <row r="217" spans="1:11" x14ac:dyDescent="0.25">
      <c r="A217" s="9" t="s">
        <v>809</v>
      </c>
      <c r="B217" s="10" t="s">
        <v>270</v>
      </c>
      <c r="C217" s="1">
        <f>11361+15+1+87+7400</f>
        <v>18864</v>
      </c>
      <c r="D217" s="1">
        <f>4+64</f>
        <v>68</v>
      </c>
      <c r="E217" s="1">
        <v>0</v>
      </c>
      <c r="F217" s="1">
        <v>0</v>
      </c>
      <c r="G217" s="1">
        <v>0</v>
      </c>
      <c r="H217" s="1">
        <f>10173</f>
        <v>10173</v>
      </c>
      <c r="I217" s="1">
        <v>0</v>
      </c>
      <c r="J217" s="1"/>
      <c r="K217" s="1"/>
    </row>
    <row r="218" spans="1:11" x14ac:dyDescent="0.25">
      <c r="A218" s="9" t="s">
        <v>248</v>
      </c>
      <c r="B218" s="10" t="s">
        <v>271</v>
      </c>
      <c r="C218" s="1">
        <f>58418+3+64+32+17312</f>
        <v>75829</v>
      </c>
      <c r="D218" s="1">
        <f>1542+2+13+6</f>
        <v>1563</v>
      </c>
      <c r="E218" s="1">
        <v>0</v>
      </c>
      <c r="F218" s="1">
        <v>0</v>
      </c>
      <c r="G218" s="1">
        <v>0</v>
      </c>
      <c r="H218" s="1">
        <f>93144</f>
        <v>93144</v>
      </c>
      <c r="I218" s="1">
        <f>12450</f>
        <v>12450</v>
      </c>
      <c r="J218" s="1"/>
      <c r="K218" s="1"/>
    </row>
    <row r="219" spans="1:11" x14ac:dyDescent="0.25">
      <c r="A219" t="s">
        <v>823</v>
      </c>
      <c r="B219" t="s">
        <v>272</v>
      </c>
      <c r="C219" s="1">
        <f>24539+1+1+5+50+15639</f>
        <v>40235</v>
      </c>
      <c r="D219" s="1">
        <f>87+6+5+33</f>
        <v>131</v>
      </c>
      <c r="E219" s="1">
        <v>0</v>
      </c>
      <c r="F219" s="1">
        <v>0</v>
      </c>
      <c r="G219" s="1">
        <v>0</v>
      </c>
      <c r="H219" s="1">
        <f>8358</f>
        <v>8358</v>
      </c>
      <c r="I219" s="1">
        <f>11964</f>
        <v>11964</v>
      </c>
      <c r="J219" s="1"/>
      <c r="K219" s="1"/>
    </row>
    <row r="220" spans="1:11" x14ac:dyDescent="0.25">
      <c r="A220" t="s">
        <v>146</v>
      </c>
      <c r="B220" t="s">
        <v>273</v>
      </c>
      <c r="C220" s="1">
        <f>8819+1+1208+8+9290</f>
        <v>19326</v>
      </c>
      <c r="D220" s="1">
        <f>14+187+2+8</f>
        <v>211</v>
      </c>
      <c r="E220" s="1">
        <v>0</v>
      </c>
      <c r="F220" s="1">
        <v>0</v>
      </c>
      <c r="G220" s="1">
        <v>0</v>
      </c>
      <c r="H220" s="1">
        <f>45607</f>
        <v>45607</v>
      </c>
      <c r="I220" s="1">
        <f>45607</f>
        <v>45607</v>
      </c>
      <c r="J220" s="1"/>
      <c r="K220" s="1"/>
    </row>
    <row r="221" spans="1:11" x14ac:dyDescent="0.25">
      <c r="A221" t="s">
        <v>788</v>
      </c>
      <c r="B221" t="s">
        <v>274</v>
      </c>
      <c r="C221" s="1">
        <f>16855+348+6+8254</f>
        <v>25463</v>
      </c>
      <c r="D221" s="1">
        <f>27+3+1</f>
        <v>31</v>
      </c>
      <c r="E221" s="1">
        <v>0</v>
      </c>
      <c r="F221" s="1">
        <v>0</v>
      </c>
      <c r="G221" s="1">
        <v>0</v>
      </c>
      <c r="H221" s="1">
        <f>24631</f>
        <v>24631</v>
      </c>
      <c r="I221" s="1">
        <f>6015</f>
        <v>6015</v>
      </c>
      <c r="J221" s="1"/>
      <c r="K221" s="1"/>
    </row>
    <row r="222" spans="1:11" x14ac:dyDescent="0.25">
      <c r="A222" t="s">
        <v>805</v>
      </c>
      <c r="B222" t="s">
        <v>275</v>
      </c>
      <c r="C222" s="1"/>
      <c r="D222" s="1"/>
      <c r="E222" s="1"/>
      <c r="F222" s="1"/>
      <c r="G222" s="1"/>
      <c r="H222" s="1"/>
      <c r="I222" s="1"/>
      <c r="J222" s="1"/>
      <c r="K222" s="1"/>
    </row>
    <row r="223" spans="1:11" x14ac:dyDescent="0.25">
      <c r="A223" s="23" t="s">
        <v>805</v>
      </c>
      <c r="B223" s="24" t="s">
        <v>276</v>
      </c>
      <c r="C223" s="1"/>
      <c r="D223" s="1"/>
      <c r="E223" s="1"/>
      <c r="F223" s="1"/>
      <c r="G223" s="1"/>
      <c r="H223" s="1"/>
      <c r="I223" s="1"/>
      <c r="J223" s="1"/>
      <c r="K223" s="1"/>
    </row>
    <row r="224" spans="1:11" x14ac:dyDescent="0.25">
      <c r="A224" t="s">
        <v>76</v>
      </c>
      <c r="B224" t="s">
        <v>277</v>
      </c>
      <c r="C224" s="1">
        <f>68580+2+1+4892+3+5905</f>
        <v>79383</v>
      </c>
      <c r="D224" s="1">
        <f>535+2+18</f>
        <v>555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/>
      <c r="K224" s="1"/>
    </row>
    <row r="225" spans="1:11" x14ac:dyDescent="0.25">
      <c r="A225" t="s">
        <v>823</v>
      </c>
      <c r="B225" t="s">
        <v>278</v>
      </c>
      <c r="C225" s="1">
        <f>30056</f>
        <v>30056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/>
      <c r="K225" s="1"/>
    </row>
    <row r="226" spans="1:11" x14ac:dyDescent="0.25">
      <c r="A226" t="s">
        <v>120</v>
      </c>
      <c r="B226" t="s">
        <v>279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f>15057</f>
        <v>15057</v>
      </c>
      <c r="I226" s="1">
        <v>0</v>
      </c>
      <c r="J226" s="1"/>
      <c r="K226" s="1"/>
    </row>
    <row r="227" spans="1:11" x14ac:dyDescent="0.25">
      <c r="A227" t="s">
        <v>495</v>
      </c>
      <c r="B227" t="s">
        <v>280</v>
      </c>
      <c r="C227" s="1">
        <f>17769+1+224+393</f>
        <v>18387</v>
      </c>
      <c r="D227" s="1">
        <f>34+7</f>
        <v>41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/>
      <c r="K227" s="1"/>
    </row>
    <row r="228" spans="1:11" x14ac:dyDescent="0.25">
      <c r="A228" t="s">
        <v>791</v>
      </c>
      <c r="B228" t="s">
        <v>281</v>
      </c>
      <c r="C228" s="1">
        <f>1478</f>
        <v>1478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/>
      <c r="K228" s="1"/>
    </row>
    <row r="229" spans="1:11" x14ac:dyDescent="0.25">
      <c r="A229" t="s">
        <v>801</v>
      </c>
      <c r="B229" t="s">
        <v>282</v>
      </c>
      <c r="C229" s="1">
        <f>15459+40</f>
        <v>15499</v>
      </c>
      <c r="D229" s="1">
        <f>45</f>
        <v>45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/>
      <c r="K229" s="1"/>
    </row>
    <row r="230" spans="1:11" x14ac:dyDescent="0.25">
      <c r="A230" t="s">
        <v>795</v>
      </c>
      <c r="B230" t="s">
        <v>283</v>
      </c>
      <c r="C230" s="1">
        <f>139094+96+16</f>
        <v>139206</v>
      </c>
      <c r="D230" s="1">
        <f>39</f>
        <v>39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/>
      <c r="K230" s="1"/>
    </row>
    <row r="231" spans="1:11" x14ac:dyDescent="0.25">
      <c r="A231" t="s">
        <v>811</v>
      </c>
      <c r="B231" t="s">
        <v>284</v>
      </c>
      <c r="C231" s="1">
        <f>90751</f>
        <v>90751</v>
      </c>
      <c r="D231" s="1">
        <f>907+106+1880</f>
        <v>2893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/>
      <c r="K231" s="1"/>
    </row>
    <row r="232" spans="1:11" x14ac:dyDescent="0.25">
      <c r="A232" t="s">
        <v>120</v>
      </c>
      <c r="B232" t="s">
        <v>285</v>
      </c>
      <c r="C232" s="1">
        <f>21536+754+11</f>
        <v>22301</v>
      </c>
      <c r="D232" s="1">
        <f>139</f>
        <v>139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/>
      <c r="K232" s="1"/>
    </row>
    <row r="233" spans="1:11" x14ac:dyDescent="0.25">
      <c r="A233" t="s">
        <v>101</v>
      </c>
      <c r="B233" t="s">
        <v>286</v>
      </c>
      <c r="C233" s="1">
        <f>17954+10+2</f>
        <v>17966</v>
      </c>
      <c r="D233" s="1">
        <f>191</f>
        <v>191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/>
      <c r="K233" s="1"/>
    </row>
    <row r="234" spans="1:11" x14ac:dyDescent="0.25">
      <c r="A234" t="s">
        <v>226</v>
      </c>
      <c r="B234" t="s">
        <v>287</v>
      </c>
      <c r="C234" s="1">
        <f>11999+24+10+2</f>
        <v>12035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/>
      <c r="K234" s="1"/>
    </row>
    <row r="235" spans="1:11" x14ac:dyDescent="0.25">
      <c r="A235" t="s">
        <v>120</v>
      </c>
      <c r="B235" t="s">
        <v>288</v>
      </c>
      <c r="C235" s="1">
        <f>3695</f>
        <v>3695</v>
      </c>
      <c r="D235" s="1">
        <f>2</f>
        <v>2</v>
      </c>
      <c r="E235" s="1">
        <v>0</v>
      </c>
      <c r="F235" s="1">
        <f>28772+2+2</f>
        <v>28776</v>
      </c>
      <c r="G235" s="1">
        <f>46</f>
        <v>46</v>
      </c>
      <c r="H235" s="1">
        <v>0</v>
      </c>
      <c r="I235" s="1">
        <v>0</v>
      </c>
      <c r="J235" s="1"/>
      <c r="K235" s="1"/>
    </row>
    <row r="236" spans="1:11" x14ac:dyDescent="0.25">
      <c r="A236" t="s">
        <v>826</v>
      </c>
      <c r="B236" t="s">
        <v>289</v>
      </c>
      <c r="C236" s="1"/>
      <c r="D236" s="1"/>
      <c r="E236" s="1"/>
      <c r="F236" s="1"/>
      <c r="G236" s="1"/>
      <c r="H236" s="1"/>
      <c r="I236" s="1"/>
      <c r="J236" s="1"/>
      <c r="K236" s="1"/>
    </row>
    <row r="237" spans="1:11" x14ac:dyDescent="0.25">
      <c r="A237" t="s">
        <v>791</v>
      </c>
      <c r="B237" t="s">
        <v>290</v>
      </c>
      <c r="C237" s="1">
        <f>3672+13+2+12</f>
        <v>3699</v>
      </c>
      <c r="D237" s="1">
        <f>1217+5</f>
        <v>1222</v>
      </c>
      <c r="E237" s="1">
        <v>0</v>
      </c>
      <c r="F237" s="1">
        <f>14345+7+31+15+142+1+7+154</f>
        <v>14702</v>
      </c>
      <c r="G237" s="1">
        <v>0</v>
      </c>
      <c r="H237" s="1">
        <v>0</v>
      </c>
      <c r="I237" s="1">
        <v>0</v>
      </c>
      <c r="J237" s="1"/>
      <c r="K237" s="1"/>
    </row>
    <row r="238" spans="1:11" x14ac:dyDescent="0.25">
      <c r="A238" t="s">
        <v>826</v>
      </c>
      <c r="B238" t="s">
        <v>291</v>
      </c>
      <c r="C238" s="1"/>
      <c r="D238" s="1"/>
      <c r="E238" s="1"/>
      <c r="F238" s="1"/>
      <c r="G238" s="1"/>
      <c r="H238" s="1"/>
      <c r="I238" s="1"/>
      <c r="J238" s="1"/>
      <c r="K238" s="1"/>
    </row>
    <row r="239" spans="1:11" x14ac:dyDescent="0.25">
      <c r="A239" t="s">
        <v>226</v>
      </c>
      <c r="B239" t="s">
        <v>292</v>
      </c>
      <c r="C239" s="1">
        <f>643+1+2</f>
        <v>646</v>
      </c>
      <c r="D239" s="1">
        <v>0</v>
      </c>
      <c r="E239" s="1">
        <v>0</v>
      </c>
      <c r="F239" s="1">
        <f>7123+5+57+21+5+5</f>
        <v>7216</v>
      </c>
      <c r="G239" s="1">
        <f>2</f>
        <v>2</v>
      </c>
      <c r="H239" s="1">
        <v>0</v>
      </c>
      <c r="I239" s="1">
        <v>0</v>
      </c>
      <c r="J239" s="1"/>
      <c r="K239" s="1"/>
    </row>
    <row r="240" spans="1:11" x14ac:dyDescent="0.25">
      <c r="A240" t="s">
        <v>495</v>
      </c>
      <c r="B240" t="s">
        <v>293</v>
      </c>
      <c r="C240" s="1">
        <f>2895+31</f>
        <v>2926</v>
      </c>
      <c r="D240" s="1">
        <f>33</f>
        <v>33</v>
      </c>
      <c r="E240" s="1">
        <v>0</v>
      </c>
      <c r="F240" s="1">
        <f>3493+3+130</f>
        <v>3626</v>
      </c>
      <c r="G240" s="1">
        <f>1+2</f>
        <v>3</v>
      </c>
      <c r="H240" s="1">
        <v>0</v>
      </c>
      <c r="I240" s="1">
        <v>0</v>
      </c>
      <c r="J240" s="1"/>
      <c r="K240" s="1"/>
    </row>
    <row r="241" spans="1:11" x14ac:dyDescent="0.25">
      <c r="A241" t="s">
        <v>248</v>
      </c>
      <c r="B241" t="s">
        <v>294</v>
      </c>
      <c r="C241" s="1">
        <f>499</f>
        <v>499</v>
      </c>
      <c r="D241" s="1">
        <v>0</v>
      </c>
      <c r="E241" s="1">
        <v>0</v>
      </c>
      <c r="F241" s="1">
        <f>6609+7+2+85</f>
        <v>6703</v>
      </c>
      <c r="G241" s="1">
        <v>0</v>
      </c>
      <c r="H241" s="1">
        <v>0</v>
      </c>
      <c r="I241" s="1">
        <v>0</v>
      </c>
      <c r="J241" s="1"/>
      <c r="K241" s="1"/>
    </row>
    <row r="242" spans="1:11" x14ac:dyDescent="0.25">
      <c r="A242" t="s">
        <v>865</v>
      </c>
      <c r="B242" t="s">
        <v>295</v>
      </c>
      <c r="C242" s="1">
        <f>416</f>
        <v>416</v>
      </c>
      <c r="D242" s="1">
        <v>0</v>
      </c>
      <c r="E242" s="1">
        <v>0</v>
      </c>
      <c r="F242" s="1">
        <f>9956+4+3+2+8</f>
        <v>9973</v>
      </c>
      <c r="G242" s="1">
        <f>23</f>
        <v>23</v>
      </c>
      <c r="H242" s="1">
        <v>0</v>
      </c>
      <c r="I242" s="1">
        <v>0</v>
      </c>
      <c r="J242" s="1"/>
      <c r="K242" s="1"/>
    </row>
    <row r="243" spans="1:11" x14ac:dyDescent="0.25">
      <c r="A243" t="s">
        <v>831</v>
      </c>
      <c r="B243" t="s">
        <v>296</v>
      </c>
      <c r="C243" s="1">
        <f>740+1</f>
        <v>741</v>
      </c>
      <c r="D243" s="1">
        <v>0</v>
      </c>
      <c r="E243" s="1">
        <v>0</v>
      </c>
      <c r="F243" s="1">
        <f>11790+9+5+57+210</f>
        <v>12071</v>
      </c>
      <c r="G243" s="1">
        <f>2+2</f>
        <v>4</v>
      </c>
      <c r="H243" s="1">
        <v>0</v>
      </c>
      <c r="I243" s="1">
        <v>0</v>
      </c>
      <c r="J243" s="1"/>
      <c r="K243" s="1"/>
    </row>
    <row r="244" spans="1:11" x14ac:dyDescent="0.25">
      <c r="A244" t="s">
        <v>818</v>
      </c>
      <c r="B244" t="s">
        <v>297</v>
      </c>
      <c r="C244" s="1">
        <f>3250+47+1</f>
        <v>3298</v>
      </c>
      <c r="D244" s="1">
        <v>0</v>
      </c>
      <c r="E244" s="1">
        <v>0</v>
      </c>
      <c r="F244" s="1">
        <f>6899+10+196+1+1+22</f>
        <v>7129</v>
      </c>
      <c r="G244" s="1">
        <f>2+1+51</f>
        <v>54</v>
      </c>
      <c r="H244" s="1">
        <v>0</v>
      </c>
      <c r="I244" s="1">
        <v>0</v>
      </c>
      <c r="J244" s="1"/>
      <c r="K244" s="1"/>
    </row>
    <row r="245" spans="1:11" x14ac:dyDescent="0.25">
      <c r="A245" t="s">
        <v>811</v>
      </c>
      <c r="B245" t="s">
        <v>298</v>
      </c>
      <c r="C245" s="1">
        <f>2585+2+28+1+1+1+67</f>
        <v>2685</v>
      </c>
      <c r="D245" s="1">
        <f>52</f>
        <v>52</v>
      </c>
      <c r="E245" s="1">
        <v>0</v>
      </c>
      <c r="F245" s="1">
        <f>8359+4+13+62+104</f>
        <v>8542</v>
      </c>
      <c r="G245" s="1">
        <f>28+1</f>
        <v>29</v>
      </c>
      <c r="H245" s="1">
        <v>0</v>
      </c>
      <c r="I245" s="1">
        <v>0</v>
      </c>
      <c r="J245" s="1"/>
      <c r="K245" s="1"/>
    </row>
    <row r="246" spans="1:11" x14ac:dyDescent="0.25">
      <c r="A246" t="s">
        <v>72</v>
      </c>
      <c r="B246" t="s">
        <v>299</v>
      </c>
      <c r="C246" s="1">
        <f>1420+503</f>
        <v>1923</v>
      </c>
      <c r="D246" s="1">
        <v>0</v>
      </c>
      <c r="E246" s="1">
        <v>0</v>
      </c>
      <c r="F246" s="1">
        <f>8753+4+1009+5</f>
        <v>9771</v>
      </c>
      <c r="G246" s="1">
        <f>19</f>
        <v>19</v>
      </c>
      <c r="H246" s="1">
        <v>0</v>
      </c>
      <c r="I246" s="1">
        <v>0</v>
      </c>
      <c r="J246" s="1"/>
      <c r="K246" s="1"/>
    </row>
    <row r="247" spans="1:11" x14ac:dyDescent="0.25">
      <c r="A247" t="s">
        <v>67</v>
      </c>
      <c r="B247" t="s">
        <v>300</v>
      </c>
      <c r="C247" s="1">
        <f>2108</f>
        <v>2108</v>
      </c>
      <c r="D247" s="1">
        <v>0</v>
      </c>
      <c r="E247" s="1">
        <v>0</v>
      </c>
      <c r="F247" s="1">
        <f>3671</f>
        <v>3671</v>
      </c>
      <c r="G247" s="1">
        <v>0</v>
      </c>
      <c r="H247" s="1">
        <v>0</v>
      </c>
      <c r="I247" s="1">
        <v>0</v>
      </c>
      <c r="J247" s="1"/>
      <c r="K247" s="1"/>
    </row>
    <row r="248" spans="1:11" x14ac:dyDescent="0.25">
      <c r="A248" t="s">
        <v>798</v>
      </c>
      <c r="B248" t="s">
        <v>301</v>
      </c>
      <c r="C248" s="1">
        <f>2220</f>
        <v>2220</v>
      </c>
      <c r="D248" s="1">
        <f>22</f>
        <v>22</v>
      </c>
      <c r="E248" s="1">
        <v>0</v>
      </c>
      <c r="F248" s="1">
        <f>12199+1</f>
        <v>12200</v>
      </c>
      <c r="G248" s="1">
        <f>99+1</f>
        <v>100</v>
      </c>
      <c r="H248" s="1">
        <v>0</v>
      </c>
      <c r="I248" s="1">
        <v>0</v>
      </c>
      <c r="J248" s="1"/>
      <c r="K248" s="1"/>
    </row>
    <row r="249" spans="1:11" x14ac:dyDescent="0.25">
      <c r="A249" t="s">
        <v>824</v>
      </c>
      <c r="B249" t="s">
        <v>302</v>
      </c>
      <c r="C249" s="1">
        <f>5655+1+210+53</f>
        <v>5919</v>
      </c>
      <c r="D249" s="1">
        <f>15</f>
        <v>15</v>
      </c>
      <c r="E249" s="1">
        <v>0</v>
      </c>
      <c r="F249" s="1">
        <f>19077+3+7+694+15+1+1+465</f>
        <v>20263</v>
      </c>
      <c r="G249" s="1">
        <f>11+4</f>
        <v>15</v>
      </c>
      <c r="H249" s="1">
        <v>0</v>
      </c>
      <c r="I249" s="1">
        <v>0</v>
      </c>
      <c r="J249" s="1"/>
      <c r="K249" s="1"/>
    </row>
    <row r="250" spans="1:11" x14ac:dyDescent="0.25">
      <c r="A250" t="s">
        <v>788</v>
      </c>
      <c r="B250" t="s">
        <v>303</v>
      </c>
      <c r="C250" s="1">
        <f>1605</f>
        <v>1605</v>
      </c>
      <c r="D250" s="1">
        <v>0</v>
      </c>
      <c r="E250" s="1">
        <v>0</v>
      </c>
      <c r="F250" s="1">
        <f>11029+1</f>
        <v>11030</v>
      </c>
      <c r="G250" s="1">
        <v>0</v>
      </c>
      <c r="H250" s="1">
        <v>0</v>
      </c>
      <c r="I250" s="1">
        <v>0</v>
      </c>
      <c r="J250" s="1"/>
      <c r="K250" s="1"/>
    </row>
    <row r="251" spans="1:11" x14ac:dyDescent="0.25">
      <c r="A251" t="s">
        <v>120</v>
      </c>
      <c r="B251" t="s">
        <v>304</v>
      </c>
      <c r="C251" s="1">
        <f>1322+13</f>
        <v>1335</v>
      </c>
      <c r="D251" s="1">
        <v>0</v>
      </c>
      <c r="E251" s="1">
        <v>0</v>
      </c>
      <c r="F251" s="1">
        <f>14402+52+178+1+9</f>
        <v>14642</v>
      </c>
      <c r="G251" s="1">
        <f>22</f>
        <v>22</v>
      </c>
      <c r="H251" s="1">
        <v>0</v>
      </c>
      <c r="I251" s="1">
        <v>0</v>
      </c>
      <c r="J251" s="1"/>
      <c r="K251" s="1"/>
    </row>
    <row r="252" spans="1:11" x14ac:dyDescent="0.25">
      <c r="A252" t="s">
        <v>229</v>
      </c>
      <c r="B252" t="s">
        <v>306</v>
      </c>
      <c r="C252" s="1">
        <f>1793+10+1+11+1</f>
        <v>1816</v>
      </c>
      <c r="D252" s="1">
        <v>0</v>
      </c>
      <c r="E252" s="1">
        <v>0</v>
      </c>
      <c r="F252" s="1">
        <f>2879+33+2</f>
        <v>2914</v>
      </c>
      <c r="G252" s="1">
        <f>59</f>
        <v>59</v>
      </c>
      <c r="H252" s="1">
        <v>0</v>
      </c>
      <c r="I252" s="1">
        <v>0</v>
      </c>
      <c r="J252" s="1"/>
      <c r="K252" s="1"/>
    </row>
    <row r="253" spans="1:11" x14ac:dyDescent="0.25">
      <c r="A253" t="s">
        <v>512</v>
      </c>
      <c r="B253" t="s">
        <v>307</v>
      </c>
      <c r="C253" s="1">
        <f>443+4</f>
        <v>447</v>
      </c>
      <c r="D253" s="1">
        <f>9</f>
        <v>9</v>
      </c>
      <c r="E253" s="1">
        <v>0</v>
      </c>
      <c r="F253" s="1">
        <f>5061+13</f>
        <v>5074</v>
      </c>
      <c r="G253" s="1">
        <f>38+4</f>
        <v>42</v>
      </c>
      <c r="H253" s="1">
        <v>0</v>
      </c>
      <c r="I253" s="1">
        <v>0</v>
      </c>
      <c r="J253" s="1"/>
      <c r="K253" s="1"/>
    </row>
    <row r="254" spans="1:11" x14ac:dyDescent="0.25">
      <c r="A254" t="s">
        <v>791</v>
      </c>
      <c r="B254" t="s">
        <v>308</v>
      </c>
      <c r="C254" s="1">
        <f>552+2+6+1+8</f>
        <v>569</v>
      </c>
      <c r="D254" s="1">
        <v>0</v>
      </c>
      <c r="E254" s="1">
        <v>0</v>
      </c>
      <c r="F254" s="1">
        <f>4591+1+2+19</f>
        <v>4613</v>
      </c>
      <c r="G254" s="1">
        <v>0</v>
      </c>
      <c r="H254" s="1">
        <v>0</v>
      </c>
      <c r="I254" s="1">
        <v>0</v>
      </c>
      <c r="J254" s="1"/>
      <c r="K254" s="1"/>
    </row>
    <row r="255" spans="1:11" x14ac:dyDescent="0.25">
      <c r="A255" t="s">
        <v>841</v>
      </c>
      <c r="B255" t="s">
        <v>309</v>
      </c>
      <c r="C255" s="1">
        <f>3447</f>
        <v>3447</v>
      </c>
      <c r="D255" s="1">
        <f>3</f>
        <v>3</v>
      </c>
      <c r="E255" s="1">
        <v>0</v>
      </c>
      <c r="F255" s="1">
        <f>31128+25+10+2+1+4</f>
        <v>31170</v>
      </c>
      <c r="G255" s="1">
        <f>1+20</f>
        <v>21</v>
      </c>
      <c r="H255" s="1">
        <v>0</v>
      </c>
      <c r="I255" s="1">
        <v>0</v>
      </c>
      <c r="J255" s="1"/>
      <c r="K255" s="1"/>
    </row>
    <row r="256" spans="1:11" x14ac:dyDescent="0.25">
      <c r="A256" t="s">
        <v>831</v>
      </c>
      <c r="B256" t="s">
        <v>310</v>
      </c>
      <c r="C256" s="1">
        <f>103</f>
        <v>103</v>
      </c>
      <c r="D256" s="1">
        <v>0</v>
      </c>
      <c r="E256" s="1">
        <v>0</v>
      </c>
      <c r="F256" s="1">
        <f>905</f>
        <v>905</v>
      </c>
      <c r="G256" s="1">
        <v>0</v>
      </c>
      <c r="H256" s="1">
        <v>0</v>
      </c>
      <c r="I256" s="1">
        <v>0</v>
      </c>
      <c r="J256" s="1"/>
      <c r="K256" s="1"/>
    </row>
    <row r="257" spans="1:11" x14ac:dyDescent="0.25">
      <c r="A257" t="s">
        <v>864</v>
      </c>
      <c r="B257" t="s">
        <v>311</v>
      </c>
      <c r="C257" s="1">
        <f>718+13</f>
        <v>731</v>
      </c>
      <c r="D257" s="1">
        <v>0</v>
      </c>
      <c r="E257" s="1">
        <v>0</v>
      </c>
      <c r="F257" s="1">
        <f>4071+2+52+45</f>
        <v>4170</v>
      </c>
      <c r="G257" s="1">
        <v>0</v>
      </c>
      <c r="H257" s="1">
        <v>0</v>
      </c>
      <c r="I257" s="1">
        <v>0</v>
      </c>
      <c r="J257" s="1"/>
      <c r="K257" s="1"/>
    </row>
    <row r="258" spans="1:11" x14ac:dyDescent="0.25">
      <c r="A258" t="s">
        <v>838</v>
      </c>
      <c r="B258" t="s">
        <v>312</v>
      </c>
      <c r="C258" s="1">
        <f>8164+22</f>
        <v>8186</v>
      </c>
      <c r="D258" s="1">
        <f>9</f>
        <v>9</v>
      </c>
      <c r="E258" s="1">
        <v>0</v>
      </c>
      <c r="F258" s="1">
        <f>662</f>
        <v>662</v>
      </c>
      <c r="G258" s="1">
        <v>0</v>
      </c>
      <c r="H258" s="1">
        <v>0</v>
      </c>
      <c r="I258" s="1">
        <v>0</v>
      </c>
      <c r="J258" s="1"/>
      <c r="K258" s="1"/>
    </row>
    <row r="259" spans="1:11" x14ac:dyDescent="0.25">
      <c r="A259" t="s">
        <v>794</v>
      </c>
      <c r="B259" t="s">
        <v>313</v>
      </c>
      <c r="C259" s="1">
        <f>1748</f>
        <v>1748</v>
      </c>
      <c r="D259" s="1">
        <v>0</v>
      </c>
      <c r="E259" s="1">
        <v>0</v>
      </c>
      <c r="F259" s="1">
        <f>4948+8+25+2+149</f>
        <v>5132</v>
      </c>
      <c r="G259" s="1">
        <v>0</v>
      </c>
      <c r="H259" s="1">
        <v>0</v>
      </c>
      <c r="I259" s="1">
        <v>0</v>
      </c>
      <c r="J259" s="1"/>
      <c r="K259" s="1"/>
    </row>
    <row r="260" spans="1:11" x14ac:dyDescent="0.25">
      <c r="A260" t="s">
        <v>830</v>
      </c>
      <c r="B260" t="s">
        <v>314</v>
      </c>
      <c r="C260" s="1">
        <f>29</f>
        <v>29</v>
      </c>
      <c r="D260" s="1">
        <v>0</v>
      </c>
      <c r="E260" s="1">
        <v>0</v>
      </c>
      <c r="F260" s="1">
        <f>194+4+16</f>
        <v>214</v>
      </c>
      <c r="G260" s="1">
        <f>22+5</f>
        <v>27</v>
      </c>
      <c r="H260" s="1">
        <v>0</v>
      </c>
      <c r="I260" s="1">
        <v>0</v>
      </c>
      <c r="J260" s="1"/>
      <c r="K260" s="1"/>
    </row>
    <row r="261" spans="1:11" x14ac:dyDescent="0.25">
      <c r="A261" t="s">
        <v>844</v>
      </c>
      <c r="B261" t="s">
        <v>315</v>
      </c>
      <c r="C261" s="1">
        <f>651</f>
        <v>651</v>
      </c>
      <c r="D261" s="1">
        <v>0</v>
      </c>
      <c r="E261" s="1">
        <v>0</v>
      </c>
      <c r="F261" s="1">
        <f>2463</f>
        <v>2463</v>
      </c>
      <c r="G261" s="1">
        <v>0</v>
      </c>
      <c r="H261" s="1">
        <v>0</v>
      </c>
      <c r="I261" s="1">
        <v>0</v>
      </c>
      <c r="J261" s="1"/>
      <c r="K261" s="1"/>
    </row>
    <row r="262" spans="1:11" x14ac:dyDescent="0.25">
      <c r="A262" t="s">
        <v>836</v>
      </c>
      <c r="B262" t="s">
        <v>316</v>
      </c>
      <c r="C262" s="1">
        <f>656</f>
        <v>656</v>
      </c>
      <c r="D262" s="1">
        <v>0</v>
      </c>
      <c r="E262" s="1">
        <v>0</v>
      </c>
      <c r="F262" s="1">
        <f>335+1+12+3</f>
        <v>351</v>
      </c>
      <c r="G262" s="1">
        <v>0</v>
      </c>
      <c r="H262" s="1">
        <v>0</v>
      </c>
      <c r="I262" s="1">
        <v>0</v>
      </c>
      <c r="J262" s="1"/>
      <c r="K262" s="1"/>
    </row>
    <row r="263" spans="1:11" x14ac:dyDescent="0.25">
      <c r="A263" t="s">
        <v>845</v>
      </c>
      <c r="B263" t="s">
        <v>317</v>
      </c>
      <c r="C263" s="1">
        <f>5608+1+119+2</f>
        <v>5730</v>
      </c>
      <c r="D263" s="1">
        <f>2</f>
        <v>2</v>
      </c>
      <c r="E263" s="1">
        <v>0</v>
      </c>
      <c r="F263" s="1">
        <f>2930+146+10</f>
        <v>3086</v>
      </c>
      <c r="G263" s="1">
        <f>20+4</f>
        <v>24</v>
      </c>
      <c r="H263" s="1">
        <v>0</v>
      </c>
      <c r="I263" s="1">
        <v>0</v>
      </c>
      <c r="J263" s="1"/>
      <c r="K263" s="1"/>
    </row>
    <row r="264" spans="1:11" x14ac:dyDescent="0.25">
      <c r="A264" t="s">
        <v>846</v>
      </c>
      <c r="B264" t="s">
        <v>318</v>
      </c>
      <c r="C264" s="1">
        <f>1136+28</f>
        <v>1164</v>
      </c>
      <c r="D264" s="1">
        <f>13</f>
        <v>13</v>
      </c>
      <c r="E264" s="1">
        <v>0</v>
      </c>
      <c r="F264" s="1">
        <f>2566+31</f>
        <v>2597</v>
      </c>
      <c r="G264" s="1">
        <f>6</f>
        <v>6</v>
      </c>
      <c r="H264" s="1">
        <v>0</v>
      </c>
      <c r="I264" s="1">
        <v>0</v>
      </c>
      <c r="J264" s="1"/>
      <c r="K264" s="1"/>
    </row>
    <row r="265" spans="1:11" x14ac:dyDescent="0.25">
      <c r="A265" t="s">
        <v>804</v>
      </c>
      <c r="B265" t="s">
        <v>319</v>
      </c>
      <c r="C265" s="1">
        <f>4510+2</f>
        <v>4512</v>
      </c>
      <c r="D265" s="1">
        <v>0</v>
      </c>
      <c r="E265" s="1">
        <v>0</v>
      </c>
      <c r="F265" s="1">
        <f>6310+1+4</f>
        <v>6315</v>
      </c>
      <c r="G265" s="1">
        <v>0</v>
      </c>
      <c r="H265" s="1">
        <v>0</v>
      </c>
      <c r="I265" s="1">
        <v>0</v>
      </c>
      <c r="J265" s="1"/>
      <c r="K265" s="1"/>
    </row>
    <row r="266" spans="1:11" x14ac:dyDescent="0.25">
      <c r="A266" t="s">
        <v>809</v>
      </c>
      <c r="B266" t="s">
        <v>320</v>
      </c>
      <c r="C266" s="1">
        <f>10433+2</f>
        <v>10435</v>
      </c>
      <c r="D266" s="1">
        <v>0</v>
      </c>
      <c r="E266" s="1">
        <v>0</v>
      </c>
      <c r="F266" s="1">
        <f>4619+1+7</f>
        <v>4627</v>
      </c>
      <c r="G266" s="1">
        <v>0</v>
      </c>
      <c r="H266" s="1">
        <v>0</v>
      </c>
      <c r="I266" s="1">
        <v>0</v>
      </c>
      <c r="J266" s="1"/>
      <c r="K266" s="1"/>
    </row>
    <row r="267" spans="1:11" x14ac:dyDescent="0.25">
      <c r="A267" t="s">
        <v>801</v>
      </c>
      <c r="B267" t="s">
        <v>321</v>
      </c>
      <c r="C267" s="1">
        <f>6032+2+5+1</f>
        <v>6040</v>
      </c>
      <c r="D267" s="1">
        <f>35</f>
        <v>35</v>
      </c>
      <c r="E267" s="1">
        <v>0</v>
      </c>
      <c r="F267" s="1">
        <f>13897+1+2+1+55+12+4+6</f>
        <v>13978</v>
      </c>
      <c r="G267" s="1">
        <f>232</f>
        <v>232</v>
      </c>
      <c r="H267" s="1">
        <v>0</v>
      </c>
      <c r="I267" s="1">
        <v>0</v>
      </c>
      <c r="J267" s="1"/>
      <c r="K267" s="1"/>
    </row>
    <row r="268" spans="1:11" x14ac:dyDescent="0.25">
      <c r="A268" t="s">
        <v>138</v>
      </c>
      <c r="B268" t="s">
        <v>322</v>
      </c>
      <c r="C268" s="1">
        <f>8367+2</f>
        <v>8369</v>
      </c>
      <c r="D268" s="1">
        <f>35</f>
        <v>35</v>
      </c>
      <c r="E268" s="1">
        <v>0</v>
      </c>
      <c r="F268" s="1">
        <f>58374+4+5+14+2+1+1+112</f>
        <v>58513</v>
      </c>
      <c r="G268" s="1">
        <f>369+20</f>
        <v>389</v>
      </c>
      <c r="H268" s="1">
        <v>0</v>
      </c>
      <c r="I268" s="1">
        <v>0</v>
      </c>
      <c r="J268" s="1"/>
      <c r="K268" s="1"/>
    </row>
    <row r="269" spans="1:11" x14ac:dyDescent="0.25">
      <c r="A269" t="s">
        <v>83</v>
      </c>
      <c r="B269" t="s">
        <v>323</v>
      </c>
      <c r="C269" s="1">
        <f>13657+1+127+5</f>
        <v>13790</v>
      </c>
      <c r="D269" s="1">
        <f>30+19</f>
        <v>49</v>
      </c>
      <c r="E269" s="1">
        <v>0</v>
      </c>
      <c r="F269" s="1">
        <f>7031+141+1+201</f>
        <v>7374</v>
      </c>
      <c r="G269" s="1">
        <f>43+4+8</f>
        <v>55</v>
      </c>
      <c r="H269" s="1">
        <v>0</v>
      </c>
      <c r="I269" s="1">
        <v>0</v>
      </c>
      <c r="J269" s="1"/>
      <c r="K269" s="1"/>
    </row>
    <row r="270" spans="1:11" x14ac:dyDescent="0.25">
      <c r="A270" t="s">
        <v>825</v>
      </c>
      <c r="B270" t="s">
        <v>324</v>
      </c>
      <c r="C270" s="1">
        <f>2271+104</f>
        <v>2375</v>
      </c>
      <c r="D270" s="1">
        <f>23</f>
        <v>23</v>
      </c>
      <c r="E270" s="1">
        <v>0</v>
      </c>
      <c r="F270" s="1">
        <f>6411+3+1+426+10</f>
        <v>6851</v>
      </c>
      <c r="G270" s="1">
        <f>118+4</f>
        <v>122</v>
      </c>
      <c r="H270" s="1">
        <v>0</v>
      </c>
      <c r="I270" s="1">
        <v>0</v>
      </c>
      <c r="J270" s="1"/>
      <c r="K270" s="1"/>
    </row>
    <row r="271" spans="1:11" x14ac:dyDescent="0.25">
      <c r="A271" t="s">
        <v>248</v>
      </c>
      <c r="B271" t="s">
        <v>325</v>
      </c>
      <c r="C271" s="1">
        <f>785+1+1+1+19</f>
        <v>807</v>
      </c>
      <c r="D271" s="1">
        <v>0</v>
      </c>
      <c r="E271" s="1">
        <v>0</v>
      </c>
      <c r="F271" s="1">
        <f>1783</f>
        <v>1783</v>
      </c>
      <c r="G271" s="1">
        <v>0</v>
      </c>
      <c r="H271" s="1">
        <v>0</v>
      </c>
      <c r="I271" s="1">
        <v>0</v>
      </c>
      <c r="J271" s="1"/>
      <c r="K271" s="1"/>
    </row>
    <row r="272" spans="1:11" x14ac:dyDescent="0.25">
      <c r="A272" t="s">
        <v>83</v>
      </c>
      <c r="B272" t="s">
        <v>326</v>
      </c>
      <c r="C272" s="1">
        <f>946</f>
        <v>946</v>
      </c>
      <c r="D272" s="1">
        <v>0</v>
      </c>
      <c r="E272" s="1">
        <v>0</v>
      </c>
      <c r="F272" s="1">
        <f>4553+89</f>
        <v>4642</v>
      </c>
      <c r="G272" s="1">
        <v>0</v>
      </c>
      <c r="H272" s="1">
        <v>0</v>
      </c>
      <c r="I272" s="1">
        <v>0</v>
      </c>
      <c r="J272" s="1"/>
      <c r="K272" s="1"/>
    </row>
    <row r="273" spans="1:11" x14ac:dyDescent="0.25">
      <c r="A273" t="s">
        <v>795</v>
      </c>
      <c r="B273" t="s">
        <v>327</v>
      </c>
      <c r="C273" s="1">
        <f>195</f>
        <v>195</v>
      </c>
      <c r="D273" s="1">
        <v>0</v>
      </c>
      <c r="E273" s="1">
        <v>0</v>
      </c>
      <c r="F273" s="1">
        <f>920</f>
        <v>920</v>
      </c>
      <c r="G273" s="1">
        <f>43</f>
        <v>43</v>
      </c>
      <c r="H273" s="1">
        <v>0</v>
      </c>
      <c r="I273" s="1">
        <v>0</v>
      </c>
      <c r="J273" s="1"/>
      <c r="K273" s="1"/>
    </row>
    <row r="274" spans="1:11" x14ac:dyDescent="0.25">
      <c r="A274" t="s">
        <v>76</v>
      </c>
      <c r="B274" t="s">
        <v>329</v>
      </c>
      <c r="C274" s="1">
        <f>3624+4</f>
        <v>3628</v>
      </c>
      <c r="D274" s="1">
        <f>19+16</f>
        <v>35</v>
      </c>
      <c r="E274" s="1">
        <v>0</v>
      </c>
      <c r="F274" s="1">
        <f>17644+1+2+1+333</f>
        <v>17981</v>
      </c>
      <c r="G274" s="1">
        <f>137+18</f>
        <v>155</v>
      </c>
      <c r="H274" s="1">
        <v>0</v>
      </c>
      <c r="I274" s="1">
        <v>0</v>
      </c>
      <c r="J274" s="1"/>
      <c r="K274" s="1"/>
    </row>
    <row r="275" spans="1:11" x14ac:dyDescent="0.25">
      <c r="A275" t="s">
        <v>809</v>
      </c>
      <c r="B275" t="s">
        <v>330</v>
      </c>
      <c r="C275" s="1">
        <f>5259+1+2+1+8+4+4</f>
        <v>5279</v>
      </c>
      <c r="D275" s="1">
        <f>526+72</f>
        <v>598</v>
      </c>
      <c r="E275" s="1">
        <v>0</v>
      </c>
      <c r="F275" s="1">
        <f>18416+1+1+13+2+109</f>
        <v>18542</v>
      </c>
      <c r="G275" s="1">
        <f>484+2+1</f>
        <v>487</v>
      </c>
      <c r="H275" s="1">
        <v>0</v>
      </c>
      <c r="I275" s="1">
        <v>0</v>
      </c>
      <c r="J275" s="1"/>
      <c r="K275" s="1"/>
    </row>
    <row r="276" spans="1:11" x14ac:dyDescent="0.25">
      <c r="A276" t="s">
        <v>839</v>
      </c>
      <c r="B276" t="s">
        <v>331</v>
      </c>
      <c r="C276" s="1">
        <f>488</f>
        <v>488</v>
      </c>
      <c r="D276" s="1">
        <f>2</f>
        <v>2</v>
      </c>
      <c r="E276" s="1">
        <v>0</v>
      </c>
      <c r="F276" s="1">
        <f>1885+1+10+6</f>
        <v>1902</v>
      </c>
      <c r="G276" s="1">
        <f>9</f>
        <v>9</v>
      </c>
      <c r="H276" s="1">
        <v>0</v>
      </c>
      <c r="I276" s="1">
        <v>0</v>
      </c>
      <c r="J276" s="1"/>
      <c r="K276" s="1"/>
    </row>
    <row r="277" spans="1:11" x14ac:dyDescent="0.25">
      <c r="A277" t="s">
        <v>248</v>
      </c>
      <c r="B277" t="s">
        <v>332</v>
      </c>
      <c r="C277" s="1">
        <f>164</f>
        <v>164</v>
      </c>
      <c r="D277" s="1">
        <v>0</v>
      </c>
      <c r="E277" s="1">
        <v>0</v>
      </c>
      <c r="F277" s="1">
        <f>65</f>
        <v>65</v>
      </c>
      <c r="G277" s="1">
        <v>0</v>
      </c>
      <c r="H277" s="1">
        <v>0</v>
      </c>
      <c r="I277" s="1">
        <v>0</v>
      </c>
      <c r="J277" s="1"/>
      <c r="K277" s="1"/>
    </row>
    <row r="278" spans="1:11" x14ac:dyDescent="0.25">
      <c r="A278" t="s">
        <v>862</v>
      </c>
      <c r="B278" t="s">
        <v>333</v>
      </c>
      <c r="C278" s="1">
        <f>208</f>
        <v>208</v>
      </c>
      <c r="D278" s="1">
        <v>0</v>
      </c>
      <c r="E278" s="1">
        <v>0</v>
      </c>
      <c r="F278" s="1">
        <f>1144</f>
        <v>1144</v>
      </c>
      <c r="G278" s="1">
        <v>0</v>
      </c>
      <c r="H278" s="1">
        <v>0</v>
      </c>
      <c r="I278" s="1">
        <v>0</v>
      </c>
      <c r="J278" s="1"/>
      <c r="K278" s="1"/>
    </row>
    <row r="279" spans="1:11" x14ac:dyDescent="0.25">
      <c r="A279" t="s">
        <v>857</v>
      </c>
      <c r="B279" t="s">
        <v>334</v>
      </c>
      <c r="C279" s="1">
        <f>1619</f>
        <v>1619</v>
      </c>
      <c r="D279" s="1">
        <v>0</v>
      </c>
      <c r="E279" s="1">
        <v>0</v>
      </c>
      <c r="F279" s="1">
        <f>1102</f>
        <v>1102</v>
      </c>
      <c r="G279" s="1">
        <v>0</v>
      </c>
      <c r="H279" s="1">
        <v>0</v>
      </c>
      <c r="I279" s="1">
        <v>0</v>
      </c>
      <c r="J279" s="1"/>
      <c r="K279" s="1"/>
    </row>
    <row r="280" spans="1:11" x14ac:dyDescent="0.25">
      <c r="A280" t="s">
        <v>265</v>
      </c>
      <c r="B280" t="s">
        <v>335</v>
      </c>
      <c r="C280" s="1">
        <f>1197</f>
        <v>1197</v>
      </c>
      <c r="D280" s="1">
        <v>0</v>
      </c>
      <c r="E280" s="1">
        <v>0</v>
      </c>
      <c r="F280" s="1">
        <f>6644</f>
        <v>6644</v>
      </c>
      <c r="G280" s="1">
        <f>5</f>
        <v>5</v>
      </c>
      <c r="H280" s="1">
        <v>0</v>
      </c>
      <c r="I280" s="1">
        <v>0</v>
      </c>
      <c r="J280" s="1"/>
      <c r="K280" s="1"/>
    </row>
    <row r="281" spans="1:11" x14ac:dyDescent="0.25">
      <c r="A281" t="s">
        <v>855</v>
      </c>
      <c r="B281" t="s">
        <v>336</v>
      </c>
      <c r="C281" s="1">
        <f>2052+78</f>
        <v>2130</v>
      </c>
      <c r="D281" s="1">
        <f>23</f>
        <v>23</v>
      </c>
      <c r="E281" s="1">
        <v>0</v>
      </c>
      <c r="F281" s="1">
        <f>6779+81</f>
        <v>6860</v>
      </c>
      <c r="G281" s="1">
        <f>17</f>
        <v>17</v>
      </c>
      <c r="H281" s="1">
        <v>0</v>
      </c>
      <c r="I281" s="1">
        <v>0</v>
      </c>
      <c r="J281" s="1"/>
      <c r="K281" s="1"/>
    </row>
    <row r="282" spans="1:11" x14ac:dyDescent="0.25">
      <c r="A282" t="s">
        <v>806</v>
      </c>
      <c r="B282" t="s">
        <v>337</v>
      </c>
      <c r="C282" s="1"/>
      <c r="D282" s="1"/>
      <c r="E282" s="1"/>
      <c r="F282" s="1"/>
      <c r="G282" s="1"/>
      <c r="H282" s="1"/>
      <c r="I282" s="1"/>
      <c r="J282" s="1"/>
      <c r="K282" s="1"/>
    </row>
    <row r="283" spans="1:11" x14ac:dyDescent="0.25">
      <c r="A283" t="s">
        <v>852</v>
      </c>
      <c r="B283" t="s">
        <v>338</v>
      </c>
      <c r="C283" s="1">
        <f>619</f>
        <v>619</v>
      </c>
      <c r="D283" s="1">
        <v>0</v>
      </c>
      <c r="E283" s="1">
        <v>0</v>
      </c>
      <c r="F283" s="1">
        <f>4531+2</f>
        <v>4533</v>
      </c>
      <c r="G283" s="1">
        <f>11</f>
        <v>11</v>
      </c>
      <c r="H283" s="1">
        <v>0</v>
      </c>
      <c r="I283" s="1">
        <v>0</v>
      </c>
      <c r="J283" s="1"/>
      <c r="K283" s="1"/>
    </row>
    <row r="284" spans="1:11" x14ac:dyDescent="0.25">
      <c r="A284" t="s">
        <v>860</v>
      </c>
      <c r="B284" t="s">
        <v>339</v>
      </c>
      <c r="C284" s="1">
        <f>2454+12</f>
        <v>2466</v>
      </c>
      <c r="D284" s="1">
        <v>0</v>
      </c>
      <c r="E284" s="1">
        <v>0</v>
      </c>
      <c r="F284" s="1">
        <f>3170+1+2+3</f>
        <v>3176</v>
      </c>
      <c r="G284" s="1">
        <f>3+74</f>
        <v>77</v>
      </c>
      <c r="H284" s="1">
        <v>0</v>
      </c>
      <c r="I284" s="1">
        <v>0</v>
      </c>
      <c r="J284" s="1"/>
      <c r="K284" s="1"/>
    </row>
    <row r="285" spans="1:11" x14ac:dyDescent="0.25">
      <c r="A285" t="s">
        <v>861</v>
      </c>
      <c r="B285" t="s">
        <v>340</v>
      </c>
      <c r="C285" s="1">
        <f>85</f>
        <v>85</v>
      </c>
      <c r="D285" s="1">
        <v>0</v>
      </c>
      <c r="E285" s="1">
        <v>0</v>
      </c>
      <c r="F285" s="1">
        <f>809+6</f>
        <v>815</v>
      </c>
      <c r="G285" s="1">
        <f>1</f>
        <v>1</v>
      </c>
      <c r="H285" s="1">
        <v>0</v>
      </c>
      <c r="I285" s="1">
        <v>0</v>
      </c>
      <c r="J285" s="1"/>
      <c r="K285" s="1"/>
    </row>
    <row r="286" spans="1:11" x14ac:dyDescent="0.25">
      <c r="A286" t="s">
        <v>834</v>
      </c>
      <c r="B286" t="s">
        <v>341</v>
      </c>
      <c r="C286" s="1">
        <f>644</f>
        <v>644</v>
      </c>
      <c r="D286" s="1">
        <v>0</v>
      </c>
      <c r="E286" s="1">
        <v>0</v>
      </c>
      <c r="F286" s="1">
        <f>6368</f>
        <v>6368</v>
      </c>
      <c r="G286" s="1">
        <f>2</f>
        <v>2</v>
      </c>
      <c r="H286" s="1">
        <v>0</v>
      </c>
      <c r="I286" s="1">
        <v>0</v>
      </c>
      <c r="J286" s="1"/>
      <c r="K286" s="1"/>
    </row>
    <row r="287" spans="1:11" x14ac:dyDescent="0.25">
      <c r="A287" t="s">
        <v>850</v>
      </c>
      <c r="B287" t="s">
        <v>342</v>
      </c>
      <c r="C287" s="1">
        <f>458</f>
        <v>458</v>
      </c>
      <c r="D287" s="1">
        <f>16</f>
        <v>16</v>
      </c>
      <c r="E287" s="1">
        <v>0</v>
      </c>
      <c r="F287" s="1">
        <f>1116+38</f>
        <v>1154</v>
      </c>
      <c r="G287" s="1">
        <f>2</f>
        <v>2</v>
      </c>
      <c r="H287" s="1">
        <v>0</v>
      </c>
      <c r="I287" s="1">
        <v>0</v>
      </c>
      <c r="J287" s="1"/>
      <c r="K287" s="1"/>
    </row>
    <row r="288" spans="1:11" x14ac:dyDescent="0.25">
      <c r="A288" t="s">
        <v>801</v>
      </c>
      <c r="B288" t="s">
        <v>343</v>
      </c>
      <c r="C288" s="1">
        <f>482</f>
        <v>482</v>
      </c>
      <c r="D288" s="1">
        <v>0</v>
      </c>
      <c r="E288" s="1">
        <v>0</v>
      </c>
      <c r="F288" s="1">
        <f>2239+2</f>
        <v>2241</v>
      </c>
      <c r="G288" s="1">
        <f>1</f>
        <v>1</v>
      </c>
      <c r="H288" s="1">
        <v>0</v>
      </c>
      <c r="I288" s="1">
        <v>0</v>
      </c>
      <c r="J288" s="1"/>
      <c r="K288" s="1"/>
    </row>
    <row r="289" spans="1:11" x14ac:dyDescent="0.25">
      <c r="A289" t="s">
        <v>138</v>
      </c>
      <c r="B289" t="s">
        <v>344</v>
      </c>
      <c r="C289" s="1">
        <f>1303+3</f>
        <v>1306</v>
      </c>
      <c r="D289" s="1">
        <v>0</v>
      </c>
      <c r="E289" s="1">
        <v>0</v>
      </c>
      <c r="F289" s="1">
        <f>10518+66+12</f>
        <v>10596</v>
      </c>
      <c r="G289" s="1">
        <v>0</v>
      </c>
      <c r="H289" s="1">
        <v>0</v>
      </c>
      <c r="I289" s="1">
        <v>0</v>
      </c>
      <c r="J289" s="1"/>
      <c r="K289" s="1"/>
    </row>
    <row r="290" spans="1:11" x14ac:dyDescent="0.25">
      <c r="A290" t="s">
        <v>806</v>
      </c>
      <c r="B290" t="s">
        <v>345</v>
      </c>
      <c r="C290" s="1"/>
      <c r="D290" s="1"/>
      <c r="E290" s="1"/>
      <c r="F290" s="1"/>
      <c r="G290" s="1"/>
      <c r="H290" s="1"/>
      <c r="I290" s="1"/>
      <c r="J290" s="1"/>
      <c r="K290" s="1"/>
    </row>
    <row r="291" spans="1:11" x14ac:dyDescent="0.25">
      <c r="A291" t="s">
        <v>69</v>
      </c>
      <c r="B291" t="s">
        <v>346</v>
      </c>
      <c r="C291" s="1">
        <f>4455+59</f>
        <v>4514</v>
      </c>
      <c r="D291" s="1">
        <f>9</f>
        <v>9</v>
      </c>
      <c r="E291" s="1">
        <v>0</v>
      </c>
      <c r="F291" s="1">
        <f>33360+1+2+10+6+4+23</f>
        <v>33406</v>
      </c>
      <c r="G291" s="1">
        <f>567+18+8</f>
        <v>593</v>
      </c>
      <c r="H291" s="1">
        <v>0</v>
      </c>
      <c r="I291" s="1">
        <v>0</v>
      </c>
      <c r="J291" s="1"/>
      <c r="K291" s="1"/>
    </row>
    <row r="292" spans="1:11" x14ac:dyDescent="0.25">
      <c r="A292" t="s">
        <v>83</v>
      </c>
      <c r="B292" t="s">
        <v>347</v>
      </c>
      <c r="C292" s="1">
        <f>24</f>
        <v>24</v>
      </c>
      <c r="D292" s="1">
        <v>0</v>
      </c>
      <c r="E292" s="1">
        <v>0</v>
      </c>
      <c r="F292" s="1">
        <f>7</f>
        <v>7</v>
      </c>
      <c r="G292" s="1">
        <v>0</v>
      </c>
      <c r="H292" s="1">
        <v>0</v>
      </c>
      <c r="I292" s="1">
        <v>0</v>
      </c>
      <c r="J292" s="1"/>
      <c r="K292" s="1"/>
    </row>
    <row r="293" spans="1:11" x14ac:dyDescent="0.25">
      <c r="A293" t="s">
        <v>101</v>
      </c>
      <c r="B293" t="s">
        <v>348</v>
      </c>
      <c r="C293" s="1">
        <f>1473</f>
        <v>1473</v>
      </c>
      <c r="D293" s="1">
        <f>22</f>
        <v>22</v>
      </c>
      <c r="E293" s="1">
        <v>0</v>
      </c>
      <c r="F293" s="1">
        <f>11875+1+9+22</f>
        <v>11907</v>
      </c>
      <c r="G293" s="1">
        <f>10</f>
        <v>10</v>
      </c>
      <c r="H293" s="1">
        <v>0</v>
      </c>
      <c r="I293" s="1">
        <v>0</v>
      </c>
      <c r="J293" s="1"/>
      <c r="K293" s="1"/>
    </row>
    <row r="294" spans="1:11" x14ac:dyDescent="0.25">
      <c r="A294" t="s">
        <v>797</v>
      </c>
      <c r="B294" t="s">
        <v>349</v>
      </c>
      <c r="C294" s="1">
        <f>533</f>
        <v>533</v>
      </c>
      <c r="D294" s="1">
        <v>0</v>
      </c>
      <c r="E294" s="1">
        <v>0</v>
      </c>
      <c r="F294" s="1">
        <f>5741</f>
        <v>5741</v>
      </c>
      <c r="G294" s="1">
        <v>0</v>
      </c>
      <c r="H294" s="1">
        <v>0</v>
      </c>
      <c r="I294" s="1">
        <v>0</v>
      </c>
      <c r="J294" s="1"/>
      <c r="K294" s="1"/>
    </row>
    <row r="295" spans="1:11" x14ac:dyDescent="0.25">
      <c r="A295" t="s">
        <v>811</v>
      </c>
      <c r="B295" t="s">
        <v>350</v>
      </c>
      <c r="C295" s="1">
        <f>2431+15</f>
        <v>2446</v>
      </c>
      <c r="D295" s="1">
        <f>82</f>
        <v>82</v>
      </c>
      <c r="E295" s="1">
        <v>0</v>
      </c>
      <c r="F295" s="1">
        <f>13899+2+46+18</f>
        <v>13965</v>
      </c>
      <c r="G295" s="1">
        <f>95+1</f>
        <v>96</v>
      </c>
      <c r="H295" s="1">
        <v>0</v>
      </c>
      <c r="I295" s="1">
        <v>0</v>
      </c>
      <c r="J295" s="1"/>
      <c r="K295" s="1"/>
    </row>
    <row r="296" spans="1:11" x14ac:dyDescent="0.25">
      <c r="A296" t="s">
        <v>837</v>
      </c>
      <c r="B296" t="s">
        <v>351</v>
      </c>
      <c r="C296" s="1">
        <f>1198</f>
        <v>1198</v>
      </c>
      <c r="D296" s="1">
        <f>24</f>
        <v>24</v>
      </c>
      <c r="E296" s="1">
        <v>0</v>
      </c>
      <c r="F296" s="1">
        <f>4486+1+5+3</f>
        <v>4495</v>
      </c>
      <c r="G296" s="1">
        <f>25</f>
        <v>25</v>
      </c>
      <c r="H296" s="1">
        <v>0</v>
      </c>
      <c r="I296" s="1">
        <v>0</v>
      </c>
      <c r="J296" s="1"/>
      <c r="K296" s="1"/>
    </row>
    <row r="297" spans="1:11" x14ac:dyDescent="0.25">
      <c r="A297" t="s">
        <v>824</v>
      </c>
      <c r="B297" t="s">
        <v>352</v>
      </c>
      <c r="C297" s="1">
        <f>1311+46</f>
        <v>1357</v>
      </c>
      <c r="D297" s="1">
        <v>0</v>
      </c>
      <c r="E297" s="1">
        <v>0</v>
      </c>
      <c r="F297" s="1">
        <f>6898+261+86</f>
        <v>7245</v>
      </c>
      <c r="G297" s="1">
        <f>1</f>
        <v>1</v>
      </c>
      <c r="H297" s="1">
        <v>0</v>
      </c>
      <c r="I297" s="1">
        <v>0</v>
      </c>
      <c r="J297" s="1"/>
      <c r="K297" s="1"/>
    </row>
    <row r="298" spans="1:11" x14ac:dyDescent="0.25">
      <c r="A298" t="s">
        <v>829</v>
      </c>
      <c r="B298" t="s">
        <v>353</v>
      </c>
      <c r="C298" s="1">
        <f>8977+13</f>
        <v>8990</v>
      </c>
      <c r="D298" s="1">
        <f>3</f>
        <v>3</v>
      </c>
      <c r="E298" s="1">
        <v>0</v>
      </c>
      <c r="F298" s="1">
        <f>6223+32+2</f>
        <v>6257</v>
      </c>
      <c r="G298" s="1">
        <f>14</f>
        <v>14</v>
      </c>
      <c r="H298" s="1">
        <v>0</v>
      </c>
      <c r="I298" s="1">
        <v>0</v>
      </c>
      <c r="J298" s="1"/>
      <c r="K298" s="1"/>
    </row>
    <row r="299" spans="1:11" x14ac:dyDescent="0.25">
      <c r="A299" t="s">
        <v>832</v>
      </c>
      <c r="B299" t="s">
        <v>354</v>
      </c>
      <c r="C299" s="1">
        <f>315</f>
        <v>315</v>
      </c>
      <c r="D299" s="1">
        <v>0</v>
      </c>
      <c r="E299" s="1">
        <v>0</v>
      </c>
      <c r="F299" s="1">
        <f>915</f>
        <v>915</v>
      </c>
      <c r="G299" s="1">
        <f>2+2</f>
        <v>4</v>
      </c>
      <c r="H299" s="1">
        <v>0</v>
      </c>
      <c r="I299" s="1">
        <v>0</v>
      </c>
      <c r="J299" s="1"/>
      <c r="K299" s="1"/>
    </row>
    <row r="300" spans="1:11" x14ac:dyDescent="0.25">
      <c r="A300" t="s">
        <v>833</v>
      </c>
      <c r="B300" t="s">
        <v>355</v>
      </c>
      <c r="C300" s="1">
        <f>165</f>
        <v>165</v>
      </c>
      <c r="D300" s="1">
        <v>0</v>
      </c>
      <c r="E300" s="1">
        <v>0</v>
      </c>
      <c r="F300" s="1">
        <f>1650</f>
        <v>1650</v>
      </c>
      <c r="G300" s="1">
        <v>0</v>
      </c>
      <c r="H300" s="1">
        <v>0</v>
      </c>
      <c r="I300" s="1">
        <v>0</v>
      </c>
      <c r="J300" s="1"/>
      <c r="K300" s="1"/>
    </row>
    <row r="301" spans="1:11" x14ac:dyDescent="0.25">
      <c r="A301" t="s">
        <v>840</v>
      </c>
      <c r="B301" t="s">
        <v>356</v>
      </c>
      <c r="C301" s="1">
        <f>1448</f>
        <v>1448</v>
      </c>
      <c r="D301" s="1">
        <v>0</v>
      </c>
      <c r="E301" s="1">
        <v>0</v>
      </c>
      <c r="F301" s="1">
        <f>7344</f>
        <v>7344</v>
      </c>
      <c r="G301" s="1">
        <f>46+3</f>
        <v>49</v>
      </c>
      <c r="H301" s="1">
        <v>0</v>
      </c>
      <c r="I301" s="1">
        <v>0</v>
      </c>
      <c r="J301" s="1"/>
      <c r="K301" s="1"/>
    </row>
    <row r="302" spans="1:11" x14ac:dyDescent="0.25">
      <c r="A302" t="s">
        <v>843</v>
      </c>
      <c r="B302" t="s">
        <v>357</v>
      </c>
      <c r="C302" s="1">
        <f>908+11</f>
        <v>919</v>
      </c>
      <c r="D302" s="1">
        <v>0</v>
      </c>
      <c r="E302" s="1">
        <v>0</v>
      </c>
      <c r="F302" s="1">
        <f>8445+790+55+191</f>
        <v>9481</v>
      </c>
      <c r="G302" s="1">
        <v>0</v>
      </c>
      <c r="H302" s="1">
        <v>0</v>
      </c>
      <c r="I302" s="1">
        <v>0</v>
      </c>
      <c r="J302" s="1"/>
      <c r="K302" s="1"/>
    </row>
    <row r="303" spans="1:11" x14ac:dyDescent="0.25">
      <c r="A303" t="s">
        <v>791</v>
      </c>
      <c r="B303" t="s">
        <v>358</v>
      </c>
      <c r="C303" s="1">
        <f>7442+2+47+125+11+3+6+148</f>
        <v>7784</v>
      </c>
      <c r="D303" s="1">
        <f>1</f>
        <v>1</v>
      </c>
      <c r="E303" s="1">
        <v>0</v>
      </c>
      <c r="F303" s="1">
        <f>18496+121+23+1+56+17+3+1+1+324</f>
        <v>19043</v>
      </c>
      <c r="G303" s="1">
        <f>24+45</f>
        <v>69</v>
      </c>
      <c r="H303" s="1">
        <v>0</v>
      </c>
      <c r="I303" s="1">
        <v>0</v>
      </c>
      <c r="J303" s="1"/>
      <c r="K303" s="1"/>
    </row>
    <row r="304" spans="1:11" x14ac:dyDescent="0.25">
      <c r="A304" t="s">
        <v>842</v>
      </c>
      <c r="B304" t="s">
        <v>359</v>
      </c>
      <c r="C304" s="1">
        <f>2626+6</f>
        <v>2632</v>
      </c>
      <c r="D304" s="1">
        <v>0</v>
      </c>
      <c r="E304" s="1">
        <v>0</v>
      </c>
      <c r="F304" s="1">
        <f>8928+8+34</f>
        <v>8970</v>
      </c>
      <c r="G304" s="1">
        <f>1</f>
        <v>1</v>
      </c>
      <c r="H304" s="1">
        <v>0</v>
      </c>
      <c r="I304" s="1">
        <v>0</v>
      </c>
      <c r="J304" s="1"/>
      <c r="K304" s="1"/>
    </row>
    <row r="305" spans="1:11" x14ac:dyDescent="0.25">
      <c r="A305" t="s">
        <v>835</v>
      </c>
      <c r="B305" t="s">
        <v>360</v>
      </c>
      <c r="C305" s="1">
        <f>748</f>
        <v>748</v>
      </c>
      <c r="D305" s="1">
        <v>0</v>
      </c>
      <c r="E305" s="1">
        <v>0</v>
      </c>
      <c r="F305" s="1">
        <f>5727+2+1+8+1</f>
        <v>5739</v>
      </c>
      <c r="G305" s="1">
        <f>17</f>
        <v>17</v>
      </c>
      <c r="H305" s="1">
        <v>0</v>
      </c>
      <c r="I305" s="1">
        <v>0</v>
      </c>
      <c r="J305" s="1"/>
      <c r="K305" s="1"/>
    </row>
    <row r="306" spans="1:11" x14ac:dyDescent="0.25">
      <c r="A306" t="s">
        <v>826</v>
      </c>
      <c r="B306" t="s">
        <v>361</v>
      </c>
      <c r="C306" s="1">
        <f>6346+8+2+139+36+36</f>
        <v>6567</v>
      </c>
      <c r="D306" s="1">
        <f>58</f>
        <v>58</v>
      </c>
      <c r="E306" s="1">
        <v>0</v>
      </c>
      <c r="F306" s="1">
        <f>22842+2+202+1+6+113</f>
        <v>23166</v>
      </c>
      <c r="G306" s="1">
        <f>376+3</f>
        <v>379</v>
      </c>
      <c r="H306" s="1">
        <v>0</v>
      </c>
      <c r="I306" s="1">
        <v>0</v>
      </c>
      <c r="J306" s="1"/>
      <c r="K306" s="1"/>
    </row>
    <row r="307" spans="1:11" x14ac:dyDescent="0.25">
      <c r="A307" t="s">
        <v>67</v>
      </c>
      <c r="B307" t="s">
        <v>362</v>
      </c>
      <c r="C307" s="1">
        <f>9052</f>
        <v>9052</v>
      </c>
      <c r="D307" s="1">
        <v>0</v>
      </c>
      <c r="E307" s="1">
        <v>0</v>
      </c>
      <c r="F307" s="1">
        <f>29472+37+25+79</f>
        <v>29613</v>
      </c>
      <c r="G307" s="1">
        <f>1+8</f>
        <v>9</v>
      </c>
      <c r="H307" s="1">
        <v>0</v>
      </c>
      <c r="I307" s="1">
        <v>0</v>
      </c>
      <c r="J307" s="1"/>
      <c r="K307" s="1"/>
    </row>
    <row r="308" spans="1:11" x14ac:dyDescent="0.25">
      <c r="A308" t="s">
        <v>831</v>
      </c>
      <c r="B308" t="s">
        <v>363</v>
      </c>
      <c r="C308" s="1">
        <f>245+12</f>
        <v>257</v>
      </c>
      <c r="D308" s="1">
        <v>0</v>
      </c>
      <c r="E308" s="1">
        <v>0</v>
      </c>
      <c r="F308" s="1">
        <f>2147+129+1+111+1+1+4+16</f>
        <v>2410</v>
      </c>
      <c r="G308" s="1">
        <f>2</f>
        <v>2</v>
      </c>
      <c r="H308" s="1">
        <v>0</v>
      </c>
      <c r="I308" s="1">
        <v>0</v>
      </c>
      <c r="J308" s="1"/>
      <c r="K308" s="1"/>
    </row>
    <row r="309" spans="1:11" x14ac:dyDescent="0.25">
      <c r="A309" t="s">
        <v>248</v>
      </c>
      <c r="B309" t="s">
        <v>364</v>
      </c>
      <c r="C309" s="1">
        <f>684</f>
        <v>684</v>
      </c>
      <c r="D309" s="1">
        <v>0</v>
      </c>
      <c r="E309" s="1">
        <v>0</v>
      </c>
      <c r="F309" s="1">
        <f>5865+1</f>
        <v>5866</v>
      </c>
      <c r="G309" s="1">
        <v>0</v>
      </c>
      <c r="H309" s="1">
        <v>0</v>
      </c>
      <c r="I309" s="1">
        <v>0</v>
      </c>
      <c r="J309" s="1"/>
      <c r="K309" s="1"/>
    </row>
    <row r="310" spans="1:11" x14ac:dyDescent="0.25">
      <c r="A310" t="s">
        <v>791</v>
      </c>
      <c r="B310" t="s">
        <v>365</v>
      </c>
      <c r="C310" s="1">
        <f>4823+26+2+90</f>
        <v>4941</v>
      </c>
      <c r="D310" s="1">
        <f>151+46</f>
        <v>197</v>
      </c>
      <c r="E310" s="1">
        <v>0</v>
      </c>
      <c r="F310" s="1">
        <f>8395+6+1+4+47</f>
        <v>8453</v>
      </c>
      <c r="G310" s="1">
        <f>418</f>
        <v>418</v>
      </c>
      <c r="H310" s="1">
        <v>0</v>
      </c>
      <c r="I310" s="1">
        <v>0</v>
      </c>
      <c r="J310" s="1"/>
      <c r="K310" s="1"/>
    </row>
    <row r="311" spans="1:11" x14ac:dyDescent="0.25">
      <c r="A311" t="s">
        <v>797</v>
      </c>
      <c r="B311" t="s">
        <v>366</v>
      </c>
      <c r="C311" s="1">
        <f>866+7+3</f>
        <v>876</v>
      </c>
      <c r="D311" s="1">
        <f>12</f>
        <v>12</v>
      </c>
      <c r="E311" s="1">
        <v>0</v>
      </c>
      <c r="F311" s="1">
        <f>2624+3+2+34</f>
        <v>2663</v>
      </c>
      <c r="G311" s="1">
        <f>50+4+2</f>
        <v>56</v>
      </c>
      <c r="H311" s="1">
        <v>0</v>
      </c>
      <c r="I311" s="1">
        <v>0</v>
      </c>
      <c r="J311" s="1"/>
      <c r="K311" s="1"/>
    </row>
    <row r="312" spans="1:11" x14ac:dyDescent="0.25">
      <c r="A312" t="s">
        <v>120</v>
      </c>
      <c r="B312" t="s">
        <v>367</v>
      </c>
      <c r="C312" s="1">
        <f>3427+16+4</f>
        <v>3447</v>
      </c>
      <c r="D312" s="1">
        <f>24</f>
        <v>24</v>
      </c>
      <c r="E312" s="1">
        <v>0</v>
      </c>
      <c r="F312" s="1">
        <f>19159+3+2+1</f>
        <v>19165</v>
      </c>
      <c r="G312" s="1">
        <f>164+111+11</f>
        <v>286</v>
      </c>
      <c r="H312" s="1">
        <v>0</v>
      </c>
      <c r="I312" s="1">
        <v>0</v>
      </c>
      <c r="J312" s="1"/>
      <c r="K312" s="1"/>
    </row>
    <row r="313" spans="1:11" x14ac:dyDescent="0.25">
      <c r="A313" t="s">
        <v>231</v>
      </c>
      <c r="B313" t="s">
        <v>368</v>
      </c>
      <c r="C313" s="1">
        <f>2858+35+21+25</f>
        <v>2939</v>
      </c>
      <c r="D313" s="1">
        <v>0</v>
      </c>
      <c r="E313" s="1">
        <v>0</v>
      </c>
      <c r="F313" s="1">
        <f>15542+4+2+402+31+30+1+125</f>
        <v>16137</v>
      </c>
      <c r="G313" s="1">
        <f>4+9</f>
        <v>13</v>
      </c>
      <c r="H313" s="1">
        <v>0</v>
      </c>
      <c r="I313" s="1">
        <v>0</v>
      </c>
      <c r="J313" s="1"/>
      <c r="K313" s="1"/>
    </row>
    <row r="314" spans="1:11" x14ac:dyDescent="0.25">
      <c r="A314" t="s">
        <v>809</v>
      </c>
      <c r="B314" t="s">
        <v>369</v>
      </c>
      <c r="C314" s="1">
        <f>4178+4+1+3+188</f>
        <v>4374</v>
      </c>
      <c r="D314" s="1">
        <f>6</f>
        <v>6</v>
      </c>
      <c r="E314" s="1">
        <v>0</v>
      </c>
      <c r="F314" s="1">
        <f>29094+2+12+2+1+39+37</f>
        <v>29187</v>
      </c>
      <c r="G314" s="1">
        <f>799+3+12</f>
        <v>814</v>
      </c>
      <c r="H314" s="1">
        <v>0</v>
      </c>
      <c r="I314" s="1">
        <v>0</v>
      </c>
      <c r="J314" s="1"/>
      <c r="K314" s="1"/>
    </row>
    <row r="315" spans="1:11" x14ac:dyDescent="0.25">
      <c r="A315" t="s">
        <v>848</v>
      </c>
      <c r="B315" t="s">
        <v>370</v>
      </c>
      <c r="C315" s="1">
        <f>865+2</f>
        <v>867</v>
      </c>
      <c r="D315" s="1">
        <f>47</f>
        <v>47</v>
      </c>
      <c r="E315" s="1">
        <v>0</v>
      </c>
      <c r="F315" s="1">
        <f>6355+25+2+8+113</f>
        <v>6503</v>
      </c>
      <c r="G315" s="1">
        <f>1+6</f>
        <v>7</v>
      </c>
      <c r="H315" s="1">
        <v>0</v>
      </c>
      <c r="I315" s="1">
        <v>0</v>
      </c>
      <c r="J315" s="1"/>
      <c r="K315" s="1"/>
    </row>
    <row r="316" spans="1:11" x14ac:dyDescent="0.25">
      <c r="A316" t="s">
        <v>226</v>
      </c>
      <c r="B316" t="s">
        <v>371</v>
      </c>
      <c r="C316" s="1">
        <f>1440+6+2+76+2+1</f>
        <v>1527</v>
      </c>
      <c r="D316" s="1">
        <f>87</f>
        <v>87</v>
      </c>
      <c r="E316" s="1">
        <v>0</v>
      </c>
      <c r="F316" s="1">
        <f>13236+13+31+67+1614+29+6+1+158</f>
        <v>15155</v>
      </c>
      <c r="G316" s="1">
        <f>51</f>
        <v>51</v>
      </c>
      <c r="H316" s="1">
        <v>0</v>
      </c>
      <c r="I316" s="1">
        <v>0</v>
      </c>
      <c r="J316" s="1"/>
      <c r="K316" s="1"/>
    </row>
    <row r="317" spans="1:11" x14ac:dyDescent="0.25">
      <c r="A317" t="s">
        <v>797</v>
      </c>
      <c r="B317" t="s">
        <v>372</v>
      </c>
      <c r="C317" s="1">
        <f>644+5+36+1+23</f>
        <v>709</v>
      </c>
      <c r="D317" s="1">
        <f>10</f>
        <v>10</v>
      </c>
      <c r="E317" s="1">
        <v>0</v>
      </c>
      <c r="F317" s="1">
        <f>5533+8+8+2+176</f>
        <v>5727</v>
      </c>
      <c r="G317" s="1">
        <f>149</f>
        <v>149</v>
      </c>
      <c r="H317" s="1">
        <v>0</v>
      </c>
      <c r="I317" s="1">
        <v>0</v>
      </c>
      <c r="J317" s="1"/>
      <c r="K317" s="1"/>
    </row>
    <row r="318" spans="1:11" x14ac:dyDescent="0.25">
      <c r="A318" t="s">
        <v>791</v>
      </c>
      <c r="B318" t="s">
        <v>373</v>
      </c>
      <c r="C318" s="1">
        <f>1824+72+7+1+3</f>
        <v>1907</v>
      </c>
      <c r="D318" s="1">
        <f>1</f>
        <v>1</v>
      </c>
      <c r="E318" s="1">
        <v>0</v>
      </c>
      <c r="F318" s="1">
        <f>8458+1+442+15+943</f>
        <v>9859</v>
      </c>
      <c r="G318" s="1">
        <f>34+2</f>
        <v>36</v>
      </c>
      <c r="H318" s="1">
        <v>0</v>
      </c>
      <c r="I318" s="1">
        <v>0</v>
      </c>
      <c r="J318" s="1"/>
      <c r="K318" s="1"/>
    </row>
    <row r="319" spans="1:11" x14ac:dyDescent="0.25">
      <c r="A319" t="s">
        <v>826</v>
      </c>
      <c r="B319" t="s">
        <v>374</v>
      </c>
      <c r="C319" s="1">
        <f>1641+185</f>
        <v>1826</v>
      </c>
      <c r="D319" s="1">
        <f>8</f>
        <v>8</v>
      </c>
      <c r="E319" s="1">
        <v>0</v>
      </c>
      <c r="F319" s="1">
        <f>9868+815+4</f>
        <v>10687</v>
      </c>
      <c r="G319" s="1">
        <f>11+57</f>
        <v>68</v>
      </c>
      <c r="H319" s="1">
        <v>0</v>
      </c>
      <c r="I319" s="1">
        <v>0</v>
      </c>
      <c r="J319" s="1"/>
      <c r="K319" s="1"/>
    </row>
    <row r="320" spans="1:11" x14ac:dyDescent="0.25">
      <c r="A320" t="s">
        <v>512</v>
      </c>
      <c r="B320" t="s">
        <v>375</v>
      </c>
      <c r="C320" s="1">
        <f>774</f>
        <v>774</v>
      </c>
      <c r="D320" s="1">
        <v>0</v>
      </c>
      <c r="E320" s="1">
        <v>0</v>
      </c>
      <c r="F320" s="1">
        <f>1664+4+7</f>
        <v>1675</v>
      </c>
      <c r="G320" s="1">
        <f>71</f>
        <v>71</v>
      </c>
      <c r="H320" s="1">
        <v>0</v>
      </c>
      <c r="I320" s="1">
        <v>0</v>
      </c>
      <c r="J320" s="1"/>
      <c r="K320" s="1"/>
    </row>
    <row r="321" spans="1:11" x14ac:dyDescent="0.25">
      <c r="A321" t="s">
        <v>817</v>
      </c>
      <c r="B321" t="s">
        <v>376</v>
      </c>
      <c r="C321" s="1">
        <f>2062+24</f>
        <v>2086</v>
      </c>
      <c r="D321" s="1">
        <f>15</f>
        <v>15</v>
      </c>
      <c r="E321" s="1">
        <v>0</v>
      </c>
      <c r="F321" s="1">
        <f>1859+5+3</f>
        <v>1867</v>
      </c>
      <c r="G321" s="1">
        <v>0</v>
      </c>
      <c r="H321" s="1">
        <v>0</v>
      </c>
      <c r="I321" s="1">
        <v>0</v>
      </c>
      <c r="J321" s="1"/>
      <c r="K321" s="1"/>
    </row>
    <row r="322" spans="1:11" x14ac:dyDescent="0.25">
      <c r="A322" t="s">
        <v>83</v>
      </c>
      <c r="B322" t="s">
        <v>377</v>
      </c>
      <c r="C322" s="1">
        <f>2824+1+2+32</f>
        <v>2859</v>
      </c>
      <c r="D322" s="1">
        <f>217+5</f>
        <v>222</v>
      </c>
      <c r="E322" s="1">
        <v>0</v>
      </c>
      <c r="F322" s="1">
        <f>14702+6+3+5+714</f>
        <v>15430</v>
      </c>
      <c r="G322" s="1">
        <f>146+15</f>
        <v>161</v>
      </c>
      <c r="H322" s="1">
        <v>0</v>
      </c>
      <c r="I322" s="1">
        <v>0</v>
      </c>
      <c r="J322" s="1"/>
      <c r="K322" s="1"/>
    </row>
    <row r="323" spans="1:11" x14ac:dyDescent="0.25">
      <c r="A323" t="s">
        <v>795</v>
      </c>
      <c r="B323" t="s">
        <v>378</v>
      </c>
      <c r="C323" s="1">
        <f>1744</f>
        <v>1744</v>
      </c>
      <c r="D323" s="1">
        <v>0</v>
      </c>
      <c r="E323" s="1">
        <v>0</v>
      </c>
      <c r="F323" s="1">
        <f>6295+1+1+2+1+4</f>
        <v>6304</v>
      </c>
      <c r="G323" s="1">
        <f>1</f>
        <v>1</v>
      </c>
      <c r="H323" s="1">
        <v>0</v>
      </c>
      <c r="I323" s="1">
        <v>0</v>
      </c>
      <c r="J323" s="1"/>
      <c r="K323" s="1"/>
    </row>
    <row r="324" spans="1:11" x14ac:dyDescent="0.25">
      <c r="A324" t="s">
        <v>858</v>
      </c>
      <c r="B324" t="s">
        <v>379</v>
      </c>
      <c r="C324" s="1">
        <f>858</f>
        <v>858</v>
      </c>
      <c r="D324" s="1">
        <f>1</f>
        <v>1</v>
      </c>
      <c r="E324" s="1">
        <v>0</v>
      </c>
      <c r="F324" s="1">
        <f>1979+56</f>
        <v>2035</v>
      </c>
      <c r="G324" s="1">
        <f>1+4</f>
        <v>5</v>
      </c>
      <c r="H324" s="1">
        <v>0</v>
      </c>
      <c r="I324" s="1">
        <v>0</v>
      </c>
      <c r="J324" s="1"/>
      <c r="K324" s="1"/>
    </row>
    <row r="325" spans="1:11" x14ac:dyDescent="0.25">
      <c r="A325" t="s">
        <v>848</v>
      </c>
      <c r="B325" t="s">
        <v>380</v>
      </c>
      <c r="C325" s="1">
        <f>952</f>
        <v>952</v>
      </c>
      <c r="D325" s="1">
        <v>0</v>
      </c>
      <c r="E325" s="1">
        <v>0</v>
      </c>
      <c r="F325" s="1">
        <f>10946+47</f>
        <v>10993</v>
      </c>
      <c r="G325" s="1">
        <v>0</v>
      </c>
      <c r="H325" s="1">
        <v>0</v>
      </c>
      <c r="I325" s="1">
        <v>0</v>
      </c>
      <c r="J325" s="1"/>
      <c r="K325" s="1"/>
    </row>
    <row r="326" spans="1:11" x14ac:dyDescent="0.25">
      <c r="A326" t="s">
        <v>863</v>
      </c>
      <c r="B326" t="s">
        <v>381</v>
      </c>
      <c r="C326" s="1">
        <f>3141</f>
        <v>3141</v>
      </c>
      <c r="D326" s="1">
        <v>0</v>
      </c>
      <c r="E326" s="1">
        <v>0</v>
      </c>
      <c r="F326" s="1">
        <f>7988</f>
        <v>7988</v>
      </c>
      <c r="G326" s="1">
        <v>0</v>
      </c>
      <c r="H326" s="1">
        <v>0</v>
      </c>
      <c r="I326" s="1">
        <v>0</v>
      </c>
      <c r="J326" s="1"/>
      <c r="K326" s="1"/>
    </row>
    <row r="327" spans="1:11" x14ac:dyDescent="0.25">
      <c r="A327" t="s">
        <v>854</v>
      </c>
      <c r="B327" t="s">
        <v>382</v>
      </c>
      <c r="C327" s="1">
        <f>5544+16</f>
        <v>5560</v>
      </c>
      <c r="D327" s="1">
        <f>131+3</f>
        <v>134</v>
      </c>
      <c r="E327" s="1">
        <v>0</v>
      </c>
      <c r="F327" s="1">
        <f>5357+112+112</f>
        <v>5581</v>
      </c>
      <c r="G327" s="1">
        <f>18+4</f>
        <v>22</v>
      </c>
      <c r="H327" s="1">
        <v>0</v>
      </c>
      <c r="I327" s="1">
        <v>0</v>
      </c>
      <c r="J327" s="1"/>
      <c r="K327" s="1"/>
    </row>
    <row r="328" spans="1:11" x14ac:dyDescent="0.25">
      <c r="A328" t="s">
        <v>853</v>
      </c>
      <c r="B328" t="s">
        <v>383</v>
      </c>
      <c r="C328" s="1">
        <f>3499+8+42+5</f>
        <v>3554</v>
      </c>
      <c r="D328" s="1">
        <f>40</f>
        <v>40</v>
      </c>
      <c r="E328" s="1">
        <v>0</v>
      </c>
      <c r="F328" s="1">
        <f>21732+6+975+1+1+11+106</f>
        <v>22832</v>
      </c>
      <c r="G328" s="1">
        <f>291+2+1+38</f>
        <v>332</v>
      </c>
      <c r="H328" s="1">
        <v>0</v>
      </c>
      <c r="I328" s="1">
        <v>0</v>
      </c>
      <c r="J328" s="1"/>
      <c r="K328" s="1"/>
    </row>
    <row r="329" spans="1:11" x14ac:dyDescent="0.25">
      <c r="A329" t="s">
        <v>851</v>
      </c>
      <c r="B329" t="s">
        <v>384</v>
      </c>
      <c r="C329" s="1">
        <f>1296</f>
        <v>1296</v>
      </c>
      <c r="D329" s="1">
        <f>5</f>
        <v>5</v>
      </c>
      <c r="E329" s="1">
        <v>0</v>
      </c>
      <c r="F329" s="1">
        <f>139</f>
        <v>139</v>
      </c>
      <c r="G329" s="1">
        <v>0</v>
      </c>
      <c r="H329" s="1">
        <v>0</v>
      </c>
      <c r="I329" s="1">
        <v>0</v>
      </c>
      <c r="J329" s="1"/>
      <c r="K329" s="1"/>
    </row>
    <row r="330" spans="1:11" x14ac:dyDescent="0.25">
      <c r="A330" t="s">
        <v>856</v>
      </c>
      <c r="B330" t="s">
        <v>385</v>
      </c>
      <c r="C330" s="1">
        <f>2594+4</f>
        <v>2598</v>
      </c>
      <c r="D330" s="1">
        <v>0</v>
      </c>
      <c r="E330" s="1">
        <v>0</v>
      </c>
      <c r="F330" s="1">
        <f>5215</f>
        <v>5215</v>
      </c>
      <c r="G330" s="1">
        <f>21</f>
        <v>21</v>
      </c>
      <c r="H330" s="1">
        <v>0</v>
      </c>
      <c r="I330" s="1">
        <v>0</v>
      </c>
      <c r="J330" s="1"/>
      <c r="K330" s="1"/>
    </row>
    <row r="331" spans="1:11" x14ac:dyDescent="0.25">
      <c r="A331" t="s">
        <v>847</v>
      </c>
      <c r="B331" t="s">
        <v>386</v>
      </c>
      <c r="C331" s="1">
        <f>767</f>
        <v>767</v>
      </c>
      <c r="D331" s="1">
        <v>0</v>
      </c>
      <c r="E331" s="1">
        <v>0</v>
      </c>
      <c r="F331" s="1">
        <f>3644+35</f>
        <v>3679</v>
      </c>
      <c r="G331" s="1">
        <v>0</v>
      </c>
      <c r="H331" s="1">
        <v>0</v>
      </c>
      <c r="I331" s="1">
        <v>0</v>
      </c>
      <c r="J331" s="1"/>
      <c r="K331" s="1"/>
    </row>
    <row r="332" spans="1:11" x14ac:dyDescent="0.25">
      <c r="A332" t="s">
        <v>849</v>
      </c>
      <c r="B332" t="s">
        <v>387</v>
      </c>
      <c r="C332" s="1">
        <f>2464+1</f>
        <v>2465</v>
      </c>
      <c r="D332" s="1">
        <f>2</f>
        <v>2</v>
      </c>
      <c r="E332" s="1">
        <v>0</v>
      </c>
      <c r="F332" s="1">
        <f>5422+1+3</f>
        <v>5426</v>
      </c>
      <c r="G332" s="1">
        <f>4+2</f>
        <v>6</v>
      </c>
      <c r="H332" s="1">
        <v>0</v>
      </c>
      <c r="I332" s="1">
        <v>0</v>
      </c>
      <c r="J332" s="1"/>
      <c r="K332" s="1"/>
    </row>
    <row r="333" spans="1:11" x14ac:dyDescent="0.25">
      <c r="A333" s="9" t="s">
        <v>794</v>
      </c>
      <c r="B333" s="10" t="s">
        <v>388</v>
      </c>
      <c r="C333" s="1"/>
      <c r="D333" s="1"/>
      <c r="E333" s="1"/>
      <c r="F333" s="1"/>
      <c r="G333" s="1"/>
      <c r="H333" s="1"/>
      <c r="I333" s="1"/>
      <c r="J333" s="1"/>
      <c r="K333" s="1"/>
    </row>
    <row r="334" spans="1:11" x14ac:dyDescent="0.25">
      <c r="A334" s="9" t="s">
        <v>805</v>
      </c>
      <c r="B334" s="10" t="s">
        <v>389</v>
      </c>
      <c r="C334" s="1"/>
      <c r="D334" s="1"/>
      <c r="E334" s="1"/>
      <c r="F334" s="1"/>
      <c r="G334" s="1"/>
      <c r="H334" s="1"/>
      <c r="I334" s="1"/>
      <c r="J334" s="1"/>
      <c r="K334" s="1"/>
    </row>
    <row r="335" spans="1:11" x14ac:dyDescent="0.25">
      <c r="A335" t="s">
        <v>10</v>
      </c>
      <c r="B335" s="1" t="s">
        <v>390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/>
      <c r="K335" s="1"/>
    </row>
    <row r="336" spans="1:11" x14ac:dyDescent="0.25">
      <c r="A336" t="s">
        <v>226</v>
      </c>
      <c r="B336" t="s">
        <v>391</v>
      </c>
      <c r="C336" s="1">
        <f>25290+262+6745</f>
        <v>32297</v>
      </c>
      <c r="D336" s="1">
        <f>205+5+12+38+12</f>
        <v>272</v>
      </c>
      <c r="E336" s="1">
        <v>0</v>
      </c>
      <c r="F336" s="1">
        <v>0</v>
      </c>
      <c r="G336" s="1">
        <v>0</v>
      </c>
      <c r="H336" s="1">
        <f>5911</f>
        <v>5911</v>
      </c>
      <c r="I336" s="1">
        <f>5250</f>
        <v>5250</v>
      </c>
      <c r="J336" s="1"/>
      <c r="K336" s="1"/>
    </row>
    <row r="337" spans="1:11" x14ac:dyDescent="0.25">
      <c r="A337" t="s">
        <v>798</v>
      </c>
      <c r="B337" t="s">
        <v>392</v>
      </c>
      <c r="C337" s="1">
        <f>16978+49+10+12259</f>
        <v>29296</v>
      </c>
      <c r="D337" s="1">
        <f>29+1+18+63+45</f>
        <v>156</v>
      </c>
      <c r="E337" s="1">
        <v>0</v>
      </c>
      <c r="F337" s="1">
        <v>0</v>
      </c>
      <c r="G337" s="1">
        <v>0</v>
      </c>
      <c r="H337" s="1">
        <f>10466</f>
        <v>10466</v>
      </c>
      <c r="I337" s="1">
        <v>0</v>
      </c>
      <c r="J337" s="1"/>
      <c r="K337" s="1"/>
    </row>
    <row r="338" spans="1:11" x14ac:dyDescent="0.25">
      <c r="A338" t="s">
        <v>10</v>
      </c>
      <c r="B338" s="1" t="s">
        <v>393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/>
      <c r="K338" s="1"/>
    </row>
    <row r="339" spans="1:11" x14ac:dyDescent="0.25">
      <c r="A339" t="s">
        <v>10</v>
      </c>
      <c r="B339" s="1" t="s">
        <v>394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/>
      <c r="K339" s="1"/>
    </row>
    <row r="340" spans="1:11" x14ac:dyDescent="0.25">
      <c r="A340" s="27" t="s">
        <v>10</v>
      </c>
      <c r="B340" s="32" t="s">
        <v>778</v>
      </c>
      <c r="C340" s="1"/>
      <c r="D340" s="1"/>
      <c r="E340" s="1"/>
      <c r="F340" s="1"/>
      <c r="G340" s="1"/>
      <c r="H340" s="1"/>
      <c r="I340" s="32"/>
      <c r="J340" s="1"/>
      <c r="K340" s="1"/>
    </row>
    <row r="341" spans="1:11" x14ac:dyDescent="0.25">
      <c r="A341" t="s">
        <v>69</v>
      </c>
      <c r="B341" t="s">
        <v>395</v>
      </c>
      <c r="C341" s="1">
        <f>25316+26+7275</f>
        <v>32617</v>
      </c>
      <c r="D341" s="1">
        <f>143+9+16</f>
        <v>168</v>
      </c>
      <c r="E341" s="1">
        <v>0</v>
      </c>
      <c r="F341" s="1">
        <v>0</v>
      </c>
      <c r="G341" s="1">
        <v>0</v>
      </c>
      <c r="H341" s="1">
        <f>8240</f>
        <v>8240</v>
      </c>
      <c r="I341" s="1">
        <v>0</v>
      </c>
      <c r="J341" s="1"/>
      <c r="K341" s="1"/>
    </row>
    <row r="342" spans="1:11" x14ac:dyDescent="0.25">
      <c r="A342" t="s">
        <v>796</v>
      </c>
      <c r="B342" s="1" t="s">
        <v>396</v>
      </c>
      <c r="C342" s="1"/>
      <c r="D342" s="1"/>
      <c r="E342" s="1"/>
      <c r="F342" s="1"/>
      <c r="G342" s="1"/>
      <c r="H342" s="1"/>
      <c r="I342" s="1"/>
      <c r="J342" s="1"/>
      <c r="K342" s="1"/>
    </row>
    <row r="343" spans="1:11" x14ac:dyDescent="0.25">
      <c r="A343" t="s">
        <v>512</v>
      </c>
      <c r="B343" t="s">
        <v>397</v>
      </c>
      <c r="C343" s="1">
        <f>20286+404+88+4551</f>
        <v>25329</v>
      </c>
      <c r="D343" s="1">
        <f>15+78+3</f>
        <v>96</v>
      </c>
      <c r="E343" s="1">
        <v>0</v>
      </c>
      <c r="F343" s="1">
        <v>0</v>
      </c>
      <c r="G343" s="1">
        <v>0</v>
      </c>
      <c r="H343" s="1">
        <f>6889</f>
        <v>6889</v>
      </c>
      <c r="I343" s="1">
        <f>4101</f>
        <v>4101</v>
      </c>
      <c r="J343" s="1"/>
      <c r="K343" s="1"/>
    </row>
    <row r="344" spans="1:11" x14ac:dyDescent="0.25">
      <c r="A344" t="s">
        <v>805</v>
      </c>
      <c r="B344" t="s">
        <v>398</v>
      </c>
      <c r="C344" s="1"/>
      <c r="D344" s="1"/>
      <c r="E344" s="1"/>
      <c r="F344" s="1"/>
      <c r="G344" s="1"/>
      <c r="H344" s="1"/>
      <c r="I344" s="1"/>
      <c r="J344" s="1"/>
      <c r="K344" s="1"/>
    </row>
    <row r="345" spans="1:11" x14ac:dyDescent="0.25">
      <c r="A345" t="s">
        <v>10</v>
      </c>
      <c r="B345" s="1" t="s">
        <v>399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/>
      <c r="K345" s="1"/>
    </row>
    <row r="346" spans="1:11" x14ac:dyDescent="0.25">
      <c r="A346" t="s">
        <v>805</v>
      </c>
      <c r="B346" t="s">
        <v>400</v>
      </c>
      <c r="C346" s="1"/>
      <c r="D346" s="1"/>
      <c r="E346" s="1"/>
      <c r="F346" s="1"/>
      <c r="G346" s="1"/>
      <c r="H346" s="1"/>
      <c r="I346" s="1"/>
      <c r="J346" s="1"/>
      <c r="K346" s="1"/>
    </row>
    <row r="347" spans="1:11" x14ac:dyDescent="0.25">
      <c r="A347" t="s">
        <v>10</v>
      </c>
      <c r="B347" s="1" t="s">
        <v>401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/>
      <c r="K347" s="1"/>
    </row>
    <row r="348" spans="1:11" x14ac:dyDescent="0.25">
      <c r="A348" s="23" t="s">
        <v>805</v>
      </c>
      <c r="B348" s="23" t="s">
        <v>402</v>
      </c>
      <c r="C348" s="1"/>
      <c r="D348" s="1"/>
      <c r="E348" s="1"/>
      <c r="F348" s="1"/>
      <c r="G348" s="1"/>
      <c r="H348" s="1"/>
      <c r="I348" s="1"/>
      <c r="J348" s="1"/>
      <c r="K348" s="1"/>
    </row>
    <row r="349" spans="1:11" x14ac:dyDescent="0.25">
      <c r="A349" t="s">
        <v>10</v>
      </c>
      <c r="B349" s="1" t="s">
        <v>403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/>
      <c r="K349" s="1"/>
    </row>
    <row r="350" spans="1:11" x14ac:dyDescent="0.25">
      <c r="A350" t="s">
        <v>797</v>
      </c>
      <c r="B350" t="s">
        <v>404</v>
      </c>
      <c r="C350" s="1">
        <f>7843+2+1+1+4372</f>
        <v>12219</v>
      </c>
      <c r="D350" s="1">
        <f>248+4+27+2</f>
        <v>281</v>
      </c>
      <c r="E350" s="1">
        <v>0</v>
      </c>
      <c r="F350" s="1">
        <v>0</v>
      </c>
      <c r="G350" s="1">
        <v>0</v>
      </c>
      <c r="H350" s="1">
        <f>8961</f>
        <v>8961</v>
      </c>
      <c r="I350" s="1">
        <f>3493</f>
        <v>3493</v>
      </c>
      <c r="J350" s="1"/>
      <c r="K350" s="1"/>
    </row>
    <row r="351" spans="1:11" x14ac:dyDescent="0.25">
      <c r="A351" t="s">
        <v>83</v>
      </c>
      <c r="B351" t="s">
        <v>405</v>
      </c>
      <c r="C351" s="1">
        <f>5343+86+3563</f>
        <v>8992</v>
      </c>
      <c r="D351" s="1">
        <f>18</f>
        <v>18</v>
      </c>
      <c r="E351" s="1">
        <v>0</v>
      </c>
      <c r="F351" s="1">
        <v>0</v>
      </c>
      <c r="G351" s="1">
        <v>0</v>
      </c>
      <c r="H351" s="1">
        <f>5629</f>
        <v>5629</v>
      </c>
      <c r="I351" s="1">
        <v>0</v>
      </c>
      <c r="J351" s="1"/>
      <c r="K351" s="1"/>
    </row>
    <row r="352" spans="1:11" x14ac:dyDescent="0.25">
      <c r="A352" t="s">
        <v>248</v>
      </c>
      <c r="B352" t="s">
        <v>406</v>
      </c>
      <c r="C352" s="1">
        <f>32691+10+87+124+8+7+1+85+10046</f>
        <v>43059</v>
      </c>
      <c r="D352" s="1">
        <f>864</f>
        <v>864</v>
      </c>
      <c r="E352" s="1">
        <v>0</v>
      </c>
      <c r="F352" s="1">
        <v>0</v>
      </c>
      <c r="G352" s="1">
        <v>0</v>
      </c>
      <c r="H352" s="1">
        <f>87278</f>
        <v>87278</v>
      </c>
      <c r="I352" s="1">
        <f>6649</f>
        <v>6649</v>
      </c>
      <c r="J352" s="1"/>
      <c r="K352" s="1"/>
    </row>
    <row r="353" spans="1:11" x14ac:dyDescent="0.25">
      <c r="A353" s="27" t="s">
        <v>10</v>
      </c>
      <c r="B353" s="32" t="s">
        <v>779</v>
      </c>
      <c r="C353" s="1"/>
      <c r="D353" s="1"/>
      <c r="E353" s="1"/>
      <c r="F353" s="1"/>
      <c r="G353" s="1"/>
      <c r="H353" s="1"/>
      <c r="I353" s="32"/>
      <c r="J353" s="1"/>
      <c r="K353" s="1"/>
    </row>
    <row r="354" spans="1:11" x14ac:dyDescent="0.25">
      <c r="A354" t="s">
        <v>848</v>
      </c>
      <c r="B354" t="s">
        <v>407</v>
      </c>
      <c r="C354" s="1">
        <f>13736+4+15+2038+6</f>
        <v>15799</v>
      </c>
      <c r="D354" s="1">
        <f>88+23</f>
        <v>111</v>
      </c>
      <c r="E354" s="1">
        <v>0</v>
      </c>
      <c r="F354" s="1">
        <v>0</v>
      </c>
      <c r="G354" s="1">
        <v>0</v>
      </c>
      <c r="H354" s="1">
        <f>2451</f>
        <v>2451</v>
      </c>
      <c r="I354" s="1">
        <f>2022</f>
        <v>2022</v>
      </c>
      <c r="J354" s="1"/>
      <c r="K354" s="1"/>
    </row>
    <row r="355" spans="1:11" x14ac:dyDescent="0.25">
      <c r="A355" t="s">
        <v>801</v>
      </c>
      <c r="B355" t="s">
        <v>408</v>
      </c>
      <c r="C355" s="1">
        <f>36422+5+2+2+1+1+3860+20+52+15062+25+1+400+40</f>
        <v>55893</v>
      </c>
      <c r="D355" s="1">
        <f>361</f>
        <v>361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/>
      <c r="K355" s="1"/>
    </row>
    <row r="356" spans="1:11" x14ac:dyDescent="0.25">
      <c r="A356" t="s">
        <v>811</v>
      </c>
      <c r="B356" t="s">
        <v>409</v>
      </c>
      <c r="C356" s="1">
        <f>50194+5+381+19+39793+2</f>
        <v>90394</v>
      </c>
      <c r="D356" s="1">
        <f>83+83+6+52+347</f>
        <v>571</v>
      </c>
      <c r="E356" s="1">
        <v>0</v>
      </c>
      <c r="F356" s="1">
        <v>0</v>
      </c>
      <c r="G356" s="1">
        <v>0</v>
      </c>
      <c r="H356" s="1">
        <f>70346</f>
        <v>70346</v>
      </c>
      <c r="I356" s="1">
        <f>34453</f>
        <v>34453</v>
      </c>
      <c r="J356" s="1"/>
      <c r="K356" s="1"/>
    </row>
    <row r="357" spans="1:11" x14ac:dyDescent="0.25">
      <c r="A357" t="s">
        <v>83</v>
      </c>
      <c r="B357" t="s">
        <v>410</v>
      </c>
      <c r="C357" s="1">
        <f>3182+1098</f>
        <v>4280</v>
      </c>
      <c r="D357" s="1">
        <f>5+6+16</f>
        <v>27</v>
      </c>
      <c r="E357" s="1">
        <v>0</v>
      </c>
      <c r="F357" s="1">
        <v>0</v>
      </c>
      <c r="G357" s="1">
        <v>0</v>
      </c>
      <c r="H357" s="1">
        <f>13805</f>
        <v>13805</v>
      </c>
      <c r="I357" s="1">
        <v>0</v>
      </c>
      <c r="J357" s="1"/>
      <c r="K357" s="1"/>
    </row>
    <row r="358" spans="1:11" x14ac:dyDescent="0.25">
      <c r="A358" t="s">
        <v>120</v>
      </c>
      <c r="B358" t="s">
        <v>411</v>
      </c>
      <c r="C358" s="1">
        <f>27961+11+19413</f>
        <v>47385</v>
      </c>
      <c r="D358" s="1">
        <f>3+17+2</f>
        <v>22</v>
      </c>
      <c r="E358" s="1">
        <v>0</v>
      </c>
      <c r="F358" s="1">
        <v>0</v>
      </c>
      <c r="G358" s="1">
        <v>0</v>
      </c>
      <c r="H358" s="1">
        <f>19054</f>
        <v>19054</v>
      </c>
      <c r="I358" s="1">
        <f>15981</f>
        <v>15981</v>
      </c>
      <c r="J358" s="1"/>
      <c r="K358" s="1"/>
    </row>
    <row r="359" spans="1:11" x14ac:dyDescent="0.25">
      <c r="A359" t="s">
        <v>134</v>
      </c>
      <c r="B359" t="s">
        <v>412</v>
      </c>
      <c r="C359" s="1">
        <f>7355+2965+1</f>
        <v>10321</v>
      </c>
      <c r="D359" s="1">
        <f>12+8</f>
        <v>20</v>
      </c>
      <c r="E359" s="1">
        <v>0</v>
      </c>
      <c r="F359" s="1">
        <v>0</v>
      </c>
      <c r="G359" s="1">
        <v>0</v>
      </c>
      <c r="H359" s="1">
        <f>7929</f>
        <v>7929</v>
      </c>
      <c r="I359" s="1">
        <f>2065</f>
        <v>2065</v>
      </c>
      <c r="J359" s="1"/>
      <c r="K359" s="1"/>
    </row>
    <row r="360" spans="1:11" x14ac:dyDescent="0.25">
      <c r="A360" t="s">
        <v>120</v>
      </c>
      <c r="B360" t="s">
        <v>413</v>
      </c>
      <c r="C360" s="1">
        <f>21392+39+2+4+6332</f>
        <v>27769</v>
      </c>
      <c r="D360" s="1">
        <f>11+5+1+21</f>
        <v>38</v>
      </c>
      <c r="E360" s="1">
        <v>0</v>
      </c>
      <c r="F360" s="1">
        <v>0</v>
      </c>
      <c r="G360" s="1">
        <v>0</v>
      </c>
      <c r="H360" s="1">
        <f>10785</f>
        <v>10785</v>
      </c>
      <c r="I360" s="1">
        <f>3843</f>
        <v>3843</v>
      </c>
      <c r="J360" s="1"/>
      <c r="K360" s="1"/>
    </row>
    <row r="361" spans="1:11" x14ac:dyDescent="0.25">
      <c r="A361" t="s">
        <v>138</v>
      </c>
      <c r="B361" t="s">
        <v>414</v>
      </c>
      <c r="C361" s="1">
        <f>27420+1+5+23+43+11461+117</f>
        <v>39070</v>
      </c>
      <c r="D361" s="1">
        <f>57+2+88</f>
        <v>147</v>
      </c>
      <c r="E361" s="1">
        <v>0</v>
      </c>
      <c r="F361" s="1">
        <v>0</v>
      </c>
      <c r="G361" s="1">
        <v>0</v>
      </c>
      <c r="H361" s="1">
        <f>42608</f>
        <v>42608</v>
      </c>
      <c r="I361" s="1">
        <v>0</v>
      </c>
      <c r="J361" s="1"/>
      <c r="K361" s="1"/>
    </row>
    <row r="362" spans="1:11" x14ac:dyDescent="0.25">
      <c r="A362" t="s">
        <v>796</v>
      </c>
      <c r="B362" t="s">
        <v>415</v>
      </c>
      <c r="C362" s="1">
        <v>13922</v>
      </c>
      <c r="D362" s="1">
        <v>287</v>
      </c>
      <c r="E362" s="1">
        <v>0</v>
      </c>
      <c r="F362" s="1">
        <v>0</v>
      </c>
      <c r="G362" s="1">
        <v>0</v>
      </c>
      <c r="H362" s="1">
        <v>8330</v>
      </c>
      <c r="I362" s="1">
        <v>0</v>
      </c>
      <c r="J362" s="1"/>
      <c r="K362" s="1"/>
    </row>
    <row r="363" spans="1:11" x14ac:dyDescent="0.25">
      <c r="A363" t="s">
        <v>226</v>
      </c>
      <c r="B363" t="s">
        <v>416</v>
      </c>
      <c r="C363" s="1">
        <f>8758+4+10+5+15+2159+1</f>
        <v>10952</v>
      </c>
      <c r="D363" s="1">
        <f>3+1</f>
        <v>4</v>
      </c>
      <c r="E363" s="1">
        <v>0</v>
      </c>
      <c r="F363" s="1">
        <v>0</v>
      </c>
      <c r="G363" s="1">
        <v>0</v>
      </c>
      <c r="H363" s="1">
        <f>45899</f>
        <v>45899</v>
      </c>
      <c r="I363" s="1">
        <f>1926</f>
        <v>1926</v>
      </c>
      <c r="J363" s="1"/>
      <c r="K363" s="1"/>
    </row>
    <row r="364" spans="1:11" x14ac:dyDescent="0.25">
      <c r="A364" t="s">
        <v>138</v>
      </c>
      <c r="B364" t="s">
        <v>417</v>
      </c>
      <c r="C364" s="1">
        <f>33583+323+1+8+30626</f>
        <v>64541</v>
      </c>
      <c r="D364" s="1">
        <f>370+73+85+7</f>
        <v>535</v>
      </c>
      <c r="E364" s="1">
        <v>0</v>
      </c>
      <c r="F364" s="1">
        <v>0</v>
      </c>
      <c r="G364" s="1">
        <v>0</v>
      </c>
      <c r="H364" s="1">
        <f>57363</f>
        <v>57363</v>
      </c>
      <c r="I364" s="1">
        <v>0</v>
      </c>
      <c r="J364" s="1"/>
      <c r="K364" s="1"/>
    </row>
    <row r="365" spans="1:11" x14ac:dyDescent="0.25">
      <c r="A365" t="s">
        <v>138</v>
      </c>
      <c r="B365" t="s">
        <v>418</v>
      </c>
      <c r="C365" s="1">
        <f>32299+1+22+630+6+9779+392</f>
        <v>43129</v>
      </c>
      <c r="D365" s="1">
        <f>449</f>
        <v>449</v>
      </c>
      <c r="E365" s="1">
        <v>0</v>
      </c>
      <c r="F365" s="1">
        <v>0</v>
      </c>
      <c r="G365" s="1">
        <v>0</v>
      </c>
      <c r="H365" s="1">
        <f>54094</f>
        <v>54094</v>
      </c>
      <c r="I365" s="1">
        <v>0</v>
      </c>
      <c r="J365" s="1"/>
      <c r="K365" s="1"/>
    </row>
    <row r="366" spans="1:11" x14ac:dyDescent="0.25">
      <c r="A366" t="s">
        <v>796</v>
      </c>
      <c r="B366" t="s">
        <v>419</v>
      </c>
      <c r="C366" s="1">
        <v>57575</v>
      </c>
      <c r="D366" s="1">
        <v>764</v>
      </c>
      <c r="E366" s="1">
        <v>0</v>
      </c>
      <c r="F366" s="1">
        <v>0</v>
      </c>
      <c r="G366" s="1">
        <v>0</v>
      </c>
      <c r="H366" s="1">
        <v>153990</v>
      </c>
      <c r="I366" s="1">
        <v>0</v>
      </c>
      <c r="J366" s="1"/>
      <c r="K366" s="1"/>
    </row>
    <row r="367" spans="1:11" x14ac:dyDescent="0.25">
      <c r="A367" t="s">
        <v>831</v>
      </c>
      <c r="B367" t="s">
        <v>420</v>
      </c>
      <c r="C367" s="1">
        <f>11249+2+39+12+2+5+15745+65+1+10+4897+1+1</f>
        <v>32029</v>
      </c>
      <c r="D367" s="1">
        <f>1+19+38+55</f>
        <v>113</v>
      </c>
      <c r="E367" s="1">
        <v>0</v>
      </c>
      <c r="F367" s="1">
        <v>0</v>
      </c>
      <c r="G367" s="1">
        <v>0</v>
      </c>
      <c r="H367" s="1">
        <f>32768</f>
        <v>32768</v>
      </c>
      <c r="I367" s="1">
        <f>17169</f>
        <v>17169</v>
      </c>
      <c r="J367" s="1"/>
      <c r="K367" s="1"/>
    </row>
    <row r="368" spans="1:11" x14ac:dyDescent="0.25">
      <c r="A368" t="s">
        <v>69</v>
      </c>
      <c r="B368" t="s">
        <v>421</v>
      </c>
      <c r="C368" s="1">
        <f>13776+12564+8</f>
        <v>26348</v>
      </c>
      <c r="D368" s="1">
        <f>2+159+120+13</f>
        <v>294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/>
      <c r="K368" s="1"/>
    </row>
    <row r="369" spans="1:11" x14ac:dyDescent="0.25">
      <c r="A369" t="s">
        <v>146</v>
      </c>
      <c r="B369" t="s">
        <v>422</v>
      </c>
      <c r="C369" s="1">
        <f>4273+43+391+22943</f>
        <v>27650</v>
      </c>
      <c r="D369" s="1">
        <f>14+80+21+239</f>
        <v>354</v>
      </c>
      <c r="E369" s="1">
        <v>0</v>
      </c>
      <c r="F369" s="1">
        <v>0</v>
      </c>
      <c r="G369" s="1">
        <v>0</v>
      </c>
      <c r="H369" s="1">
        <f>31839</f>
        <v>31839</v>
      </c>
      <c r="I369" s="1">
        <f>17436</f>
        <v>17436</v>
      </c>
      <c r="J369" s="1"/>
      <c r="K369" s="1"/>
    </row>
    <row r="370" spans="1:11" x14ac:dyDescent="0.25">
      <c r="A370" t="s">
        <v>146</v>
      </c>
      <c r="B370" t="s">
        <v>423</v>
      </c>
      <c r="C370" s="1">
        <f>9520+171+9488</f>
        <v>19179</v>
      </c>
      <c r="D370" s="1">
        <f>19+4</f>
        <v>23</v>
      </c>
      <c r="E370" s="1">
        <v>0</v>
      </c>
      <c r="F370" s="1">
        <v>0</v>
      </c>
      <c r="G370" s="1">
        <v>0</v>
      </c>
      <c r="H370" s="1">
        <f>7149</f>
        <v>7149</v>
      </c>
      <c r="I370" s="1">
        <f>7008</f>
        <v>7008</v>
      </c>
      <c r="J370" s="1"/>
      <c r="K370" s="1"/>
    </row>
    <row r="371" spans="1:11" x14ac:dyDescent="0.25">
      <c r="A371" t="s">
        <v>76</v>
      </c>
      <c r="B371" t="s">
        <v>424</v>
      </c>
      <c r="C371" s="1">
        <f>48036+1+1+213+4+3+20316+27+1+4</f>
        <v>68606</v>
      </c>
      <c r="D371" s="1">
        <f>9+32</f>
        <v>41</v>
      </c>
      <c r="E371" s="1">
        <v>0</v>
      </c>
      <c r="F371" s="1">
        <v>0</v>
      </c>
      <c r="G371" s="1">
        <v>0</v>
      </c>
      <c r="H371" s="1">
        <f>102990</f>
        <v>102990</v>
      </c>
      <c r="I371" s="1">
        <v>0</v>
      </c>
      <c r="J371" s="1"/>
      <c r="K371" s="1"/>
    </row>
    <row r="372" spans="1:11" x14ac:dyDescent="0.25">
      <c r="A372" t="s">
        <v>795</v>
      </c>
      <c r="B372" t="s">
        <v>425</v>
      </c>
      <c r="C372" s="1">
        <f>95474+1+1+3+35529+370+2</f>
        <v>131380</v>
      </c>
      <c r="D372" s="1">
        <f>9+26+15+7</f>
        <v>57</v>
      </c>
      <c r="E372" s="1">
        <v>0</v>
      </c>
      <c r="F372" s="1">
        <v>0</v>
      </c>
      <c r="G372" s="1">
        <v>0</v>
      </c>
      <c r="H372" s="1">
        <f>79220</f>
        <v>79220</v>
      </c>
      <c r="I372" s="1">
        <f>33167</f>
        <v>33167</v>
      </c>
      <c r="J372" s="1"/>
      <c r="K372" s="1"/>
    </row>
    <row r="373" spans="1:11" x14ac:dyDescent="0.25">
      <c r="A373" t="s">
        <v>824</v>
      </c>
      <c r="B373" t="s">
        <v>426</v>
      </c>
      <c r="C373" s="1">
        <f>21204+1+47+78+4+16313</f>
        <v>37647</v>
      </c>
      <c r="D373" s="1">
        <f>73+45+20</f>
        <v>138</v>
      </c>
      <c r="E373" s="1">
        <v>0</v>
      </c>
      <c r="F373" s="1">
        <v>0</v>
      </c>
      <c r="G373" s="1">
        <v>0</v>
      </c>
      <c r="H373" s="1">
        <f>30175</f>
        <v>30175</v>
      </c>
      <c r="I373" s="1">
        <f>14524</f>
        <v>14524</v>
      </c>
      <c r="J373" s="1"/>
      <c r="K373" s="1"/>
    </row>
    <row r="374" spans="1:11" x14ac:dyDescent="0.25">
      <c r="A374" t="s">
        <v>788</v>
      </c>
      <c r="B374" t="s">
        <v>427</v>
      </c>
      <c r="C374" s="1">
        <f>54980+24+20+32620</f>
        <v>87644</v>
      </c>
      <c r="D374" s="1">
        <f>39+3+164+7</f>
        <v>213</v>
      </c>
      <c r="E374" s="1">
        <v>0</v>
      </c>
      <c r="F374" s="1">
        <v>0</v>
      </c>
      <c r="G374" s="1">
        <v>0</v>
      </c>
      <c r="H374" s="1">
        <f>91401</f>
        <v>91401</v>
      </c>
      <c r="I374" s="1">
        <f>31902</f>
        <v>31902</v>
      </c>
      <c r="J374" s="1"/>
      <c r="K374" s="1"/>
    </row>
    <row r="375" spans="1:11" x14ac:dyDescent="0.25">
      <c r="A375" t="s">
        <v>226</v>
      </c>
      <c r="B375" t="s">
        <v>428</v>
      </c>
      <c r="C375" s="1">
        <f>12532+20+7+38+5141+7</f>
        <v>17745</v>
      </c>
      <c r="D375" s="1">
        <f>5</f>
        <v>5</v>
      </c>
      <c r="E375" s="1">
        <v>0</v>
      </c>
      <c r="F375" s="1">
        <v>0</v>
      </c>
      <c r="G375" s="1">
        <v>0</v>
      </c>
      <c r="H375" s="1">
        <f>16139</f>
        <v>16139</v>
      </c>
      <c r="I375" s="1">
        <f>3480</f>
        <v>3480</v>
      </c>
      <c r="J375" s="1"/>
      <c r="K375" s="1"/>
    </row>
    <row r="376" spans="1:11" x14ac:dyDescent="0.25">
      <c r="A376" t="s">
        <v>791</v>
      </c>
      <c r="B376" t="s">
        <v>429</v>
      </c>
      <c r="C376" s="1">
        <f>3833+2+2+35+81+1989</f>
        <v>5942</v>
      </c>
      <c r="D376" s="1">
        <f>24+2+18+1</f>
        <v>45</v>
      </c>
      <c r="E376" s="1">
        <v>0</v>
      </c>
      <c r="F376" s="1">
        <v>0</v>
      </c>
      <c r="G376" s="1">
        <v>0</v>
      </c>
      <c r="H376" s="1">
        <v>188</v>
      </c>
      <c r="I376" s="1">
        <f>1460</f>
        <v>1460</v>
      </c>
      <c r="J376" s="1"/>
      <c r="K376" s="1"/>
    </row>
    <row r="377" spans="1:11" x14ac:dyDescent="0.25">
      <c r="A377" t="s">
        <v>788</v>
      </c>
      <c r="B377" t="s">
        <v>430</v>
      </c>
      <c r="C377" s="1">
        <f>13833+1+15148</f>
        <v>28982</v>
      </c>
      <c r="D377" s="1">
        <v>0</v>
      </c>
      <c r="E377" s="1">
        <v>0</v>
      </c>
      <c r="F377" s="1">
        <v>0</v>
      </c>
      <c r="G377" s="1">
        <v>0</v>
      </c>
      <c r="H377" s="1">
        <f>13767</f>
        <v>13767</v>
      </c>
      <c r="I377" s="1">
        <f>7247</f>
        <v>7247</v>
      </c>
      <c r="J377" s="1"/>
      <c r="K377" s="1"/>
    </row>
    <row r="378" spans="1:11" x14ac:dyDescent="0.25">
      <c r="A378" t="s">
        <v>10</v>
      </c>
      <c r="B378" s="1" t="s">
        <v>431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/>
      <c r="K378" s="1"/>
    </row>
    <row r="379" spans="1:11" x14ac:dyDescent="0.25">
      <c r="A379" t="s">
        <v>69</v>
      </c>
      <c r="B379" t="s">
        <v>432</v>
      </c>
      <c r="C379" s="1">
        <f>24878+7+4+14594</f>
        <v>39483</v>
      </c>
      <c r="D379" s="1">
        <f>6+15+38+3</f>
        <v>62</v>
      </c>
      <c r="E379" s="1">
        <v>0</v>
      </c>
      <c r="F379" s="1">
        <v>0</v>
      </c>
      <c r="G379" s="1">
        <v>0</v>
      </c>
      <c r="H379" s="1">
        <f>57923</f>
        <v>57923</v>
      </c>
      <c r="I379" s="1">
        <v>0</v>
      </c>
      <c r="J379" s="1"/>
      <c r="K379" s="1"/>
    </row>
    <row r="380" spans="1:11" x14ac:dyDescent="0.25">
      <c r="A380" t="s">
        <v>226</v>
      </c>
      <c r="B380" t="s">
        <v>433</v>
      </c>
      <c r="C380" s="1">
        <f>30524+97+17+1+4+14647+8</f>
        <v>45298</v>
      </c>
      <c r="D380" s="1">
        <f>113</f>
        <v>113</v>
      </c>
      <c r="E380" s="1">
        <v>0</v>
      </c>
      <c r="F380" s="1">
        <v>0</v>
      </c>
      <c r="G380" s="1">
        <v>0</v>
      </c>
      <c r="H380" s="1">
        <f>38243</f>
        <v>38243</v>
      </c>
      <c r="I380" s="1">
        <f>10401</f>
        <v>10401</v>
      </c>
      <c r="J380" s="1"/>
      <c r="K380" s="1"/>
    </row>
    <row r="381" spans="1:11" x14ac:dyDescent="0.25">
      <c r="A381" t="s">
        <v>864</v>
      </c>
      <c r="B381" t="s">
        <v>434</v>
      </c>
      <c r="C381" s="1">
        <f>7948+10093</f>
        <v>18041</v>
      </c>
      <c r="D381" s="1">
        <f>106+2+3+77+6</f>
        <v>194</v>
      </c>
      <c r="E381" s="1">
        <v>0</v>
      </c>
      <c r="F381" s="1">
        <v>0</v>
      </c>
      <c r="G381" s="1">
        <v>0</v>
      </c>
      <c r="H381" s="1">
        <f>12160</f>
        <v>12160</v>
      </c>
      <c r="I381" s="1">
        <f>8794</f>
        <v>8794</v>
      </c>
      <c r="J381" s="1"/>
      <c r="K381" s="1"/>
    </row>
    <row r="382" spans="1:11" x14ac:dyDescent="0.25">
      <c r="A382" t="s">
        <v>809</v>
      </c>
      <c r="B382" t="s">
        <v>435</v>
      </c>
      <c r="C382" s="1">
        <f>51780+2+41+1586+3+4+3+1+30+14286</f>
        <v>67736</v>
      </c>
      <c r="D382" s="1">
        <f>62+1+130+2</f>
        <v>195</v>
      </c>
      <c r="E382" s="1">
        <v>0</v>
      </c>
      <c r="F382" s="1">
        <v>0</v>
      </c>
      <c r="G382" s="1">
        <v>0</v>
      </c>
      <c r="H382" s="1">
        <f>100384</f>
        <v>100384</v>
      </c>
      <c r="I382" s="1">
        <v>0</v>
      </c>
      <c r="J382" s="1"/>
      <c r="K382" s="1"/>
    </row>
    <row r="383" spans="1:11" x14ac:dyDescent="0.25">
      <c r="A383" t="s">
        <v>138</v>
      </c>
      <c r="B383" t="s">
        <v>436</v>
      </c>
      <c r="C383" s="1">
        <f>57331+212+1+78+3+32677+653</f>
        <v>90955</v>
      </c>
      <c r="D383" s="1">
        <f>58+4+91+200+556</f>
        <v>909</v>
      </c>
      <c r="E383" s="1">
        <v>0</v>
      </c>
      <c r="F383" s="1">
        <v>0</v>
      </c>
      <c r="G383" s="1">
        <v>0</v>
      </c>
      <c r="H383" s="1">
        <f>56457</f>
        <v>56457</v>
      </c>
      <c r="I383" s="1">
        <v>0</v>
      </c>
      <c r="J383" s="1"/>
      <c r="K383" s="1"/>
    </row>
    <row r="384" spans="1:11" x14ac:dyDescent="0.25">
      <c r="A384" t="s">
        <v>229</v>
      </c>
      <c r="B384" t="s">
        <v>437</v>
      </c>
      <c r="C384" s="1">
        <f>23900+4+1+282+1+4+41+10922</f>
        <v>35155</v>
      </c>
      <c r="D384" s="1">
        <f>116</f>
        <v>116</v>
      </c>
      <c r="E384" s="1">
        <v>0</v>
      </c>
      <c r="F384" s="1">
        <v>0</v>
      </c>
      <c r="G384" s="1">
        <v>0</v>
      </c>
      <c r="H384" s="1">
        <f>80064</f>
        <v>80064</v>
      </c>
      <c r="I384" s="1">
        <f>9786</f>
        <v>9786</v>
      </c>
      <c r="J384" s="1"/>
      <c r="K384" s="1"/>
    </row>
    <row r="385" spans="1:11" x14ac:dyDescent="0.25">
      <c r="A385" t="s">
        <v>801</v>
      </c>
      <c r="B385" t="s">
        <v>438</v>
      </c>
      <c r="C385" s="1">
        <f>43946+14+19+15+24993+259+34+58</f>
        <v>69338</v>
      </c>
      <c r="D385" s="1">
        <f>8+1+34+8</f>
        <v>51</v>
      </c>
      <c r="E385" s="1">
        <v>0</v>
      </c>
      <c r="F385" s="1">
        <v>0</v>
      </c>
      <c r="G385" s="1">
        <v>0</v>
      </c>
      <c r="H385" s="1">
        <f>200521</f>
        <v>200521</v>
      </c>
      <c r="I385" s="1">
        <v>0</v>
      </c>
      <c r="J385" s="1"/>
      <c r="K385" s="1"/>
    </row>
    <row r="386" spans="1:11" x14ac:dyDescent="0.25">
      <c r="A386" s="27" t="s">
        <v>10</v>
      </c>
      <c r="B386" s="32" t="s">
        <v>780</v>
      </c>
      <c r="C386" s="1"/>
      <c r="D386" s="1"/>
      <c r="E386" s="1"/>
      <c r="F386" s="1"/>
      <c r="G386" s="1"/>
      <c r="H386" s="1"/>
      <c r="I386" s="32"/>
      <c r="J386" s="1"/>
      <c r="K386" s="1"/>
    </row>
    <row r="387" spans="1:11" x14ac:dyDescent="0.25">
      <c r="A387" t="s">
        <v>69</v>
      </c>
      <c r="B387" t="s">
        <v>439</v>
      </c>
      <c r="C387" s="1">
        <f>31497+1+292+7836+73</f>
        <v>39699</v>
      </c>
      <c r="D387" s="1">
        <f>364+94+2+27+614</f>
        <v>1101</v>
      </c>
      <c r="E387" s="1">
        <v>0</v>
      </c>
      <c r="F387" s="1">
        <v>0</v>
      </c>
      <c r="G387" s="1">
        <v>0</v>
      </c>
      <c r="H387" s="1">
        <f>11794</f>
        <v>11794</v>
      </c>
      <c r="I387" s="1">
        <v>0</v>
      </c>
      <c r="J387" s="1"/>
      <c r="K387" s="1"/>
    </row>
    <row r="388" spans="1:11" x14ac:dyDescent="0.25">
      <c r="A388" t="s">
        <v>83</v>
      </c>
      <c r="B388" t="s">
        <v>440</v>
      </c>
      <c r="C388" s="1">
        <f>5856+11+1504+1</f>
        <v>7372</v>
      </c>
      <c r="D388" s="1">
        <f>2+22</f>
        <v>24</v>
      </c>
      <c r="E388" s="1">
        <v>0</v>
      </c>
      <c r="F388" s="1">
        <v>0</v>
      </c>
      <c r="G388" s="1">
        <v>0</v>
      </c>
      <c r="H388" s="1">
        <f>15232</f>
        <v>15232</v>
      </c>
      <c r="I388" s="1">
        <v>0</v>
      </c>
      <c r="J388" s="1"/>
      <c r="K388" s="1"/>
    </row>
    <row r="389" spans="1:11" x14ac:dyDescent="0.25">
      <c r="A389" t="s">
        <v>809</v>
      </c>
      <c r="B389" t="s">
        <v>441</v>
      </c>
      <c r="C389" s="1">
        <f>21684+21+7+4313</f>
        <v>26025</v>
      </c>
      <c r="D389" s="1">
        <f>142+13+454+54</f>
        <v>663</v>
      </c>
      <c r="E389" s="1">
        <v>0</v>
      </c>
      <c r="F389" s="1">
        <v>0</v>
      </c>
      <c r="G389" s="1">
        <v>0</v>
      </c>
      <c r="H389" s="1">
        <f>15904</f>
        <v>15904</v>
      </c>
      <c r="I389" s="1">
        <v>0</v>
      </c>
      <c r="J389" s="1"/>
      <c r="K389" s="1"/>
    </row>
    <row r="390" spans="1:11" x14ac:dyDescent="0.25">
      <c r="A390" t="s">
        <v>794</v>
      </c>
      <c r="B390" t="s">
        <v>442</v>
      </c>
      <c r="C390" s="1">
        <f>36501+355+2+1+3+24480+2+1</f>
        <v>61345</v>
      </c>
      <c r="D390" s="1">
        <f>81+13+57+68+7</f>
        <v>226</v>
      </c>
      <c r="E390" s="1">
        <v>0</v>
      </c>
      <c r="F390" s="1">
        <v>0</v>
      </c>
      <c r="G390" s="1">
        <v>0</v>
      </c>
      <c r="H390" s="1">
        <f>49856</f>
        <v>49856</v>
      </c>
      <c r="I390" s="1">
        <v>0</v>
      </c>
      <c r="J390" s="1"/>
      <c r="K390" s="1"/>
    </row>
    <row r="391" spans="1:11" x14ac:dyDescent="0.25">
      <c r="A391" t="s">
        <v>796</v>
      </c>
      <c r="B391" t="s">
        <v>443</v>
      </c>
      <c r="C391" s="1">
        <v>94565</v>
      </c>
      <c r="D391" s="1">
        <v>180</v>
      </c>
      <c r="E391" s="1">
        <v>0</v>
      </c>
      <c r="F391" s="1">
        <v>0</v>
      </c>
      <c r="G391" s="1">
        <v>0</v>
      </c>
      <c r="H391" s="1">
        <v>87196</v>
      </c>
      <c r="I391" s="1">
        <v>0</v>
      </c>
      <c r="J391" s="1"/>
      <c r="K391" s="1"/>
    </row>
    <row r="392" spans="1:11" x14ac:dyDescent="0.25">
      <c r="A392" t="s">
        <v>794</v>
      </c>
      <c r="B392" t="s">
        <v>444</v>
      </c>
      <c r="C392" s="1">
        <f>61908+4+1+2+3585+9+31561</f>
        <v>97070</v>
      </c>
      <c r="D392" s="1">
        <f>100+15+477+52</f>
        <v>644</v>
      </c>
      <c r="E392" s="1">
        <v>0</v>
      </c>
      <c r="F392" s="1">
        <v>0</v>
      </c>
      <c r="G392" s="1">
        <v>0</v>
      </c>
      <c r="H392" s="1">
        <f>40845</f>
        <v>40845</v>
      </c>
      <c r="I392" s="1">
        <v>0</v>
      </c>
      <c r="J392" s="1"/>
      <c r="K392" s="1"/>
    </row>
    <row r="393" spans="1:11" x14ac:dyDescent="0.25">
      <c r="A393" t="s">
        <v>811</v>
      </c>
      <c r="B393" t="s">
        <v>445</v>
      </c>
      <c r="C393" s="1">
        <f>83137+12+22+36+44995+25</f>
        <v>128227</v>
      </c>
      <c r="D393" s="1">
        <f>3574+213+22494+6141+7590+1454</f>
        <v>41466</v>
      </c>
      <c r="E393" s="1">
        <v>0</v>
      </c>
      <c r="F393" s="1">
        <v>0</v>
      </c>
      <c r="G393" s="1">
        <v>0</v>
      </c>
      <c r="H393" s="1">
        <f>62613</f>
        <v>62613</v>
      </c>
      <c r="I393" s="1">
        <f>51995</f>
        <v>51995</v>
      </c>
      <c r="J393" s="1"/>
      <c r="K393" s="1"/>
    </row>
    <row r="394" spans="1:11" x14ac:dyDescent="0.25">
      <c r="A394" t="s">
        <v>848</v>
      </c>
      <c r="B394" t="s">
        <v>446</v>
      </c>
      <c r="C394" s="1">
        <f>18424+1+5+4521</f>
        <v>22951</v>
      </c>
      <c r="D394" s="1">
        <f>30+3</f>
        <v>33</v>
      </c>
      <c r="E394" s="1">
        <v>0</v>
      </c>
      <c r="F394" s="1">
        <v>0</v>
      </c>
      <c r="G394" s="1">
        <v>0</v>
      </c>
      <c r="H394" s="1">
        <f>7805</f>
        <v>7805</v>
      </c>
      <c r="I394" s="1">
        <f>3730</f>
        <v>3730</v>
      </c>
      <c r="J394" s="1"/>
      <c r="K394" s="1"/>
    </row>
    <row r="395" spans="1:11" x14ac:dyDescent="0.25">
      <c r="A395" t="s">
        <v>134</v>
      </c>
      <c r="B395" t="s">
        <v>447</v>
      </c>
      <c r="C395" s="1">
        <f>32970+3+58+2+6+4+2+1+6+6034+4</f>
        <v>39090</v>
      </c>
      <c r="D395" s="1">
        <f>6+6+98</f>
        <v>110</v>
      </c>
      <c r="E395" s="1">
        <v>0</v>
      </c>
      <c r="F395" s="1">
        <v>0</v>
      </c>
      <c r="G395" s="1">
        <v>0</v>
      </c>
      <c r="H395" s="1">
        <f>4233</f>
        <v>4233</v>
      </c>
      <c r="I395" s="1">
        <f>5154</f>
        <v>5154</v>
      </c>
      <c r="J395" s="1"/>
      <c r="K395" s="1"/>
    </row>
    <row r="396" spans="1:11" x14ac:dyDescent="0.25">
      <c r="A396" t="s">
        <v>76</v>
      </c>
      <c r="B396" t="s">
        <v>448</v>
      </c>
      <c r="C396" s="1">
        <f>101152+169+77+14892+1</f>
        <v>116291</v>
      </c>
      <c r="D396" s="1">
        <f>19+1+75+4</f>
        <v>99</v>
      </c>
      <c r="E396" s="1">
        <v>0</v>
      </c>
      <c r="F396" s="1">
        <v>0</v>
      </c>
      <c r="G396" s="1">
        <v>0</v>
      </c>
      <c r="H396" s="1">
        <f>65219</f>
        <v>65219</v>
      </c>
      <c r="I396" s="1">
        <v>0</v>
      </c>
      <c r="J396" s="1"/>
      <c r="K396" s="1"/>
    </row>
    <row r="397" spans="1:11" x14ac:dyDescent="0.25">
      <c r="A397" t="s">
        <v>801</v>
      </c>
      <c r="B397" t="s">
        <v>449</v>
      </c>
      <c r="C397" s="1">
        <f>56160+3+1+2+4456+1+9+18124+2+2+3415+1</f>
        <v>82176</v>
      </c>
      <c r="D397" s="1">
        <f>52+5+6+6+57</f>
        <v>126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/>
      <c r="K397" s="1"/>
    </row>
    <row r="398" spans="1:11" x14ac:dyDescent="0.25">
      <c r="A398" t="s">
        <v>788</v>
      </c>
      <c r="B398" t="s">
        <v>450</v>
      </c>
      <c r="C398" s="1">
        <f>21562+9+4+1+14454</f>
        <v>36030</v>
      </c>
      <c r="D398" s="1">
        <f>10+136+205+10</f>
        <v>361</v>
      </c>
      <c r="E398" s="1">
        <v>0</v>
      </c>
      <c r="F398" s="1">
        <v>0</v>
      </c>
      <c r="G398" s="1">
        <v>0</v>
      </c>
      <c r="H398" s="1">
        <f>23755</f>
        <v>23755</v>
      </c>
      <c r="I398" s="1">
        <f>8107</f>
        <v>8107</v>
      </c>
      <c r="J398" s="1"/>
      <c r="K398" s="1"/>
    </row>
    <row r="399" spans="1:11" x14ac:dyDescent="0.25">
      <c r="A399" t="s">
        <v>795</v>
      </c>
      <c r="B399" t="s">
        <v>451</v>
      </c>
      <c r="C399" s="1">
        <f>53403+13+104+96186+177+13</f>
        <v>149896</v>
      </c>
      <c r="D399" s="1">
        <f>292+303+8+594+530+41</f>
        <v>1768</v>
      </c>
      <c r="E399" s="1">
        <v>0</v>
      </c>
      <c r="F399" s="1">
        <v>0</v>
      </c>
      <c r="G399" s="1">
        <v>0</v>
      </c>
      <c r="H399" s="1">
        <f>72794</f>
        <v>72794</v>
      </c>
      <c r="I399" s="1">
        <f>59395</f>
        <v>59395</v>
      </c>
      <c r="J399" s="1"/>
      <c r="K399" s="1"/>
    </row>
    <row r="400" spans="1:11" x14ac:dyDescent="0.25">
      <c r="A400" t="s">
        <v>825</v>
      </c>
      <c r="B400" t="s">
        <v>452</v>
      </c>
      <c r="C400" s="1">
        <f>7092+21+1+1+2683</f>
        <v>9798</v>
      </c>
      <c r="D400" s="1">
        <f>16+11+2+1</f>
        <v>30</v>
      </c>
      <c r="E400" s="1">
        <v>0</v>
      </c>
      <c r="F400" s="1">
        <v>0</v>
      </c>
      <c r="G400" s="1">
        <v>0</v>
      </c>
      <c r="H400" s="1">
        <f>10501</f>
        <v>10501</v>
      </c>
      <c r="I400" s="1">
        <f>2274</f>
        <v>2274</v>
      </c>
      <c r="J400" s="1"/>
      <c r="K400" s="1"/>
    </row>
    <row r="401" spans="1:11" x14ac:dyDescent="0.25">
      <c r="A401" t="s">
        <v>101</v>
      </c>
      <c r="B401" t="s">
        <v>453</v>
      </c>
      <c r="C401" s="1">
        <f>37277+1+56+1+21+11103+1</f>
        <v>48460</v>
      </c>
      <c r="D401" s="1">
        <f>40+5+30+110+20</f>
        <v>205</v>
      </c>
      <c r="E401" s="1">
        <v>0</v>
      </c>
      <c r="F401" s="1">
        <v>0</v>
      </c>
      <c r="G401" s="1">
        <v>0</v>
      </c>
      <c r="H401" s="1">
        <f>42058</f>
        <v>42058</v>
      </c>
      <c r="I401" s="1">
        <f>9542</f>
        <v>9542</v>
      </c>
      <c r="J401" s="1"/>
      <c r="K401" s="1"/>
    </row>
    <row r="402" spans="1:11" x14ac:dyDescent="0.25">
      <c r="A402" t="s">
        <v>265</v>
      </c>
      <c r="B402" t="s">
        <v>454</v>
      </c>
      <c r="C402" s="1">
        <f>62542+2+9426+375</f>
        <v>72345</v>
      </c>
      <c r="D402" s="1">
        <f>18+2</f>
        <v>20</v>
      </c>
      <c r="E402" s="1">
        <v>0</v>
      </c>
      <c r="F402" s="1">
        <v>0</v>
      </c>
      <c r="G402" s="1">
        <v>0</v>
      </c>
      <c r="H402" s="1">
        <f>102723</f>
        <v>102723</v>
      </c>
      <c r="I402" s="1">
        <v>0</v>
      </c>
      <c r="J402" s="1"/>
      <c r="K402" s="1"/>
    </row>
    <row r="403" spans="1:11" x14ac:dyDescent="0.25">
      <c r="A403" t="s">
        <v>248</v>
      </c>
      <c r="B403" t="s">
        <v>455</v>
      </c>
      <c r="C403" s="1">
        <f>14327+42+2776</f>
        <v>17145</v>
      </c>
      <c r="D403" s="1">
        <f>1+8+408+6</f>
        <v>423</v>
      </c>
      <c r="E403" s="1">
        <v>0</v>
      </c>
      <c r="F403" s="1">
        <v>0</v>
      </c>
      <c r="G403" s="1">
        <v>0</v>
      </c>
      <c r="H403" s="1">
        <f>43840</f>
        <v>43840</v>
      </c>
      <c r="I403" s="1">
        <f>3192</f>
        <v>3192</v>
      </c>
      <c r="J403" s="1"/>
      <c r="K403" s="1"/>
    </row>
    <row r="404" spans="1:11" x14ac:dyDescent="0.25">
      <c r="A404" t="s">
        <v>76</v>
      </c>
      <c r="B404" t="s">
        <v>456</v>
      </c>
      <c r="C404" s="1">
        <f>70190+1583+1+60+12840</f>
        <v>84674</v>
      </c>
      <c r="D404" s="1">
        <f>195</f>
        <v>195</v>
      </c>
      <c r="E404" s="1">
        <v>0</v>
      </c>
      <c r="F404" s="1">
        <v>0</v>
      </c>
      <c r="G404" s="1">
        <v>0</v>
      </c>
      <c r="H404" s="1">
        <f>243641</f>
        <v>243641</v>
      </c>
      <c r="I404" s="1">
        <v>0</v>
      </c>
      <c r="J404" s="1"/>
      <c r="K404" s="1"/>
    </row>
    <row r="405" spans="1:11" x14ac:dyDescent="0.25">
      <c r="A405" t="s">
        <v>76</v>
      </c>
      <c r="B405" t="s">
        <v>457</v>
      </c>
      <c r="C405" s="1">
        <f>30984+2+1787+18855+2</f>
        <v>51630</v>
      </c>
      <c r="D405" s="1">
        <f>81+63+22+4+102+24</f>
        <v>296</v>
      </c>
      <c r="E405" s="1">
        <v>0</v>
      </c>
      <c r="F405" s="1">
        <v>0</v>
      </c>
      <c r="G405" s="1">
        <v>0</v>
      </c>
      <c r="H405" s="1">
        <f>28564</f>
        <v>28564</v>
      </c>
      <c r="I405" s="1">
        <v>0</v>
      </c>
      <c r="J405" s="1"/>
      <c r="K405" s="1"/>
    </row>
    <row r="406" spans="1:11" x14ac:dyDescent="0.25">
      <c r="A406" t="s">
        <v>146</v>
      </c>
      <c r="B406" t="s">
        <v>458</v>
      </c>
      <c r="C406" s="1">
        <f>10149+1433+24+6262+1+1+4+3</f>
        <v>17877</v>
      </c>
      <c r="D406" s="1">
        <f>1261+2+691+197+140+1</f>
        <v>2292</v>
      </c>
      <c r="E406" s="1">
        <v>0</v>
      </c>
      <c r="F406" s="1">
        <v>0</v>
      </c>
      <c r="G406" s="1">
        <v>0</v>
      </c>
      <c r="H406" s="1">
        <f>47538</f>
        <v>47538</v>
      </c>
      <c r="I406" s="1">
        <f>6273</f>
        <v>6273</v>
      </c>
      <c r="J406" s="1"/>
      <c r="K406" s="1"/>
    </row>
    <row r="407" spans="1:11" x14ac:dyDescent="0.25">
      <c r="A407" t="s">
        <v>83</v>
      </c>
      <c r="B407" t="s">
        <v>459</v>
      </c>
      <c r="C407" s="1">
        <f>6847+2+37+2497</f>
        <v>9383</v>
      </c>
      <c r="D407" s="1">
        <f>11+53</f>
        <v>64</v>
      </c>
      <c r="E407" s="1">
        <v>0</v>
      </c>
      <c r="F407" s="1">
        <v>0</v>
      </c>
      <c r="G407" s="1">
        <v>0</v>
      </c>
      <c r="H407" s="1">
        <f>10837</f>
        <v>10837</v>
      </c>
      <c r="I407" s="1">
        <v>0</v>
      </c>
      <c r="J407" s="1"/>
      <c r="K407" s="1"/>
    </row>
    <row r="408" spans="1:11" x14ac:dyDescent="0.25">
      <c r="A408" t="s">
        <v>248</v>
      </c>
      <c r="B408" t="s">
        <v>460</v>
      </c>
      <c r="C408" s="1">
        <f>34082+9+128+1+50+2+2+74+39563+2+1+1</f>
        <v>73915</v>
      </c>
      <c r="D408" s="1">
        <f>29+12+43+342+318</f>
        <v>744</v>
      </c>
      <c r="E408" s="1">
        <v>0</v>
      </c>
      <c r="F408" s="1">
        <v>0</v>
      </c>
      <c r="G408" s="1">
        <v>0</v>
      </c>
      <c r="H408" s="1">
        <f>263499</f>
        <v>263499</v>
      </c>
      <c r="I408" s="1">
        <f>32274</f>
        <v>32274</v>
      </c>
      <c r="J408" s="1"/>
      <c r="K408" s="1"/>
    </row>
    <row r="409" spans="1:11" x14ac:dyDescent="0.25">
      <c r="A409" t="s">
        <v>248</v>
      </c>
      <c r="B409" t="s">
        <v>461</v>
      </c>
      <c r="C409" s="1">
        <f>60978+17+9+18643</f>
        <v>79647</v>
      </c>
      <c r="D409" s="1">
        <f>16+4+12+93</f>
        <v>125</v>
      </c>
      <c r="E409" s="1">
        <v>0</v>
      </c>
      <c r="F409" s="1">
        <v>0</v>
      </c>
      <c r="G409" s="1">
        <v>0</v>
      </c>
      <c r="H409" s="1">
        <f>107054</f>
        <v>107054</v>
      </c>
      <c r="I409" s="1">
        <f>13641</f>
        <v>13641</v>
      </c>
      <c r="J409" s="1"/>
      <c r="K409" s="1"/>
    </row>
    <row r="410" spans="1:11" x14ac:dyDescent="0.25">
      <c r="A410" t="s">
        <v>226</v>
      </c>
      <c r="B410" t="s">
        <v>462</v>
      </c>
      <c r="C410" s="1">
        <f>16454+12+1098+79+14+1826+332+2</f>
        <v>19817</v>
      </c>
      <c r="D410" s="1">
        <f>3+42</f>
        <v>45</v>
      </c>
      <c r="E410" s="1">
        <v>0</v>
      </c>
      <c r="F410" s="1">
        <v>0</v>
      </c>
      <c r="G410" s="1">
        <v>0</v>
      </c>
      <c r="H410" s="1">
        <f>1637</f>
        <v>1637</v>
      </c>
      <c r="I410" s="1">
        <f>1925</f>
        <v>1925</v>
      </c>
      <c r="J410" s="1"/>
      <c r="K410" s="1"/>
    </row>
    <row r="411" spans="1:11" x14ac:dyDescent="0.25">
      <c r="A411" t="s">
        <v>826</v>
      </c>
      <c r="B411" t="s">
        <v>463</v>
      </c>
      <c r="C411" s="1">
        <f>4314+11+116+13+8832+2</f>
        <v>13288</v>
      </c>
      <c r="D411" s="1">
        <f>238</f>
        <v>238</v>
      </c>
      <c r="E411" s="1">
        <v>0</v>
      </c>
      <c r="F411" s="1">
        <v>0</v>
      </c>
      <c r="G411" s="1">
        <v>0</v>
      </c>
      <c r="H411" s="1">
        <v>43879</v>
      </c>
      <c r="I411" s="1">
        <f>8069</f>
        <v>8069</v>
      </c>
      <c r="J411" s="1"/>
      <c r="K411" s="1"/>
    </row>
    <row r="412" spans="1:11" x14ac:dyDescent="0.25">
      <c r="A412" t="s">
        <v>248</v>
      </c>
      <c r="B412" t="s">
        <v>464</v>
      </c>
      <c r="C412" s="1">
        <f>22413+452+5+5493</f>
        <v>28363</v>
      </c>
      <c r="D412" s="1">
        <f>20</f>
        <v>20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/>
      <c r="K412" s="1"/>
    </row>
    <row r="413" spans="1:11" x14ac:dyDescent="0.25">
      <c r="A413" t="s">
        <v>101</v>
      </c>
      <c r="B413" t="s">
        <v>465</v>
      </c>
      <c r="C413" s="1">
        <f>17221+3+2+9449+2</f>
        <v>26677</v>
      </c>
      <c r="D413" s="1">
        <f>7</f>
        <v>7</v>
      </c>
      <c r="E413" s="1">
        <v>0</v>
      </c>
      <c r="F413" s="1">
        <v>0</v>
      </c>
      <c r="G413" s="1">
        <v>0</v>
      </c>
      <c r="H413" s="1">
        <f>64530</f>
        <v>64530</v>
      </c>
      <c r="I413" s="1">
        <f>9522</f>
        <v>9522</v>
      </c>
      <c r="J413" s="1"/>
      <c r="K413" s="1"/>
    </row>
    <row r="414" spans="1:11" x14ac:dyDescent="0.25">
      <c r="A414" t="s">
        <v>865</v>
      </c>
      <c r="B414" t="s">
        <v>466</v>
      </c>
      <c r="C414" s="1">
        <f>46703+11+305+6+2+18+13+4+54+214+54+7206+38+1</f>
        <v>54629</v>
      </c>
      <c r="D414" s="1">
        <f>50</f>
        <v>50</v>
      </c>
      <c r="E414" s="1">
        <v>0</v>
      </c>
      <c r="F414" s="1">
        <v>0</v>
      </c>
      <c r="G414" s="1">
        <v>0</v>
      </c>
      <c r="H414" s="1">
        <f>17678</f>
        <v>17678</v>
      </c>
      <c r="I414" s="1">
        <f>6608</f>
        <v>6608</v>
      </c>
      <c r="J414" s="1"/>
      <c r="K414" s="1"/>
    </row>
    <row r="415" spans="1:11" x14ac:dyDescent="0.25">
      <c r="A415" t="s">
        <v>512</v>
      </c>
      <c r="B415" t="s">
        <v>467</v>
      </c>
      <c r="C415" s="1">
        <f>19180+16+2+3+12266</f>
        <v>31467</v>
      </c>
      <c r="D415" s="1">
        <f>8+22+35</f>
        <v>65</v>
      </c>
      <c r="E415" s="1">
        <v>0</v>
      </c>
      <c r="F415" s="1">
        <v>0</v>
      </c>
      <c r="G415" s="1">
        <v>0</v>
      </c>
      <c r="H415" s="1">
        <f>23442</f>
        <v>23442</v>
      </c>
      <c r="I415" s="1">
        <f>9753</f>
        <v>9753</v>
      </c>
      <c r="J415" s="1"/>
      <c r="K415" s="1"/>
    </row>
    <row r="416" spans="1:11" x14ac:dyDescent="0.25">
      <c r="A416" s="27" t="s">
        <v>10</v>
      </c>
      <c r="B416" s="32" t="s">
        <v>781</v>
      </c>
      <c r="C416" s="1"/>
      <c r="D416" s="1"/>
      <c r="E416" s="1"/>
      <c r="F416" s="1"/>
      <c r="G416" s="1"/>
      <c r="H416" s="1"/>
      <c r="I416" s="32"/>
      <c r="J416" s="1"/>
      <c r="K416" s="1"/>
    </row>
    <row r="417" spans="1:11" x14ac:dyDescent="0.25">
      <c r="A417" t="s">
        <v>806</v>
      </c>
      <c r="B417" t="s">
        <v>468</v>
      </c>
      <c r="C417" s="1"/>
      <c r="D417" s="1"/>
      <c r="E417" s="1"/>
      <c r="F417" s="1"/>
      <c r="G417" s="1"/>
      <c r="H417" s="1"/>
      <c r="I417" s="1"/>
      <c r="J417" s="1"/>
      <c r="K417" s="1"/>
    </row>
    <row r="418" spans="1:11" x14ac:dyDescent="0.25">
      <c r="A418" t="s">
        <v>817</v>
      </c>
      <c r="B418" t="s">
        <v>469</v>
      </c>
      <c r="C418" s="1">
        <f>251593+2+2907</f>
        <v>254502</v>
      </c>
      <c r="D418" s="1">
        <f>95+203+1+15</f>
        <v>314</v>
      </c>
      <c r="E418" s="1">
        <v>0</v>
      </c>
      <c r="F418" s="1">
        <v>0</v>
      </c>
      <c r="G418" s="1">
        <v>0</v>
      </c>
      <c r="H418" s="1">
        <f>42245</f>
        <v>42245</v>
      </c>
      <c r="I418" s="1">
        <v>0</v>
      </c>
      <c r="J418" s="1"/>
      <c r="K418" s="1"/>
    </row>
    <row r="419" spans="1:11" x14ac:dyDescent="0.25">
      <c r="A419" t="s">
        <v>791</v>
      </c>
      <c r="B419" t="s">
        <v>470</v>
      </c>
      <c r="C419" s="1">
        <f>3697+1+4+8920+4</f>
        <v>12626</v>
      </c>
      <c r="D419" s="1">
        <f>12+780+181+1</f>
        <v>974</v>
      </c>
      <c r="E419" s="1">
        <v>0</v>
      </c>
      <c r="F419" s="1">
        <v>0</v>
      </c>
      <c r="G419" s="1">
        <v>0</v>
      </c>
      <c r="H419" s="1">
        <f>11634</f>
        <v>11634</v>
      </c>
      <c r="I419" s="1">
        <f>9716</f>
        <v>9716</v>
      </c>
      <c r="J419" s="1"/>
      <c r="K419" s="1"/>
    </row>
    <row r="420" spans="1:11" x14ac:dyDescent="0.25">
      <c r="A420" t="s">
        <v>788</v>
      </c>
      <c r="B420" t="s">
        <v>471</v>
      </c>
      <c r="C420" s="1">
        <f>28380+19+5+33+9571</f>
        <v>38008</v>
      </c>
      <c r="D420" s="1">
        <f>124+39+22</f>
        <v>185</v>
      </c>
      <c r="E420" s="1">
        <v>0</v>
      </c>
      <c r="F420" s="1">
        <v>0</v>
      </c>
      <c r="G420" s="1">
        <v>0</v>
      </c>
      <c r="H420" s="1">
        <f>5562</f>
        <v>5562</v>
      </c>
      <c r="I420" s="1">
        <f>4111</f>
        <v>4111</v>
      </c>
      <c r="J420" s="1"/>
      <c r="K420" s="1"/>
    </row>
    <row r="421" spans="1:11" x14ac:dyDescent="0.25">
      <c r="A421" t="s">
        <v>795</v>
      </c>
      <c r="B421" t="s">
        <v>472</v>
      </c>
      <c r="C421" s="1">
        <f>24696+10+207+11063+322</f>
        <v>36298</v>
      </c>
      <c r="D421" s="1">
        <f>718+121+132</f>
        <v>971</v>
      </c>
      <c r="E421" s="1">
        <v>0</v>
      </c>
      <c r="F421" s="1">
        <v>0</v>
      </c>
      <c r="G421" s="1">
        <v>0</v>
      </c>
      <c r="H421" s="1">
        <f>20004</f>
        <v>20004</v>
      </c>
      <c r="I421" s="1">
        <f>7648</f>
        <v>7648</v>
      </c>
      <c r="J421" s="1"/>
      <c r="K421" s="1"/>
    </row>
    <row r="422" spans="1:11" x14ac:dyDescent="0.25">
      <c r="A422" t="s">
        <v>788</v>
      </c>
      <c r="B422" t="s">
        <v>473</v>
      </c>
      <c r="C422" s="1">
        <f>51720+103+3+1+2+4+23956</f>
        <v>75789</v>
      </c>
      <c r="D422" s="1">
        <f>513+22+71+820+1+2</f>
        <v>1429</v>
      </c>
      <c r="E422" s="1">
        <v>0</v>
      </c>
      <c r="F422" s="1">
        <v>0</v>
      </c>
      <c r="G422" s="1">
        <v>0</v>
      </c>
      <c r="H422" s="1">
        <f>30384</f>
        <v>30384</v>
      </c>
      <c r="I422" s="1">
        <f>22520</f>
        <v>22520</v>
      </c>
      <c r="J422" s="1"/>
      <c r="K422" s="1"/>
    </row>
    <row r="423" spans="1:11" x14ac:dyDescent="0.25">
      <c r="A423" t="s">
        <v>817</v>
      </c>
      <c r="B423" t="s">
        <v>474</v>
      </c>
      <c r="C423" s="1">
        <f>17586+2+11+3+2+49281+20</f>
        <v>66905</v>
      </c>
      <c r="D423" s="1">
        <f>103+1+240+7</f>
        <v>351</v>
      </c>
      <c r="E423" s="1">
        <v>0</v>
      </c>
      <c r="F423" s="1">
        <v>0</v>
      </c>
      <c r="G423" s="1">
        <v>0</v>
      </c>
      <c r="H423" s="1">
        <f>309592</f>
        <v>309592</v>
      </c>
      <c r="I423" s="1">
        <v>0</v>
      </c>
      <c r="J423" s="1"/>
      <c r="K423" s="1"/>
    </row>
    <row r="424" spans="1:11" x14ac:dyDescent="0.25">
      <c r="A424" t="s">
        <v>512</v>
      </c>
      <c r="B424" t="s">
        <v>475</v>
      </c>
      <c r="C424" s="1">
        <f>10902+643+1+4+10+3391</f>
        <v>14951</v>
      </c>
      <c r="D424" s="1">
        <f>18+12+13</f>
        <v>43</v>
      </c>
      <c r="E424" s="1">
        <v>0</v>
      </c>
      <c r="F424" s="1">
        <v>0</v>
      </c>
      <c r="G424" s="1">
        <v>0</v>
      </c>
      <c r="H424" s="1">
        <f>25775</f>
        <v>25775</v>
      </c>
      <c r="I424" s="1">
        <f>2904</f>
        <v>2904</v>
      </c>
      <c r="J424" s="1"/>
      <c r="K424" s="1"/>
    </row>
    <row r="425" spans="1:11" x14ac:dyDescent="0.25">
      <c r="A425" t="s">
        <v>146</v>
      </c>
      <c r="B425" t="s">
        <v>476</v>
      </c>
      <c r="C425" s="1">
        <f>37940+6+6+70+1+2+1+3+12508+1+1+1</f>
        <v>50540</v>
      </c>
      <c r="D425" s="1">
        <f>15+36+4</f>
        <v>55</v>
      </c>
      <c r="E425" s="1">
        <v>0</v>
      </c>
      <c r="F425" s="1">
        <v>0</v>
      </c>
      <c r="G425" s="1">
        <v>0</v>
      </c>
      <c r="H425" s="1">
        <f>22677</f>
        <v>22677</v>
      </c>
      <c r="I425" s="1">
        <f>12072</f>
        <v>12072</v>
      </c>
      <c r="J425" s="1"/>
      <c r="K425" s="1"/>
    </row>
    <row r="426" spans="1:11" x14ac:dyDescent="0.25">
      <c r="A426" t="s">
        <v>76</v>
      </c>
      <c r="B426" t="s">
        <v>477</v>
      </c>
      <c r="C426" s="1">
        <f>43573+197+30168+76</f>
        <v>74014</v>
      </c>
      <c r="D426" s="1">
        <f>142+2+40+923+12</f>
        <v>1119</v>
      </c>
      <c r="E426" s="1">
        <v>0</v>
      </c>
      <c r="F426" s="1">
        <v>0</v>
      </c>
      <c r="G426" s="1">
        <v>0</v>
      </c>
      <c r="H426" s="1">
        <f>49309</f>
        <v>49309</v>
      </c>
      <c r="I426" s="1">
        <v>0</v>
      </c>
      <c r="J426" s="1"/>
      <c r="K426" s="1"/>
    </row>
    <row r="427" spans="1:11" x14ac:dyDescent="0.25">
      <c r="A427" t="s">
        <v>76</v>
      </c>
      <c r="B427" t="s">
        <v>478</v>
      </c>
      <c r="C427" s="1">
        <f>49320+181+3+22716+412</f>
        <v>72632</v>
      </c>
      <c r="D427" s="1">
        <f>293+151+5+1</f>
        <v>450</v>
      </c>
      <c r="E427" s="1">
        <v>0</v>
      </c>
      <c r="F427" s="1">
        <v>0</v>
      </c>
      <c r="G427" s="1">
        <v>0</v>
      </c>
      <c r="H427" s="1">
        <f>30370</f>
        <v>30370</v>
      </c>
      <c r="I427" s="1">
        <v>0</v>
      </c>
      <c r="J427" s="1"/>
      <c r="K427" s="1"/>
    </row>
    <row r="428" spans="1:11" x14ac:dyDescent="0.25">
      <c r="A428" t="s">
        <v>823</v>
      </c>
      <c r="B428" t="s">
        <v>479</v>
      </c>
      <c r="C428" s="1">
        <f>34597+395+10865</f>
        <v>45857</v>
      </c>
      <c r="D428" s="1">
        <v>0</v>
      </c>
      <c r="E428" s="1">
        <v>0</v>
      </c>
      <c r="F428" s="1">
        <v>0</v>
      </c>
      <c r="G428" s="1">
        <v>0</v>
      </c>
      <c r="H428" s="1">
        <f>4844</f>
        <v>4844</v>
      </c>
      <c r="I428" s="1">
        <f>8005</f>
        <v>8005</v>
      </c>
      <c r="J428" s="1"/>
      <c r="K428" s="1"/>
    </row>
    <row r="429" spans="1:11" x14ac:dyDescent="0.25">
      <c r="A429" t="s">
        <v>83</v>
      </c>
      <c r="B429" t="s">
        <v>480</v>
      </c>
      <c r="C429" s="1">
        <f>18810+2+8+27+13731+2+1</f>
        <v>32581</v>
      </c>
      <c r="D429" s="1">
        <f>21+28+1+2</f>
        <v>52</v>
      </c>
      <c r="E429" s="1">
        <v>0</v>
      </c>
      <c r="F429" s="1">
        <v>0</v>
      </c>
      <c r="G429" s="1">
        <v>0</v>
      </c>
      <c r="H429" s="1">
        <f>31042</f>
        <v>31042</v>
      </c>
      <c r="I429" s="1">
        <v>0</v>
      </c>
      <c r="J429" s="1"/>
      <c r="K429" s="1"/>
    </row>
    <row r="430" spans="1:11" x14ac:dyDescent="0.25">
      <c r="A430" t="s">
        <v>512</v>
      </c>
      <c r="B430" t="s">
        <v>481</v>
      </c>
      <c r="C430" s="1">
        <f>20780+19+7+25+6003</f>
        <v>26834</v>
      </c>
      <c r="D430" s="1">
        <f>47+79+82+16</f>
        <v>224</v>
      </c>
      <c r="E430" s="1">
        <v>0</v>
      </c>
      <c r="F430" s="1">
        <v>0</v>
      </c>
      <c r="G430" s="1">
        <v>0</v>
      </c>
      <c r="H430" s="1">
        <f>3359</f>
        <v>3359</v>
      </c>
      <c r="I430" s="1">
        <f>5092</f>
        <v>5092</v>
      </c>
      <c r="J430" s="1"/>
      <c r="K430" s="1"/>
    </row>
    <row r="431" spans="1:11" x14ac:dyDescent="0.25">
      <c r="A431" t="s">
        <v>824</v>
      </c>
      <c r="B431" t="s">
        <v>482</v>
      </c>
      <c r="C431" s="1">
        <f>6031+3980+2+2</f>
        <v>10015</v>
      </c>
      <c r="D431" s="1">
        <f>327+51</f>
        <v>378</v>
      </c>
      <c r="E431" s="1">
        <v>0</v>
      </c>
      <c r="F431" s="1">
        <v>0</v>
      </c>
      <c r="G431" s="1">
        <v>0</v>
      </c>
      <c r="H431" s="1">
        <f>6420</f>
        <v>6420</v>
      </c>
      <c r="I431" s="1">
        <f>2669</f>
        <v>2669</v>
      </c>
      <c r="J431" s="1"/>
      <c r="K431" s="1"/>
    </row>
    <row r="432" spans="1:11" x14ac:dyDescent="0.25">
      <c r="A432" t="s">
        <v>72</v>
      </c>
      <c r="B432" t="s">
        <v>483</v>
      </c>
      <c r="C432" s="1">
        <f>39355+4+5+5055+4</f>
        <v>44423</v>
      </c>
      <c r="D432" s="1">
        <f>15+8+5+61</f>
        <v>89</v>
      </c>
      <c r="E432" s="1">
        <v>0</v>
      </c>
      <c r="F432" s="1">
        <v>0</v>
      </c>
      <c r="G432" s="1">
        <v>0</v>
      </c>
      <c r="H432" s="1">
        <f>124405</f>
        <v>124405</v>
      </c>
      <c r="I432" s="1">
        <f>4901</f>
        <v>4901</v>
      </c>
      <c r="J432" s="1"/>
      <c r="K432" s="1"/>
    </row>
    <row r="433" spans="1:11" x14ac:dyDescent="0.25">
      <c r="A433" t="s">
        <v>801</v>
      </c>
      <c r="B433" t="s">
        <v>484</v>
      </c>
      <c r="C433" s="1">
        <f>26870+50+7+8+21172+572+58</f>
        <v>48737</v>
      </c>
      <c r="D433" s="1">
        <f>1+17</f>
        <v>18</v>
      </c>
      <c r="E433" s="1">
        <v>0</v>
      </c>
      <c r="F433" s="1">
        <v>0</v>
      </c>
      <c r="G433" s="1">
        <v>0</v>
      </c>
      <c r="H433" s="1">
        <v>117886</v>
      </c>
      <c r="I433" s="1">
        <v>0</v>
      </c>
      <c r="J433" s="1"/>
      <c r="K433" s="1"/>
    </row>
    <row r="434" spans="1:11" x14ac:dyDescent="0.25">
      <c r="A434" t="s">
        <v>818</v>
      </c>
      <c r="B434" t="s">
        <v>485</v>
      </c>
      <c r="C434" s="1">
        <f>19422+2+15+134+13861</f>
        <v>33434</v>
      </c>
      <c r="D434" s="1">
        <f>1</f>
        <v>1</v>
      </c>
      <c r="E434" s="1">
        <v>0</v>
      </c>
      <c r="F434" s="1">
        <v>0</v>
      </c>
      <c r="G434" s="1">
        <v>0</v>
      </c>
      <c r="H434" s="1">
        <f>20791</f>
        <v>20791</v>
      </c>
      <c r="I434" s="1">
        <v>0</v>
      </c>
      <c r="J434" s="1"/>
      <c r="K434" s="1"/>
    </row>
    <row r="435" spans="1:11" x14ac:dyDescent="0.25">
      <c r="A435" t="s">
        <v>797</v>
      </c>
      <c r="B435" t="s">
        <v>486</v>
      </c>
      <c r="C435" s="1">
        <f>55882+2+1+153+1+1+3+4+11629+5</f>
        <v>67681</v>
      </c>
      <c r="D435" s="1">
        <f>68+8+2</f>
        <v>78</v>
      </c>
      <c r="E435" s="1">
        <v>0</v>
      </c>
      <c r="F435" s="1">
        <v>0</v>
      </c>
      <c r="G435" s="1">
        <v>0</v>
      </c>
      <c r="H435" s="1">
        <f>18320</f>
        <v>18320</v>
      </c>
      <c r="I435" s="1">
        <f>8961</f>
        <v>8961</v>
      </c>
      <c r="J435" s="1"/>
      <c r="K435" s="1"/>
    </row>
    <row r="436" spans="1:11" x14ac:dyDescent="0.25">
      <c r="A436" t="s">
        <v>804</v>
      </c>
      <c r="B436" t="s">
        <v>487</v>
      </c>
      <c r="C436" s="1">
        <f>26552+13019+698</f>
        <v>40269</v>
      </c>
      <c r="D436" s="1">
        <f>5+14</f>
        <v>19</v>
      </c>
      <c r="E436" s="1">
        <v>0</v>
      </c>
      <c r="F436" s="1">
        <v>0</v>
      </c>
      <c r="G436" s="1">
        <v>0</v>
      </c>
      <c r="H436" s="1">
        <f>22063</f>
        <v>22063</v>
      </c>
      <c r="I436" s="1">
        <f>120890</f>
        <v>120890</v>
      </c>
      <c r="J436" s="1"/>
      <c r="K436" s="1"/>
    </row>
    <row r="437" spans="1:11" x14ac:dyDescent="0.25">
      <c r="A437" t="s">
        <v>226</v>
      </c>
      <c r="B437" t="s">
        <v>488</v>
      </c>
      <c r="C437" s="1">
        <f>38919+114+741+14+8+25+16+13114</f>
        <v>52951</v>
      </c>
      <c r="D437" s="1">
        <f>90+101+42+38+18</f>
        <v>289</v>
      </c>
      <c r="E437" s="1">
        <v>0</v>
      </c>
      <c r="F437" s="1">
        <v>0</v>
      </c>
      <c r="G437" s="1">
        <v>0</v>
      </c>
      <c r="H437" s="1">
        <f>26471</f>
        <v>26471</v>
      </c>
      <c r="I437" s="1">
        <f>11927</f>
        <v>11927</v>
      </c>
      <c r="J437" s="1"/>
      <c r="K437" s="1"/>
    </row>
    <row r="438" spans="1:11" x14ac:dyDescent="0.25">
      <c r="A438" t="s">
        <v>265</v>
      </c>
      <c r="B438" t="s">
        <v>489</v>
      </c>
      <c r="C438" s="1">
        <f>23530+7+22+158+1+5+24+1+8+4890</f>
        <v>28646</v>
      </c>
      <c r="D438" s="1">
        <f>52+1+2+33</f>
        <v>88</v>
      </c>
      <c r="E438" s="1">
        <v>0</v>
      </c>
      <c r="F438" s="1">
        <v>0</v>
      </c>
      <c r="G438" s="1">
        <v>0</v>
      </c>
      <c r="H438" s="1">
        <f>40174</f>
        <v>40174</v>
      </c>
      <c r="I438" s="1">
        <v>0</v>
      </c>
      <c r="J438" s="1"/>
      <c r="K438" s="1"/>
    </row>
    <row r="439" spans="1:11" x14ac:dyDescent="0.25">
      <c r="A439" t="s">
        <v>10</v>
      </c>
      <c r="B439" s="1" t="s">
        <v>490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/>
      <c r="K439" s="1"/>
    </row>
    <row r="440" spans="1:11" x14ac:dyDescent="0.25">
      <c r="A440" t="s">
        <v>801</v>
      </c>
      <c r="B440" t="s">
        <v>491</v>
      </c>
      <c r="C440" s="1">
        <f>16444+8+33+7+25977+1+13+1</f>
        <v>42484</v>
      </c>
      <c r="D440" s="1">
        <f>97+68+665+350+2</f>
        <v>1182</v>
      </c>
      <c r="E440" s="1">
        <v>0</v>
      </c>
      <c r="F440" s="1">
        <v>0</v>
      </c>
      <c r="G440" s="1">
        <v>0</v>
      </c>
      <c r="H440" s="1">
        <f>51756</f>
        <v>51756</v>
      </c>
      <c r="I440" s="1">
        <v>0</v>
      </c>
      <c r="J440" s="1"/>
      <c r="K440" s="1"/>
    </row>
    <row r="441" spans="1:11" x14ac:dyDescent="0.25">
      <c r="A441" t="s">
        <v>818</v>
      </c>
      <c r="B441" t="s">
        <v>492</v>
      </c>
      <c r="C441" s="1">
        <f>15566+37+5+17+5218</f>
        <v>20843</v>
      </c>
      <c r="D441" s="1">
        <f>1+42+3+13+10</f>
        <v>69</v>
      </c>
      <c r="E441" s="1">
        <v>0</v>
      </c>
      <c r="F441" s="1">
        <v>0</v>
      </c>
      <c r="G441" s="1">
        <v>0</v>
      </c>
      <c r="H441" s="1">
        <f>25814</f>
        <v>25814</v>
      </c>
      <c r="I441" s="1">
        <v>0</v>
      </c>
      <c r="J441" s="1"/>
      <c r="K441" s="1"/>
    </row>
    <row r="442" spans="1:11" x14ac:dyDescent="0.25">
      <c r="A442" t="s">
        <v>791</v>
      </c>
      <c r="B442" t="s">
        <v>493</v>
      </c>
      <c r="C442" s="1">
        <f>17315+9+1+19+3073</f>
        <v>20417</v>
      </c>
      <c r="D442" s="1">
        <f>29+349+33</f>
        <v>411</v>
      </c>
      <c r="E442" s="1">
        <v>0</v>
      </c>
      <c r="F442" s="1">
        <v>0</v>
      </c>
      <c r="G442" s="1">
        <v>0</v>
      </c>
      <c r="H442" s="1">
        <v>36692</v>
      </c>
      <c r="I442" s="1">
        <f>3249</f>
        <v>3249</v>
      </c>
      <c r="J442" s="1"/>
      <c r="K442" s="1"/>
    </row>
    <row r="443" spans="1:11" x14ac:dyDescent="0.25">
      <c r="A443" t="s">
        <v>138</v>
      </c>
      <c r="B443" t="s">
        <v>494</v>
      </c>
      <c r="C443" s="1">
        <f>10525+2+1+4348</f>
        <v>14876</v>
      </c>
      <c r="D443" s="1">
        <v>16</v>
      </c>
      <c r="E443" s="1">
        <v>0</v>
      </c>
      <c r="F443" s="1">
        <v>0</v>
      </c>
      <c r="G443" s="1">
        <v>0</v>
      </c>
      <c r="H443" s="1">
        <f>36876</f>
        <v>36876</v>
      </c>
      <c r="I443" s="1">
        <v>0</v>
      </c>
      <c r="J443" s="1"/>
      <c r="K443" s="1"/>
    </row>
    <row r="444" spans="1:11" x14ac:dyDescent="0.25">
      <c r="A444" t="s">
        <v>495</v>
      </c>
      <c r="B444" t="s">
        <v>496</v>
      </c>
      <c r="C444" s="1">
        <f>139493+6+4164+10+63+1+3+491+80271+1+1+1</f>
        <v>224505</v>
      </c>
      <c r="D444" s="1">
        <f>255+34+12+333+20+8</f>
        <v>662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/>
      <c r="K444" s="1"/>
    </row>
    <row r="445" spans="1:11" x14ac:dyDescent="0.25">
      <c r="A445" t="s">
        <v>791</v>
      </c>
      <c r="B445" t="s">
        <v>497</v>
      </c>
      <c r="C445" s="1">
        <f>8569+1+3+45+2+50+7445</f>
        <v>16115</v>
      </c>
      <c r="D445" s="1">
        <f>13+1+2+64</f>
        <v>80</v>
      </c>
      <c r="E445" s="1">
        <v>0</v>
      </c>
      <c r="F445" s="1">
        <v>0</v>
      </c>
      <c r="G445" s="1">
        <v>0</v>
      </c>
      <c r="H445" s="1">
        <f>13895</f>
        <v>13895</v>
      </c>
      <c r="I445" s="1">
        <f>6532</f>
        <v>6532</v>
      </c>
      <c r="J445" s="1"/>
      <c r="K445" s="1"/>
    </row>
    <row r="446" spans="1:11" x14ac:dyDescent="0.25">
      <c r="A446" s="27" t="s">
        <v>10</v>
      </c>
      <c r="B446" s="32" t="s">
        <v>782</v>
      </c>
      <c r="C446" s="1"/>
      <c r="D446" s="1"/>
      <c r="E446" s="1"/>
      <c r="F446" s="1"/>
      <c r="G446" s="1"/>
      <c r="H446" s="1"/>
      <c r="I446" s="32"/>
      <c r="J446" s="1"/>
      <c r="K446" s="1"/>
    </row>
    <row r="447" spans="1:11" x14ac:dyDescent="0.25">
      <c r="A447" s="27" t="s">
        <v>10</v>
      </c>
      <c r="B447" s="32" t="s">
        <v>783</v>
      </c>
      <c r="C447" s="1"/>
      <c r="D447" s="1"/>
      <c r="E447" s="1"/>
      <c r="F447" s="1"/>
      <c r="G447" s="1"/>
      <c r="H447" s="1"/>
      <c r="I447" s="32"/>
      <c r="J447" s="1"/>
      <c r="K447" s="1"/>
    </row>
    <row r="448" spans="1:11" x14ac:dyDescent="0.25">
      <c r="A448" s="27" t="s">
        <v>10</v>
      </c>
      <c r="B448" s="32" t="s">
        <v>784</v>
      </c>
      <c r="C448" s="1"/>
      <c r="D448" s="1"/>
      <c r="E448" s="1"/>
      <c r="F448" s="1"/>
      <c r="G448" s="1"/>
      <c r="H448" s="1"/>
      <c r="I448" s="32"/>
      <c r="J448" s="1"/>
      <c r="K448" s="1"/>
    </row>
    <row r="449" spans="1:11" x14ac:dyDescent="0.25">
      <c r="A449" s="27" t="s">
        <v>10</v>
      </c>
      <c r="B449" s="32" t="s">
        <v>785</v>
      </c>
      <c r="C449" s="1"/>
      <c r="D449" s="1"/>
      <c r="E449" s="1"/>
      <c r="F449" s="1"/>
      <c r="G449" s="1"/>
      <c r="H449" s="1"/>
      <c r="I449" s="32"/>
      <c r="J449" s="1"/>
      <c r="K449" s="1"/>
    </row>
    <row r="450" spans="1:11" x14ac:dyDescent="0.25">
      <c r="A450" t="s">
        <v>10</v>
      </c>
      <c r="B450" s="1" t="s">
        <v>498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/>
      <c r="K450" s="1"/>
    </row>
    <row r="451" spans="1:11" x14ac:dyDescent="0.25">
      <c r="A451" s="27" t="s">
        <v>10</v>
      </c>
      <c r="B451" s="32" t="s">
        <v>786</v>
      </c>
      <c r="C451" s="1"/>
      <c r="D451" s="1"/>
      <c r="E451" s="1"/>
      <c r="F451" s="1"/>
      <c r="G451" s="1"/>
      <c r="H451" s="1"/>
      <c r="I451" s="32"/>
      <c r="J451" s="1"/>
      <c r="K451" s="1"/>
    </row>
    <row r="452" spans="1:11" x14ac:dyDescent="0.25">
      <c r="A452" t="s">
        <v>10</v>
      </c>
      <c r="B452" s="1" t="s">
        <v>499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/>
      <c r="K452" s="1"/>
    </row>
    <row r="453" spans="1:11" x14ac:dyDescent="0.25">
      <c r="A453" t="s">
        <v>10</v>
      </c>
      <c r="B453" s="1" t="s">
        <v>500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/>
      <c r="K453" s="1"/>
    </row>
    <row r="454" spans="1:11" x14ac:dyDescent="0.25">
      <c r="A454" t="s">
        <v>76</v>
      </c>
      <c r="B454" t="s">
        <v>501</v>
      </c>
      <c r="C454" s="1">
        <f>9773</f>
        <v>9773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/>
      <c r="K454" s="1"/>
    </row>
    <row r="455" spans="1:11" x14ac:dyDescent="0.25">
      <c r="A455" t="s">
        <v>817</v>
      </c>
      <c r="B455" t="s">
        <v>502</v>
      </c>
      <c r="C455" s="1">
        <f>625</f>
        <v>625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/>
      <c r="K455" s="1"/>
    </row>
    <row r="456" spans="1:11" x14ac:dyDescent="0.25">
      <c r="A456" t="s">
        <v>831</v>
      </c>
      <c r="B456" t="s">
        <v>503</v>
      </c>
      <c r="C456" s="1">
        <f>1420</f>
        <v>1420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/>
      <c r="K456" s="1"/>
    </row>
    <row r="457" spans="1:11" x14ac:dyDescent="0.25">
      <c r="A457" t="s">
        <v>76</v>
      </c>
      <c r="B457" t="s">
        <v>504</v>
      </c>
      <c r="C457" s="1">
        <f>16961</f>
        <v>16961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/>
      <c r="K457" s="1"/>
    </row>
    <row r="458" spans="1:11" x14ac:dyDescent="0.25">
      <c r="A458" t="s">
        <v>817</v>
      </c>
      <c r="B458" t="s">
        <v>505</v>
      </c>
      <c r="C458" s="1">
        <f>6033</f>
        <v>6033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/>
      <c r="K458" s="1"/>
    </row>
    <row r="459" spans="1:11" x14ac:dyDescent="0.25">
      <c r="A459" s="9" t="s">
        <v>824</v>
      </c>
      <c r="B459" s="10" t="s">
        <v>506</v>
      </c>
      <c r="C459" s="1">
        <f>4246</f>
        <v>4246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/>
      <c r="K459" s="1"/>
    </row>
    <row r="460" spans="1:11" x14ac:dyDescent="0.25">
      <c r="A460" t="s">
        <v>817</v>
      </c>
      <c r="B460" t="s">
        <v>507</v>
      </c>
      <c r="C460" s="1">
        <f>11404</f>
        <v>11404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/>
      <c r="K460" s="1"/>
    </row>
    <row r="461" spans="1:11" x14ac:dyDescent="0.25">
      <c r="A461" t="s">
        <v>817</v>
      </c>
      <c r="B461" t="s">
        <v>508</v>
      </c>
      <c r="C461" s="1">
        <f>2663</f>
        <v>2663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/>
      <c r="K461" s="1"/>
    </row>
    <row r="462" spans="1:11" x14ac:dyDescent="0.25">
      <c r="A462" t="s">
        <v>801</v>
      </c>
      <c r="B462" t="s">
        <v>509</v>
      </c>
      <c r="C462" s="1">
        <v>690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/>
      <c r="K462" s="1"/>
    </row>
    <row r="463" spans="1:11" x14ac:dyDescent="0.25">
      <c r="A463" t="s">
        <v>801</v>
      </c>
      <c r="B463" t="s">
        <v>510</v>
      </c>
      <c r="C463" s="1">
        <f>16534</f>
        <v>16534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/>
      <c r="K463" s="1"/>
    </row>
    <row r="464" spans="1:11" x14ac:dyDescent="0.25">
      <c r="A464" t="s">
        <v>831</v>
      </c>
      <c r="B464" t="s">
        <v>511</v>
      </c>
      <c r="C464" s="1">
        <f>1411</f>
        <v>1411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/>
      <c r="K464" s="1"/>
    </row>
    <row r="465" spans="1:11" x14ac:dyDescent="0.25">
      <c r="A465" t="s">
        <v>512</v>
      </c>
      <c r="B465" t="s">
        <v>513</v>
      </c>
      <c r="C465" s="1">
        <f>5010</f>
        <v>5010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/>
      <c r="K465" s="1"/>
    </row>
    <row r="466" spans="1:11" x14ac:dyDescent="0.25">
      <c r="A466" t="s">
        <v>817</v>
      </c>
      <c r="B466" t="s">
        <v>514</v>
      </c>
      <c r="C466" s="1">
        <f>5406</f>
        <v>5406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/>
      <c r="K466" s="1"/>
    </row>
    <row r="467" spans="1:11" x14ac:dyDescent="0.25">
      <c r="A467" t="s">
        <v>801</v>
      </c>
      <c r="B467" t="s">
        <v>515</v>
      </c>
      <c r="C467" s="1">
        <f>1938</f>
        <v>1938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/>
      <c r="K467" s="1"/>
    </row>
    <row r="468" spans="1:11" x14ac:dyDescent="0.25">
      <c r="A468" t="s">
        <v>848</v>
      </c>
      <c r="B468" t="s">
        <v>516</v>
      </c>
      <c r="C468" s="1">
        <f>2477</f>
        <v>2477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/>
      <c r="K468" s="1"/>
    </row>
    <row r="469" spans="1:11" x14ac:dyDescent="0.25">
      <c r="A469" t="s">
        <v>797</v>
      </c>
      <c r="B469" t="s">
        <v>517</v>
      </c>
      <c r="C469" s="1">
        <f>3363</f>
        <v>3363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/>
      <c r="K469" s="1"/>
    </row>
    <row r="470" spans="1:11" x14ac:dyDescent="0.25">
      <c r="A470" t="s">
        <v>811</v>
      </c>
      <c r="B470" t="s">
        <v>518</v>
      </c>
      <c r="C470" s="1">
        <f>19204</f>
        <v>19204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/>
      <c r="K470" s="1"/>
    </row>
    <row r="471" spans="1:11" x14ac:dyDescent="0.25">
      <c r="A471" t="s">
        <v>226</v>
      </c>
      <c r="B471" t="s">
        <v>519</v>
      </c>
      <c r="C471" s="1">
        <f>1068</f>
        <v>1068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/>
      <c r="K471" s="1"/>
    </row>
    <row r="472" spans="1:11" x14ac:dyDescent="0.25">
      <c r="A472" t="s">
        <v>76</v>
      </c>
      <c r="B472" t="s">
        <v>520</v>
      </c>
      <c r="C472" s="1">
        <f>8428</f>
        <v>8428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/>
      <c r="K472" s="1"/>
    </row>
    <row r="473" spans="1:11" x14ac:dyDescent="0.25">
      <c r="A473" t="s">
        <v>831</v>
      </c>
      <c r="B473" t="s">
        <v>521</v>
      </c>
      <c r="C473" s="1">
        <f>22823</f>
        <v>22823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/>
      <c r="K473" s="1"/>
    </row>
    <row r="474" spans="1:11" x14ac:dyDescent="0.25">
      <c r="A474" t="s">
        <v>72</v>
      </c>
      <c r="B474" t="s">
        <v>522</v>
      </c>
      <c r="C474" s="1">
        <f>1030</f>
        <v>1030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/>
      <c r="K474" s="1"/>
    </row>
    <row r="475" spans="1:11" x14ac:dyDescent="0.25">
      <c r="A475" t="s">
        <v>823</v>
      </c>
      <c r="B475" t="s">
        <v>523</v>
      </c>
      <c r="C475" s="1">
        <f>10548</f>
        <v>10548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/>
      <c r="K475" s="1"/>
    </row>
    <row r="476" spans="1:11" x14ac:dyDescent="0.25">
      <c r="A476" t="s">
        <v>248</v>
      </c>
      <c r="B476" t="s">
        <v>524</v>
      </c>
      <c r="C476" s="1">
        <f>3076</f>
        <v>3076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/>
      <c r="K476" s="1"/>
    </row>
    <row r="477" spans="1:11" x14ac:dyDescent="0.25">
      <c r="A477" t="s">
        <v>231</v>
      </c>
      <c r="B477" t="s">
        <v>525</v>
      </c>
      <c r="C477" s="1">
        <f>3628</f>
        <v>3628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/>
      <c r="K477" s="1"/>
    </row>
    <row r="478" spans="1:11" x14ac:dyDescent="0.25">
      <c r="A478" t="s">
        <v>76</v>
      </c>
      <c r="B478" t="s">
        <v>526</v>
      </c>
      <c r="C478" s="1">
        <f>740</f>
        <v>740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/>
      <c r="K478" s="1"/>
    </row>
    <row r="479" spans="1:11" x14ac:dyDescent="0.25">
      <c r="A479" t="s">
        <v>804</v>
      </c>
      <c r="B479" t="s">
        <v>527</v>
      </c>
      <c r="C479" s="1">
        <f>28610</f>
        <v>28610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/>
      <c r="K479" s="1"/>
    </row>
    <row r="480" spans="1:11" x14ac:dyDescent="0.25">
      <c r="A480" t="s">
        <v>76</v>
      </c>
      <c r="B480" t="s">
        <v>528</v>
      </c>
      <c r="C480" s="1">
        <f>1090</f>
        <v>1090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/>
      <c r="K480" s="1"/>
    </row>
    <row r="481" spans="1:11" x14ac:dyDescent="0.25">
      <c r="A481" t="s">
        <v>801</v>
      </c>
      <c r="B481" t="s">
        <v>529</v>
      </c>
      <c r="C481" s="1">
        <f>5368</f>
        <v>5368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/>
      <c r="K481" s="1"/>
    </row>
    <row r="482" spans="1:11" x14ac:dyDescent="0.25">
      <c r="A482" t="s">
        <v>795</v>
      </c>
      <c r="B482" t="s">
        <v>530</v>
      </c>
      <c r="C482" s="1">
        <f>86236</f>
        <v>86236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/>
      <c r="K482" s="1"/>
    </row>
    <row r="483" spans="1:11" x14ac:dyDescent="0.25">
      <c r="A483" t="s">
        <v>848</v>
      </c>
      <c r="B483" t="s">
        <v>531</v>
      </c>
      <c r="C483" s="1">
        <f>2209</f>
        <v>2209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/>
      <c r="K483" s="1"/>
    </row>
    <row r="484" spans="1:11" x14ac:dyDescent="0.25">
      <c r="A484" t="s">
        <v>824</v>
      </c>
      <c r="B484" t="s">
        <v>532</v>
      </c>
      <c r="C484" s="1">
        <f>9845</f>
        <v>9845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/>
      <c r="K484" s="1"/>
    </row>
    <row r="485" spans="1:11" x14ac:dyDescent="0.25">
      <c r="A485" t="s">
        <v>76</v>
      </c>
      <c r="B485" t="s">
        <v>533</v>
      </c>
      <c r="C485" s="1">
        <f>1182</f>
        <v>1182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/>
      <c r="K485" s="1"/>
    </row>
    <row r="486" spans="1:11" x14ac:dyDescent="0.25">
      <c r="A486" t="s">
        <v>101</v>
      </c>
      <c r="B486" t="s">
        <v>534</v>
      </c>
      <c r="C486" s="1">
        <f>7633</f>
        <v>7633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/>
      <c r="K486" s="1"/>
    </row>
    <row r="487" spans="1:11" x14ac:dyDescent="0.25">
      <c r="A487" t="s">
        <v>797</v>
      </c>
      <c r="B487" t="s">
        <v>535</v>
      </c>
      <c r="C487" s="1"/>
      <c r="D487" s="1"/>
      <c r="E487" s="1"/>
      <c r="F487" s="1"/>
      <c r="G487" s="1"/>
      <c r="H487" s="1"/>
      <c r="I487" s="1"/>
      <c r="J487" s="1"/>
      <c r="K487" s="1"/>
    </row>
    <row r="488" spans="1:11" x14ac:dyDescent="0.25">
      <c r="A488" t="s">
        <v>120</v>
      </c>
      <c r="B488" t="s">
        <v>536</v>
      </c>
      <c r="C488" s="1">
        <f>3690</f>
        <v>3690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/>
      <c r="K488" s="1"/>
    </row>
    <row r="489" spans="1:11" x14ac:dyDescent="0.25">
      <c r="A489" t="s">
        <v>817</v>
      </c>
      <c r="B489" t="s">
        <v>537</v>
      </c>
      <c r="C489" s="1">
        <f>31164</f>
        <v>31164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/>
      <c r="K489" s="1"/>
    </row>
    <row r="490" spans="1:11" x14ac:dyDescent="0.25">
      <c r="A490" t="s">
        <v>811</v>
      </c>
      <c r="B490" t="s">
        <v>538</v>
      </c>
      <c r="C490" s="1">
        <f>91409</f>
        <v>91409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/>
      <c r="K490" s="1"/>
    </row>
    <row r="491" spans="1:11" x14ac:dyDescent="0.25">
      <c r="A491" t="s">
        <v>817</v>
      </c>
      <c r="B491" t="s">
        <v>539</v>
      </c>
      <c r="C491" s="1">
        <f>7656</f>
        <v>7656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/>
      <c r="K491" s="1"/>
    </row>
    <row r="492" spans="1:11" x14ac:dyDescent="0.25">
      <c r="A492" t="s">
        <v>146</v>
      </c>
      <c r="B492" t="s">
        <v>540</v>
      </c>
      <c r="C492" s="1">
        <f>9121</f>
        <v>9121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/>
      <c r="K492" s="1"/>
    </row>
    <row r="493" spans="1:11" x14ac:dyDescent="0.25">
      <c r="A493" t="s">
        <v>817</v>
      </c>
      <c r="B493" t="s">
        <v>541</v>
      </c>
      <c r="C493" s="1">
        <f>16575</f>
        <v>16575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/>
      <c r="K493" s="1"/>
    </row>
    <row r="494" spans="1:11" x14ac:dyDescent="0.25">
      <c r="A494" t="s">
        <v>72</v>
      </c>
      <c r="B494" t="s">
        <v>542</v>
      </c>
      <c r="C494" s="1">
        <f>18152</f>
        <v>18152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/>
      <c r="K494" s="1"/>
    </row>
    <row r="495" spans="1:11" x14ac:dyDescent="0.25">
      <c r="A495" t="s">
        <v>795</v>
      </c>
      <c r="B495" t="s">
        <v>543</v>
      </c>
      <c r="C495" s="1">
        <v>12804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/>
      <c r="K495" s="1"/>
    </row>
    <row r="496" spans="1:11" x14ac:dyDescent="0.25">
      <c r="A496" t="s">
        <v>83</v>
      </c>
      <c r="B496" t="s">
        <v>544</v>
      </c>
      <c r="C496" s="1">
        <f>749</f>
        <v>749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/>
      <c r="K496" s="1"/>
    </row>
    <row r="497" spans="1:11" x14ac:dyDescent="0.25">
      <c r="A497" t="s">
        <v>134</v>
      </c>
      <c r="B497" t="s">
        <v>545</v>
      </c>
      <c r="C497" s="1">
        <f>4518</f>
        <v>4518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/>
      <c r="K497" s="1"/>
    </row>
    <row r="498" spans="1:11" x14ac:dyDescent="0.25">
      <c r="A498" t="s">
        <v>76</v>
      </c>
      <c r="B498" t="s">
        <v>546</v>
      </c>
      <c r="C498" s="1">
        <f>1955</f>
        <v>1955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/>
      <c r="K498" s="1"/>
    </row>
    <row r="499" spans="1:11" x14ac:dyDescent="0.25">
      <c r="A499" t="s">
        <v>495</v>
      </c>
      <c r="B499" t="s">
        <v>547</v>
      </c>
      <c r="C499" s="1">
        <f>15091</f>
        <v>15091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/>
      <c r="K499" s="1"/>
    </row>
    <row r="500" spans="1:11" x14ac:dyDescent="0.25">
      <c r="A500" t="s">
        <v>825</v>
      </c>
      <c r="B500" t="s">
        <v>548</v>
      </c>
      <c r="C500" s="1">
        <f>7419</f>
        <v>7419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/>
      <c r="K500" s="1"/>
    </row>
    <row r="501" spans="1:11" x14ac:dyDescent="0.25">
      <c r="A501" t="s">
        <v>72</v>
      </c>
      <c r="B501" t="s">
        <v>549</v>
      </c>
      <c r="C501" s="1">
        <f>23609</f>
        <v>23609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/>
      <c r="K501" s="1"/>
    </row>
    <row r="502" spans="1:11" x14ac:dyDescent="0.25">
      <c r="A502" t="s">
        <v>134</v>
      </c>
      <c r="B502" t="s">
        <v>550</v>
      </c>
      <c r="C502" s="1">
        <f>13659</f>
        <v>13659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/>
      <c r="K502" s="1"/>
    </row>
    <row r="503" spans="1:11" x14ac:dyDescent="0.25">
      <c r="A503" t="s">
        <v>795</v>
      </c>
      <c r="B503" t="s">
        <v>551</v>
      </c>
      <c r="C503" s="1">
        <f>3046</f>
        <v>3046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/>
      <c r="K503" s="1"/>
    </row>
    <row r="504" spans="1:11" x14ac:dyDescent="0.25">
      <c r="A504" t="s">
        <v>76</v>
      </c>
      <c r="B504" t="s">
        <v>552</v>
      </c>
      <c r="C504" s="1">
        <f>1763</f>
        <v>1763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/>
      <c r="K504" s="1"/>
    </row>
    <row r="505" spans="1:11" x14ac:dyDescent="0.25">
      <c r="A505" t="s">
        <v>824</v>
      </c>
      <c r="B505" t="s">
        <v>553</v>
      </c>
      <c r="C505" s="1">
        <f>1418</f>
        <v>1418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/>
      <c r="K505" s="1"/>
    </row>
    <row r="506" spans="1:11" x14ac:dyDescent="0.25">
      <c r="A506" t="s">
        <v>512</v>
      </c>
      <c r="B506" t="s">
        <v>554</v>
      </c>
      <c r="C506" s="1">
        <f>13088</f>
        <v>13088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/>
      <c r="K506" s="1"/>
    </row>
    <row r="507" spans="1:11" x14ac:dyDescent="0.25">
      <c r="A507" t="s">
        <v>788</v>
      </c>
      <c r="B507" t="s">
        <v>555</v>
      </c>
      <c r="C507" s="1">
        <f>71169</f>
        <v>71169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/>
      <c r="K507" s="1"/>
    </row>
    <row r="508" spans="1:11" x14ac:dyDescent="0.25">
      <c r="A508" t="s">
        <v>101</v>
      </c>
      <c r="B508" t="s">
        <v>556</v>
      </c>
      <c r="C508" s="1">
        <f>19833</f>
        <v>19833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/>
      <c r="K508" s="1"/>
    </row>
    <row r="509" spans="1:11" x14ac:dyDescent="0.25">
      <c r="A509" t="s">
        <v>796</v>
      </c>
      <c r="B509" t="s">
        <v>557</v>
      </c>
      <c r="C509" s="1">
        <v>2191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/>
      <c r="K509" s="1"/>
    </row>
    <row r="510" spans="1:11" x14ac:dyDescent="0.25">
      <c r="A510" t="s">
        <v>817</v>
      </c>
      <c r="B510" t="s">
        <v>558</v>
      </c>
      <c r="C510" s="1">
        <f>4175</f>
        <v>4175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/>
      <c r="K510" s="1"/>
    </row>
    <row r="511" spans="1:11" x14ac:dyDescent="0.25">
      <c r="A511" t="s">
        <v>76</v>
      </c>
      <c r="B511" t="s">
        <v>559</v>
      </c>
      <c r="C511" s="1">
        <f>4155</f>
        <v>4155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/>
      <c r="K511" s="1"/>
    </row>
    <row r="512" spans="1:11" x14ac:dyDescent="0.25">
      <c r="A512" t="s">
        <v>801</v>
      </c>
      <c r="B512" t="s">
        <v>560</v>
      </c>
      <c r="C512" s="1">
        <f>26193</f>
        <v>26193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/>
      <c r="K512" s="1"/>
    </row>
    <row r="513" spans="1:11" x14ac:dyDescent="0.25">
      <c r="A513" t="s">
        <v>796</v>
      </c>
      <c r="B513" t="s">
        <v>561</v>
      </c>
      <c r="C513" s="1">
        <v>8248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/>
      <c r="K513" s="1"/>
    </row>
    <row r="514" spans="1:11" x14ac:dyDescent="0.25">
      <c r="A514" t="s">
        <v>817</v>
      </c>
      <c r="B514" t="s">
        <v>562</v>
      </c>
      <c r="C514" s="1">
        <f>5751</f>
        <v>5751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/>
      <c r="K514" s="1"/>
    </row>
    <row r="515" spans="1:11" x14ac:dyDescent="0.25">
      <c r="A515" t="s">
        <v>248</v>
      </c>
      <c r="B515" t="s">
        <v>563</v>
      </c>
      <c r="C515" s="1">
        <f>22030</f>
        <v>22030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/>
      <c r="K515" s="1"/>
    </row>
    <row r="516" spans="1:11" x14ac:dyDescent="0.25">
      <c r="A516" t="s">
        <v>791</v>
      </c>
      <c r="B516" t="s">
        <v>564</v>
      </c>
      <c r="C516" s="1">
        <f>6800</f>
        <v>6800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/>
      <c r="K516" s="1"/>
    </row>
    <row r="517" spans="1:11" x14ac:dyDescent="0.25">
      <c r="A517" t="s">
        <v>69</v>
      </c>
      <c r="B517" t="s">
        <v>565</v>
      </c>
      <c r="C517" s="1">
        <f>13161</f>
        <v>13161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/>
      <c r="K517" s="1"/>
    </row>
    <row r="518" spans="1:11" x14ac:dyDescent="0.25">
      <c r="A518" t="s">
        <v>794</v>
      </c>
      <c r="B518" t="s">
        <v>566</v>
      </c>
      <c r="C518" s="1">
        <f>2489</f>
        <v>2489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/>
      <c r="K518" s="1"/>
    </row>
    <row r="519" spans="1:11" x14ac:dyDescent="0.25">
      <c r="A519" t="s">
        <v>797</v>
      </c>
      <c r="B519" t="s">
        <v>567</v>
      </c>
      <c r="C519" s="1">
        <f>1687</f>
        <v>1687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/>
      <c r="K519" s="1"/>
    </row>
    <row r="520" spans="1:11" x14ac:dyDescent="0.25">
      <c r="A520" t="s">
        <v>826</v>
      </c>
      <c r="B520" t="s">
        <v>568</v>
      </c>
      <c r="C520" s="1"/>
      <c r="D520" s="1"/>
      <c r="E520" s="1"/>
      <c r="F520" s="1"/>
      <c r="G520" s="1"/>
      <c r="H520" s="1"/>
      <c r="I520" s="1"/>
      <c r="J520" s="1"/>
      <c r="K520" s="1"/>
    </row>
    <row r="521" spans="1:11" x14ac:dyDescent="0.25">
      <c r="A521" t="s">
        <v>864</v>
      </c>
      <c r="B521" t="s">
        <v>569</v>
      </c>
      <c r="C521" s="1">
        <f>10801</f>
        <v>10801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/>
      <c r="K521" s="1"/>
    </row>
    <row r="522" spans="1:11" x14ac:dyDescent="0.25">
      <c r="A522" t="s">
        <v>826</v>
      </c>
      <c r="B522" t="s">
        <v>570</v>
      </c>
      <c r="C522" s="1"/>
      <c r="D522" s="1"/>
      <c r="E522" s="1"/>
      <c r="F522" s="1"/>
      <c r="G522" s="1"/>
      <c r="H522" s="1"/>
      <c r="I522" s="1"/>
      <c r="J522" s="1"/>
      <c r="K522" s="1"/>
    </row>
    <row r="523" spans="1:11" x14ac:dyDescent="0.25">
      <c r="A523" t="s">
        <v>72</v>
      </c>
      <c r="B523" t="s">
        <v>571</v>
      </c>
      <c r="C523" s="1">
        <f>17470</f>
        <v>17470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/>
      <c r="K523" s="1"/>
    </row>
    <row r="524" spans="1:11" x14ac:dyDescent="0.25">
      <c r="A524" t="s">
        <v>801</v>
      </c>
      <c r="B524" t="s">
        <v>572</v>
      </c>
      <c r="C524" s="1">
        <f>19430</f>
        <v>19430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/>
      <c r="K524" s="1"/>
    </row>
    <row r="525" spans="1:11" x14ac:dyDescent="0.25">
      <c r="A525" t="s">
        <v>859</v>
      </c>
      <c r="B525" t="s">
        <v>573</v>
      </c>
      <c r="C525" s="1">
        <f>4143</f>
        <v>4143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/>
      <c r="K525" s="1"/>
    </row>
    <row r="526" spans="1:11" x14ac:dyDescent="0.25">
      <c r="A526" t="s">
        <v>816</v>
      </c>
      <c r="B526" t="s">
        <v>574</v>
      </c>
      <c r="C526" s="1">
        <f>12550</f>
        <v>12550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/>
      <c r="K526" s="1"/>
    </row>
    <row r="527" spans="1:11" x14ac:dyDescent="0.25">
      <c r="A527" t="s">
        <v>864</v>
      </c>
      <c r="B527" t="s">
        <v>575</v>
      </c>
      <c r="C527" s="1">
        <f>21825</f>
        <v>21825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/>
      <c r="K527" s="1"/>
    </row>
    <row r="528" spans="1:11" x14ac:dyDescent="0.25">
      <c r="A528" t="s">
        <v>146</v>
      </c>
      <c r="B528" t="s">
        <v>576</v>
      </c>
      <c r="C528" s="1">
        <f>2210</f>
        <v>2210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/>
      <c r="K528" s="1"/>
    </row>
    <row r="529" spans="1:11" x14ac:dyDescent="0.25">
      <c r="A529" t="s">
        <v>794</v>
      </c>
      <c r="B529" t="s">
        <v>577</v>
      </c>
      <c r="C529" s="1">
        <f>11027</f>
        <v>11027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/>
      <c r="K529" s="1"/>
    </row>
    <row r="530" spans="1:11" x14ac:dyDescent="0.25">
      <c r="A530" t="s">
        <v>146</v>
      </c>
      <c r="B530" t="s">
        <v>578</v>
      </c>
      <c r="C530" s="1">
        <f>19373</f>
        <v>19373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/>
      <c r="K530" s="1"/>
    </row>
    <row r="531" spans="1:11" x14ac:dyDescent="0.25">
      <c r="A531" t="s">
        <v>832</v>
      </c>
      <c r="B531" t="s">
        <v>579</v>
      </c>
      <c r="C531" s="1">
        <f>5986</f>
        <v>5986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/>
      <c r="K531" s="1"/>
    </row>
    <row r="532" spans="1:11" x14ac:dyDescent="0.25">
      <c r="A532" t="s">
        <v>839</v>
      </c>
      <c r="B532" t="s">
        <v>580</v>
      </c>
      <c r="C532" s="1">
        <f>21390</f>
        <v>21390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/>
      <c r="K532" s="1"/>
    </row>
    <row r="533" spans="1:11" x14ac:dyDescent="0.25">
      <c r="A533" t="s">
        <v>794</v>
      </c>
      <c r="B533" t="s">
        <v>581</v>
      </c>
      <c r="C533" s="1">
        <f>36005</f>
        <v>36005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/>
      <c r="K533" s="1"/>
    </row>
    <row r="534" spans="1:11" x14ac:dyDescent="0.25">
      <c r="A534" t="s">
        <v>794</v>
      </c>
      <c r="B534" t="s">
        <v>582</v>
      </c>
      <c r="C534" s="1">
        <f>16273</f>
        <v>16273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/>
      <c r="K534" s="1"/>
    </row>
    <row r="535" spans="1:11" x14ac:dyDescent="0.25">
      <c r="A535" t="s">
        <v>794</v>
      </c>
      <c r="B535" t="s">
        <v>583</v>
      </c>
      <c r="C535" s="1">
        <f>4781</f>
        <v>4781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/>
      <c r="K535" s="1"/>
    </row>
    <row r="536" spans="1:11" x14ac:dyDescent="0.25">
      <c r="A536" t="s">
        <v>120</v>
      </c>
      <c r="B536" t="s">
        <v>584</v>
      </c>
      <c r="C536" s="1">
        <f>1563</f>
        <v>1563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/>
      <c r="K536" s="1"/>
    </row>
    <row r="537" spans="1:11" x14ac:dyDescent="0.25">
      <c r="A537" t="s">
        <v>837</v>
      </c>
      <c r="B537" t="s">
        <v>585</v>
      </c>
      <c r="C537" s="1">
        <f>6040</f>
        <v>6040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/>
      <c r="K537" s="1"/>
    </row>
    <row r="538" spans="1:11" x14ac:dyDescent="0.25">
      <c r="A538" t="s">
        <v>805</v>
      </c>
      <c r="B538" t="s">
        <v>586</v>
      </c>
      <c r="C538" s="1"/>
      <c r="D538" s="1"/>
      <c r="E538" s="1"/>
      <c r="F538" s="1"/>
      <c r="G538" s="1"/>
      <c r="H538" s="1"/>
      <c r="I538" s="1"/>
      <c r="J538" s="1"/>
      <c r="K538" s="1"/>
    </row>
    <row r="539" spans="1:11" x14ac:dyDescent="0.25">
      <c r="A539" t="s">
        <v>836</v>
      </c>
      <c r="B539" t="s">
        <v>587</v>
      </c>
      <c r="C539" s="1">
        <f>19825</f>
        <v>19825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/>
      <c r="K539" s="1"/>
    </row>
    <row r="540" spans="1:11" x14ac:dyDescent="0.25">
      <c r="A540" t="s">
        <v>844</v>
      </c>
      <c r="B540" t="s">
        <v>588</v>
      </c>
      <c r="C540" s="1">
        <f>12004</f>
        <v>12004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/>
      <c r="K540" s="1"/>
    </row>
    <row r="541" spans="1:11" x14ac:dyDescent="0.25">
      <c r="A541" t="s">
        <v>838</v>
      </c>
      <c r="B541" t="s">
        <v>589</v>
      </c>
      <c r="C541" s="1">
        <f>6772</f>
        <v>6772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/>
      <c r="K541" s="1"/>
    </row>
    <row r="542" spans="1:11" x14ac:dyDescent="0.25">
      <c r="A542" t="s">
        <v>833</v>
      </c>
      <c r="B542" t="s">
        <v>590</v>
      </c>
      <c r="C542" s="1">
        <f>13974</f>
        <v>13974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/>
      <c r="K542" s="1"/>
    </row>
    <row r="543" spans="1:11" x14ac:dyDescent="0.25">
      <c r="A543" t="s">
        <v>845</v>
      </c>
      <c r="B543" t="s">
        <v>591</v>
      </c>
      <c r="C543" s="1">
        <f>536</f>
        <v>536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/>
      <c r="K543" s="1"/>
    </row>
    <row r="544" spans="1:11" x14ac:dyDescent="0.25">
      <c r="A544" t="s">
        <v>794</v>
      </c>
      <c r="B544" t="s">
        <v>592</v>
      </c>
      <c r="C544" s="1">
        <f>1640</f>
        <v>1640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/>
      <c r="K544" s="1"/>
    </row>
    <row r="545" spans="1:11" x14ac:dyDescent="0.25">
      <c r="A545" t="s">
        <v>843</v>
      </c>
      <c r="B545" t="s">
        <v>593</v>
      </c>
      <c r="C545" s="1">
        <f>1873</f>
        <v>1873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/>
      <c r="K545" s="1"/>
    </row>
    <row r="546" spans="1:11" x14ac:dyDescent="0.25">
      <c r="A546" t="s">
        <v>863</v>
      </c>
      <c r="B546" t="s">
        <v>594</v>
      </c>
      <c r="C546" s="1">
        <f>3791</f>
        <v>3791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/>
      <c r="K546" s="1"/>
    </row>
    <row r="547" spans="1:11" x14ac:dyDescent="0.25">
      <c r="A547" t="s">
        <v>804</v>
      </c>
      <c r="B547" t="s">
        <v>595</v>
      </c>
      <c r="C547" s="1">
        <f>2531</f>
        <v>2531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/>
      <c r="K547" s="1"/>
    </row>
    <row r="548" spans="1:11" x14ac:dyDescent="0.25">
      <c r="A548" t="s">
        <v>795</v>
      </c>
      <c r="B548" t="s">
        <v>596</v>
      </c>
      <c r="C548" s="1">
        <f>5603</f>
        <v>5603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/>
      <c r="K548" s="1"/>
    </row>
    <row r="549" spans="1:11" x14ac:dyDescent="0.25">
      <c r="A549" t="s">
        <v>101</v>
      </c>
      <c r="B549" t="s">
        <v>597</v>
      </c>
      <c r="C549" s="1">
        <f>12550</f>
        <v>12550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/>
      <c r="K549" s="1"/>
    </row>
    <row r="550" spans="1:11" x14ac:dyDescent="0.25">
      <c r="A550" t="s">
        <v>835</v>
      </c>
      <c r="B550" t="s">
        <v>598</v>
      </c>
      <c r="C550" s="1">
        <f>4850</f>
        <v>4850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/>
      <c r="K550" s="1"/>
    </row>
    <row r="551" spans="1:11" x14ac:dyDescent="0.25">
      <c r="A551" t="s">
        <v>842</v>
      </c>
      <c r="B551" t="s">
        <v>599</v>
      </c>
      <c r="C551" s="1">
        <f>3200</f>
        <v>3200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/>
      <c r="K551" s="1"/>
    </row>
    <row r="552" spans="1:11" x14ac:dyDescent="0.25">
      <c r="A552" t="s">
        <v>226</v>
      </c>
      <c r="B552" t="s">
        <v>600</v>
      </c>
      <c r="C552" s="1">
        <f>2317</f>
        <v>2317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/>
      <c r="K552" s="1"/>
    </row>
    <row r="553" spans="1:11" x14ac:dyDescent="0.25">
      <c r="A553" t="s">
        <v>817</v>
      </c>
      <c r="B553" t="s">
        <v>601</v>
      </c>
      <c r="C553" s="1">
        <f>12663</f>
        <v>12663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/>
      <c r="K553" s="1"/>
    </row>
    <row r="554" spans="1:11" x14ac:dyDescent="0.25">
      <c r="A554" t="s">
        <v>788</v>
      </c>
      <c r="B554" t="s">
        <v>602</v>
      </c>
      <c r="C554" s="1">
        <f>15156</f>
        <v>15156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/>
      <c r="K554" s="1"/>
    </row>
    <row r="555" spans="1:11" x14ac:dyDescent="0.25">
      <c r="A555" t="s">
        <v>859</v>
      </c>
      <c r="B555" t="s">
        <v>603</v>
      </c>
      <c r="C555" s="1">
        <v>2632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/>
      <c r="K555" s="1"/>
    </row>
    <row r="556" spans="1:11" x14ac:dyDescent="0.25">
      <c r="A556" t="s">
        <v>831</v>
      </c>
      <c r="B556" t="s">
        <v>604</v>
      </c>
      <c r="C556" s="1">
        <f>11928</f>
        <v>11928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/>
      <c r="K556" s="1"/>
    </row>
    <row r="557" spans="1:11" x14ac:dyDescent="0.25">
      <c r="A557" t="s">
        <v>809</v>
      </c>
      <c r="B557" t="s">
        <v>605</v>
      </c>
      <c r="C557" s="1">
        <f>929</f>
        <v>929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/>
      <c r="K557" s="1"/>
    </row>
    <row r="558" spans="1:11" x14ac:dyDescent="0.25">
      <c r="A558" t="s">
        <v>817</v>
      </c>
      <c r="B558" t="s">
        <v>606</v>
      </c>
      <c r="C558" s="1">
        <f>54700</f>
        <v>54700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/>
      <c r="K558" s="1"/>
    </row>
    <row r="559" spans="1:11" x14ac:dyDescent="0.25">
      <c r="A559" t="s">
        <v>824</v>
      </c>
      <c r="B559" t="s">
        <v>607</v>
      </c>
      <c r="C559" s="1">
        <f>3047</f>
        <v>3047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/>
      <c r="K559" s="1"/>
    </row>
    <row r="560" spans="1:11" x14ac:dyDescent="0.25">
      <c r="A560" t="s">
        <v>138</v>
      </c>
      <c r="B560" t="s">
        <v>608</v>
      </c>
      <c r="C560" s="1">
        <f>19448</f>
        <v>19448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/>
      <c r="K560" s="1"/>
    </row>
    <row r="561" spans="1:11" x14ac:dyDescent="0.25">
      <c r="A561" t="s">
        <v>859</v>
      </c>
      <c r="B561" t="s">
        <v>609</v>
      </c>
      <c r="C561" s="1">
        <v>2642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/>
      <c r="K561" s="1"/>
    </row>
    <row r="562" spans="1:11" x14ac:dyDescent="0.25">
      <c r="A562" t="s">
        <v>817</v>
      </c>
      <c r="B562" t="s">
        <v>610</v>
      </c>
      <c r="C562" s="1">
        <f>29515</f>
        <v>29515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/>
      <c r="K562" s="1"/>
    </row>
    <row r="563" spans="1:11" x14ac:dyDescent="0.25">
      <c r="A563" t="s">
        <v>817</v>
      </c>
      <c r="B563" t="s">
        <v>611</v>
      </c>
      <c r="C563" s="1">
        <f>8403</f>
        <v>8403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/>
      <c r="K563" s="1"/>
    </row>
    <row r="564" spans="1:11" x14ac:dyDescent="0.25">
      <c r="A564" t="s">
        <v>134</v>
      </c>
      <c r="B564" t="s">
        <v>612</v>
      </c>
      <c r="C564" s="1">
        <f>33229</f>
        <v>33229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/>
      <c r="K564" s="1"/>
    </row>
    <row r="565" spans="1:11" x14ac:dyDescent="0.25">
      <c r="A565" t="s">
        <v>817</v>
      </c>
      <c r="B565" t="s">
        <v>613</v>
      </c>
      <c r="C565" s="1">
        <f>34396</f>
        <v>34396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/>
      <c r="K565" s="1"/>
    </row>
    <row r="566" spans="1:11" x14ac:dyDescent="0.25">
      <c r="A566" t="s">
        <v>817</v>
      </c>
      <c r="B566" t="s">
        <v>614</v>
      </c>
      <c r="C566" s="1">
        <f>2934</f>
        <v>2934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/>
      <c r="K566" s="1"/>
    </row>
    <row r="567" spans="1:11" x14ac:dyDescent="0.25">
      <c r="A567" t="s">
        <v>826</v>
      </c>
      <c r="B567" t="s">
        <v>615</v>
      </c>
      <c r="C567" s="1">
        <f>5551</f>
        <v>5551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/>
      <c r="K567" s="1"/>
    </row>
    <row r="568" spans="1:11" x14ac:dyDescent="0.25">
      <c r="A568" t="s">
        <v>101</v>
      </c>
      <c r="B568" t="s">
        <v>616</v>
      </c>
      <c r="C568" s="1">
        <f>10246</f>
        <v>10246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/>
      <c r="K568" s="1"/>
    </row>
    <row r="569" spans="1:11" x14ac:dyDescent="0.25">
      <c r="A569" t="s">
        <v>811</v>
      </c>
      <c r="B569" t="s">
        <v>617</v>
      </c>
      <c r="C569" s="1">
        <f>2713</f>
        <v>2713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/>
      <c r="K569" s="1"/>
    </row>
    <row r="570" spans="1:11" x14ac:dyDescent="0.25">
      <c r="A570" t="s">
        <v>101</v>
      </c>
      <c r="B570" t="s">
        <v>618</v>
      </c>
      <c r="C570" s="1">
        <f>4029</f>
        <v>4029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/>
      <c r="K570" s="1"/>
    </row>
    <row r="571" spans="1:11" x14ac:dyDescent="0.25">
      <c r="A571" t="s">
        <v>788</v>
      </c>
      <c r="B571" t="s">
        <v>619</v>
      </c>
      <c r="C571" s="1">
        <f>14191</f>
        <v>14191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/>
      <c r="K571" s="1"/>
    </row>
    <row r="572" spans="1:11" x14ac:dyDescent="0.25">
      <c r="A572" t="s">
        <v>817</v>
      </c>
      <c r="B572" t="s">
        <v>620</v>
      </c>
      <c r="C572" s="1">
        <f>14177</f>
        <v>14177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/>
      <c r="K572" s="1"/>
    </row>
    <row r="573" spans="1:11" x14ac:dyDescent="0.25">
      <c r="A573" t="s">
        <v>248</v>
      </c>
      <c r="B573" t="s">
        <v>621</v>
      </c>
      <c r="C573" s="1">
        <f>4977</f>
        <v>4977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/>
      <c r="K573" s="1"/>
    </row>
    <row r="574" spans="1:11" x14ac:dyDescent="0.25">
      <c r="A574" t="s">
        <v>831</v>
      </c>
      <c r="B574" t="s">
        <v>622</v>
      </c>
      <c r="C574" s="1">
        <f>24858</f>
        <v>24858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/>
      <c r="K574" s="1"/>
    </row>
    <row r="575" spans="1:11" x14ac:dyDescent="0.25">
      <c r="A575" t="s">
        <v>823</v>
      </c>
      <c r="B575" t="s">
        <v>623</v>
      </c>
      <c r="C575" s="1">
        <f>3709</f>
        <v>3709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/>
      <c r="K575" s="1"/>
    </row>
    <row r="576" spans="1:11" x14ac:dyDescent="0.25">
      <c r="A576" t="s">
        <v>817</v>
      </c>
      <c r="B576" t="s">
        <v>624</v>
      </c>
      <c r="C576" s="1">
        <f>7716</f>
        <v>7716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/>
      <c r="K576" s="1"/>
    </row>
    <row r="577" spans="1:11" x14ac:dyDescent="0.25">
      <c r="A577" t="s">
        <v>76</v>
      </c>
      <c r="B577" t="s">
        <v>625</v>
      </c>
      <c r="C577" s="1">
        <f>17404</f>
        <v>17404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/>
      <c r="K577" s="1"/>
    </row>
    <row r="578" spans="1:11" x14ac:dyDescent="0.25">
      <c r="A578" t="s">
        <v>69</v>
      </c>
      <c r="B578" t="s">
        <v>626</v>
      </c>
      <c r="C578" s="1">
        <f>38702</f>
        <v>38702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/>
      <c r="K578" s="1"/>
    </row>
    <row r="579" spans="1:11" x14ac:dyDescent="0.25">
      <c r="A579" t="s">
        <v>83</v>
      </c>
      <c r="B579" t="s">
        <v>627</v>
      </c>
      <c r="C579" s="1">
        <f>6183</f>
        <v>6183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/>
      <c r="K579" s="1"/>
    </row>
    <row r="580" spans="1:11" x14ac:dyDescent="0.25">
      <c r="A580" t="s">
        <v>791</v>
      </c>
      <c r="B580" t="s">
        <v>628</v>
      </c>
      <c r="C580" s="1">
        <f>4030</f>
        <v>4030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/>
      <c r="K580" s="1"/>
    </row>
    <row r="581" spans="1:11" x14ac:dyDescent="0.25">
      <c r="A581" t="s">
        <v>797</v>
      </c>
      <c r="B581" t="s">
        <v>629</v>
      </c>
      <c r="C581" s="1">
        <v>579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/>
      <c r="K581" s="1"/>
    </row>
    <row r="582" spans="1:11" x14ac:dyDescent="0.25">
      <c r="A582" t="s">
        <v>69</v>
      </c>
      <c r="B582" t="s">
        <v>630</v>
      </c>
      <c r="C582" s="1">
        <f>9991</f>
        <v>9991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/>
      <c r="K582" s="1"/>
    </row>
    <row r="583" spans="1:11" x14ac:dyDescent="0.25">
      <c r="A583" t="s">
        <v>69</v>
      </c>
      <c r="B583" t="s">
        <v>631</v>
      </c>
      <c r="C583" s="1">
        <f>25145</f>
        <v>25145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/>
      <c r="K583" s="1"/>
    </row>
    <row r="584" spans="1:11" x14ac:dyDescent="0.25">
      <c r="A584" t="s">
        <v>823</v>
      </c>
      <c r="B584" t="s">
        <v>632</v>
      </c>
      <c r="C584" s="1">
        <f>1780</f>
        <v>1780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/>
      <c r="K584" s="1"/>
    </row>
    <row r="585" spans="1:11" x14ac:dyDescent="0.25">
      <c r="A585" t="s">
        <v>76</v>
      </c>
      <c r="B585" t="s">
        <v>633</v>
      </c>
      <c r="C585" s="1">
        <f>8332</f>
        <v>8332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/>
      <c r="K585" s="1"/>
    </row>
    <row r="586" spans="1:11" x14ac:dyDescent="0.25">
      <c r="A586" t="s">
        <v>817</v>
      </c>
      <c r="B586" t="s">
        <v>634</v>
      </c>
      <c r="C586" s="1">
        <f>5073</f>
        <v>5073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/>
      <c r="K586" s="1"/>
    </row>
    <row r="587" spans="1:11" x14ac:dyDescent="0.25">
      <c r="A587" t="s">
        <v>801</v>
      </c>
      <c r="B587" t="s">
        <v>635</v>
      </c>
      <c r="C587" s="1">
        <f>35572</f>
        <v>35572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/>
      <c r="K587" s="1"/>
    </row>
    <row r="588" spans="1:11" x14ac:dyDescent="0.25">
      <c r="A588" t="s">
        <v>817</v>
      </c>
      <c r="B588" t="s">
        <v>636</v>
      </c>
      <c r="C588" s="1">
        <f>7215</f>
        <v>7215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/>
      <c r="K588" s="1"/>
    </row>
    <row r="589" spans="1:11" x14ac:dyDescent="0.25">
      <c r="A589" t="s">
        <v>824</v>
      </c>
      <c r="B589" t="s">
        <v>637</v>
      </c>
      <c r="C589" s="1">
        <f>6560</f>
        <v>6560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/>
      <c r="K589" s="1"/>
    </row>
    <row r="590" spans="1:11" x14ac:dyDescent="0.25">
      <c r="A590" t="s">
        <v>818</v>
      </c>
      <c r="B590" t="s">
        <v>638</v>
      </c>
      <c r="C590" s="1">
        <f>18709</f>
        <v>18709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/>
      <c r="K590" s="1"/>
    </row>
    <row r="591" spans="1:11" x14ac:dyDescent="0.25">
      <c r="A591" t="s">
        <v>817</v>
      </c>
      <c r="B591" t="s">
        <v>639</v>
      </c>
      <c r="C591" s="1">
        <f>12890</f>
        <v>12890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/>
      <c r="K591" s="1"/>
    </row>
    <row r="592" spans="1:11" x14ac:dyDescent="0.25">
      <c r="A592" t="s">
        <v>811</v>
      </c>
      <c r="B592" t="s">
        <v>640</v>
      </c>
      <c r="C592" s="1">
        <f>74878</f>
        <v>74878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/>
      <c r="K592" s="1"/>
    </row>
    <row r="593" spans="1:11" x14ac:dyDescent="0.25">
      <c r="A593" t="s">
        <v>811</v>
      </c>
      <c r="B593" t="s">
        <v>641</v>
      </c>
      <c r="C593" s="1">
        <f>20523</f>
        <v>20523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/>
      <c r="K593" s="1"/>
    </row>
    <row r="594" spans="1:11" x14ac:dyDescent="0.25">
      <c r="A594" t="s">
        <v>76</v>
      </c>
      <c r="B594" t="s">
        <v>642</v>
      </c>
      <c r="C594" s="1">
        <f>2883</f>
        <v>2883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/>
      <c r="K594" s="1"/>
    </row>
    <row r="595" spans="1:11" x14ac:dyDescent="0.25">
      <c r="A595" t="s">
        <v>817</v>
      </c>
      <c r="B595" t="s">
        <v>643</v>
      </c>
      <c r="C595" s="1">
        <v>758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/>
      <c r="K595" s="1"/>
    </row>
    <row r="596" spans="1:11" x14ac:dyDescent="0.25">
      <c r="A596" t="s">
        <v>76</v>
      </c>
      <c r="B596" t="s">
        <v>644</v>
      </c>
      <c r="C596" s="1">
        <f>5807</f>
        <v>5807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/>
      <c r="K596" s="1"/>
    </row>
    <row r="597" spans="1:11" x14ac:dyDescent="0.25">
      <c r="A597" t="s">
        <v>817</v>
      </c>
      <c r="B597" t="s">
        <v>645</v>
      </c>
      <c r="C597" s="1">
        <f>24260</f>
        <v>24260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/>
      <c r="K597" s="1"/>
    </row>
    <row r="598" spans="1:11" x14ac:dyDescent="0.25">
      <c r="A598" t="s">
        <v>817</v>
      </c>
      <c r="B598" t="s">
        <v>646</v>
      </c>
      <c r="C598" s="1">
        <f>6816</f>
        <v>6816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/>
      <c r="K598" s="1"/>
    </row>
    <row r="599" spans="1:11" x14ac:dyDescent="0.25">
      <c r="A599" t="s">
        <v>226</v>
      </c>
      <c r="B599" t="s">
        <v>647</v>
      </c>
      <c r="C599" s="1">
        <f>690</f>
        <v>690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/>
      <c r="K599" s="1"/>
    </row>
    <row r="600" spans="1:11" x14ac:dyDescent="0.25">
      <c r="A600" t="s">
        <v>831</v>
      </c>
      <c r="B600" t="s">
        <v>648</v>
      </c>
      <c r="C600" s="1">
        <f>22020</f>
        <v>22020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/>
      <c r="K600" s="1"/>
    </row>
    <row r="601" spans="1:11" x14ac:dyDescent="0.25">
      <c r="A601" t="s">
        <v>818</v>
      </c>
      <c r="B601" t="s">
        <v>649</v>
      </c>
      <c r="C601" s="1">
        <f>7949</f>
        <v>7949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/>
      <c r="K601" s="1"/>
    </row>
    <row r="602" spans="1:11" x14ac:dyDescent="0.25">
      <c r="A602" t="s">
        <v>817</v>
      </c>
      <c r="B602" t="s">
        <v>650</v>
      </c>
      <c r="C602" s="1">
        <f>17014</f>
        <v>17014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/>
      <c r="K602" s="1"/>
    </row>
    <row r="603" spans="1:11" x14ac:dyDescent="0.25">
      <c r="A603" t="s">
        <v>817</v>
      </c>
      <c r="B603" t="s">
        <v>651</v>
      </c>
      <c r="C603" s="1">
        <f>9507</f>
        <v>9507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/>
      <c r="K603" s="1"/>
    </row>
    <row r="604" spans="1:11" x14ac:dyDescent="0.25">
      <c r="A604" t="s">
        <v>817</v>
      </c>
      <c r="B604" t="s">
        <v>652</v>
      </c>
      <c r="C604" s="1"/>
      <c r="D604" s="1"/>
      <c r="E604" s="1"/>
      <c r="F604" s="1"/>
      <c r="G604" s="1"/>
      <c r="H604" s="1"/>
      <c r="I604" s="1"/>
      <c r="J604" s="1"/>
      <c r="K604" s="1"/>
    </row>
    <row r="605" spans="1:11" x14ac:dyDescent="0.25">
      <c r="A605" t="s">
        <v>817</v>
      </c>
      <c r="B605" t="s">
        <v>653</v>
      </c>
      <c r="C605" s="1">
        <f>29647</f>
        <v>29647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/>
      <c r="K605" s="1"/>
    </row>
    <row r="606" spans="1:11" x14ac:dyDescent="0.25">
      <c r="A606" t="s">
        <v>817</v>
      </c>
      <c r="B606" t="s">
        <v>654</v>
      </c>
      <c r="C606" s="1">
        <f>21763</f>
        <v>21763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/>
      <c r="K606" s="1"/>
    </row>
    <row r="607" spans="1:11" x14ac:dyDescent="0.25">
      <c r="A607" t="s">
        <v>826</v>
      </c>
      <c r="B607" t="s">
        <v>655</v>
      </c>
      <c r="C607" s="1">
        <f>16079</f>
        <v>16079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/>
      <c r="K607" s="1"/>
    </row>
    <row r="608" spans="1:11" x14ac:dyDescent="0.25">
      <c r="A608" t="s">
        <v>817</v>
      </c>
      <c r="B608" t="s">
        <v>656</v>
      </c>
      <c r="C608" s="1">
        <f>5607</f>
        <v>5607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/>
      <c r="K608" s="1"/>
    </row>
    <row r="609" spans="1:11" x14ac:dyDescent="0.25">
      <c r="A609" t="s">
        <v>811</v>
      </c>
      <c r="B609" t="s">
        <v>657</v>
      </c>
      <c r="C609" s="1">
        <f>32507</f>
        <v>32507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/>
      <c r="K609" s="1"/>
    </row>
    <row r="610" spans="1:11" x14ac:dyDescent="0.25">
      <c r="A610" t="s">
        <v>817</v>
      </c>
      <c r="B610" t="s">
        <v>658</v>
      </c>
      <c r="C610" s="1">
        <f>33740</f>
        <v>33740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/>
      <c r="K610" s="1"/>
    </row>
    <row r="611" spans="1:11" x14ac:dyDescent="0.25">
      <c r="A611" t="s">
        <v>860</v>
      </c>
      <c r="B611" t="s">
        <v>659</v>
      </c>
      <c r="C611" s="1">
        <f>6816</f>
        <v>6816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/>
      <c r="K611" s="1"/>
    </row>
    <row r="612" spans="1:11" x14ac:dyDescent="0.25">
      <c r="A612" t="s">
        <v>248</v>
      </c>
      <c r="B612" t="s">
        <v>660</v>
      </c>
      <c r="C612" s="1">
        <f>8459</f>
        <v>8459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/>
      <c r="K612" s="1"/>
    </row>
    <row r="613" spans="1:11" x14ac:dyDescent="0.25">
      <c r="A613" t="s">
        <v>861</v>
      </c>
      <c r="B613" t="s">
        <v>661</v>
      </c>
      <c r="C613" s="1">
        <f>4911</f>
        <v>4911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/>
      <c r="K613" s="1"/>
    </row>
    <row r="614" spans="1:11" x14ac:dyDescent="0.25">
      <c r="A614" t="s">
        <v>229</v>
      </c>
      <c r="B614" t="s">
        <v>662</v>
      </c>
      <c r="C614" s="1">
        <f>7135</f>
        <v>7135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/>
      <c r="K614" s="1"/>
    </row>
    <row r="615" spans="1:11" x14ac:dyDescent="0.25">
      <c r="A615" t="s">
        <v>101</v>
      </c>
      <c r="B615" t="s">
        <v>663</v>
      </c>
      <c r="C615" s="1">
        <f>4633</f>
        <v>4633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/>
      <c r="K615" s="1"/>
    </row>
    <row r="616" spans="1:11" x14ac:dyDescent="0.25">
      <c r="A616" t="s">
        <v>69</v>
      </c>
      <c r="B616" t="s">
        <v>664</v>
      </c>
      <c r="C616" s="1">
        <f>10403</f>
        <v>10403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/>
      <c r="K616" s="1"/>
    </row>
    <row r="617" spans="1:11" x14ac:dyDescent="0.25">
      <c r="A617" t="s">
        <v>859</v>
      </c>
      <c r="B617" t="s">
        <v>665</v>
      </c>
      <c r="C617" s="1">
        <f>4813</f>
        <v>4813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/>
      <c r="K617" s="1"/>
    </row>
    <row r="618" spans="1:11" x14ac:dyDescent="0.25">
      <c r="A618" t="s">
        <v>804</v>
      </c>
      <c r="B618" t="s">
        <v>666</v>
      </c>
      <c r="C618" s="1">
        <f>20353</f>
        <v>20353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/>
      <c r="K618" s="1"/>
    </row>
    <row r="619" spans="1:11" x14ac:dyDescent="0.25">
      <c r="A619" t="s">
        <v>853</v>
      </c>
      <c r="B619" t="s">
        <v>667</v>
      </c>
      <c r="C619" s="1">
        <f>3144</f>
        <v>3144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/>
      <c r="K619" s="1"/>
    </row>
    <row r="620" spans="1:11" x14ac:dyDescent="0.25">
      <c r="A620" t="s">
        <v>862</v>
      </c>
      <c r="B620" t="s">
        <v>668</v>
      </c>
      <c r="C620" s="1">
        <f>6018</f>
        <v>6018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/>
      <c r="K620" s="1"/>
    </row>
    <row r="621" spans="1:11" x14ac:dyDescent="0.25">
      <c r="A621" t="s">
        <v>847</v>
      </c>
      <c r="B621" t="s">
        <v>669</v>
      </c>
      <c r="C621" s="1">
        <f>2063</f>
        <v>2063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/>
      <c r="K621" s="1"/>
    </row>
    <row r="622" spans="1:11" x14ac:dyDescent="0.25">
      <c r="A622" t="s">
        <v>849</v>
      </c>
      <c r="B622" t="s">
        <v>670</v>
      </c>
      <c r="C622" s="1">
        <f>272</f>
        <v>272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/>
      <c r="K622" s="1"/>
    </row>
    <row r="623" spans="1:11" x14ac:dyDescent="0.25">
      <c r="A623" t="s">
        <v>226</v>
      </c>
      <c r="B623" t="s">
        <v>671</v>
      </c>
      <c r="C623" s="1">
        <f>54</f>
        <v>54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/>
      <c r="K623" s="1"/>
    </row>
    <row r="624" spans="1:11" x14ac:dyDescent="0.25">
      <c r="A624" t="s">
        <v>795</v>
      </c>
      <c r="B624" t="s">
        <v>672</v>
      </c>
      <c r="C624" s="1">
        <f>33263</f>
        <v>33263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/>
      <c r="K624" s="1"/>
    </row>
    <row r="625" spans="1:11" x14ac:dyDescent="0.25">
      <c r="A625" t="s">
        <v>830</v>
      </c>
      <c r="B625" t="s">
        <v>673</v>
      </c>
      <c r="C625" s="1">
        <f>5640</f>
        <v>5640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/>
      <c r="K625" s="1"/>
    </row>
    <row r="626" spans="1:11" x14ac:dyDescent="0.25">
      <c r="A626" t="s">
        <v>795</v>
      </c>
      <c r="B626" t="s">
        <v>674</v>
      </c>
      <c r="C626" s="1">
        <f>29050</f>
        <v>29050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/>
      <c r="K626" s="1"/>
    </row>
    <row r="627" spans="1:11" x14ac:dyDescent="0.25">
      <c r="A627" t="s">
        <v>854</v>
      </c>
      <c r="B627" t="s">
        <v>675</v>
      </c>
      <c r="C627" s="1">
        <f>3122</f>
        <v>3122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/>
      <c r="K627" s="1"/>
    </row>
    <row r="628" spans="1:11" x14ac:dyDescent="0.25">
      <c r="A628" t="s">
        <v>101</v>
      </c>
      <c r="B628" t="s">
        <v>676</v>
      </c>
      <c r="C628" s="1">
        <f>16466</f>
        <v>16466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/>
      <c r="K628" s="1"/>
    </row>
    <row r="629" spans="1:11" x14ac:dyDescent="0.25">
      <c r="A629" t="s">
        <v>226</v>
      </c>
      <c r="B629" t="s">
        <v>677</v>
      </c>
      <c r="C629" s="1">
        <f>2945</f>
        <v>2945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/>
      <c r="K629" s="1"/>
    </row>
    <row r="630" spans="1:11" x14ac:dyDescent="0.25">
      <c r="A630" t="s">
        <v>138</v>
      </c>
      <c r="B630" t="s">
        <v>678</v>
      </c>
      <c r="C630" s="1"/>
      <c r="D630" s="1"/>
      <c r="E630" s="1"/>
      <c r="F630" s="1"/>
      <c r="G630" s="1"/>
      <c r="H630" s="1"/>
      <c r="I630" s="1"/>
      <c r="J630" s="1"/>
      <c r="K630" s="1"/>
    </row>
    <row r="631" spans="1:11" x14ac:dyDescent="0.25">
      <c r="A631" t="s">
        <v>804</v>
      </c>
      <c r="B631" t="s">
        <v>679</v>
      </c>
      <c r="C631" s="1">
        <f>49914</f>
        <v>49914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/>
      <c r="K631" s="1"/>
    </row>
    <row r="632" spans="1:11" x14ac:dyDescent="0.25">
      <c r="A632" t="s">
        <v>823</v>
      </c>
      <c r="B632" t="s">
        <v>680</v>
      </c>
      <c r="C632" s="1">
        <f>22895</f>
        <v>22895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/>
      <c r="K632" s="1"/>
    </row>
    <row r="633" spans="1:11" x14ac:dyDescent="0.25">
      <c r="A633" t="s">
        <v>809</v>
      </c>
      <c r="B633" t="s">
        <v>681</v>
      </c>
      <c r="C633" s="1">
        <f>38355</f>
        <v>38355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/>
      <c r="K633" s="1"/>
    </row>
    <row r="634" spans="1:11" x14ac:dyDescent="0.25">
      <c r="A634" t="s">
        <v>248</v>
      </c>
      <c r="B634" t="s">
        <v>682</v>
      </c>
      <c r="C634" s="1">
        <v>13438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/>
      <c r="K634" s="1"/>
    </row>
    <row r="635" spans="1:11" x14ac:dyDescent="0.25">
      <c r="A635" t="s">
        <v>795</v>
      </c>
      <c r="B635" t="s">
        <v>683</v>
      </c>
      <c r="C635" s="1">
        <f>19393</f>
        <v>19393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/>
      <c r="K635" s="1"/>
    </row>
    <row r="636" spans="1:11" x14ac:dyDescent="0.25">
      <c r="A636" t="s">
        <v>795</v>
      </c>
      <c r="B636" t="s">
        <v>684</v>
      </c>
      <c r="C636" s="1">
        <f>54532</f>
        <v>54532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/>
      <c r="K636" s="1"/>
    </row>
    <row r="637" spans="1:11" x14ac:dyDescent="0.25">
      <c r="A637" t="s">
        <v>795</v>
      </c>
      <c r="B637" t="s">
        <v>685</v>
      </c>
      <c r="C637" s="1">
        <f>7902</f>
        <v>7902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/>
      <c r="K637" s="1"/>
    </row>
    <row r="638" spans="1:11" x14ac:dyDescent="0.25">
      <c r="A638" t="s">
        <v>851</v>
      </c>
      <c r="B638" t="s">
        <v>686</v>
      </c>
      <c r="C638" s="1">
        <v>1743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/>
      <c r="K638" s="1"/>
    </row>
    <row r="639" spans="1:11" x14ac:dyDescent="0.25">
      <c r="A639" t="s">
        <v>841</v>
      </c>
      <c r="B639" t="s">
        <v>687</v>
      </c>
      <c r="C639" s="1">
        <f>11424</f>
        <v>11424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/>
      <c r="K639" s="1"/>
    </row>
    <row r="640" spans="1:11" x14ac:dyDescent="0.25">
      <c r="A640" t="s">
        <v>859</v>
      </c>
      <c r="B640" t="s">
        <v>688</v>
      </c>
      <c r="C640" s="1">
        <f>2631</f>
        <v>2631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/>
      <c r="K640" s="1"/>
    </row>
    <row r="641" spans="1:11" x14ac:dyDescent="0.25">
      <c r="A641" t="s">
        <v>248</v>
      </c>
      <c r="B641" t="s">
        <v>689</v>
      </c>
      <c r="C641" s="1">
        <f>22267</f>
        <v>22267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/>
      <c r="K641" s="1"/>
    </row>
    <row r="642" spans="1:11" x14ac:dyDescent="0.25">
      <c r="A642" t="s">
        <v>831</v>
      </c>
      <c r="B642" t="s">
        <v>690</v>
      </c>
      <c r="C642" s="1">
        <f>10192</f>
        <v>10192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/>
      <c r="K642" s="1"/>
    </row>
    <row r="643" spans="1:11" x14ac:dyDescent="0.25">
      <c r="A643" t="s">
        <v>840</v>
      </c>
      <c r="B643" t="s">
        <v>691</v>
      </c>
      <c r="C643" s="1">
        <f>1386</f>
        <v>1386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/>
      <c r="K643" s="1"/>
    </row>
    <row r="644" spans="1:11" x14ac:dyDescent="0.25">
      <c r="A644" t="s">
        <v>495</v>
      </c>
      <c r="B644" t="s">
        <v>692</v>
      </c>
      <c r="C644" s="1">
        <f>12415</f>
        <v>12415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/>
      <c r="K644" s="1"/>
    </row>
    <row r="645" spans="1:11" x14ac:dyDescent="0.25">
      <c r="A645" t="s">
        <v>824</v>
      </c>
      <c r="B645" t="s">
        <v>693</v>
      </c>
      <c r="C645" s="1">
        <f>8744</f>
        <v>8744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/>
      <c r="K645" s="1"/>
    </row>
    <row r="646" spans="1:11" x14ac:dyDescent="0.25">
      <c r="A646" t="s">
        <v>795</v>
      </c>
      <c r="B646" t="s">
        <v>694</v>
      </c>
      <c r="C646" s="1">
        <f>3895</f>
        <v>3895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/>
      <c r="K646" s="1"/>
    </row>
    <row r="647" spans="1:11" x14ac:dyDescent="0.25">
      <c r="A647" t="s">
        <v>72</v>
      </c>
      <c r="B647" t="s">
        <v>695</v>
      </c>
      <c r="C647" s="1">
        <f>2295</f>
        <v>2295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/>
      <c r="K647" s="1"/>
    </row>
    <row r="648" spans="1:11" x14ac:dyDescent="0.25">
      <c r="A648" t="s">
        <v>795</v>
      </c>
      <c r="B648" t="s">
        <v>696</v>
      </c>
      <c r="C648" s="1">
        <f>8548</f>
        <v>8548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/>
      <c r="K648" s="1"/>
    </row>
    <row r="649" spans="1:11" x14ac:dyDescent="0.25">
      <c r="A649" t="s">
        <v>831</v>
      </c>
      <c r="B649" t="s">
        <v>697</v>
      </c>
      <c r="C649" s="1">
        <f>10142</f>
        <v>10142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/>
      <c r="K649" s="1"/>
    </row>
    <row r="650" spans="1:11" x14ac:dyDescent="0.25">
      <c r="A650" t="s">
        <v>829</v>
      </c>
      <c r="B650" t="s">
        <v>698</v>
      </c>
      <c r="C650" s="1">
        <f>18942</f>
        <v>18942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/>
      <c r="K650" s="1"/>
    </row>
    <row r="651" spans="1:11" x14ac:dyDescent="0.25">
      <c r="A651" t="s">
        <v>811</v>
      </c>
      <c r="B651" t="s">
        <v>699</v>
      </c>
      <c r="C651" s="1">
        <f>17341</f>
        <v>17341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/>
      <c r="K651" s="1"/>
    </row>
    <row r="652" spans="1:11" x14ac:dyDescent="0.25">
      <c r="A652" t="s">
        <v>856</v>
      </c>
      <c r="B652" t="s">
        <v>700</v>
      </c>
      <c r="C652" s="1">
        <f>17867</f>
        <v>17867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/>
      <c r="K652" s="1"/>
    </row>
    <row r="653" spans="1:11" x14ac:dyDescent="0.25">
      <c r="A653" t="s">
        <v>796</v>
      </c>
      <c r="B653" t="s">
        <v>701</v>
      </c>
      <c r="C653" s="1">
        <f>16500</f>
        <v>16500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/>
      <c r="K653" s="1"/>
    </row>
    <row r="654" spans="1:11" x14ac:dyDescent="0.25">
      <c r="A654" t="s">
        <v>512</v>
      </c>
      <c r="B654" t="s">
        <v>702</v>
      </c>
      <c r="C654" s="1">
        <v>2430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/>
      <c r="K654" s="1"/>
    </row>
    <row r="655" spans="1:11" x14ac:dyDescent="0.25">
      <c r="A655" t="s">
        <v>850</v>
      </c>
      <c r="B655" t="s">
        <v>703</v>
      </c>
      <c r="C655" s="1">
        <f>1824</f>
        <v>1824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/>
      <c r="K655" s="1"/>
    </row>
    <row r="656" spans="1:11" x14ac:dyDescent="0.25">
      <c r="A656" t="s">
        <v>146</v>
      </c>
      <c r="B656" t="s">
        <v>704</v>
      </c>
      <c r="C656" s="1">
        <f>10704</f>
        <v>10704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/>
      <c r="K656" s="1"/>
    </row>
    <row r="657" spans="1:11" x14ac:dyDescent="0.25">
      <c r="A657" t="s">
        <v>846</v>
      </c>
      <c r="B657" t="s">
        <v>705</v>
      </c>
      <c r="C657" s="1">
        <f>3536</f>
        <v>3536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/>
      <c r="K657" s="1"/>
    </row>
    <row r="658" spans="1:11" x14ac:dyDescent="0.25">
      <c r="A658" t="s">
        <v>855</v>
      </c>
      <c r="B658" t="s">
        <v>706</v>
      </c>
      <c r="C658" s="1">
        <f>4979</f>
        <v>4979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/>
      <c r="K658" s="1"/>
    </row>
    <row r="659" spans="1:11" x14ac:dyDescent="0.25">
      <c r="A659" t="s">
        <v>794</v>
      </c>
      <c r="B659" t="s">
        <v>707</v>
      </c>
      <c r="C659" s="1">
        <f>4832</f>
        <v>4832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/>
      <c r="K659" s="1"/>
    </row>
    <row r="660" spans="1:11" x14ac:dyDescent="0.25">
      <c r="A660" t="s">
        <v>108</v>
      </c>
      <c r="B660" t="s">
        <v>708</v>
      </c>
      <c r="C660" s="1"/>
      <c r="D660" s="1"/>
      <c r="E660" s="1"/>
      <c r="F660" s="1"/>
      <c r="G660" s="1"/>
      <c r="H660" s="1"/>
      <c r="I660" s="1"/>
      <c r="J660" s="1"/>
      <c r="K660" s="1"/>
    </row>
    <row r="661" spans="1:11" x14ac:dyDescent="0.25">
      <c r="A661" t="s">
        <v>834</v>
      </c>
      <c r="B661" t="s">
        <v>709</v>
      </c>
      <c r="C661" s="1">
        <f>5331</f>
        <v>5331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/>
      <c r="K661" s="1"/>
    </row>
    <row r="662" spans="1:11" x14ac:dyDescent="0.25">
      <c r="A662" t="s">
        <v>852</v>
      </c>
      <c r="B662" t="s">
        <v>710</v>
      </c>
      <c r="C662" s="1">
        <f>4134</f>
        <v>4134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/>
      <c r="K662" s="1"/>
    </row>
    <row r="663" spans="1:11" x14ac:dyDescent="0.25">
      <c r="A663" t="s">
        <v>824</v>
      </c>
      <c r="B663" t="s">
        <v>711</v>
      </c>
      <c r="C663" s="1">
        <f>6980</f>
        <v>6980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/>
      <c r="K663" s="1"/>
    </row>
    <row r="664" spans="1:11" x14ac:dyDescent="0.25">
      <c r="A664" t="s">
        <v>817</v>
      </c>
      <c r="B664" t="s">
        <v>712</v>
      </c>
      <c r="C664" s="1">
        <f>15738</f>
        <v>15738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/>
      <c r="K664" s="1"/>
    </row>
    <row r="665" spans="1:11" x14ac:dyDescent="0.25">
      <c r="A665" t="s">
        <v>857</v>
      </c>
      <c r="B665" t="s">
        <v>713</v>
      </c>
      <c r="C665" s="1">
        <f>5030</f>
        <v>5030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/>
      <c r="K665" s="1"/>
    </row>
    <row r="666" spans="1:11" x14ac:dyDescent="0.25">
      <c r="A666" t="s">
        <v>146</v>
      </c>
      <c r="B666" t="s">
        <v>714</v>
      </c>
      <c r="C666" s="1">
        <f>19411</f>
        <v>19411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/>
      <c r="K666" s="1"/>
    </row>
    <row r="667" spans="1:11" x14ac:dyDescent="0.25">
      <c r="A667" t="s">
        <v>120</v>
      </c>
      <c r="B667" t="s">
        <v>715</v>
      </c>
      <c r="C667" s="1">
        <f>6777</f>
        <v>6777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/>
      <c r="K667" s="1"/>
    </row>
    <row r="668" spans="1:11" x14ac:dyDescent="0.25">
      <c r="A668" t="s">
        <v>146</v>
      </c>
      <c r="B668" t="s">
        <v>716</v>
      </c>
      <c r="C668" s="1">
        <f>5366</f>
        <v>5366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/>
      <c r="K668" s="1"/>
    </row>
    <row r="669" spans="1:11" x14ac:dyDescent="0.25">
      <c r="A669" t="s">
        <v>795</v>
      </c>
      <c r="B669" t="s">
        <v>717</v>
      </c>
      <c r="C669" s="1">
        <f>8419</f>
        <v>8419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/>
      <c r="K669" s="1"/>
    </row>
    <row r="670" spans="1:11" x14ac:dyDescent="0.25">
      <c r="A670" t="s">
        <v>146</v>
      </c>
      <c r="B670" t="s">
        <v>718</v>
      </c>
      <c r="C670" s="1">
        <f>15943</f>
        <v>15943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/>
      <c r="K670" s="1"/>
    </row>
    <row r="671" spans="1:11" x14ac:dyDescent="0.25">
      <c r="A671" t="s">
        <v>816</v>
      </c>
      <c r="B671" t="s">
        <v>719</v>
      </c>
      <c r="C671" s="1">
        <f>2850</f>
        <v>2850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/>
      <c r="K671" s="1"/>
    </row>
    <row r="672" spans="1:11" x14ac:dyDescent="0.25">
      <c r="A672" t="s">
        <v>817</v>
      </c>
      <c r="B672" t="s">
        <v>720</v>
      </c>
      <c r="C672" s="1">
        <f>23338</f>
        <v>23338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/>
      <c r="K672" s="1"/>
    </row>
    <row r="673" spans="1:11" x14ac:dyDescent="0.25">
      <c r="A673" t="s">
        <v>864</v>
      </c>
      <c r="B673" t="s">
        <v>721</v>
      </c>
      <c r="C673" s="1">
        <f>43498</f>
        <v>43498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/>
      <c r="K673" s="1"/>
    </row>
    <row r="674" spans="1:11" x14ac:dyDescent="0.25">
      <c r="A674" t="s">
        <v>146</v>
      </c>
      <c r="B674" t="s">
        <v>722</v>
      </c>
      <c r="C674" s="1">
        <f>5040</f>
        <v>5040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/>
      <c r="K674" s="1"/>
    </row>
    <row r="675" spans="1:11" x14ac:dyDescent="0.25">
      <c r="A675" t="s">
        <v>858</v>
      </c>
      <c r="B675" t="s">
        <v>723</v>
      </c>
      <c r="C675" s="1">
        <f>6605</f>
        <v>6605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/>
      <c r="K675" s="1"/>
    </row>
    <row r="676" spans="1:11" x14ac:dyDescent="0.25">
      <c r="A676" t="s">
        <v>864</v>
      </c>
      <c r="B676" t="s">
        <v>724</v>
      </c>
      <c r="C676" s="1">
        <f>71708</f>
        <v>71708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/>
      <c r="K676" s="1"/>
    </row>
    <row r="677" spans="1:11" x14ac:dyDescent="0.25">
      <c r="A677" t="s">
        <v>794</v>
      </c>
      <c r="B677" t="s">
        <v>725</v>
      </c>
      <c r="C677" s="1">
        <f>20872</f>
        <v>20872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/>
      <c r="K677" s="1"/>
    </row>
    <row r="678" spans="1:11" x14ac:dyDescent="0.25">
      <c r="A678" t="s">
        <v>864</v>
      </c>
      <c r="B678" t="s">
        <v>726</v>
      </c>
      <c r="C678" s="1">
        <f>30212</f>
        <v>30212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/>
      <c r="K678" s="1"/>
    </row>
    <row r="679" spans="1:11" x14ac:dyDescent="0.25">
      <c r="A679" t="s">
        <v>824</v>
      </c>
      <c r="B679" t="s">
        <v>727</v>
      </c>
      <c r="C679" s="1">
        <v>1664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/>
      <c r="K679" s="1"/>
    </row>
    <row r="680" spans="1:11" x14ac:dyDescent="0.25">
      <c r="A680" t="s">
        <v>134</v>
      </c>
      <c r="B680" t="s">
        <v>728</v>
      </c>
      <c r="C680" s="1">
        <f>1849</f>
        <v>1849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/>
      <c r="K680" s="1"/>
    </row>
    <row r="681" spans="1:11" x14ac:dyDescent="0.25">
      <c r="A681" t="s">
        <v>138</v>
      </c>
      <c r="B681" t="s">
        <v>729</v>
      </c>
      <c r="C681" s="1">
        <f>15728</f>
        <v>15728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/>
      <c r="K681" s="1"/>
    </row>
    <row r="682" spans="1:11" x14ac:dyDescent="0.25">
      <c r="A682" t="s">
        <v>788</v>
      </c>
      <c r="B682" t="s">
        <v>730</v>
      </c>
      <c r="C682" s="1">
        <f>1656</f>
        <v>1656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/>
      <c r="K682" s="1"/>
    </row>
    <row r="683" spans="1:11" x14ac:dyDescent="0.25">
      <c r="A683" t="s">
        <v>831</v>
      </c>
      <c r="B683" t="s">
        <v>731</v>
      </c>
      <c r="C683" s="1">
        <f>1484</f>
        <v>1484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/>
      <c r="K683" s="1"/>
    </row>
    <row r="684" spans="1:11" x14ac:dyDescent="0.25">
      <c r="A684" t="s">
        <v>138</v>
      </c>
      <c r="B684" t="s">
        <v>732</v>
      </c>
      <c r="C684" s="1">
        <f>5479</f>
        <v>5479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/>
      <c r="K684" s="1"/>
    </row>
    <row r="685" spans="1:11" x14ac:dyDescent="0.25">
      <c r="A685" t="s">
        <v>809</v>
      </c>
      <c r="B685" t="s">
        <v>733</v>
      </c>
      <c r="C685" s="1">
        <f>18569</f>
        <v>18569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/>
      <c r="K685" s="1"/>
    </row>
    <row r="686" spans="1:11" x14ac:dyDescent="0.25">
      <c r="A686" t="s">
        <v>868</v>
      </c>
      <c r="B686" t="s">
        <v>734</v>
      </c>
      <c r="C686" s="1">
        <v>1506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/>
      <c r="K686" s="1"/>
    </row>
    <row r="687" spans="1:11" x14ac:dyDescent="0.25">
      <c r="A687" t="s">
        <v>817</v>
      </c>
      <c r="B687" t="s">
        <v>735</v>
      </c>
      <c r="C687" s="1">
        <f>5954</f>
        <v>5954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/>
      <c r="K687" s="1"/>
    </row>
    <row r="688" spans="1:11" x14ac:dyDescent="0.25">
      <c r="A688" t="s">
        <v>801</v>
      </c>
      <c r="B688" t="s">
        <v>736</v>
      </c>
      <c r="C688" s="1">
        <v>1111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/>
      <c r="K688" s="1"/>
    </row>
    <row r="689" spans="1:11" x14ac:dyDescent="0.25">
      <c r="A689" t="s">
        <v>138</v>
      </c>
      <c r="B689" t="s">
        <v>737</v>
      </c>
      <c r="C689" s="1">
        <f>10339</f>
        <v>10339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/>
      <c r="K689" s="1"/>
    </row>
    <row r="690" spans="1:11" x14ac:dyDescent="0.25">
      <c r="A690" t="s">
        <v>138</v>
      </c>
      <c r="B690" t="s">
        <v>738</v>
      </c>
      <c r="C690" s="1">
        <f>7982</f>
        <v>7982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/>
      <c r="K690" s="1"/>
    </row>
    <row r="691" spans="1:11" x14ac:dyDescent="0.25">
      <c r="A691" t="s">
        <v>248</v>
      </c>
      <c r="B691" t="s">
        <v>739</v>
      </c>
      <c r="C691" s="1">
        <f>10513</f>
        <v>10513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/>
      <c r="K691" s="1"/>
    </row>
    <row r="692" spans="1:11" x14ac:dyDescent="0.25">
      <c r="A692" t="s">
        <v>138</v>
      </c>
      <c r="B692" t="s">
        <v>740</v>
      </c>
      <c r="C692" s="1">
        <f>4515</f>
        <v>4515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/>
    </row>
    <row r="693" spans="1:11" x14ac:dyDescent="0.25">
      <c r="A693" t="s">
        <v>134</v>
      </c>
      <c r="B693" t="s">
        <v>741</v>
      </c>
      <c r="C693" s="1">
        <f>4638</f>
        <v>4638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/>
    </row>
    <row r="694" spans="1:11" x14ac:dyDescent="0.25">
      <c r="A694" t="s">
        <v>231</v>
      </c>
      <c r="B694" t="s">
        <v>742</v>
      </c>
      <c r="C694" s="1">
        <f>15668</f>
        <v>15668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/>
    </row>
    <row r="695" spans="1:11" x14ac:dyDescent="0.25">
      <c r="A695" t="s">
        <v>83</v>
      </c>
      <c r="B695" t="s">
        <v>743</v>
      </c>
      <c r="C695" s="1">
        <f>1575</f>
        <v>1575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/>
    </row>
    <row r="696" spans="1:11" x14ac:dyDescent="0.25">
      <c r="A696" t="s">
        <v>826</v>
      </c>
      <c r="B696" t="s">
        <v>744</v>
      </c>
      <c r="C696" s="1"/>
      <c r="D696" s="1"/>
      <c r="E696" s="1"/>
      <c r="F696" s="1"/>
      <c r="G696" s="1"/>
      <c r="H696" s="1"/>
      <c r="I696" s="1"/>
      <c r="J696" s="1"/>
    </row>
    <row r="697" spans="1:11" x14ac:dyDescent="0.25">
      <c r="A697" t="s">
        <v>811</v>
      </c>
      <c r="B697" t="s">
        <v>745</v>
      </c>
      <c r="C697" s="1">
        <f>18194</f>
        <v>18194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/>
    </row>
    <row r="698" spans="1:11" x14ac:dyDescent="0.25">
      <c r="A698" t="s">
        <v>248</v>
      </c>
      <c r="B698" t="s">
        <v>746</v>
      </c>
      <c r="C698" s="1">
        <f>77754</f>
        <v>77754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/>
    </row>
    <row r="699" spans="1:11" x14ac:dyDescent="0.25">
      <c r="A699" t="s">
        <v>801</v>
      </c>
      <c r="B699" t="s">
        <v>747</v>
      </c>
      <c r="C699" s="1">
        <f>3941+1</f>
        <v>3942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/>
    </row>
    <row r="700" spans="1:11" x14ac:dyDescent="0.25">
      <c r="A700" t="s">
        <v>809</v>
      </c>
      <c r="B700" t="s">
        <v>748</v>
      </c>
      <c r="C700" s="1">
        <f>13619+2+6+2+334+1+1+251</f>
        <v>14216</v>
      </c>
      <c r="D700" s="1">
        <f>254+11</f>
        <v>265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/>
    </row>
    <row r="701" spans="1:11" x14ac:dyDescent="0.25">
      <c r="A701" t="s">
        <v>823</v>
      </c>
      <c r="B701" t="s">
        <v>749</v>
      </c>
      <c r="C701" s="1">
        <f>31665+12+307+2</f>
        <v>31986</v>
      </c>
      <c r="D701" s="1">
        <f>10+30</f>
        <v>40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/>
    </row>
    <row r="702" spans="1:11" x14ac:dyDescent="0.25">
      <c r="A702" t="s">
        <v>226</v>
      </c>
      <c r="B702" t="s">
        <v>750</v>
      </c>
      <c r="C702" s="1">
        <f>2428+7+2</f>
        <v>2437</v>
      </c>
      <c r="D702" s="1">
        <f>34</f>
        <v>34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/>
    </row>
    <row r="703" spans="1:11" x14ac:dyDescent="0.25">
      <c r="A703" t="s">
        <v>811</v>
      </c>
      <c r="B703" t="s">
        <v>751</v>
      </c>
      <c r="C703" s="1">
        <f>6269+7</f>
        <v>6276</v>
      </c>
      <c r="D703" s="1">
        <f>21+7</f>
        <v>28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/>
    </row>
    <row r="704" spans="1:11" x14ac:dyDescent="0.25">
      <c r="A704" t="s">
        <v>797</v>
      </c>
      <c r="B704" t="s">
        <v>752</v>
      </c>
      <c r="C704" s="1">
        <f>25249+1+4+3+8</f>
        <v>25265</v>
      </c>
      <c r="D704" s="1">
        <f>31+4</f>
        <v>35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/>
    </row>
    <row r="705" spans="1:10" x14ac:dyDescent="0.25">
      <c r="A705" t="s">
        <v>69</v>
      </c>
      <c r="B705" t="s">
        <v>753</v>
      </c>
      <c r="C705" s="1">
        <f>39332+5+2</f>
        <v>39339</v>
      </c>
      <c r="D705" s="1">
        <f>14+4</f>
        <v>18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/>
    </row>
    <row r="706" spans="1:10" x14ac:dyDescent="0.25">
      <c r="A706" t="s">
        <v>824</v>
      </c>
      <c r="B706" t="s">
        <v>754</v>
      </c>
      <c r="C706" s="1">
        <f>9248+32</f>
        <v>9280</v>
      </c>
      <c r="D706" s="1">
        <f>20</f>
        <v>20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/>
    </row>
    <row r="707" spans="1:10" x14ac:dyDescent="0.25">
      <c r="A707" t="s">
        <v>817</v>
      </c>
      <c r="B707" t="s">
        <v>755</v>
      </c>
      <c r="C707" s="1">
        <f>48223+5+1+49+1+61+4+1+1+54</f>
        <v>48400</v>
      </c>
      <c r="D707" s="1">
        <f>66+1+5+27</f>
        <v>99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/>
    </row>
    <row r="708" spans="1:10" x14ac:dyDescent="0.25">
      <c r="A708" t="s">
        <v>794</v>
      </c>
      <c r="B708" t="s">
        <v>756</v>
      </c>
      <c r="C708" s="1">
        <f>33124+23+1+4</f>
        <v>33152</v>
      </c>
      <c r="D708" s="1">
        <f>120+2+7</f>
        <v>129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/>
    </row>
    <row r="709" spans="1:10" x14ac:dyDescent="0.25">
      <c r="A709" t="s">
        <v>120</v>
      </c>
      <c r="B709" t="s">
        <v>757</v>
      </c>
      <c r="C709" s="1">
        <f>19854+3+59+1+1020</f>
        <v>20937</v>
      </c>
      <c r="D709" s="1">
        <f>71</f>
        <v>71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/>
    </row>
    <row r="710" spans="1:10" x14ac:dyDescent="0.25">
      <c r="A710" t="s">
        <v>788</v>
      </c>
      <c r="B710" t="s">
        <v>758</v>
      </c>
      <c r="C710" s="1">
        <f>18751+1111</f>
        <v>19862</v>
      </c>
      <c r="D710" s="1">
        <f>1</f>
        <v>1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/>
    </row>
    <row r="711" spans="1:10" x14ac:dyDescent="0.25">
      <c r="A711" t="s">
        <v>146</v>
      </c>
      <c r="B711" t="s">
        <v>759</v>
      </c>
      <c r="C711" s="1">
        <f>65971</f>
        <v>65971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/>
    </row>
    <row r="712" spans="1:10" x14ac:dyDescent="0.25">
      <c r="A712" t="s">
        <v>795</v>
      </c>
      <c r="B712" t="s">
        <v>760</v>
      </c>
      <c r="C712" s="1">
        <f>45780+2</f>
        <v>45782</v>
      </c>
      <c r="D712" s="1">
        <f>90</f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/>
    </row>
    <row r="713" spans="1:10" x14ac:dyDescent="0.25">
      <c r="A713" t="s">
        <v>248</v>
      </c>
      <c r="B713" t="s">
        <v>761</v>
      </c>
      <c r="C713" s="1">
        <f>13820+4+3+22</f>
        <v>13849</v>
      </c>
      <c r="D713" s="1">
        <f>6</f>
        <v>6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/>
    </row>
    <row r="714" spans="1:10" x14ac:dyDescent="0.25">
      <c r="A714" t="s">
        <v>796</v>
      </c>
      <c r="B714" t="s">
        <v>762</v>
      </c>
      <c r="C714" s="1">
        <v>468</v>
      </c>
      <c r="D714" s="1">
        <v>2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/>
    </row>
    <row r="715" spans="1:10" x14ac:dyDescent="0.25">
      <c r="A715" t="s">
        <v>138</v>
      </c>
      <c r="B715" t="s">
        <v>763</v>
      </c>
      <c r="C715" s="1">
        <f>28426+4+4</f>
        <v>28434</v>
      </c>
      <c r="D715" s="1">
        <f>39+20</f>
        <v>59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/>
    </row>
    <row r="716" spans="1:10" x14ac:dyDescent="0.25">
      <c r="A716" t="s">
        <v>265</v>
      </c>
      <c r="B716" t="s">
        <v>764</v>
      </c>
      <c r="C716" s="1">
        <f>7615</f>
        <v>7615</v>
      </c>
      <c r="D716" s="1">
        <f>2</f>
        <v>2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/>
    </row>
    <row r="717" spans="1:10" x14ac:dyDescent="0.25">
      <c r="A717" t="s">
        <v>823</v>
      </c>
      <c r="B717" t="s">
        <v>765</v>
      </c>
      <c r="C717" s="1">
        <f>27825+18+4</f>
        <v>27847</v>
      </c>
      <c r="D717" s="1">
        <f>554</f>
        <v>554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/>
    </row>
    <row r="718" spans="1:10" x14ac:dyDescent="0.25">
      <c r="A718" t="s">
        <v>83</v>
      </c>
      <c r="B718" t="s">
        <v>766</v>
      </c>
      <c r="C718" s="1">
        <f>6033+9</f>
        <v>6042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/>
    </row>
    <row r="719" spans="1:10" x14ac:dyDescent="0.25">
      <c r="A719" t="s">
        <v>864</v>
      </c>
      <c r="B719" t="s">
        <v>767</v>
      </c>
      <c r="C719" s="1">
        <f>16657</f>
        <v>16657</v>
      </c>
      <c r="D719" s="1">
        <f>20+16</f>
        <v>36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/>
    </row>
    <row r="720" spans="1:10" x14ac:dyDescent="0.25">
      <c r="A720" t="s">
        <v>76</v>
      </c>
      <c r="B720" t="s">
        <v>768</v>
      </c>
      <c r="C720" s="1">
        <f>30084+3</f>
        <v>30087</v>
      </c>
      <c r="D720" s="1">
        <f>109</f>
        <v>109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/>
    </row>
    <row r="721" spans="1:10" x14ac:dyDescent="0.25">
      <c r="A721" s="53" t="s">
        <v>101</v>
      </c>
      <c r="B721" s="55" t="s">
        <v>769</v>
      </c>
      <c r="C721" s="60">
        <f>19174</f>
        <v>19174</v>
      </c>
      <c r="D721" s="60">
        <f>19</f>
        <v>19</v>
      </c>
      <c r="E721" s="60">
        <v>0</v>
      </c>
      <c r="F721" s="60">
        <v>0</v>
      </c>
      <c r="G721" s="60">
        <v>0</v>
      </c>
      <c r="H721" s="60">
        <v>0</v>
      </c>
      <c r="I721" s="60">
        <v>0</v>
      </c>
      <c r="J721" s="60"/>
    </row>
    <row r="722" spans="1:10" x14ac:dyDescent="0.25">
      <c r="A722" s="53" t="s">
        <v>831</v>
      </c>
      <c r="B722" s="55" t="s">
        <v>770</v>
      </c>
      <c r="C722" s="60">
        <f>1595</f>
        <v>1595</v>
      </c>
      <c r="D722" s="60">
        <f>95+2+4</f>
        <v>101</v>
      </c>
      <c r="E722" s="60">
        <v>0</v>
      </c>
      <c r="F722" s="60">
        <v>0</v>
      </c>
      <c r="G722" s="60">
        <v>0</v>
      </c>
      <c r="H722" s="60">
        <v>0</v>
      </c>
      <c r="I722" s="60">
        <v>0</v>
      </c>
      <c r="J722" s="60"/>
    </row>
    <row r="723" spans="1:10" x14ac:dyDescent="0.25">
      <c r="A723" s="53" t="s">
        <v>512</v>
      </c>
      <c r="B723" s="55" t="s">
        <v>771</v>
      </c>
      <c r="C723" s="60">
        <f>7194+1</f>
        <v>7195</v>
      </c>
      <c r="D723" s="60">
        <f>1</f>
        <v>1</v>
      </c>
      <c r="E723" s="60">
        <v>0</v>
      </c>
      <c r="F723" s="60">
        <v>0</v>
      </c>
      <c r="G723" s="60">
        <v>0</v>
      </c>
      <c r="H723" s="60">
        <v>0</v>
      </c>
      <c r="I723" s="60">
        <v>0</v>
      </c>
      <c r="J723" s="60"/>
    </row>
    <row r="724" spans="1:10" x14ac:dyDescent="0.25">
      <c r="A724" s="53" t="s">
        <v>848</v>
      </c>
      <c r="B724" s="55" t="s">
        <v>772</v>
      </c>
      <c r="C724" s="60">
        <f>4335+23</f>
        <v>4358</v>
      </c>
      <c r="D724" s="60">
        <f>6</f>
        <v>6</v>
      </c>
      <c r="E724" s="60">
        <v>0</v>
      </c>
      <c r="F724" s="60">
        <v>0</v>
      </c>
      <c r="G724" s="60">
        <v>0</v>
      </c>
      <c r="H724" s="60">
        <v>0</v>
      </c>
      <c r="I724" s="60">
        <v>0</v>
      </c>
      <c r="J724" s="60"/>
    </row>
    <row r="725" spans="1:10" x14ac:dyDescent="0.25">
      <c r="A725" s="53" t="s">
        <v>796</v>
      </c>
      <c r="B725" s="55" t="s">
        <v>773</v>
      </c>
      <c r="C725" s="60">
        <f>4950+208</f>
        <v>5158</v>
      </c>
      <c r="D725" s="60">
        <v>0</v>
      </c>
      <c r="E725" s="60">
        <v>0</v>
      </c>
      <c r="F725" s="60">
        <v>0</v>
      </c>
      <c r="G725" s="60">
        <v>0</v>
      </c>
      <c r="H725" s="60">
        <v>0</v>
      </c>
      <c r="I725" s="60">
        <v>0</v>
      </c>
      <c r="J725" s="60"/>
    </row>
    <row r="726" spans="1:10" x14ac:dyDescent="0.25">
      <c r="A726" s="53" t="s">
        <v>826</v>
      </c>
      <c r="B726" s="55" t="s">
        <v>774</v>
      </c>
      <c r="C726" s="60"/>
      <c r="D726" s="60"/>
      <c r="E726" s="60"/>
      <c r="F726" s="60"/>
      <c r="G726" s="60"/>
      <c r="H726" s="60"/>
      <c r="I726" s="60"/>
      <c r="J726" s="60"/>
    </row>
    <row r="727" spans="1:10" x14ac:dyDescent="0.25">
      <c r="A727" s="53" t="s">
        <v>805</v>
      </c>
      <c r="B727" s="55" t="s">
        <v>775</v>
      </c>
      <c r="C727" s="60"/>
      <c r="D727" s="60"/>
      <c r="E727" s="60"/>
      <c r="F727" s="60"/>
      <c r="G727" s="60"/>
      <c r="H727" s="60"/>
      <c r="I727" s="60"/>
      <c r="J727" s="60"/>
    </row>
    <row r="728" spans="1:10" x14ac:dyDescent="0.25">
      <c r="A728" s="53" t="s">
        <v>805</v>
      </c>
      <c r="B728" s="55" t="s">
        <v>776</v>
      </c>
      <c r="C728" s="60"/>
      <c r="D728" s="60"/>
      <c r="E728" s="60"/>
      <c r="F728" s="60"/>
      <c r="G728" s="60"/>
      <c r="H728" s="60"/>
      <c r="I728" s="60"/>
      <c r="J728" s="60"/>
    </row>
    <row r="729" spans="1:10" x14ac:dyDescent="0.25">
      <c r="A729" s="54" t="s">
        <v>805</v>
      </c>
      <c r="B729" s="56" t="s">
        <v>777</v>
      </c>
      <c r="C729" s="61"/>
      <c r="D729" s="61"/>
      <c r="E729" s="61"/>
      <c r="F729" s="61"/>
      <c r="G729" s="61"/>
      <c r="H729" s="61"/>
      <c r="I729" s="61"/>
      <c r="J729" s="61"/>
    </row>
  </sheetData>
  <phoneticPr fontId="2" type="noConversion"/>
  <conditionalFormatting sqref="A709:B709">
    <cfRule type="expression" dxfId="62" priority="9">
      <formula>A709&lt;&gt;N709</formula>
    </cfRule>
  </conditionalFormatting>
  <conditionalFormatting sqref="B2:B41 B43:B171 B173:B216 B219:B332 B335:B458 B460:B697">
    <cfRule type="duplicateValues" dxfId="61" priority="405"/>
  </conditionalFormatting>
  <conditionalFormatting sqref="B709">
    <cfRule type="expression" dxfId="60" priority="8">
      <formula>B709&lt;&gt;#REF!</formula>
    </cfRule>
  </conditionalFormatting>
  <conditionalFormatting sqref="B721:B729">
    <cfRule type="expression" dxfId="59" priority="1">
      <formula>B721&lt;&gt;M721</formula>
    </cfRule>
  </conditionalFormatting>
  <conditionalFormatting sqref="B710:C710">
    <cfRule type="expression" dxfId="58" priority="6">
      <formula>B710&lt;&gt;#REF!</formula>
    </cfRule>
  </conditionalFormatting>
  <conditionalFormatting sqref="B712:C712">
    <cfRule type="expression" dxfId="57" priority="5">
      <formula>B712&lt;&gt;#REF!</formula>
    </cfRule>
  </conditionalFormatting>
  <conditionalFormatting sqref="C721:J729">
    <cfRule type="expression" dxfId="56" priority="3">
      <formula>C721&lt;&gt;N721</formula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CD369CC4-F2E3-493F-BEA8-DC3E1AC10E40}">
            <xm:f>A721&lt;&gt;'202212 DICIEMBRE'!#REF!</xm:f>
            <x14:dxf>
              <fill>
                <patternFill>
                  <bgColor theme="7" tint="0.39994506668294322"/>
                </patternFill>
              </fill>
            </x14:dxf>
          </x14:cfRule>
          <xm:sqref>A721:B729</xm:sqref>
        </x14:conditionalFormatting>
        <x14:conditionalFormatting xmlns:xm="http://schemas.microsoft.com/office/excel/2006/main">
          <x14:cfRule type="expression" priority="7" id="{D9591F2C-DA55-407C-9E13-D201256463D9}">
            <xm:f>A710&lt;&gt;'202210 OCTUBRE'!#REF!</xm:f>
            <x14:dxf>
              <fill>
                <patternFill>
                  <bgColor theme="7" tint="0.39994506668294322"/>
                </patternFill>
              </fill>
            </x14:dxf>
          </x14:cfRule>
          <xm:sqref>A710:I720</xm:sqref>
        </x14:conditionalFormatting>
        <x14:conditionalFormatting xmlns:xm="http://schemas.microsoft.com/office/excel/2006/main">
          <x14:cfRule type="expression" priority="4" id="{E0CEB38B-790E-4E9E-97D8-5A3F041DEE37}">
            <xm:f>C721&lt;&gt;'202212 DICIEMBRE'!#REF!</xm:f>
            <x14:dxf>
              <fill>
                <patternFill>
                  <bgColor theme="7" tint="0.39994506668294322"/>
                </patternFill>
              </fill>
            </x14:dxf>
          </x14:cfRule>
          <xm:sqref>C721:J729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0681E-B9C4-4B49-AB14-87DD41B82557}">
  <sheetPr>
    <tabColor rgb="FF92D050"/>
  </sheetPr>
  <dimension ref="A1:J729"/>
  <sheetViews>
    <sheetView topLeftCell="A21" workbookViewId="0">
      <selection activeCell="B1" sqref="B1"/>
    </sheetView>
  </sheetViews>
  <sheetFormatPr baseColWidth="10" defaultColWidth="9.140625" defaultRowHeight="15" x14ac:dyDescent="0.25"/>
  <cols>
    <col min="1" max="1" width="11.85546875" bestFit="1" customWidth="1"/>
    <col min="2" max="2" width="13.85546875" bestFit="1" customWidth="1"/>
    <col min="3" max="3" width="12.140625" bestFit="1" customWidth="1"/>
    <col min="4" max="4" width="12.42578125" bestFit="1" customWidth="1"/>
    <col min="5" max="5" width="8.7109375" bestFit="1" customWidth="1"/>
    <col min="6" max="6" width="15.5703125" bestFit="1" customWidth="1"/>
    <col min="7" max="7" width="15.85546875" bestFit="1" customWidth="1"/>
    <col min="8" max="9" width="10" bestFit="1" customWidth="1"/>
    <col min="10" max="10" width="18.140625" bestFit="1" customWidth="1"/>
  </cols>
  <sheetData>
    <row r="1" spans="1:10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t="s">
        <v>9</v>
      </c>
    </row>
    <row r="2" spans="1:10" x14ac:dyDescent="0.25">
      <c r="A2" t="s">
        <v>76</v>
      </c>
      <c r="B2" t="s">
        <v>11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36434</v>
      </c>
      <c r="I2" s="1">
        <v>0</v>
      </c>
      <c r="J2" s="1"/>
    </row>
    <row r="3" spans="1:10" x14ac:dyDescent="0.25">
      <c r="A3" t="s">
        <v>796</v>
      </c>
      <c r="B3" t="s">
        <v>12</v>
      </c>
      <c r="C3" s="1"/>
      <c r="D3" s="1"/>
      <c r="E3" s="1"/>
      <c r="F3" s="1"/>
      <c r="G3" s="1"/>
      <c r="H3" s="1"/>
      <c r="I3" s="1"/>
      <c r="J3" s="1"/>
    </row>
    <row r="4" spans="1:10" x14ac:dyDescent="0.25">
      <c r="A4" t="s">
        <v>76</v>
      </c>
      <c r="B4" t="s">
        <v>13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8086</v>
      </c>
      <c r="I4" s="1">
        <v>0</v>
      </c>
      <c r="J4" s="1"/>
    </row>
    <row r="5" spans="1:10" x14ac:dyDescent="0.25">
      <c r="A5" t="s">
        <v>801</v>
      </c>
      <c r="B5" t="s">
        <v>14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3379</v>
      </c>
      <c r="I5" s="1">
        <v>0</v>
      </c>
      <c r="J5" s="1"/>
    </row>
    <row r="6" spans="1:10" x14ac:dyDescent="0.25">
      <c r="A6" t="s">
        <v>826</v>
      </c>
      <c r="B6" t="s">
        <v>15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6205</v>
      </c>
      <c r="I6" s="1">
        <v>0</v>
      </c>
      <c r="J6" s="1"/>
    </row>
    <row r="7" spans="1:10" x14ac:dyDescent="0.25">
      <c r="A7" t="s">
        <v>796</v>
      </c>
      <c r="B7" t="s">
        <v>16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1523</v>
      </c>
      <c r="I7" s="1">
        <v>0</v>
      </c>
      <c r="J7" s="1"/>
    </row>
    <row r="8" spans="1:10" x14ac:dyDescent="0.25">
      <c r="A8" t="s">
        <v>83</v>
      </c>
      <c r="B8" t="s">
        <v>17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602</v>
      </c>
      <c r="I8" s="1">
        <v>0</v>
      </c>
      <c r="J8" s="1"/>
    </row>
    <row r="9" spans="1:10" x14ac:dyDescent="0.25">
      <c r="A9" t="s">
        <v>803</v>
      </c>
      <c r="B9" s="1" t="s">
        <v>18</v>
      </c>
      <c r="C9" s="1"/>
      <c r="D9" s="1"/>
      <c r="E9" s="1"/>
      <c r="F9" s="1"/>
      <c r="G9" s="1"/>
      <c r="H9" s="1"/>
      <c r="I9" s="1"/>
      <c r="J9" s="1"/>
    </row>
    <row r="10" spans="1:10" x14ac:dyDescent="0.25">
      <c r="A10" t="s">
        <v>76</v>
      </c>
      <c r="B10" t="s">
        <v>19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19554</v>
      </c>
      <c r="I10" s="1">
        <v>0</v>
      </c>
      <c r="J10" s="1"/>
    </row>
    <row r="11" spans="1:10" x14ac:dyDescent="0.25">
      <c r="A11" t="s">
        <v>83</v>
      </c>
      <c r="B11" t="s">
        <v>20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799</v>
      </c>
      <c r="I11" s="1">
        <v>0</v>
      </c>
      <c r="J11" s="1"/>
    </row>
    <row r="12" spans="1:10" x14ac:dyDescent="0.25">
      <c r="A12" t="s">
        <v>248</v>
      </c>
      <c r="B12" t="s">
        <v>21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3925</v>
      </c>
      <c r="I12" s="1">
        <v>0</v>
      </c>
      <c r="J12" s="1"/>
    </row>
    <row r="13" spans="1:10" x14ac:dyDescent="0.25">
      <c r="A13" t="s">
        <v>83</v>
      </c>
      <c r="B13" t="s">
        <v>22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2241</v>
      </c>
      <c r="I13" s="1">
        <v>0</v>
      </c>
      <c r="J13" s="1"/>
    </row>
    <row r="14" spans="1:10" x14ac:dyDescent="0.25">
      <c r="A14" t="s">
        <v>801</v>
      </c>
      <c r="B14" t="s">
        <v>23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619</v>
      </c>
      <c r="I14" s="1">
        <v>0</v>
      </c>
      <c r="J14" s="1"/>
    </row>
    <row r="15" spans="1:10" x14ac:dyDescent="0.25">
      <c r="A15" t="s">
        <v>796</v>
      </c>
      <c r="B15" t="s">
        <v>24</v>
      </c>
      <c r="C15" s="1"/>
      <c r="D15" s="1"/>
      <c r="E15" s="1"/>
      <c r="F15" s="1"/>
      <c r="G15" s="1"/>
      <c r="H15" s="1"/>
      <c r="I15" s="1"/>
      <c r="J15" s="1"/>
    </row>
    <row r="16" spans="1:10" x14ac:dyDescent="0.25">
      <c r="A16" t="s">
        <v>804</v>
      </c>
      <c r="B16" t="s">
        <v>25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1486</v>
      </c>
      <c r="I16" s="1">
        <v>0</v>
      </c>
      <c r="J16" s="1"/>
    </row>
    <row r="17" spans="1:10" x14ac:dyDescent="0.25">
      <c r="A17" t="s">
        <v>248</v>
      </c>
      <c r="B17" t="s">
        <v>26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76436</v>
      </c>
      <c r="I17" s="1">
        <v>0</v>
      </c>
      <c r="J17" s="1"/>
    </row>
    <row r="18" spans="1:10" x14ac:dyDescent="0.25">
      <c r="A18" t="s">
        <v>805</v>
      </c>
      <c r="B18" t="s">
        <v>27</v>
      </c>
      <c r="C18" s="1"/>
      <c r="D18" s="1"/>
      <c r="E18" s="1"/>
      <c r="F18" s="1"/>
      <c r="G18" s="1"/>
      <c r="H18" s="1"/>
      <c r="I18" s="1"/>
      <c r="J18" s="1"/>
    </row>
    <row r="19" spans="1:10" x14ac:dyDescent="0.25">
      <c r="A19" t="s">
        <v>805</v>
      </c>
      <c r="B19" t="s">
        <v>28</v>
      </c>
      <c r="C19" s="1"/>
      <c r="D19" s="1"/>
      <c r="E19" s="1"/>
      <c r="F19" s="1"/>
      <c r="G19" s="1"/>
      <c r="H19" s="1"/>
      <c r="I19" s="1"/>
      <c r="J19" s="1"/>
    </row>
    <row r="20" spans="1:10" x14ac:dyDescent="0.25">
      <c r="A20" t="s">
        <v>806</v>
      </c>
      <c r="B20" s="1" t="s">
        <v>29</v>
      </c>
      <c r="C20" s="1"/>
      <c r="D20" s="1"/>
      <c r="E20" s="1"/>
      <c r="F20" s="1"/>
      <c r="G20" s="1"/>
      <c r="H20" s="1"/>
      <c r="I20" s="1"/>
      <c r="J20" s="1"/>
    </row>
    <row r="21" spans="1:10" x14ac:dyDescent="0.25">
      <c r="A21" t="s">
        <v>805</v>
      </c>
      <c r="B21" t="s">
        <v>30</v>
      </c>
      <c r="C21" s="1"/>
      <c r="D21" s="1"/>
      <c r="E21" s="1"/>
      <c r="F21" s="1"/>
      <c r="G21" s="1"/>
      <c r="H21" s="1"/>
      <c r="I21" s="1"/>
      <c r="J21" s="1"/>
    </row>
    <row r="22" spans="1:10" x14ac:dyDescent="0.25">
      <c r="A22" t="s">
        <v>829</v>
      </c>
      <c r="B22" t="s">
        <v>32</v>
      </c>
      <c r="C22" s="1">
        <v>20344</v>
      </c>
      <c r="D22" s="1">
        <v>12</v>
      </c>
      <c r="E22" s="1">
        <v>0</v>
      </c>
      <c r="F22" s="1">
        <v>0</v>
      </c>
      <c r="G22" s="1">
        <v>0</v>
      </c>
      <c r="H22" s="1">
        <v>15968</v>
      </c>
      <c r="I22" s="1">
        <v>3629</v>
      </c>
      <c r="J22" s="1"/>
    </row>
    <row r="23" spans="1:10" x14ac:dyDescent="0.25">
      <c r="A23" t="s">
        <v>830</v>
      </c>
      <c r="B23" t="s">
        <v>34</v>
      </c>
      <c r="C23" s="1">
        <v>7828</v>
      </c>
      <c r="D23" s="1">
        <v>59</v>
      </c>
      <c r="E23" s="1">
        <v>0</v>
      </c>
      <c r="F23" s="1">
        <v>0</v>
      </c>
      <c r="G23" s="1">
        <v>0</v>
      </c>
      <c r="H23" s="1">
        <v>6381</v>
      </c>
      <c r="I23" s="1">
        <v>3982</v>
      </c>
      <c r="J23" s="1"/>
    </row>
    <row r="24" spans="1:10" x14ac:dyDescent="0.25">
      <c r="A24" t="s">
        <v>831</v>
      </c>
      <c r="B24" t="s">
        <v>35</v>
      </c>
      <c r="C24" s="1">
        <v>9302</v>
      </c>
      <c r="D24" s="1">
        <v>1</v>
      </c>
      <c r="E24" s="1">
        <v>0</v>
      </c>
      <c r="F24" s="1">
        <v>0</v>
      </c>
      <c r="G24" s="1">
        <v>0</v>
      </c>
      <c r="H24" s="1">
        <v>3872</v>
      </c>
      <c r="I24" s="1">
        <v>1319</v>
      </c>
      <c r="J24" s="1"/>
    </row>
    <row r="25" spans="1:10" x14ac:dyDescent="0.25">
      <c r="A25" t="s">
        <v>832</v>
      </c>
      <c r="B25" t="s">
        <v>37</v>
      </c>
      <c r="C25" s="1">
        <v>12021</v>
      </c>
      <c r="D25" s="1">
        <v>41</v>
      </c>
      <c r="E25" s="1">
        <v>0</v>
      </c>
      <c r="F25" s="1">
        <v>0</v>
      </c>
      <c r="G25" s="1">
        <v>0</v>
      </c>
      <c r="H25" s="1">
        <v>7469</v>
      </c>
      <c r="I25" s="1">
        <v>2401</v>
      </c>
      <c r="J25" s="1"/>
    </row>
    <row r="26" spans="1:10" x14ac:dyDescent="0.25">
      <c r="A26" t="s">
        <v>833</v>
      </c>
      <c r="B26" t="s">
        <v>39</v>
      </c>
      <c r="C26" s="1">
        <v>5739</v>
      </c>
      <c r="D26" s="1">
        <v>8</v>
      </c>
      <c r="E26" s="1">
        <v>0</v>
      </c>
      <c r="F26" s="1">
        <v>0</v>
      </c>
      <c r="G26" s="1">
        <v>0</v>
      </c>
      <c r="H26" s="1">
        <v>13752</v>
      </c>
      <c r="I26" s="1">
        <v>2642</v>
      </c>
      <c r="J26" s="1"/>
    </row>
    <row r="27" spans="1:10" x14ac:dyDescent="0.25">
      <c r="A27" t="s">
        <v>834</v>
      </c>
      <c r="B27" t="s">
        <v>41</v>
      </c>
      <c r="C27" s="1">
        <v>25162</v>
      </c>
      <c r="D27" s="1">
        <v>151</v>
      </c>
      <c r="E27" s="1">
        <v>0</v>
      </c>
      <c r="F27" s="1">
        <v>0</v>
      </c>
      <c r="G27" s="1">
        <v>0</v>
      </c>
      <c r="H27" s="1">
        <v>6947</v>
      </c>
      <c r="I27" s="1">
        <v>5948</v>
      </c>
      <c r="J27" s="1"/>
    </row>
    <row r="28" spans="1:10" x14ac:dyDescent="0.25">
      <c r="A28" t="s">
        <v>835</v>
      </c>
      <c r="B28" t="s">
        <v>42</v>
      </c>
      <c r="C28" s="1">
        <v>8811</v>
      </c>
      <c r="D28" s="1">
        <v>60</v>
      </c>
      <c r="E28" s="1">
        <v>0</v>
      </c>
      <c r="F28" s="1">
        <v>0</v>
      </c>
      <c r="G28" s="1">
        <v>0</v>
      </c>
      <c r="H28" s="1">
        <v>4717</v>
      </c>
      <c r="I28" s="1">
        <v>2150</v>
      </c>
      <c r="J28" s="1"/>
    </row>
    <row r="29" spans="1:10" x14ac:dyDescent="0.25">
      <c r="A29" t="s">
        <v>836</v>
      </c>
      <c r="B29" t="s">
        <v>44</v>
      </c>
      <c r="C29" s="1">
        <v>27543</v>
      </c>
      <c r="D29" s="1">
        <f>3+14+16+4+4</f>
        <v>41</v>
      </c>
      <c r="E29" s="1">
        <v>0</v>
      </c>
      <c r="F29" s="1">
        <v>0</v>
      </c>
      <c r="G29" s="1">
        <v>0</v>
      </c>
      <c r="H29" s="1">
        <v>12380</v>
      </c>
      <c r="I29" s="1">
        <v>6673</v>
      </c>
      <c r="J29" s="1"/>
    </row>
    <row r="30" spans="1:10" x14ac:dyDescent="0.25">
      <c r="A30" t="s">
        <v>837</v>
      </c>
      <c r="B30" t="s">
        <v>46</v>
      </c>
      <c r="C30" s="1">
        <v>12262</v>
      </c>
      <c r="D30" s="1">
        <v>0</v>
      </c>
      <c r="E30" s="1">
        <v>0</v>
      </c>
      <c r="F30" s="1">
        <v>0</v>
      </c>
      <c r="G30" s="1">
        <v>0</v>
      </c>
      <c r="H30" s="1">
        <v>8437</v>
      </c>
      <c r="I30" s="1">
        <v>2182</v>
      </c>
      <c r="J30" s="1"/>
    </row>
    <row r="31" spans="1:10" x14ac:dyDescent="0.25">
      <c r="A31" t="s">
        <v>838</v>
      </c>
      <c r="B31" t="s">
        <v>48</v>
      </c>
      <c r="C31" s="1">
        <v>22675</v>
      </c>
      <c r="D31" s="1">
        <v>23</v>
      </c>
      <c r="E31" s="1">
        <v>0</v>
      </c>
      <c r="F31" s="1">
        <v>0</v>
      </c>
      <c r="G31" s="1">
        <v>0</v>
      </c>
      <c r="H31" s="1">
        <v>11767</v>
      </c>
      <c r="I31" s="1">
        <v>6932</v>
      </c>
      <c r="J31" s="1"/>
    </row>
    <row r="32" spans="1:10" x14ac:dyDescent="0.25">
      <c r="A32" t="s">
        <v>839</v>
      </c>
      <c r="B32" t="s">
        <v>49</v>
      </c>
      <c r="C32" s="1">
        <v>12741</v>
      </c>
      <c r="D32" s="1">
        <v>9</v>
      </c>
      <c r="E32" s="1">
        <v>0</v>
      </c>
      <c r="F32" s="1">
        <v>0</v>
      </c>
      <c r="G32" s="1">
        <v>0</v>
      </c>
      <c r="H32" s="1">
        <v>6769</v>
      </c>
      <c r="I32" s="1">
        <v>5174</v>
      </c>
      <c r="J32" s="1"/>
    </row>
    <row r="33" spans="1:10" x14ac:dyDescent="0.25">
      <c r="A33" t="s">
        <v>840</v>
      </c>
      <c r="B33" t="s">
        <v>51</v>
      </c>
      <c r="C33" s="1">
        <v>6255</v>
      </c>
      <c r="D33" s="1">
        <v>3</v>
      </c>
      <c r="E33" s="1">
        <v>0</v>
      </c>
      <c r="F33" s="1">
        <v>0</v>
      </c>
      <c r="G33" s="1">
        <v>0</v>
      </c>
      <c r="H33" s="1">
        <v>930</v>
      </c>
      <c r="I33" s="1">
        <v>1435</v>
      </c>
      <c r="J33" s="1"/>
    </row>
    <row r="34" spans="1:10" x14ac:dyDescent="0.25">
      <c r="A34" t="s">
        <v>841</v>
      </c>
      <c r="B34" t="s">
        <v>53</v>
      </c>
      <c r="C34" s="1">
        <v>18108</v>
      </c>
      <c r="D34" s="1">
        <v>0</v>
      </c>
      <c r="E34" s="1">
        <v>0</v>
      </c>
      <c r="F34" s="1">
        <v>0</v>
      </c>
      <c r="G34" s="1">
        <v>0</v>
      </c>
      <c r="H34" s="1">
        <v>10044</v>
      </c>
      <c r="I34" s="1">
        <v>8442</v>
      </c>
      <c r="J34" s="1"/>
    </row>
    <row r="35" spans="1:10" x14ac:dyDescent="0.25">
      <c r="A35" t="s">
        <v>842</v>
      </c>
      <c r="B35" t="s">
        <v>55</v>
      </c>
      <c r="C35" s="1">
        <v>20597</v>
      </c>
      <c r="D35" s="1">
        <v>347</v>
      </c>
      <c r="E35" s="1">
        <v>0</v>
      </c>
      <c r="F35" s="1">
        <v>0</v>
      </c>
      <c r="G35" s="1">
        <v>0</v>
      </c>
      <c r="H35" s="1">
        <v>15848</v>
      </c>
      <c r="I35" s="1">
        <v>5882</v>
      </c>
      <c r="J35" s="1"/>
    </row>
    <row r="36" spans="1:10" x14ac:dyDescent="0.25">
      <c r="A36" t="s">
        <v>788</v>
      </c>
      <c r="B36" t="s">
        <v>56</v>
      </c>
      <c r="C36" s="1">
        <v>75412</v>
      </c>
      <c r="D36" s="1">
        <v>181</v>
      </c>
      <c r="E36" s="1">
        <v>0</v>
      </c>
      <c r="F36" s="1">
        <v>0</v>
      </c>
      <c r="G36" s="1">
        <v>0</v>
      </c>
      <c r="H36" s="1">
        <v>17521</v>
      </c>
      <c r="I36" s="1">
        <v>20416</v>
      </c>
      <c r="J36" s="1"/>
    </row>
    <row r="37" spans="1:10" x14ac:dyDescent="0.25">
      <c r="A37" t="s">
        <v>495</v>
      </c>
      <c r="B37" t="s">
        <v>57</v>
      </c>
      <c r="C37" s="1">
        <v>16433</v>
      </c>
      <c r="D37" s="1">
        <v>0</v>
      </c>
      <c r="E37" s="1">
        <v>0</v>
      </c>
      <c r="F37" s="1">
        <v>0</v>
      </c>
      <c r="G37" s="1">
        <v>0</v>
      </c>
      <c r="H37" s="1">
        <v>3880</v>
      </c>
      <c r="I37" s="1">
        <v>761</v>
      </c>
      <c r="J37" s="1"/>
    </row>
    <row r="38" spans="1:10" x14ac:dyDescent="0.25">
      <c r="A38" t="s">
        <v>248</v>
      </c>
      <c r="B38" t="s">
        <v>58</v>
      </c>
      <c r="C38" s="1">
        <v>21656</v>
      </c>
      <c r="D38" s="1">
        <v>288</v>
      </c>
      <c r="E38" s="1">
        <v>0</v>
      </c>
      <c r="F38" s="1">
        <v>0</v>
      </c>
      <c r="G38" s="1">
        <v>0</v>
      </c>
      <c r="H38" s="1">
        <v>17740</v>
      </c>
      <c r="I38" s="1">
        <v>3129</v>
      </c>
      <c r="J38" s="1"/>
    </row>
    <row r="39" spans="1:10" x14ac:dyDescent="0.25">
      <c r="A39" t="s">
        <v>843</v>
      </c>
      <c r="B39" t="s">
        <v>60</v>
      </c>
      <c r="C39" s="1">
        <v>8012</v>
      </c>
      <c r="D39" s="1">
        <v>0</v>
      </c>
      <c r="E39" s="1">
        <v>0</v>
      </c>
      <c r="F39" s="1">
        <v>0</v>
      </c>
      <c r="G39" s="1">
        <v>0</v>
      </c>
      <c r="H39" s="1">
        <v>7131</v>
      </c>
      <c r="I39" s="1">
        <v>2613</v>
      </c>
      <c r="J39" s="1"/>
    </row>
    <row r="40" spans="1:10" x14ac:dyDescent="0.25">
      <c r="A40" t="s">
        <v>844</v>
      </c>
      <c r="B40" t="s">
        <v>62</v>
      </c>
      <c r="C40" s="1">
        <v>12469</v>
      </c>
      <c r="D40" s="1">
        <v>17</v>
      </c>
      <c r="E40" s="1">
        <v>0</v>
      </c>
      <c r="F40" s="1">
        <v>0</v>
      </c>
      <c r="G40" s="1">
        <v>0</v>
      </c>
      <c r="H40" s="1">
        <v>7564</v>
      </c>
      <c r="I40" s="1">
        <v>3696</v>
      </c>
      <c r="J40" s="1"/>
    </row>
    <row r="41" spans="1:10" x14ac:dyDescent="0.25">
      <c r="A41" t="s">
        <v>845</v>
      </c>
      <c r="B41" t="s">
        <v>63</v>
      </c>
      <c r="C41" s="1">
        <v>36959</v>
      </c>
      <c r="D41" s="1">
        <v>163</v>
      </c>
      <c r="E41" s="1">
        <v>0</v>
      </c>
      <c r="F41" s="1">
        <v>0</v>
      </c>
      <c r="G41" s="1">
        <v>0</v>
      </c>
      <c r="H41" s="1">
        <v>19571</v>
      </c>
      <c r="I41" s="1">
        <v>6127</v>
      </c>
      <c r="J41" s="1"/>
    </row>
    <row r="42" spans="1:10" x14ac:dyDescent="0.25">
      <c r="A42" t="s">
        <v>846</v>
      </c>
      <c r="B42" s="10" t="s">
        <v>64</v>
      </c>
      <c r="C42" s="1">
        <v>9727</v>
      </c>
      <c r="D42" s="1">
        <v>0</v>
      </c>
      <c r="E42" s="1">
        <v>0</v>
      </c>
      <c r="F42" s="1">
        <v>0</v>
      </c>
      <c r="G42" s="1">
        <v>0</v>
      </c>
      <c r="H42" s="1">
        <v>15462</v>
      </c>
      <c r="I42" s="1">
        <v>2581</v>
      </c>
      <c r="J42" s="1"/>
    </row>
    <row r="43" spans="1:10" x14ac:dyDescent="0.25">
      <c r="A43" t="s">
        <v>788</v>
      </c>
      <c r="B43" t="s">
        <v>65</v>
      </c>
      <c r="C43" s="1">
        <v>18853</v>
      </c>
      <c r="D43" s="1">
        <v>121</v>
      </c>
      <c r="E43" s="1">
        <v>0</v>
      </c>
      <c r="F43" s="1">
        <v>0</v>
      </c>
      <c r="G43" s="1">
        <v>0</v>
      </c>
      <c r="H43" s="1">
        <v>14997</v>
      </c>
      <c r="I43" s="1">
        <v>4859</v>
      </c>
      <c r="J43" s="1"/>
    </row>
    <row r="44" spans="1:10" x14ac:dyDescent="0.25">
      <c r="A44" t="s">
        <v>76</v>
      </c>
      <c r="B44" t="s">
        <v>66</v>
      </c>
      <c r="C44" s="1">
        <v>11881</v>
      </c>
      <c r="D44" s="1">
        <v>59</v>
      </c>
      <c r="E44" s="1">
        <v>0</v>
      </c>
      <c r="F44" s="1">
        <v>0</v>
      </c>
      <c r="G44" s="1">
        <v>0</v>
      </c>
      <c r="H44" s="1">
        <v>1675</v>
      </c>
      <c r="I44" s="1">
        <v>2919</v>
      </c>
      <c r="J44" s="1"/>
    </row>
    <row r="45" spans="1:10" x14ac:dyDescent="0.25">
      <c r="A45" t="s">
        <v>67</v>
      </c>
      <c r="B45" t="s">
        <v>68</v>
      </c>
      <c r="C45" s="1">
        <v>17695</v>
      </c>
      <c r="D45" s="1">
        <v>299</v>
      </c>
      <c r="E45" s="1">
        <v>0</v>
      </c>
      <c r="F45" s="1">
        <v>0</v>
      </c>
      <c r="G45" s="1">
        <v>0</v>
      </c>
      <c r="H45" s="1">
        <v>15882</v>
      </c>
      <c r="I45" s="1">
        <v>2194</v>
      </c>
      <c r="J45" s="1"/>
    </row>
    <row r="46" spans="1:10" x14ac:dyDescent="0.25">
      <c r="A46" t="s">
        <v>76</v>
      </c>
      <c r="B46" t="s">
        <v>70</v>
      </c>
      <c r="C46" s="1">
        <v>117676</v>
      </c>
      <c r="D46" s="1">
        <v>261</v>
      </c>
      <c r="E46" s="1">
        <v>0</v>
      </c>
      <c r="F46" s="1">
        <v>0</v>
      </c>
      <c r="G46" s="1">
        <v>0</v>
      </c>
      <c r="H46" s="1">
        <v>94156</v>
      </c>
      <c r="I46" s="1">
        <v>25102</v>
      </c>
      <c r="J46" s="1"/>
    </row>
    <row r="47" spans="1:10" x14ac:dyDescent="0.25">
      <c r="A47" t="s">
        <v>803</v>
      </c>
      <c r="B47" s="23" t="s">
        <v>71</v>
      </c>
      <c r="C47" s="1"/>
      <c r="D47" s="1"/>
      <c r="E47" s="1"/>
      <c r="F47" s="1"/>
      <c r="G47" s="1"/>
      <c r="H47" s="1"/>
      <c r="I47" s="1"/>
      <c r="J47" s="1"/>
    </row>
    <row r="48" spans="1:10" x14ac:dyDescent="0.25">
      <c r="A48" t="s">
        <v>72</v>
      </c>
      <c r="B48" t="s">
        <v>73</v>
      </c>
      <c r="C48" s="1">
        <v>17599</v>
      </c>
      <c r="D48" s="1">
        <v>103</v>
      </c>
      <c r="E48" s="1">
        <v>0</v>
      </c>
      <c r="F48" s="1">
        <v>0</v>
      </c>
      <c r="G48" s="1">
        <v>0</v>
      </c>
      <c r="H48" s="1">
        <v>10731</v>
      </c>
      <c r="I48" s="1">
        <v>2470</v>
      </c>
      <c r="J48" s="1"/>
    </row>
    <row r="49" spans="1:10" x14ac:dyDescent="0.25">
      <c r="A49" t="s">
        <v>809</v>
      </c>
      <c r="B49" t="s">
        <v>74</v>
      </c>
      <c r="C49" s="1">
        <f>44858+10+321+385+3+24+1+4+1+241+11880</f>
        <v>57728</v>
      </c>
      <c r="D49" s="1">
        <v>545</v>
      </c>
      <c r="E49" s="1">
        <v>0</v>
      </c>
      <c r="F49" s="1">
        <v>0</v>
      </c>
      <c r="G49" s="1">
        <v>0</v>
      </c>
      <c r="H49" s="1">
        <v>27415</v>
      </c>
      <c r="I49" s="1">
        <v>8354</v>
      </c>
      <c r="J49" s="1"/>
    </row>
    <row r="50" spans="1:10" x14ac:dyDescent="0.25">
      <c r="A50" t="s">
        <v>146</v>
      </c>
      <c r="B50" t="s">
        <v>75</v>
      </c>
      <c r="C50" s="1">
        <f>8628+14541</f>
        <v>23169</v>
      </c>
      <c r="D50" s="1">
        <f>134+6</f>
        <v>140</v>
      </c>
      <c r="E50" s="1">
        <v>0</v>
      </c>
      <c r="F50" s="1">
        <v>0</v>
      </c>
      <c r="G50" s="1">
        <v>0</v>
      </c>
      <c r="H50" s="1">
        <v>14822</v>
      </c>
      <c r="I50" s="1">
        <v>13740</v>
      </c>
      <c r="J50" s="1"/>
    </row>
    <row r="51" spans="1:10" x14ac:dyDescent="0.25">
      <c r="A51" t="s">
        <v>76</v>
      </c>
      <c r="B51" t="s">
        <v>77</v>
      </c>
      <c r="C51" s="1">
        <v>29435</v>
      </c>
      <c r="D51" s="1">
        <v>191</v>
      </c>
      <c r="E51" s="1">
        <v>0</v>
      </c>
      <c r="F51" s="1">
        <v>0</v>
      </c>
      <c r="G51" s="1">
        <v>0</v>
      </c>
      <c r="H51" s="1">
        <v>10410</v>
      </c>
      <c r="I51" s="1">
        <v>8102</v>
      </c>
      <c r="J51" s="1"/>
    </row>
    <row r="52" spans="1:10" x14ac:dyDescent="0.25">
      <c r="A52" t="s">
        <v>801</v>
      </c>
      <c r="B52" t="s">
        <v>78</v>
      </c>
      <c r="C52" s="1">
        <v>35549</v>
      </c>
      <c r="D52" s="1">
        <v>20</v>
      </c>
      <c r="E52" s="1">
        <v>0</v>
      </c>
      <c r="F52" s="1">
        <v>0</v>
      </c>
      <c r="G52" s="1">
        <v>0</v>
      </c>
      <c r="H52" s="1">
        <v>63052</v>
      </c>
      <c r="I52" s="1">
        <v>9304</v>
      </c>
      <c r="J52" s="1"/>
    </row>
    <row r="53" spans="1:10" x14ac:dyDescent="0.25">
      <c r="A53" t="s">
        <v>847</v>
      </c>
      <c r="B53" t="s">
        <v>79</v>
      </c>
      <c r="C53" s="1">
        <v>10087</v>
      </c>
      <c r="D53" s="1">
        <v>0</v>
      </c>
      <c r="E53" s="1">
        <v>0</v>
      </c>
      <c r="F53" s="1">
        <v>0</v>
      </c>
      <c r="G53" s="1">
        <v>0</v>
      </c>
      <c r="H53" s="1">
        <v>2026</v>
      </c>
      <c r="I53" s="1">
        <v>1778</v>
      </c>
      <c r="J53" s="1"/>
    </row>
    <row r="54" spans="1:10" x14ac:dyDescent="0.25">
      <c r="A54" t="s">
        <v>226</v>
      </c>
      <c r="B54" t="s">
        <v>80</v>
      </c>
      <c r="C54" s="1">
        <v>5436</v>
      </c>
      <c r="D54" s="1">
        <v>7</v>
      </c>
      <c r="E54" s="1">
        <v>0</v>
      </c>
      <c r="F54" s="1">
        <v>0</v>
      </c>
      <c r="G54" s="1">
        <v>0</v>
      </c>
      <c r="H54" s="1">
        <v>3919</v>
      </c>
      <c r="I54" s="1">
        <v>2164</v>
      </c>
      <c r="J54" s="1"/>
    </row>
    <row r="55" spans="1:10" x14ac:dyDescent="0.25">
      <c r="A55" t="s">
        <v>826</v>
      </c>
      <c r="B55" t="s">
        <v>81</v>
      </c>
      <c r="C55" s="1">
        <v>13371</v>
      </c>
      <c r="D55" s="1">
        <v>0</v>
      </c>
      <c r="E55" s="1">
        <v>0</v>
      </c>
      <c r="F55" s="1">
        <v>0</v>
      </c>
      <c r="G55" s="1">
        <v>0</v>
      </c>
      <c r="H55" s="1">
        <v>3739</v>
      </c>
      <c r="I55" s="1">
        <v>2547</v>
      </c>
      <c r="J55" s="1"/>
    </row>
    <row r="56" spans="1:10" x14ac:dyDescent="0.25">
      <c r="A56" t="s">
        <v>76</v>
      </c>
      <c r="B56" t="s">
        <v>82</v>
      </c>
      <c r="C56" s="1">
        <v>58372</v>
      </c>
      <c r="D56" s="1">
        <v>558</v>
      </c>
      <c r="E56" s="1">
        <v>0</v>
      </c>
      <c r="F56" s="1">
        <v>0</v>
      </c>
      <c r="G56" s="1">
        <v>0</v>
      </c>
      <c r="H56" s="1">
        <v>6591</v>
      </c>
      <c r="I56" s="1">
        <v>5743</v>
      </c>
      <c r="J56" s="1"/>
    </row>
    <row r="57" spans="1:10" x14ac:dyDescent="0.25">
      <c r="A57" t="s">
        <v>83</v>
      </c>
      <c r="B57" t="s">
        <v>84</v>
      </c>
      <c r="C57" s="1">
        <v>29897</v>
      </c>
      <c r="D57" s="1">
        <v>7</v>
      </c>
      <c r="E57" s="1">
        <v>0</v>
      </c>
      <c r="F57" s="1">
        <v>0</v>
      </c>
      <c r="G57" s="1">
        <v>0</v>
      </c>
      <c r="H57" s="1">
        <v>23024</v>
      </c>
      <c r="I57" s="1">
        <v>20748</v>
      </c>
      <c r="J57" s="1"/>
    </row>
    <row r="58" spans="1:10" x14ac:dyDescent="0.25">
      <c r="A58" t="s">
        <v>809</v>
      </c>
      <c r="B58" t="s">
        <v>85</v>
      </c>
      <c r="C58" s="1">
        <v>7226</v>
      </c>
      <c r="D58" s="1">
        <v>4</v>
      </c>
      <c r="E58" s="1">
        <v>0</v>
      </c>
      <c r="F58" s="1">
        <v>0</v>
      </c>
      <c r="G58" s="1">
        <v>0</v>
      </c>
      <c r="H58" s="1">
        <v>1379</v>
      </c>
      <c r="I58" s="1">
        <v>432</v>
      </c>
      <c r="J58" s="1"/>
    </row>
    <row r="59" spans="1:10" x14ac:dyDescent="0.25">
      <c r="A59" t="s">
        <v>811</v>
      </c>
      <c r="B59" t="s">
        <v>86</v>
      </c>
      <c r="C59" s="1">
        <v>62782</v>
      </c>
      <c r="D59" s="1">
        <v>16324</v>
      </c>
      <c r="E59" s="1">
        <v>0</v>
      </c>
      <c r="F59" s="1">
        <v>0</v>
      </c>
      <c r="G59" s="1">
        <v>0</v>
      </c>
      <c r="H59" s="1">
        <v>10347</v>
      </c>
      <c r="I59" s="1">
        <v>36551</v>
      </c>
      <c r="J59" s="1"/>
    </row>
    <row r="60" spans="1:10" x14ac:dyDescent="0.25">
      <c r="A60" t="s">
        <v>811</v>
      </c>
      <c r="B60" t="s">
        <v>87</v>
      </c>
      <c r="C60" s="1">
        <v>31467</v>
      </c>
      <c r="D60" s="1">
        <v>2121</v>
      </c>
      <c r="E60" s="1">
        <v>0</v>
      </c>
      <c r="F60" s="1">
        <v>0</v>
      </c>
      <c r="G60" s="1">
        <v>0</v>
      </c>
      <c r="H60" s="1">
        <v>9293</v>
      </c>
      <c r="I60" s="1">
        <v>6251</v>
      </c>
      <c r="J60" s="1"/>
    </row>
    <row r="61" spans="1:10" x14ac:dyDescent="0.25">
      <c r="A61" t="s">
        <v>791</v>
      </c>
      <c r="B61" t="s">
        <v>88</v>
      </c>
      <c r="C61" s="1">
        <v>21395</v>
      </c>
      <c r="D61" s="1">
        <v>517</v>
      </c>
      <c r="E61" s="1">
        <v>0</v>
      </c>
      <c r="F61" s="1">
        <v>0</v>
      </c>
      <c r="G61" s="1">
        <v>0</v>
      </c>
      <c r="H61" s="1">
        <v>5104</v>
      </c>
      <c r="I61" s="1">
        <v>7980</v>
      </c>
      <c r="J61" s="1"/>
    </row>
    <row r="62" spans="1:10" x14ac:dyDescent="0.25">
      <c r="A62" t="s">
        <v>809</v>
      </c>
      <c r="B62" t="s">
        <v>89</v>
      </c>
      <c r="C62" s="1">
        <v>3454</v>
      </c>
      <c r="D62" s="1">
        <v>32</v>
      </c>
      <c r="E62" s="1">
        <v>0</v>
      </c>
      <c r="F62" s="1">
        <v>0</v>
      </c>
      <c r="G62" s="1">
        <v>0</v>
      </c>
      <c r="H62" s="1">
        <v>6404</v>
      </c>
      <c r="I62" s="1">
        <v>223</v>
      </c>
      <c r="J62" s="1"/>
    </row>
    <row r="63" spans="1:10" x14ac:dyDescent="0.25">
      <c r="A63" t="s">
        <v>848</v>
      </c>
      <c r="B63" t="s">
        <v>90</v>
      </c>
      <c r="C63" s="1">
        <v>36756</v>
      </c>
      <c r="D63" s="1">
        <v>132</v>
      </c>
      <c r="E63" s="1">
        <v>0</v>
      </c>
      <c r="F63" s="1">
        <v>0</v>
      </c>
      <c r="G63" s="1">
        <v>0</v>
      </c>
      <c r="H63" s="1">
        <v>5932</v>
      </c>
      <c r="I63" s="1">
        <v>19226</v>
      </c>
      <c r="J63" s="1"/>
    </row>
    <row r="64" spans="1:10" x14ac:dyDescent="0.25">
      <c r="A64" t="s">
        <v>811</v>
      </c>
      <c r="B64" t="s">
        <v>91</v>
      </c>
      <c r="C64" s="1">
        <v>208092</v>
      </c>
      <c r="D64" s="1">
        <v>4794</v>
      </c>
      <c r="E64" s="1">
        <v>0</v>
      </c>
      <c r="F64" s="1">
        <v>0</v>
      </c>
      <c r="G64" s="1">
        <v>0</v>
      </c>
      <c r="H64" s="1">
        <v>74389</v>
      </c>
      <c r="I64" s="1">
        <v>105740</v>
      </c>
      <c r="J64" s="1"/>
    </row>
    <row r="65" spans="1:10" x14ac:dyDescent="0.25">
      <c r="A65" t="s">
        <v>826</v>
      </c>
      <c r="B65" t="s">
        <v>92</v>
      </c>
      <c r="C65" s="1">
        <f>38106+11+151+258+1+18+12+17+669+7113</f>
        <v>46356</v>
      </c>
      <c r="D65" s="1">
        <v>1988</v>
      </c>
      <c r="E65" s="1">
        <v>0</v>
      </c>
      <c r="F65" s="1">
        <v>0</v>
      </c>
      <c r="G65" s="1">
        <v>0</v>
      </c>
      <c r="H65" s="1">
        <v>4821</v>
      </c>
      <c r="I65" s="1">
        <v>6386</v>
      </c>
      <c r="J65" s="1"/>
    </row>
    <row r="66" spans="1:10" x14ac:dyDescent="0.25">
      <c r="A66" t="s">
        <v>849</v>
      </c>
      <c r="B66" t="s">
        <v>93</v>
      </c>
      <c r="C66" s="1">
        <v>8188</v>
      </c>
      <c r="D66" s="1">
        <v>200</v>
      </c>
      <c r="E66" s="1">
        <v>0</v>
      </c>
      <c r="F66" s="1">
        <v>0</v>
      </c>
      <c r="G66" s="1">
        <v>0</v>
      </c>
      <c r="H66" s="1">
        <v>6182</v>
      </c>
      <c r="I66" s="1">
        <v>3666</v>
      </c>
      <c r="J66" s="1"/>
    </row>
    <row r="67" spans="1:10" x14ac:dyDescent="0.25">
      <c r="A67" t="s">
        <v>791</v>
      </c>
      <c r="B67" t="s">
        <v>94</v>
      </c>
      <c r="C67" s="1">
        <v>14223</v>
      </c>
      <c r="D67" s="1">
        <v>120</v>
      </c>
      <c r="E67" s="1">
        <v>0</v>
      </c>
      <c r="F67" s="1">
        <v>0</v>
      </c>
      <c r="G67" s="1">
        <v>0</v>
      </c>
      <c r="H67" s="1">
        <v>6739</v>
      </c>
      <c r="I67" s="1">
        <v>1386</v>
      </c>
      <c r="J67" s="1"/>
    </row>
    <row r="68" spans="1:10" x14ac:dyDescent="0.25">
      <c r="A68" t="s">
        <v>848</v>
      </c>
      <c r="B68" t="s">
        <v>95</v>
      </c>
      <c r="C68" s="1">
        <v>3704</v>
      </c>
      <c r="D68" s="1">
        <v>75</v>
      </c>
      <c r="E68" s="1">
        <v>0</v>
      </c>
      <c r="F68" s="1">
        <v>0</v>
      </c>
      <c r="G68" s="1">
        <v>0</v>
      </c>
      <c r="H68" s="1">
        <v>940</v>
      </c>
      <c r="I68" s="1">
        <v>432</v>
      </c>
      <c r="J68" s="1"/>
    </row>
    <row r="69" spans="1:10" x14ac:dyDescent="0.25">
      <c r="A69" t="s">
        <v>826</v>
      </c>
      <c r="B69" t="s">
        <v>96</v>
      </c>
      <c r="C69" s="1">
        <v>8833</v>
      </c>
      <c r="D69" s="1">
        <v>121</v>
      </c>
      <c r="E69" s="1">
        <v>0</v>
      </c>
      <c r="F69" s="1">
        <v>0</v>
      </c>
      <c r="G69" s="1">
        <v>0</v>
      </c>
      <c r="H69" s="1">
        <v>1427</v>
      </c>
      <c r="I69" s="1">
        <v>1855</v>
      </c>
      <c r="J69" s="1"/>
    </row>
    <row r="70" spans="1:10" x14ac:dyDescent="0.25">
      <c r="A70" t="s">
        <v>850</v>
      </c>
      <c r="B70" t="s">
        <v>98</v>
      </c>
      <c r="C70" s="1">
        <v>9989</v>
      </c>
      <c r="D70" s="1">
        <v>20</v>
      </c>
      <c r="E70" s="1">
        <v>0</v>
      </c>
      <c r="F70" s="1">
        <v>0</v>
      </c>
      <c r="G70" s="1">
        <v>0</v>
      </c>
      <c r="H70" s="1">
        <v>7188</v>
      </c>
      <c r="I70" s="1">
        <v>2921</v>
      </c>
      <c r="J70" s="1"/>
    </row>
    <row r="71" spans="1:10" x14ac:dyDescent="0.25">
      <c r="A71" t="s">
        <v>851</v>
      </c>
      <c r="B71" t="s">
        <v>100</v>
      </c>
      <c r="C71" s="1">
        <v>6899</v>
      </c>
      <c r="D71" s="1">
        <v>246</v>
      </c>
      <c r="E71" s="1">
        <v>0</v>
      </c>
      <c r="F71" s="1">
        <v>0</v>
      </c>
      <c r="G71" s="1">
        <v>0</v>
      </c>
      <c r="H71" s="1">
        <v>4058</v>
      </c>
      <c r="I71" s="1">
        <v>1919</v>
      </c>
      <c r="J71" s="1"/>
    </row>
    <row r="72" spans="1:10" x14ac:dyDescent="0.25">
      <c r="A72" t="s">
        <v>101</v>
      </c>
      <c r="B72" t="s">
        <v>102</v>
      </c>
      <c r="C72" s="1">
        <v>38602</v>
      </c>
      <c r="D72" s="1">
        <v>2</v>
      </c>
      <c r="E72" s="1">
        <v>0</v>
      </c>
      <c r="F72" s="1">
        <v>0</v>
      </c>
      <c r="G72" s="1">
        <v>0</v>
      </c>
      <c r="H72" s="1">
        <v>23415</v>
      </c>
      <c r="I72" s="1">
        <v>5960</v>
      </c>
      <c r="J72" s="1"/>
    </row>
    <row r="73" spans="1:10" x14ac:dyDescent="0.25">
      <c r="A73" t="s">
        <v>512</v>
      </c>
      <c r="B73" t="s">
        <v>103</v>
      </c>
      <c r="C73" s="1">
        <v>18548</v>
      </c>
      <c r="D73" s="1">
        <v>0</v>
      </c>
      <c r="E73" s="1">
        <v>0</v>
      </c>
      <c r="F73" s="1">
        <v>0</v>
      </c>
      <c r="G73" s="1">
        <v>0</v>
      </c>
      <c r="H73" s="1">
        <v>967</v>
      </c>
      <c r="I73" s="1">
        <v>3568</v>
      </c>
      <c r="J73" s="1"/>
    </row>
    <row r="74" spans="1:10" x14ac:dyDescent="0.25">
      <c r="A74" t="s">
        <v>852</v>
      </c>
      <c r="B74" t="s">
        <v>105</v>
      </c>
      <c r="C74" s="1">
        <v>12058</v>
      </c>
      <c r="D74" s="1">
        <v>107</v>
      </c>
      <c r="E74" s="1">
        <v>0</v>
      </c>
      <c r="F74" s="1">
        <v>0</v>
      </c>
      <c r="G74" s="1">
        <v>0</v>
      </c>
      <c r="H74" s="1">
        <v>6984</v>
      </c>
      <c r="I74" s="1">
        <v>3818</v>
      </c>
      <c r="J74" s="1"/>
    </row>
    <row r="75" spans="1:10" x14ac:dyDescent="0.25">
      <c r="A75" t="s">
        <v>853</v>
      </c>
      <c r="B75" t="s">
        <v>107</v>
      </c>
      <c r="C75" s="1">
        <v>36228</v>
      </c>
      <c r="D75" s="1">
        <v>170</v>
      </c>
      <c r="E75" s="1">
        <v>0</v>
      </c>
      <c r="F75" s="1">
        <v>0</v>
      </c>
      <c r="G75" s="1">
        <v>0</v>
      </c>
      <c r="H75" s="1">
        <v>23373</v>
      </c>
      <c r="I75" s="1">
        <v>7880</v>
      </c>
      <c r="J75" s="1"/>
    </row>
    <row r="76" spans="1:10" x14ac:dyDescent="0.25">
      <c r="A76" t="s">
        <v>854</v>
      </c>
      <c r="B76" t="s">
        <v>109</v>
      </c>
      <c r="C76" s="1">
        <v>19165</v>
      </c>
      <c r="D76" s="1">
        <v>1206</v>
      </c>
      <c r="E76" s="1">
        <v>0</v>
      </c>
      <c r="F76" s="1">
        <v>0</v>
      </c>
      <c r="G76" s="1">
        <v>0</v>
      </c>
      <c r="H76" s="1">
        <v>14193</v>
      </c>
      <c r="I76" s="1">
        <v>5108</v>
      </c>
      <c r="J76" s="1"/>
    </row>
    <row r="77" spans="1:10" x14ac:dyDescent="0.25">
      <c r="A77" t="s">
        <v>855</v>
      </c>
      <c r="B77" t="s">
        <v>111</v>
      </c>
      <c r="C77" s="1">
        <v>10114</v>
      </c>
      <c r="D77" s="1">
        <v>95</v>
      </c>
      <c r="E77" s="1">
        <v>0</v>
      </c>
      <c r="F77" s="1">
        <v>0</v>
      </c>
      <c r="G77" s="1">
        <v>0</v>
      </c>
      <c r="H77" s="1">
        <v>11521</v>
      </c>
      <c r="I77" s="1">
        <v>3423</v>
      </c>
      <c r="J77" s="1"/>
    </row>
    <row r="78" spans="1:10" x14ac:dyDescent="0.25">
      <c r="A78" t="s">
        <v>101</v>
      </c>
      <c r="B78" t="s">
        <v>112</v>
      </c>
      <c r="C78" s="1">
        <v>30866</v>
      </c>
      <c r="D78" s="1">
        <v>9</v>
      </c>
      <c r="E78" s="1">
        <v>0</v>
      </c>
      <c r="F78" s="1">
        <v>0</v>
      </c>
      <c r="G78" s="1">
        <v>0</v>
      </c>
      <c r="H78" s="1">
        <v>51778</v>
      </c>
      <c r="I78" s="1">
        <v>2410</v>
      </c>
      <c r="J78" s="1"/>
    </row>
    <row r="79" spans="1:10" x14ac:dyDescent="0.25">
      <c r="A79" t="s">
        <v>856</v>
      </c>
      <c r="B79" t="s">
        <v>114</v>
      </c>
      <c r="C79" s="1">
        <v>11826</v>
      </c>
      <c r="D79" s="1">
        <v>198</v>
      </c>
      <c r="E79" s="1">
        <v>0</v>
      </c>
      <c r="F79" s="1">
        <v>0</v>
      </c>
      <c r="G79" s="1">
        <v>0</v>
      </c>
      <c r="H79" s="1">
        <v>19193</v>
      </c>
      <c r="I79" s="1">
        <v>7910</v>
      </c>
      <c r="J79" s="1"/>
    </row>
    <row r="80" spans="1:10" x14ac:dyDescent="0.25">
      <c r="A80" t="s">
        <v>857</v>
      </c>
      <c r="B80" t="s">
        <v>116</v>
      </c>
      <c r="C80" s="1">
        <v>16120</v>
      </c>
      <c r="D80" s="1">
        <v>147</v>
      </c>
      <c r="E80" s="1">
        <v>0</v>
      </c>
      <c r="F80" s="1">
        <v>0</v>
      </c>
      <c r="G80" s="1">
        <v>0</v>
      </c>
      <c r="H80" s="1">
        <v>3372</v>
      </c>
      <c r="I80" s="1">
        <v>4712</v>
      </c>
      <c r="J80" s="1"/>
    </row>
    <row r="81" spans="1:10" x14ac:dyDescent="0.25">
      <c r="A81" t="s">
        <v>823</v>
      </c>
      <c r="B81" t="s">
        <v>117</v>
      </c>
      <c r="C81" s="1">
        <v>18332</v>
      </c>
      <c r="D81" s="1">
        <v>1</v>
      </c>
      <c r="E81" s="1">
        <v>0</v>
      </c>
      <c r="F81" s="1">
        <v>0</v>
      </c>
      <c r="G81" s="1">
        <v>0</v>
      </c>
      <c r="H81" s="1">
        <v>1459</v>
      </c>
      <c r="I81" s="1">
        <v>4131</v>
      </c>
      <c r="J81" s="1"/>
    </row>
    <row r="82" spans="1:10" x14ac:dyDescent="0.25">
      <c r="A82" t="s">
        <v>858</v>
      </c>
      <c r="B82" t="s">
        <v>119</v>
      </c>
      <c r="C82" s="1">
        <v>15635</v>
      </c>
      <c r="D82" s="1">
        <v>87</v>
      </c>
      <c r="E82" s="1">
        <v>0</v>
      </c>
      <c r="F82" s="1">
        <v>0</v>
      </c>
      <c r="G82" s="1">
        <v>0</v>
      </c>
      <c r="H82" s="1">
        <v>6496</v>
      </c>
      <c r="I82" s="1">
        <v>5517</v>
      </c>
      <c r="J82" s="1"/>
    </row>
    <row r="83" spans="1:10" x14ac:dyDescent="0.25">
      <c r="A83" t="s">
        <v>859</v>
      </c>
      <c r="B83" t="s">
        <v>121</v>
      </c>
      <c r="C83" s="1">
        <v>14524</v>
      </c>
      <c r="D83" s="1">
        <v>6</v>
      </c>
      <c r="E83" s="1">
        <v>0</v>
      </c>
      <c r="F83" s="1">
        <v>0</v>
      </c>
      <c r="G83" s="1">
        <v>0</v>
      </c>
      <c r="H83" s="1">
        <v>10418</v>
      </c>
      <c r="I83" s="1">
        <v>2324</v>
      </c>
      <c r="J83" s="1"/>
    </row>
    <row r="84" spans="1:10" x14ac:dyDescent="0.25">
      <c r="A84" t="s">
        <v>860</v>
      </c>
      <c r="B84" t="s">
        <v>122</v>
      </c>
      <c r="C84" s="1">
        <v>16778</v>
      </c>
      <c r="D84" s="1">
        <v>41</v>
      </c>
      <c r="E84" s="1">
        <v>0</v>
      </c>
      <c r="F84" s="1">
        <v>0</v>
      </c>
      <c r="G84" s="1">
        <v>0</v>
      </c>
      <c r="H84" s="1">
        <v>7166</v>
      </c>
      <c r="I84" s="1">
        <v>4450</v>
      </c>
      <c r="J84" s="1"/>
    </row>
    <row r="85" spans="1:10" x14ac:dyDescent="0.25">
      <c r="A85" t="s">
        <v>861</v>
      </c>
      <c r="B85" t="s">
        <v>124</v>
      </c>
      <c r="C85" s="1">
        <v>15218</v>
      </c>
      <c r="D85" s="1">
        <v>0</v>
      </c>
      <c r="E85" s="1">
        <v>0</v>
      </c>
      <c r="F85" s="1">
        <v>0</v>
      </c>
      <c r="G85" s="1">
        <v>0</v>
      </c>
      <c r="H85" s="1">
        <v>8570</v>
      </c>
      <c r="I85" s="1">
        <v>3260</v>
      </c>
      <c r="J85" s="1"/>
    </row>
    <row r="86" spans="1:10" x14ac:dyDescent="0.25">
      <c r="A86" t="s">
        <v>823</v>
      </c>
      <c r="B86" t="s">
        <v>125</v>
      </c>
      <c r="C86" s="1">
        <v>59904</v>
      </c>
      <c r="D86" s="1">
        <v>1</v>
      </c>
      <c r="E86" s="1">
        <v>0</v>
      </c>
      <c r="F86" s="1">
        <v>0</v>
      </c>
      <c r="G86" s="1">
        <v>0</v>
      </c>
      <c r="H86" s="1">
        <v>1288</v>
      </c>
      <c r="I86" s="1">
        <v>2946</v>
      </c>
      <c r="J86" s="1"/>
    </row>
    <row r="87" spans="1:10" x14ac:dyDescent="0.25">
      <c r="A87" t="s">
        <v>248</v>
      </c>
      <c r="B87" t="s">
        <v>126</v>
      </c>
      <c r="C87" s="1">
        <v>20775</v>
      </c>
      <c r="D87" s="1">
        <v>14</v>
      </c>
      <c r="E87" s="1">
        <v>0</v>
      </c>
      <c r="F87" s="1">
        <v>0</v>
      </c>
      <c r="G87" s="1">
        <v>0</v>
      </c>
      <c r="H87" s="1">
        <v>37646</v>
      </c>
      <c r="I87" s="1">
        <v>4311</v>
      </c>
      <c r="J87" s="1"/>
    </row>
    <row r="88" spans="1:10" x14ac:dyDescent="0.25">
      <c r="A88" t="s">
        <v>862</v>
      </c>
      <c r="B88" t="s">
        <v>127</v>
      </c>
      <c r="C88" s="1">
        <v>7276</v>
      </c>
      <c r="D88" s="1">
        <v>90</v>
      </c>
      <c r="E88" s="1">
        <v>0</v>
      </c>
      <c r="F88" s="1">
        <v>0</v>
      </c>
      <c r="G88" s="1">
        <v>0</v>
      </c>
      <c r="H88" s="1">
        <v>4965</v>
      </c>
      <c r="I88" s="1">
        <v>2637</v>
      </c>
      <c r="J88" s="1"/>
    </row>
    <row r="89" spans="1:10" x14ac:dyDescent="0.25">
      <c r="A89" t="s">
        <v>863</v>
      </c>
      <c r="B89" t="s">
        <v>129</v>
      </c>
      <c r="C89" s="1">
        <v>22500</v>
      </c>
      <c r="D89" s="1">
        <v>318</v>
      </c>
      <c r="E89" s="1">
        <v>0</v>
      </c>
      <c r="F89" s="1">
        <v>0</v>
      </c>
      <c r="G89" s="1">
        <v>0</v>
      </c>
      <c r="H89" s="1">
        <v>7286</v>
      </c>
      <c r="I89" s="1">
        <v>5543</v>
      </c>
      <c r="J89" s="1"/>
    </row>
    <row r="90" spans="1:10" x14ac:dyDescent="0.25">
      <c r="A90" t="s">
        <v>794</v>
      </c>
      <c r="B90" t="s">
        <v>130</v>
      </c>
      <c r="C90" s="1">
        <v>40707</v>
      </c>
      <c r="D90" s="1">
        <v>118</v>
      </c>
      <c r="E90" s="1">
        <v>0</v>
      </c>
      <c r="F90" s="1">
        <v>0</v>
      </c>
      <c r="G90" s="1">
        <v>0</v>
      </c>
      <c r="H90" s="1">
        <v>4755</v>
      </c>
      <c r="I90" s="1">
        <v>4235</v>
      </c>
      <c r="J90" s="1"/>
    </row>
    <row r="91" spans="1:10" x14ac:dyDescent="0.25">
      <c r="A91" t="s">
        <v>864</v>
      </c>
      <c r="B91" t="s">
        <v>132</v>
      </c>
      <c r="C91" s="1">
        <v>31951</v>
      </c>
      <c r="D91" s="1">
        <v>50</v>
      </c>
      <c r="E91" s="1">
        <v>0</v>
      </c>
      <c r="F91" s="1">
        <v>0</v>
      </c>
      <c r="G91" s="1">
        <v>0</v>
      </c>
      <c r="H91" s="1">
        <v>34564</v>
      </c>
      <c r="I91" s="1">
        <v>13581</v>
      </c>
      <c r="J91" s="1"/>
    </row>
    <row r="92" spans="1:10" x14ac:dyDescent="0.25">
      <c r="A92" t="s">
        <v>512</v>
      </c>
      <c r="B92" t="s">
        <v>133</v>
      </c>
      <c r="C92" s="1">
        <v>12147</v>
      </c>
      <c r="D92" s="1">
        <v>610</v>
      </c>
      <c r="E92" s="1">
        <v>0</v>
      </c>
      <c r="F92" s="1">
        <v>0</v>
      </c>
      <c r="G92" s="1">
        <v>0</v>
      </c>
      <c r="H92" s="1">
        <v>3460</v>
      </c>
      <c r="I92" s="1">
        <v>2519</v>
      </c>
      <c r="J92" s="1"/>
    </row>
    <row r="93" spans="1:10" x14ac:dyDescent="0.25">
      <c r="A93" t="s">
        <v>134</v>
      </c>
      <c r="B93" t="s">
        <v>135</v>
      </c>
      <c r="C93" s="1">
        <v>27711</v>
      </c>
      <c r="D93" s="1">
        <f>7+3</f>
        <v>10</v>
      </c>
      <c r="E93" s="1">
        <v>0</v>
      </c>
      <c r="F93" s="1">
        <v>0</v>
      </c>
      <c r="G93" s="1">
        <v>0</v>
      </c>
      <c r="H93" s="1">
        <v>43302</v>
      </c>
      <c r="I93" s="1">
        <v>8683</v>
      </c>
      <c r="J93" s="1"/>
    </row>
    <row r="94" spans="1:10" x14ac:dyDescent="0.25">
      <c r="A94" t="s">
        <v>795</v>
      </c>
      <c r="B94" t="s">
        <v>136</v>
      </c>
      <c r="C94" s="1">
        <v>13736</v>
      </c>
      <c r="D94" s="1">
        <v>174</v>
      </c>
      <c r="E94" s="1">
        <v>0</v>
      </c>
      <c r="F94" s="1">
        <v>0</v>
      </c>
      <c r="G94" s="1">
        <v>0</v>
      </c>
      <c r="H94" s="1">
        <v>8375</v>
      </c>
      <c r="I94" s="1">
        <v>3646</v>
      </c>
      <c r="J94" s="1"/>
    </row>
    <row r="95" spans="1:10" x14ac:dyDescent="0.25">
      <c r="A95" t="s">
        <v>120</v>
      </c>
      <c r="B95" t="s">
        <v>137</v>
      </c>
      <c r="C95" s="1">
        <v>47518</v>
      </c>
      <c r="D95" s="1">
        <v>95</v>
      </c>
      <c r="E95" s="1">
        <v>0</v>
      </c>
      <c r="F95" s="1">
        <v>0</v>
      </c>
      <c r="G95" s="1">
        <v>0</v>
      </c>
      <c r="H95" s="1">
        <v>25929</v>
      </c>
      <c r="I95" s="1">
        <v>3424</v>
      </c>
      <c r="J95" s="1"/>
    </row>
    <row r="96" spans="1:10" x14ac:dyDescent="0.25">
      <c r="A96" t="s">
        <v>138</v>
      </c>
      <c r="B96" t="s">
        <v>139</v>
      </c>
      <c r="C96" s="1">
        <v>30637</v>
      </c>
      <c r="D96" s="1">
        <v>27</v>
      </c>
      <c r="E96" s="1">
        <v>0</v>
      </c>
      <c r="F96" s="1">
        <v>0</v>
      </c>
      <c r="G96" s="1">
        <v>0</v>
      </c>
      <c r="H96" s="1">
        <v>23009</v>
      </c>
      <c r="I96" s="1">
        <v>5169</v>
      </c>
      <c r="J96" s="1"/>
    </row>
    <row r="97" spans="1:10" x14ac:dyDescent="0.25">
      <c r="A97" t="s">
        <v>868</v>
      </c>
      <c r="B97" t="s">
        <v>141</v>
      </c>
      <c r="C97" s="1">
        <v>1592</v>
      </c>
      <c r="D97" s="1">
        <v>0</v>
      </c>
      <c r="E97" s="1">
        <v>0</v>
      </c>
      <c r="F97" s="1">
        <v>0</v>
      </c>
      <c r="G97" s="1">
        <v>0</v>
      </c>
      <c r="H97" s="1">
        <v>919</v>
      </c>
      <c r="I97" s="1">
        <v>144</v>
      </c>
      <c r="J97" s="1"/>
    </row>
    <row r="98" spans="1:10" x14ac:dyDescent="0.25">
      <c r="A98" t="s">
        <v>67</v>
      </c>
      <c r="B98" t="s">
        <v>142</v>
      </c>
      <c r="C98" s="1">
        <v>26585</v>
      </c>
      <c r="D98" s="1">
        <v>40</v>
      </c>
      <c r="E98" s="1">
        <v>0</v>
      </c>
      <c r="F98" s="1">
        <v>0</v>
      </c>
      <c r="G98" s="1">
        <v>0</v>
      </c>
      <c r="H98" s="1">
        <v>7111</v>
      </c>
      <c r="I98" s="1">
        <v>1809</v>
      </c>
      <c r="J98" s="1"/>
    </row>
    <row r="99" spans="1:10" x14ac:dyDescent="0.25">
      <c r="A99" t="s">
        <v>823</v>
      </c>
      <c r="B99" t="s">
        <v>143</v>
      </c>
      <c r="C99" s="1">
        <v>17400</v>
      </c>
      <c r="D99" s="1">
        <v>0</v>
      </c>
      <c r="E99" s="1">
        <v>0</v>
      </c>
      <c r="F99" s="1">
        <v>0</v>
      </c>
      <c r="G99" s="1">
        <v>0</v>
      </c>
      <c r="H99" s="1">
        <v>669</v>
      </c>
      <c r="I99" s="1">
        <v>1378</v>
      </c>
      <c r="J99" s="1"/>
    </row>
    <row r="100" spans="1:10" x14ac:dyDescent="0.25">
      <c r="A100" t="s">
        <v>848</v>
      </c>
      <c r="B100" t="s">
        <v>144</v>
      </c>
      <c r="C100" s="1">
        <v>9000</v>
      </c>
      <c r="D100" s="1">
        <v>372</v>
      </c>
      <c r="E100" s="1">
        <v>0</v>
      </c>
      <c r="F100" s="1">
        <v>0</v>
      </c>
      <c r="G100" s="1">
        <v>0</v>
      </c>
      <c r="H100" s="1">
        <v>1538</v>
      </c>
      <c r="I100" s="1">
        <v>2753</v>
      </c>
      <c r="J100" s="1"/>
    </row>
    <row r="101" spans="1:10" x14ac:dyDescent="0.25">
      <c r="A101" t="s">
        <v>816</v>
      </c>
      <c r="B101" t="s">
        <v>145</v>
      </c>
      <c r="C101" s="1">
        <v>51518</v>
      </c>
      <c r="D101" s="1">
        <v>76</v>
      </c>
      <c r="E101" s="1">
        <v>0</v>
      </c>
      <c r="F101" s="1">
        <v>0</v>
      </c>
      <c r="G101" s="1">
        <v>0</v>
      </c>
      <c r="H101" s="1">
        <v>37971</v>
      </c>
      <c r="I101" s="1">
        <v>16479</v>
      </c>
      <c r="J101" s="1"/>
    </row>
    <row r="102" spans="1:10" x14ac:dyDescent="0.25">
      <c r="A102" t="s">
        <v>146</v>
      </c>
      <c r="B102" t="s">
        <v>147</v>
      </c>
      <c r="C102" s="1">
        <f>63096+179+21938</f>
        <v>85213</v>
      </c>
      <c r="D102" s="1">
        <f>54+2+2+2</f>
        <v>60</v>
      </c>
      <c r="E102" s="1">
        <v>0</v>
      </c>
      <c r="F102" s="1">
        <v>0</v>
      </c>
      <c r="G102" s="1">
        <v>0</v>
      </c>
      <c r="H102" s="1">
        <v>38537</v>
      </c>
      <c r="I102" s="1">
        <v>17694</v>
      </c>
      <c r="J102" s="1"/>
    </row>
    <row r="103" spans="1:10" x14ac:dyDescent="0.25">
      <c r="A103" t="s">
        <v>804</v>
      </c>
      <c r="B103" t="s">
        <v>148</v>
      </c>
      <c r="C103" s="1">
        <v>102021</v>
      </c>
      <c r="D103" s="1">
        <v>106</v>
      </c>
      <c r="E103" s="1">
        <v>0</v>
      </c>
      <c r="F103" s="1">
        <v>0</v>
      </c>
      <c r="G103" s="1">
        <v>0</v>
      </c>
      <c r="H103" s="1">
        <v>119093</v>
      </c>
      <c r="I103" s="1">
        <v>20644</v>
      </c>
      <c r="J103" s="1"/>
    </row>
    <row r="104" spans="1:10" x14ac:dyDescent="0.25">
      <c r="A104" t="s">
        <v>817</v>
      </c>
      <c r="B104" t="s">
        <v>149</v>
      </c>
      <c r="C104" s="1">
        <v>19037</v>
      </c>
      <c r="D104" s="1">
        <v>488</v>
      </c>
      <c r="E104" s="1">
        <v>0</v>
      </c>
      <c r="F104" s="1">
        <v>0</v>
      </c>
      <c r="G104" s="1">
        <v>0</v>
      </c>
      <c r="H104" s="1">
        <v>22011</v>
      </c>
      <c r="I104" s="1">
        <v>7338</v>
      </c>
      <c r="J104" s="1"/>
    </row>
    <row r="105" spans="1:10" x14ac:dyDescent="0.25">
      <c r="A105" t="s">
        <v>831</v>
      </c>
      <c r="B105" t="s">
        <v>151</v>
      </c>
      <c r="C105" s="1">
        <v>5913</v>
      </c>
      <c r="D105" s="1">
        <v>3</v>
      </c>
      <c r="E105" s="1">
        <v>0</v>
      </c>
      <c r="F105" s="1">
        <v>0</v>
      </c>
      <c r="G105" s="1">
        <v>0</v>
      </c>
      <c r="H105" s="1">
        <v>3042</v>
      </c>
      <c r="I105" s="1">
        <v>1220</v>
      </c>
      <c r="J105" s="1"/>
    </row>
    <row r="106" spans="1:10" x14ac:dyDescent="0.25">
      <c r="A106" t="s">
        <v>146</v>
      </c>
      <c r="B106" t="s">
        <v>152</v>
      </c>
      <c r="C106" s="1">
        <f>10602+223+89+11357</f>
        <v>22271</v>
      </c>
      <c r="D106" s="1">
        <f>9+26+2</f>
        <v>37</v>
      </c>
      <c r="E106" s="1">
        <v>0</v>
      </c>
      <c r="F106" s="1">
        <v>0</v>
      </c>
      <c r="G106" s="1">
        <v>0</v>
      </c>
      <c r="H106" s="1">
        <v>22417</v>
      </c>
      <c r="I106" s="1">
        <v>7859</v>
      </c>
      <c r="J106" s="1"/>
    </row>
    <row r="107" spans="1:10" x14ac:dyDescent="0.25">
      <c r="A107" t="s">
        <v>495</v>
      </c>
      <c r="B107" t="s">
        <v>153</v>
      </c>
      <c r="C107" s="1">
        <v>6716</v>
      </c>
      <c r="D107" s="1">
        <v>4</v>
      </c>
      <c r="E107" s="1">
        <v>0</v>
      </c>
      <c r="F107" s="1">
        <v>0</v>
      </c>
      <c r="G107" s="1">
        <v>0</v>
      </c>
      <c r="H107" s="1">
        <v>1745</v>
      </c>
      <c r="I107" s="1">
        <v>758</v>
      </c>
      <c r="J107" s="1"/>
    </row>
    <row r="108" spans="1:10" x14ac:dyDescent="0.25">
      <c r="A108" t="s">
        <v>76</v>
      </c>
      <c r="B108" t="s">
        <v>154</v>
      </c>
      <c r="C108" s="1">
        <v>41890</v>
      </c>
      <c r="D108" s="1">
        <v>501</v>
      </c>
      <c r="E108" s="1">
        <v>0</v>
      </c>
      <c r="F108" s="1">
        <v>0</v>
      </c>
      <c r="G108" s="1">
        <v>0</v>
      </c>
      <c r="H108" s="1">
        <v>5746</v>
      </c>
      <c r="I108" s="1">
        <v>15953</v>
      </c>
      <c r="J108" s="1"/>
    </row>
    <row r="109" spans="1:10" x14ac:dyDescent="0.25">
      <c r="A109" t="s">
        <v>83</v>
      </c>
      <c r="B109" t="s">
        <v>155</v>
      </c>
      <c r="C109" s="1">
        <v>14175</v>
      </c>
      <c r="D109" s="1">
        <v>18</v>
      </c>
      <c r="E109" s="1">
        <v>0</v>
      </c>
      <c r="F109" s="1">
        <v>0</v>
      </c>
      <c r="G109" s="1">
        <v>0</v>
      </c>
      <c r="H109" s="1">
        <v>53856</v>
      </c>
      <c r="I109" s="1">
        <v>2501</v>
      </c>
      <c r="J109" s="1"/>
    </row>
    <row r="110" spans="1:10" x14ac:dyDescent="0.25">
      <c r="A110" t="s">
        <v>138</v>
      </c>
      <c r="B110" t="s">
        <v>156</v>
      </c>
      <c r="C110" s="1">
        <v>43019</v>
      </c>
      <c r="D110" s="1">
        <v>219</v>
      </c>
      <c r="E110" s="1">
        <v>0</v>
      </c>
      <c r="F110" s="1">
        <v>0</v>
      </c>
      <c r="G110" s="1">
        <v>0</v>
      </c>
      <c r="H110" s="1">
        <v>57639</v>
      </c>
      <c r="I110" s="1">
        <v>9594</v>
      </c>
      <c r="J110" s="1"/>
    </row>
    <row r="111" spans="1:10" x14ac:dyDescent="0.25">
      <c r="A111" t="s">
        <v>831</v>
      </c>
      <c r="B111" t="s">
        <v>157</v>
      </c>
      <c r="C111" s="1">
        <v>7628</v>
      </c>
      <c r="D111" s="1">
        <v>16</v>
      </c>
      <c r="E111" s="1">
        <v>0</v>
      </c>
      <c r="F111" s="1">
        <v>0</v>
      </c>
      <c r="G111" s="1">
        <v>0</v>
      </c>
      <c r="H111" s="1">
        <v>3522</v>
      </c>
      <c r="I111" s="1">
        <v>2064</v>
      </c>
      <c r="J111" s="1"/>
    </row>
    <row r="112" spans="1:10" x14ac:dyDescent="0.25">
      <c r="A112" t="s">
        <v>818</v>
      </c>
      <c r="B112" t="s">
        <v>158</v>
      </c>
      <c r="C112" s="1">
        <v>21512</v>
      </c>
      <c r="D112" s="1">
        <v>12</v>
      </c>
      <c r="E112" s="1">
        <v>0</v>
      </c>
      <c r="F112" s="1">
        <v>0</v>
      </c>
      <c r="G112" s="1">
        <v>0</v>
      </c>
      <c r="H112" s="1">
        <v>12396</v>
      </c>
      <c r="I112" s="1">
        <v>3196</v>
      </c>
      <c r="J112" s="1"/>
    </row>
    <row r="113" spans="1:10" x14ac:dyDescent="0.25">
      <c r="A113" t="s">
        <v>134</v>
      </c>
      <c r="B113" t="s">
        <v>159</v>
      </c>
      <c r="C113" s="1">
        <v>3643</v>
      </c>
      <c r="D113" s="1">
        <v>81</v>
      </c>
      <c r="E113" s="1">
        <v>0</v>
      </c>
      <c r="F113" s="1">
        <v>0</v>
      </c>
      <c r="G113" s="1">
        <v>0</v>
      </c>
      <c r="H113" s="1">
        <v>2329</v>
      </c>
      <c r="I113" s="1">
        <v>291</v>
      </c>
      <c r="J113" s="1"/>
    </row>
    <row r="114" spans="1:10" x14ac:dyDescent="0.25">
      <c r="A114" t="s">
        <v>795</v>
      </c>
      <c r="B114" t="s">
        <v>160</v>
      </c>
      <c r="C114" s="1">
        <v>51895</v>
      </c>
      <c r="D114" s="1">
        <v>1387</v>
      </c>
      <c r="E114" s="1">
        <v>0</v>
      </c>
      <c r="F114" s="1">
        <v>0</v>
      </c>
      <c r="G114" s="1">
        <v>0</v>
      </c>
      <c r="H114" s="1">
        <v>4813</v>
      </c>
      <c r="I114" s="1">
        <v>13515</v>
      </c>
      <c r="J114" s="1"/>
    </row>
    <row r="115" spans="1:10" x14ac:dyDescent="0.25">
      <c r="A115" t="s">
        <v>226</v>
      </c>
      <c r="B115" t="s">
        <v>161</v>
      </c>
      <c r="C115" s="1">
        <v>4180</v>
      </c>
      <c r="D115" s="1">
        <v>1</v>
      </c>
      <c r="E115" s="1">
        <v>0</v>
      </c>
      <c r="F115" s="1">
        <v>0</v>
      </c>
      <c r="G115" s="1">
        <v>0</v>
      </c>
      <c r="H115" s="1">
        <v>1161</v>
      </c>
      <c r="I115" s="1">
        <v>273</v>
      </c>
      <c r="J115" s="1"/>
    </row>
    <row r="116" spans="1:10" x14ac:dyDescent="0.25">
      <c r="A116" t="s">
        <v>791</v>
      </c>
      <c r="B116" t="s">
        <v>162</v>
      </c>
      <c r="C116" s="1">
        <v>13659</v>
      </c>
      <c r="D116" s="1">
        <v>75</v>
      </c>
      <c r="E116" s="1">
        <v>0</v>
      </c>
      <c r="F116" s="1">
        <v>0</v>
      </c>
      <c r="G116" s="1">
        <v>0</v>
      </c>
      <c r="H116" s="1">
        <v>6068</v>
      </c>
      <c r="I116" s="1">
        <v>4462</v>
      </c>
      <c r="J116" s="1"/>
    </row>
    <row r="117" spans="1:10" x14ac:dyDescent="0.25">
      <c r="A117" t="s">
        <v>811</v>
      </c>
      <c r="B117" t="s">
        <v>163</v>
      </c>
      <c r="C117" s="1">
        <v>49370</v>
      </c>
      <c r="D117" s="1">
        <v>1402</v>
      </c>
      <c r="E117" s="1">
        <v>0</v>
      </c>
      <c r="F117" s="1">
        <v>0</v>
      </c>
      <c r="G117" s="1">
        <v>0</v>
      </c>
      <c r="H117" s="1">
        <v>57433</v>
      </c>
      <c r="I117" s="1">
        <v>20835</v>
      </c>
      <c r="J117" s="1"/>
    </row>
    <row r="118" spans="1:10" x14ac:dyDescent="0.25">
      <c r="A118" t="s">
        <v>138</v>
      </c>
      <c r="B118" t="s">
        <v>164</v>
      </c>
      <c r="C118" s="1">
        <v>68500</v>
      </c>
      <c r="D118" s="1">
        <v>179</v>
      </c>
      <c r="E118" s="1">
        <v>0</v>
      </c>
      <c r="F118" s="1">
        <v>0</v>
      </c>
      <c r="G118" s="1">
        <v>0</v>
      </c>
      <c r="H118" s="1">
        <v>34077</v>
      </c>
      <c r="I118" s="1">
        <v>15294</v>
      </c>
      <c r="J118" s="1"/>
    </row>
    <row r="119" spans="1:10" x14ac:dyDescent="0.25">
      <c r="A119" t="s">
        <v>83</v>
      </c>
      <c r="B119" t="s">
        <v>165</v>
      </c>
      <c r="C119" s="1">
        <v>10128</v>
      </c>
      <c r="D119" s="1">
        <v>131</v>
      </c>
      <c r="E119" s="1">
        <v>0</v>
      </c>
      <c r="F119" s="1">
        <v>0</v>
      </c>
      <c r="G119" s="1">
        <v>0</v>
      </c>
      <c r="H119" s="1">
        <v>4494</v>
      </c>
      <c r="I119" s="1">
        <v>2151</v>
      </c>
      <c r="J119" s="1"/>
    </row>
    <row r="120" spans="1:10" x14ac:dyDescent="0.25">
      <c r="A120" t="s">
        <v>818</v>
      </c>
      <c r="B120" t="s">
        <v>166</v>
      </c>
      <c r="C120" s="1">
        <v>8457</v>
      </c>
      <c r="D120" s="1">
        <v>10</v>
      </c>
      <c r="E120" s="1">
        <v>0</v>
      </c>
      <c r="F120" s="1">
        <v>0</v>
      </c>
      <c r="G120" s="1">
        <v>0</v>
      </c>
      <c r="H120" s="1">
        <v>10145</v>
      </c>
      <c r="I120" s="1">
        <v>570</v>
      </c>
      <c r="J120" s="1"/>
    </row>
    <row r="121" spans="1:10" x14ac:dyDescent="0.25">
      <c r="A121" t="s">
        <v>801</v>
      </c>
      <c r="B121" t="s">
        <v>167</v>
      </c>
      <c r="C121" s="1">
        <v>23336</v>
      </c>
      <c r="D121" s="1">
        <v>3</v>
      </c>
      <c r="E121" s="1">
        <v>0</v>
      </c>
      <c r="F121" s="1">
        <v>0</v>
      </c>
      <c r="G121" s="1">
        <v>0</v>
      </c>
      <c r="H121" s="1">
        <v>23851</v>
      </c>
      <c r="I121" s="1">
        <v>2378</v>
      </c>
      <c r="J121" s="1"/>
    </row>
    <row r="122" spans="1:10" x14ac:dyDescent="0.25">
      <c r="A122" t="s">
        <v>826</v>
      </c>
      <c r="B122" t="s">
        <v>168</v>
      </c>
      <c r="C122" s="1">
        <v>34978</v>
      </c>
      <c r="D122" s="1">
        <v>198</v>
      </c>
      <c r="E122" s="1">
        <v>0</v>
      </c>
      <c r="F122" s="1">
        <v>0</v>
      </c>
      <c r="G122" s="1">
        <v>0</v>
      </c>
      <c r="H122" s="1">
        <v>11488</v>
      </c>
      <c r="I122" s="1">
        <v>1933</v>
      </c>
      <c r="J122" s="1"/>
    </row>
    <row r="123" spans="1:10" x14ac:dyDescent="0.25">
      <c r="A123" t="s">
        <v>848</v>
      </c>
      <c r="B123" t="s">
        <v>169</v>
      </c>
      <c r="C123" s="1">
        <v>7156</v>
      </c>
      <c r="D123" s="1">
        <v>90</v>
      </c>
      <c r="E123" s="1">
        <v>0</v>
      </c>
      <c r="F123" s="1">
        <v>0</v>
      </c>
      <c r="G123" s="1">
        <v>0</v>
      </c>
      <c r="H123" s="1">
        <v>1408</v>
      </c>
      <c r="I123" s="1">
        <v>2036</v>
      </c>
      <c r="J123" s="1"/>
    </row>
    <row r="124" spans="1:10" x14ac:dyDescent="0.25">
      <c r="A124" t="s">
        <v>811</v>
      </c>
      <c r="B124" t="s">
        <v>170</v>
      </c>
      <c r="C124" s="1">
        <v>24265</v>
      </c>
      <c r="D124" s="1">
        <v>495</v>
      </c>
      <c r="E124" s="1">
        <v>0</v>
      </c>
      <c r="F124" s="1">
        <v>0</v>
      </c>
      <c r="G124" s="1">
        <v>0</v>
      </c>
      <c r="H124" s="1">
        <v>11536</v>
      </c>
      <c r="I124" s="1">
        <v>7163</v>
      </c>
      <c r="J124" s="1"/>
    </row>
    <row r="125" spans="1:10" x14ac:dyDescent="0.25">
      <c r="A125" t="s">
        <v>512</v>
      </c>
      <c r="B125" t="s">
        <v>171</v>
      </c>
      <c r="C125" s="1">
        <v>9023</v>
      </c>
      <c r="D125" s="1">
        <v>3</v>
      </c>
      <c r="E125" s="1">
        <v>0</v>
      </c>
      <c r="F125" s="1">
        <v>0</v>
      </c>
      <c r="G125" s="1">
        <v>0</v>
      </c>
      <c r="H125" s="1">
        <v>4259</v>
      </c>
      <c r="I125" s="1">
        <v>1974</v>
      </c>
      <c r="J125" s="1"/>
    </row>
    <row r="126" spans="1:10" x14ac:dyDescent="0.25">
      <c r="A126" t="s">
        <v>848</v>
      </c>
      <c r="B126" t="s">
        <v>172</v>
      </c>
      <c r="C126" s="1">
        <v>4718</v>
      </c>
      <c r="D126" s="1">
        <v>1</v>
      </c>
      <c r="E126" s="1">
        <v>0</v>
      </c>
      <c r="F126" s="1">
        <v>0</v>
      </c>
      <c r="G126" s="1">
        <v>0</v>
      </c>
      <c r="H126" s="1">
        <v>646</v>
      </c>
      <c r="I126" s="1">
        <v>301</v>
      </c>
      <c r="J126" s="1"/>
    </row>
    <row r="127" spans="1:10" x14ac:dyDescent="0.25">
      <c r="A127" t="s">
        <v>801</v>
      </c>
      <c r="B127" t="s">
        <v>173</v>
      </c>
      <c r="C127" s="1">
        <v>45982</v>
      </c>
      <c r="D127" s="1">
        <v>1226</v>
      </c>
      <c r="E127" s="1">
        <v>0</v>
      </c>
      <c r="F127" s="1">
        <v>0</v>
      </c>
      <c r="G127" s="1">
        <v>0</v>
      </c>
      <c r="H127" s="1">
        <v>32750</v>
      </c>
      <c r="I127" s="1">
        <v>16316</v>
      </c>
      <c r="J127" s="1"/>
    </row>
    <row r="128" spans="1:10" x14ac:dyDescent="0.25">
      <c r="A128" t="s">
        <v>864</v>
      </c>
      <c r="B128" t="s">
        <v>174</v>
      </c>
      <c r="C128" s="1">
        <v>14484</v>
      </c>
      <c r="D128" s="1">
        <v>23</v>
      </c>
      <c r="E128" s="1">
        <v>0</v>
      </c>
      <c r="F128" s="1">
        <v>0</v>
      </c>
      <c r="G128" s="1">
        <v>0</v>
      </c>
      <c r="H128" s="1">
        <v>8472</v>
      </c>
      <c r="I128" s="1">
        <v>3128</v>
      </c>
      <c r="J128" s="1"/>
    </row>
    <row r="129" spans="1:10" x14ac:dyDescent="0.25">
      <c r="A129" t="s">
        <v>226</v>
      </c>
      <c r="B129" t="s">
        <v>175</v>
      </c>
      <c r="C129" s="1">
        <v>3240</v>
      </c>
      <c r="D129" s="1">
        <v>344</v>
      </c>
      <c r="E129" s="1">
        <v>0</v>
      </c>
      <c r="F129" s="1">
        <v>0</v>
      </c>
      <c r="G129" s="1">
        <v>0</v>
      </c>
      <c r="H129" s="1">
        <v>1146</v>
      </c>
      <c r="I129" s="1">
        <v>613</v>
      </c>
      <c r="J129" s="1"/>
    </row>
    <row r="130" spans="1:10" x14ac:dyDescent="0.25">
      <c r="A130" t="s">
        <v>794</v>
      </c>
      <c r="B130" t="s">
        <v>176</v>
      </c>
      <c r="C130" s="1">
        <v>99573</v>
      </c>
      <c r="D130" s="1">
        <v>56</v>
      </c>
      <c r="E130" s="1">
        <v>0</v>
      </c>
      <c r="F130" s="1">
        <v>0</v>
      </c>
      <c r="G130" s="1">
        <v>0</v>
      </c>
      <c r="H130" s="1">
        <v>19101</v>
      </c>
      <c r="I130" s="1">
        <v>6291</v>
      </c>
      <c r="J130" s="1"/>
    </row>
    <row r="131" spans="1:10" x14ac:dyDescent="0.25">
      <c r="A131" t="s">
        <v>248</v>
      </c>
      <c r="B131" t="s">
        <v>177</v>
      </c>
      <c r="C131" s="1">
        <v>16133</v>
      </c>
      <c r="D131" s="1">
        <v>19</v>
      </c>
      <c r="E131" s="1">
        <v>0</v>
      </c>
      <c r="F131" s="1">
        <v>0</v>
      </c>
      <c r="G131" s="1">
        <v>0</v>
      </c>
      <c r="H131" s="1">
        <v>11293</v>
      </c>
      <c r="I131" s="1">
        <v>1872</v>
      </c>
      <c r="J131" s="1"/>
    </row>
    <row r="132" spans="1:10" x14ac:dyDescent="0.25">
      <c r="A132" t="s">
        <v>83</v>
      </c>
      <c r="B132" t="s">
        <v>178</v>
      </c>
      <c r="C132" s="1">
        <v>38990</v>
      </c>
      <c r="D132" s="1">
        <v>231</v>
      </c>
      <c r="E132" s="1">
        <v>0</v>
      </c>
      <c r="F132" s="1">
        <v>0</v>
      </c>
      <c r="G132" s="1">
        <v>0</v>
      </c>
      <c r="H132" s="1">
        <v>50194</v>
      </c>
      <c r="I132" s="1">
        <v>5681</v>
      </c>
      <c r="J132" s="1"/>
    </row>
    <row r="133" spans="1:10" x14ac:dyDescent="0.25">
      <c r="A133" t="s">
        <v>823</v>
      </c>
      <c r="B133" t="s">
        <v>179</v>
      </c>
      <c r="C133" s="1">
        <v>37140</v>
      </c>
      <c r="D133" s="1">
        <v>117</v>
      </c>
      <c r="E133" s="1">
        <v>0</v>
      </c>
      <c r="F133" s="1">
        <v>0</v>
      </c>
      <c r="G133" s="1">
        <v>0</v>
      </c>
      <c r="H133" s="1">
        <v>13246</v>
      </c>
      <c r="I133" s="1">
        <v>10263</v>
      </c>
      <c r="J133" s="1"/>
    </row>
    <row r="134" spans="1:10" x14ac:dyDescent="0.25">
      <c r="A134" t="s">
        <v>795</v>
      </c>
      <c r="B134" t="s">
        <v>180</v>
      </c>
      <c r="C134" s="1">
        <v>102578</v>
      </c>
      <c r="D134" s="1">
        <v>46</v>
      </c>
      <c r="E134" s="1">
        <v>0</v>
      </c>
      <c r="F134" s="1">
        <v>0</v>
      </c>
      <c r="G134" s="1">
        <v>0</v>
      </c>
      <c r="H134" s="1">
        <v>44673</v>
      </c>
      <c r="I134" s="1">
        <v>27268</v>
      </c>
      <c r="J134" s="1"/>
    </row>
    <row r="135" spans="1:10" x14ac:dyDescent="0.25">
      <c r="A135" t="s">
        <v>791</v>
      </c>
      <c r="B135" t="s">
        <v>181</v>
      </c>
      <c r="C135" s="1">
        <v>6072</v>
      </c>
      <c r="D135" s="1">
        <v>548</v>
      </c>
      <c r="E135" s="1">
        <v>0</v>
      </c>
      <c r="F135" s="1">
        <v>0</v>
      </c>
      <c r="G135" s="1">
        <v>0</v>
      </c>
      <c r="H135" s="1">
        <v>8673</v>
      </c>
      <c r="I135" s="1">
        <v>1873</v>
      </c>
      <c r="J135" s="1"/>
    </row>
    <row r="136" spans="1:10" x14ac:dyDescent="0.25">
      <c r="A136" t="s">
        <v>83</v>
      </c>
      <c r="B136" t="s">
        <v>182</v>
      </c>
      <c r="C136" s="1">
        <v>26431</v>
      </c>
      <c r="D136" s="1">
        <v>79</v>
      </c>
      <c r="E136" s="1">
        <v>0</v>
      </c>
      <c r="F136" s="1">
        <v>0</v>
      </c>
      <c r="G136" s="1">
        <v>0</v>
      </c>
      <c r="H136" s="1">
        <v>3576</v>
      </c>
      <c r="I136" s="1">
        <v>6019</v>
      </c>
      <c r="J136" s="1"/>
    </row>
    <row r="137" spans="1:10" x14ac:dyDescent="0.25">
      <c r="A137" t="s">
        <v>817</v>
      </c>
      <c r="B137" t="s">
        <v>183</v>
      </c>
      <c r="C137" s="1">
        <v>8555</v>
      </c>
      <c r="D137" s="1">
        <v>74</v>
      </c>
      <c r="E137" s="1">
        <v>0</v>
      </c>
      <c r="F137" s="1">
        <v>0</v>
      </c>
      <c r="G137" s="1">
        <v>0</v>
      </c>
      <c r="H137" s="1">
        <v>10749</v>
      </c>
      <c r="I137" s="1">
        <v>2520</v>
      </c>
      <c r="J137" s="1"/>
    </row>
    <row r="138" spans="1:10" x14ac:dyDescent="0.25">
      <c r="A138" t="s">
        <v>67</v>
      </c>
      <c r="B138" t="s">
        <v>184</v>
      </c>
      <c r="C138" s="1">
        <v>35646</v>
      </c>
      <c r="D138" s="1">
        <v>290</v>
      </c>
      <c r="E138" s="1">
        <v>0</v>
      </c>
      <c r="F138" s="1">
        <v>0</v>
      </c>
      <c r="G138" s="1">
        <v>0</v>
      </c>
      <c r="H138" s="1">
        <v>39389</v>
      </c>
      <c r="I138" s="1">
        <v>4886</v>
      </c>
      <c r="J138" s="1"/>
    </row>
    <row r="139" spans="1:10" x14ac:dyDescent="0.25">
      <c r="A139" t="s">
        <v>865</v>
      </c>
      <c r="B139" t="s">
        <v>186</v>
      </c>
      <c r="C139" s="1">
        <v>17218</v>
      </c>
      <c r="D139" s="1">
        <v>0</v>
      </c>
      <c r="E139" s="1">
        <v>0</v>
      </c>
      <c r="F139" s="1">
        <v>0</v>
      </c>
      <c r="G139" s="1">
        <v>0</v>
      </c>
      <c r="H139" s="1">
        <v>17844</v>
      </c>
      <c r="I139" s="1">
        <v>3976</v>
      </c>
      <c r="J139" s="1"/>
    </row>
    <row r="140" spans="1:10" x14ac:dyDescent="0.25">
      <c r="A140" t="s">
        <v>512</v>
      </c>
      <c r="B140" t="s">
        <v>187</v>
      </c>
      <c r="C140" s="1">
        <v>20260</v>
      </c>
      <c r="D140" s="1">
        <v>6</v>
      </c>
      <c r="E140" s="1">
        <v>0</v>
      </c>
      <c r="F140" s="1">
        <v>0</v>
      </c>
      <c r="G140" s="1">
        <v>0</v>
      </c>
      <c r="H140" s="1">
        <v>13303</v>
      </c>
      <c r="I140" s="1">
        <v>2939</v>
      </c>
      <c r="J140" s="1"/>
    </row>
    <row r="141" spans="1:10" x14ac:dyDescent="0.25">
      <c r="A141" t="s">
        <v>231</v>
      </c>
      <c r="B141" t="s">
        <v>189</v>
      </c>
      <c r="C141" s="1">
        <v>40630</v>
      </c>
      <c r="D141" s="1">
        <v>76</v>
      </c>
      <c r="E141" s="1">
        <v>0</v>
      </c>
      <c r="F141" s="1">
        <v>0</v>
      </c>
      <c r="G141" s="1">
        <v>0</v>
      </c>
      <c r="H141" s="1">
        <v>4398</v>
      </c>
      <c r="I141" s="1">
        <v>5568</v>
      </c>
      <c r="J141" s="1"/>
    </row>
    <row r="142" spans="1:10" x14ac:dyDescent="0.25">
      <c r="A142" t="s">
        <v>83</v>
      </c>
      <c r="B142" t="s">
        <v>190</v>
      </c>
      <c r="C142" s="1">
        <v>31111</v>
      </c>
      <c r="D142" s="1">
        <v>60</v>
      </c>
      <c r="E142" s="1">
        <v>0</v>
      </c>
      <c r="F142" s="1">
        <v>0</v>
      </c>
      <c r="G142" s="1">
        <v>0</v>
      </c>
      <c r="H142" s="1">
        <v>3117</v>
      </c>
      <c r="I142" s="1">
        <v>1761</v>
      </c>
      <c r="J142" s="1"/>
    </row>
    <row r="143" spans="1:10" x14ac:dyDescent="0.25">
      <c r="A143" t="s">
        <v>76</v>
      </c>
      <c r="B143" t="s">
        <v>191</v>
      </c>
      <c r="C143" s="1">
        <v>57213</v>
      </c>
      <c r="D143" s="1">
        <v>2234</v>
      </c>
      <c r="E143" s="1">
        <v>0</v>
      </c>
      <c r="F143" s="1">
        <v>0</v>
      </c>
      <c r="G143" s="1">
        <v>0</v>
      </c>
      <c r="H143" s="1">
        <v>1536</v>
      </c>
      <c r="I143" s="1">
        <v>11902</v>
      </c>
      <c r="J143" s="1"/>
    </row>
    <row r="144" spans="1:10" x14ac:dyDescent="0.25">
      <c r="A144" t="s">
        <v>101</v>
      </c>
      <c r="B144" t="s">
        <v>192</v>
      </c>
      <c r="C144" s="1">
        <v>46300</v>
      </c>
      <c r="D144" s="1">
        <v>314</v>
      </c>
      <c r="E144" s="1">
        <v>0</v>
      </c>
      <c r="F144" s="1">
        <v>0</v>
      </c>
      <c r="G144" s="1">
        <v>0</v>
      </c>
      <c r="H144" s="1">
        <v>57160</v>
      </c>
      <c r="I144" s="1">
        <v>5903</v>
      </c>
      <c r="J144" s="1"/>
    </row>
    <row r="145" spans="1:10" x14ac:dyDescent="0.25">
      <c r="A145" t="s">
        <v>831</v>
      </c>
      <c r="B145" t="s">
        <v>193</v>
      </c>
      <c r="C145" s="1">
        <v>2038</v>
      </c>
      <c r="D145" s="1">
        <v>0</v>
      </c>
      <c r="E145" s="1">
        <v>0</v>
      </c>
      <c r="F145" s="1">
        <v>0</v>
      </c>
      <c r="G145" s="1">
        <v>0</v>
      </c>
      <c r="H145" s="1">
        <v>712</v>
      </c>
      <c r="I145" s="1">
        <v>276</v>
      </c>
      <c r="J145" s="1"/>
    </row>
    <row r="146" spans="1:10" x14ac:dyDescent="0.25">
      <c r="A146" t="s">
        <v>811</v>
      </c>
      <c r="B146" t="s">
        <v>194</v>
      </c>
      <c r="C146" s="1">
        <v>70081</v>
      </c>
      <c r="D146" s="1">
        <v>562</v>
      </c>
      <c r="E146" s="1">
        <v>0</v>
      </c>
      <c r="F146" s="1">
        <v>0</v>
      </c>
      <c r="G146" s="1">
        <v>0</v>
      </c>
      <c r="H146" s="1">
        <v>1951</v>
      </c>
      <c r="I146" s="1">
        <v>6192</v>
      </c>
      <c r="J146" s="1"/>
    </row>
    <row r="147" spans="1:10" x14ac:dyDescent="0.25">
      <c r="A147" t="s">
        <v>76</v>
      </c>
      <c r="B147" t="s">
        <v>195</v>
      </c>
      <c r="C147" s="1">
        <v>59990</v>
      </c>
      <c r="D147" s="1">
        <v>819</v>
      </c>
      <c r="E147" s="1">
        <v>0</v>
      </c>
      <c r="F147" s="1">
        <v>0</v>
      </c>
      <c r="G147" s="1">
        <v>0</v>
      </c>
      <c r="H147" s="1">
        <v>35500</v>
      </c>
      <c r="I147" s="1">
        <v>9095</v>
      </c>
      <c r="J147" s="1"/>
    </row>
    <row r="148" spans="1:10" x14ac:dyDescent="0.25">
      <c r="A148" t="s">
        <v>788</v>
      </c>
      <c r="B148" t="s">
        <v>196</v>
      </c>
      <c r="C148" s="1">
        <v>43082</v>
      </c>
      <c r="D148" s="1">
        <v>614</v>
      </c>
      <c r="E148" s="1">
        <v>0</v>
      </c>
      <c r="F148" s="1">
        <v>0</v>
      </c>
      <c r="G148" s="1">
        <v>0</v>
      </c>
      <c r="H148" s="1">
        <v>64034</v>
      </c>
      <c r="I148" s="1">
        <v>16769</v>
      </c>
      <c r="J148" s="1"/>
    </row>
    <row r="149" spans="1:10" x14ac:dyDescent="0.25">
      <c r="A149" t="s">
        <v>817</v>
      </c>
      <c r="B149" t="s">
        <v>197</v>
      </c>
      <c r="C149" s="1">
        <v>21137</v>
      </c>
      <c r="D149" s="1">
        <v>130</v>
      </c>
      <c r="E149" s="1">
        <v>0</v>
      </c>
      <c r="F149" s="1">
        <v>0</v>
      </c>
      <c r="G149" s="1">
        <v>0</v>
      </c>
      <c r="H149" s="1">
        <v>44625</v>
      </c>
      <c r="I149" s="1">
        <v>12764</v>
      </c>
      <c r="J149" s="1"/>
    </row>
    <row r="150" spans="1:10" x14ac:dyDescent="0.25">
      <c r="A150" t="s">
        <v>817</v>
      </c>
      <c r="B150" t="s">
        <v>198</v>
      </c>
      <c r="C150" s="1">
        <v>17404</v>
      </c>
      <c r="D150" s="1">
        <v>311</v>
      </c>
      <c r="E150" s="1">
        <v>0</v>
      </c>
      <c r="F150" s="1">
        <v>0</v>
      </c>
      <c r="G150" s="1">
        <v>0</v>
      </c>
      <c r="H150" s="1">
        <v>18064</v>
      </c>
      <c r="I150" s="1">
        <v>12206</v>
      </c>
      <c r="J150" s="1"/>
    </row>
    <row r="151" spans="1:10" x14ac:dyDescent="0.25">
      <c r="A151" t="s">
        <v>69</v>
      </c>
      <c r="B151" t="s">
        <v>199</v>
      </c>
      <c r="C151" s="1">
        <v>76497</v>
      </c>
      <c r="D151" s="1">
        <v>36</v>
      </c>
      <c r="E151" s="1">
        <v>0</v>
      </c>
      <c r="F151" s="1">
        <v>0</v>
      </c>
      <c r="G151" s="1">
        <v>0</v>
      </c>
      <c r="H151" s="1">
        <v>131029</v>
      </c>
      <c r="I151" s="1">
        <v>12517</v>
      </c>
      <c r="J151" s="1"/>
    </row>
    <row r="152" spans="1:10" x14ac:dyDescent="0.25">
      <c r="A152" t="s">
        <v>76</v>
      </c>
      <c r="B152" t="s">
        <v>200</v>
      </c>
      <c r="C152" s="1"/>
      <c r="D152" s="1"/>
      <c r="E152" s="1"/>
      <c r="F152" s="1"/>
      <c r="G152" s="1"/>
      <c r="H152" s="1"/>
      <c r="I152" s="1"/>
      <c r="J152" s="1"/>
    </row>
    <row r="153" spans="1:10" x14ac:dyDescent="0.25">
      <c r="A153" t="s">
        <v>120</v>
      </c>
      <c r="B153" t="s">
        <v>201</v>
      </c>
      <c r="C153" s="1">
        <v>22343</v>
      </c>
      <c r="D153" s="1">
        <v>413</v>
      </c>
      <c r="E153" s="1">
        <v>0</v>
      </c>
      <c r="F153" s="1">
        <v>0</v>
      </c>
      <c r="G153" s="1">
        <v>0</v>
      </c>
      <c r="H153" s="1">
        <v>6214</v>
      </c>
      <c r="I153" s="1">
        <v>3275</v>
      </c>
      <c r="J153" s="1"/>
    </row>
    <row r="154" spans="1:10" x14ac:dyDescent="0.25">
      <c r="A154" t="s">
        <v>495</v>
      </c>
      <c r="B154" t="s">
        <v>202</v>
      </c>
      <c r="C154" s="1">
        <v>47350</v>
      </c>
      <c r="D154" s="1">
        <v>59</v>
      </c>
      <c r="E154" s="1">
        <v>0</v>
      </c>
      <c r="F154" s="1">
        <v>0</v>
      </c>
      <c r="G154" s="1">
        <v>0</v>
      </c>
      <c r="H154" s="1">
        <v>30490</v>
      </c>
      <c r="I154" s="1">
        <v>10712</v>
      </c>
      <c r="J154" s="1"/>
    </row>
    <row r="155" spans="1:10" x14ac:dyDescent="0.25">
      <c r="A155" t="s">
        <v>788</v>
      </c>
      <c r="B155" t="s">
        <v>203</v>
      </c>
      <c r="C155" s="1">
        <v>72541</v>
      </c>
      <c r="D155" s="1">
        <v>45</v>
      </c>
      <c r="E155" s="1">
        <v>0</v>
      </c>
      <c r="F155" s="1">
        <v>0</v>
      </c>
      <c r="G155" s="1">
        <v>0</v>
      </c>
      <c r="H155" s="1">
        <v>11956</v>
      </c>
      <c r="I155" s="1">
        <v>10513</v>
      </c>
      <c r="J155" s="1"/>
    </row>
    <row r="156" spans="1:10" x14ac:dyDescent="0.25">
      <c r="A156" t="s">
        <v>72</v>
      </c>
      <c r="B156" t="s">
        <v>204</v>
      </c>
      <c r="C156" s="1">
        <v>19524</v>
      </c>
      <c r="D156" s="1">
        <v>46</v>
      </c>
      <c r="E156" s="1">
        <v>0</v>
      </c>
      <c r="F156" s="1">
        <v>0</v>
      </c>
      <c r="G156" s="1">
        <v>0</v>
      </c>
      <c r="H156" s="1">
        <v>6787</v>
      </c>
      <c r="I156" s="1">
        <v>2389</v>
      </c>
      <c r="J156" s="1"/>
    </row>
    <row r="157" spans="1:10" x14ac:dyDescent="0.25">
      <c r="A157" t="s">
        <v>76</v>
      </c>
      <c r="B157" t="s">
        <v>205</v>
      </c>
      <c r="C157" s="1">
        <v>26898</v>
      </c>
      <c r="D157" s="1">
        <v>210</v>
      </c>
      <c r="E157" s="1">
        <v>0</v>
      </c>
      <c r="F157" s="1">
        <v>0</v>
      </c>
      <c r="G157" s="1">
        <v>0</v>
      </c>
      <c r="H157" s="1">
        <v>20620</v>
      </c>
      <c r="I157" s="1">
        <v>11697</v>
      </c>
      <c r="J157" s="1"/>
    </row>
    <row r="158" spans="1:10" x14ac:dyDescent="0.25">
      <c r="A158" t="s">
        <v>864</v>
      </c>
      <c r="B158" t="s">
        <v>206</v>
      </c>
      <c r="C158" s="1">
        <v>25652</v>
      </c>
      <c r="D158" s="1">
        <v>16</v>
      </c>
      <c r="E158" s="1">
        <v>0</v>
      </c>
      <c r="F158" s="1">
        <v>0</v>
      </c>
      <c r="G158" s="1">
        <v>0</v>
      </c>
      <c r="H158" s="1">
        <v>13101</v>
      </c>
      <c r="I158" s="1">
        <v>17411</v>
      </c>
      <c r="J158" s="1"/>
    </row>
    <row r="159" spans="1:10" x14ac:dyDescent="0.25">
      <c r="A159" t="s">
        <v>76</v>
      </c>
      <c r="B159" t="s">
        <v>207</v>
      </c>
      <c r="C159" s="1">
        <v>42313</v>
      </c>
      <c r="D159" s="1">
        <v>42</v>
      </c>
      <c r="E159" s="1">
        <v>0</v>
      </c>
      <c r="F159" s="1">
        <v>0</v>
      </c>
      <c r="G159" s="1">
        <v>0</v>
      </c>
      <c r="H159" s="1">
        <v>28115</v>
      </c>
      <c r="I159" s="1">
        <v>14623</v>
      </c>
      <c r="J159" s="1"/>
    </row>
    <row r="160" spans="1:10" x14ac:dyDescent="0.25">
      <c r="A160" t="s">
        <v>265</v>
      </c>
      <c r="B160" t="s">
        <v>208</v>
      </c>
      <c r="C160" s="1">
        <v>9217</v>
      </c>
      <c r="D160" s="1">
        <v>109</v>
      </c>
      <c r="E160" s="1">
        <v>0</v>
      </c>
      <c r="F160" s="1">
        <v>0</v>
      </c>
      <c r="G160" s="1">
        <v>0</v>
      </c>
      <c r="H160" s="1">
        <v>9274</v>
      </c>
      <c r="I160" s="1">
        <v>2022</v>
      </c>
      <c r="J160" s="1"/>
    </row>
    <row r="161" spans="1:10" x14ac:dyDescent="0.25">
      <c r="A161" t="s">
        <v>801</v>
      </c>
      <c r="B161" t="s">
        <v>209</v>
      </c>
      <c r="C161" s="1">
        <v>30765</v>
      </c>
      <c r="D161" s="1">
        <f>14+2+196+6+84</f>
        <v>302</v>
      </c>
      <c r="E161" s="1">
        <v>0</v>
      </c>
      <c r="F161" s="1">
        <v>0</v>
      </c>
      <c r="G161" s="1">
        <v>0</v>
      </c>
      <c r="H161" s="1">
        <v>41738</v>
      </c>
      <c r="I161" s="1">
        <v>14844</v>
      </c>
      <c r="J161" s="1"/>
    </row>
    <row r="162" spans="1:10" x14ac:dyDescent="0.25">
      <c r="A162" t="s">
        <v>72</v>
      </c>
      <c r="B162" t="s">
        <v>210</v>
      </c>
      <c r="C162" s="1">
        <v>31277</v>
      </c>
      <c r="D162" s="1">
        <v>76</v>
      </c>
      <c r="E162" s="1">
        <v>0</v>
      </c>
      <c r="F162" s="1">
        <v>0</v>
      </c>
      <c r="G162" s="1">
        <v>0</v>
      </c>
      <c r="H162" s="1">
        <v>25914</v>
      </c>
      <c r="I162" s="1">
        <v>11769</v>
      </c>
      <c r="J162" s="1"/>
    </row>
    <row r="163" spans="1:10" x14ac:dyDescent="0.25">
      <c r="A163" t="s">
        <v>817</v>
      </c>
      <c r="B163" t="s">
        <v>211</v>
      </c>
      <c r="C163" s="1">
        <v>69684</v>
      </c>
      <c r="D163" s="1">
        <v>308</v>
      </c>
      <c r="E163" s="1">
        <v>0</v>
      </c>
      <c r="F163" s="1">
        <v>0</v>
      </c>
      <c r="G163" s="1">
        <v>0</v>
      </c>
      <c r="H163" s="1">
        <v>44435</v>
      </c>
      <c r="I163" s="1">
        <v>62467</v>
      </c>
      <c r="J163" s="1"/>
    </row>
    <row r="164" spans="1:10" x14ac:dyDescent="0.25">
      <c r="A164" t="s">
        <v>72</v>
      </c>
      <c r="B164" t="s">
        <v>212</v>
      </c>
      <c r="C164" s="1">
        <v>23755</v>
      </c>
      <c r="D164" s="1">
        <v>1</v>
      </c>
      <c r="E164" s="1">
        <v>0</v>
      </c>
      <c r="F164" s="1">
        <v>0</v>
      </c>
      <c r="G164" s="1">
        <v>0</v>
      </c>
      <c r="H164" s="1">
        <v>4147</v>
      </c>
      <c r="I164" s="1">
        <v>2850</v>
      </c>
      <c r="J164" s="1"/>
    </row>
    <row r="165" spans="1:10" x14ac:dyDescent="0.25">
      <c r="A165" t="s">
        <v>134</v>
      </c>
      <c r="B165" t="s">
        <v>213</v>
      </c>
      <c r="C165" s="1">
        <v>7828</v>
      </c>
      <c r="D165" s="1">
        <v>0</v>
      </c>
      <c r="E165" s="1">
        <v>0</v>
      </c>
      <c r="F165" s="1">
        <v>0</v>
      </c>
      <c r="G165" s="1">
        <v>0</v>
      </c>
      <c r="H165" s="1">
        <v>23749</v>
      </c>
      <c r="I165" s="1">
        <v>720</v>
      </c>
      <c r="J165" s="1"/>
    </row>
    <row r="166" spans="1:10" x14ac:dyDescent="0.25">
      <c r="A166" t="s">
        <v>495</v>
      </c>
      <c r="B166" t="s">
        <v>214</v>
      </c>
      <c r="C166" s="1">
        <v>37254</v>
      </c>
      <c r="D166" s="1">
        <v>638</v>
      </c>
      <c r="E166" s="1">
        <v>0</v>
      </c>
      <c r="F166" s="1">
        <v>0</v>
      </c>
      <c r="G166" s="1">
        <v>0</v>
      </c>
      <c r="H166" s="1">
        <v>21630</v>
      </c>
      <c r="I166" s="1">
        <v>8847</v>
      </c>
      <c r="J166" s="1"/>
    </row>
    <row r="167" spans="1:10" x14ac:dyDescent="0.25">
      <c r="A167" t="s">
        <v>146</v>
      </c>
      <c r="B167" t="s">
        <v>215</v>
      </c>
      <c r="C167" s="1">
        <f>50086+305+1+5+2+17017+3</f>
        <v>67419</v>
      </c>
      <c r="D167" s="1">
        <f>265+2+7+16</f>
        <v>290</v>
      </c>
      <c r="E167" s="1">
        <v>0</v>
      </c>
      <c r="F167" s="1">
        <v>0</v>
      </c>
      <c r="G167" s="1">
        <v>0</v>
      </c>
      <c r="H167" s="1">
        <v>41329</v>
      </c>
      <c r="I167" s="1">
        <v>15941</v>
      </c>
      <c r="J167" s="1"/>
    </row>
    <row r="168" spans="1:10" x14ac:dyDescent="0.25">
      <c r="A168" t="s">
        <v>138</v>
      </c>
      <c r="B168" t="s">
        <v>216</v>
      </c>
      <c r="C168" s="1">
        <v>27830</v>
      </c>
      <c r="D168" s="1">
        <v>13</v>
      </c>
      <c r="E168" s="1">
        <v>0</v>
      </c>
      <c r="F168" s="1">
        <v>0</v>
      </c>
      <c r="G168" s="1">
        <v>0</v>
      </c>
      <c r="H168" s="1">
        <v>51525</v>
      </c>
      <c r="I168" s="1">
        <v>8803</v>
      </c>
      <c r="J168" s="1"/>
    </row>
    <row r="169" spans="1:10" x14ac:dyDescent="0.25">
      <c r="A169" t="s">
        <v>794</v>
      </c>
      <c r="B169" t="s">
        <v>217</v>
      </c>
      <c r="C169" s="1">
        <v>13928</v>
      </c>
      <c r="D169" s="1">
        <v>0</v>
      </c>
      <c r="E169" s="1">
        <v>0</v>
      </c>
      <c r="F169" s="1">
        <v>0</v>
      </c>
      <c r="G169" s="1">
        <v>0</v>
      </c>
      <c r="H169" s="1">
        <v>14793</v>
      </c>
      <c r="I169" s="1">
        <v>3247</v>
      </c>
      <c r="J169" s="1"/>
    </row>
    <row r="170" spans="1:10" x14ac:dyDescent="0.25">
      <c r="A170" t="s">
        <v>265</v>
      </c>
      <c r="B170" t="s">
        <v>218</v>
      </c>
      <c r="C170" s="1">
        <v>7520</v>
      </c>
      <c r="D170" s="1">
        <v>0</v>
      </c>
      <c r="E170" s="1">
        <v>0</v>
      </c>
      <c r="F170" s="1">
        <v>0</v>
      </c>
      <c r="G170" s="1">
        <v>0</v>
      </c>
      <c r="H170" s="1">
        <v>34109</v>
      </c>
      <c r="I170" s="1">
        <v>956</v>
      </c>
      <c r="J170" s="1"/>
    </row>
    <row r="171" spans="1:10" x14ac:dyDescent="0.25">
      <c r="A171" t="s">
        <v>801</v>
      </c>
      <c r="B171" t="s">
        <v>219</v>
      </c>
      <c r="C171" s="1">
        <v>45062</v>
      </c>
      <c r="D171" s="1">
        <v>219</v>
      </c>
      <c r="E171" s="1">
        <v>0</v>
      </c>
      <c r="F171" s="1">
        <v>0</v>
      </c>
      <c r="G171" s="1">
        <v>0</v>
      </c>
      <c r="H171" s="1">
        <v>18207</v>
      </c>
      <c r="I171" s="1">
        <v>4969</v>
      </c>
      <c r="J171" s="1"/>
    </row>
    <row r="172" spans="1:10" x14ac:dyDescent="0.25">
      <c r="A172" t="s">
        <v>831</v>
      </c>
      <c r="B172" t="s">
        <v>220</v>
      </c>
      <c r="C172" s="1">
        <v>2949</v>
      </c>
      <c r="D172" s="1">
        <v>3</v>
      </c>
      <c r="E172" s="1">
        <v>0</v>
      </c>
      <c r="F172" s="1">
        <v>0</v>
      </c>
      <c r="G172" s="1">
        <v>0</v>
      </c>
      <c r="H172" s="1">
        <v>3844</v>
      </c>
      <c r="I172" s="1">
        <v>599</v>
      </c>
      <c r="J172" s="1"/>
    </row>
    <row r="173" spans="1:10" x14ac:dyDescent="0.25">
      <c r="A173" t="s">
        <v>794</v>
      </c>
      <c r="B173" t="s">
        <v>221</v>
      </c>
      <c r="C173" s="1">
        <v>34753</v>
      </c>
      <c r="D173" s="1">
        <v>45</v>
      </c>
      <c r="E173" s="1">
        <v>0</v>
      </c>
      <c r="F173" s="1">
        <v>0</v>
      </c>
      <c r="G173" s="1">
        <v>0</v>
      </c>
      <c r="H173" s="1">
        <v>20778</v>
      </c>
      <c r="I173" s="1">
        <v>10863</v>
      </c>
      <c r="J173" s="1"/>
    </row>
    <row r="174" spans="1:10" x14ac:dyDescent="0.25">
      <c r="A174" t="s">
        <v>120</v>
      </c>
      <c r="B174" t="s">
        <v>222</v>
      </c>
      <c r="C174" s="1">
        <v>54724</v>
      </c>
      <c r="D174" s="1">
        <v>18</v>
      </c>
      <c r="E174" s="1">
        <v>0</v>
      </c>
      <c r="F174" s="1">
        <v>0</v>
      </c>
      <c r="G174" s="1">
        <v>0</v>
      </c>
      <c r="H174" s="1">
        <v>5973</v>
      </c>
      <c r="I174" s="1">
        <v>4705</v>
      </c>
      <c r="J174" s="1"/>
    </row>
    <row r="175" spans="1:10" x14ac:dyDescent="0.25">
      <c r="A175" t="s">
        <v>848</v>
      </c>
      <c r="B175" t="s">
        <v>223</v>
      </c>
      <c r="C175" s="1">
        <v>8599</v>
      </c>
      <c r="D175" s="1">
        <v>13</v>
      </c>
      <c r="E175" s="1">
        <v>0</v>
      </c>
      <c r="F175" s="1">
        <v>0</v>
      </c>
      <c r="G175" s="1">
        <v>0</v>
      </c>
      <c r="H175" s="1">
        <v>1666</v>
      </c>
      <c r="I175" s="1">
        <v>1112</v>
      </c>
      <c r="J175" s="1"/>
    </row>
    <row r="176" spans="1:10" x14ac:dyDescent="0.25">
      <c r="A176" t="s">
        <v>825</v>
      </c>
      <c r="B176" t="s">
        <v>224</v>
      </c>
      <c r="C176" s="1">
        <v>12770</v>
      </c>
      <c r="D176" s="1">
        <v>47</v>
      </c>
      <c r="E176" s="1">
        <v>0</v>
      </c>
      <c r="F176" s="1">
        <v>0</v>
      </c>
      <c r="G176" s="1">
        <v>0</v>
      </c>
      <c r="H176" s="1">
        <v>7796</v>
      </c>
      <c r="I176" s="1">
        <v>1649</v>
      </c>
      <c r="J176" s="1"/>
    </row>
    <row r="177" spans="1:10" x14ac:dyDescent="0.25">
      <c r="A177" t="s">
        <v>788</v>
      </c>
      <c r="B177" t="s">
        <v>225</v>
      </c>
      <c r="C177" s="1">
        <f>14335+1+2+33570</f>
        <v>47908</v>
      </c>
      <c r="D177" s="1">
        <f>36+2</f>
        <v>38</v>
      </c>
      <c r="E177" s="1">
        <v>0</v>
      </c>
      <c r="F177" s="1">
        <v>0</v>
      </c>
      <c r="G177" s="1">
        <v>0</v>
      </c>
      <c r="H177" s="1">
        <v>133148</v>
      </c>
      <c r="I177" s="1">
        <v>27613</v>
      </c>
      <c r="J177" s="1"/>
    </row>
    <row r="178" spans="1:10" x14ac:dyDescent="0.25">
      <c r="A178" t="s">
        <v>226</v>
      </c>
      <c r="B178" t="s">
        <v>227</v>
      </c>
      <c r="C178" s="1">
        <v>18172</v>
      </c>
      <c r="D178" s="1">
        <v>17</v>
      </c>
      <c r="E178" s="1">
        <v>0</v>
      </c>
      <c r="F178" s="1">
        <v>0</v>
      </c>
      <c r="G178" s="1">
        <v>0</v>
      </c>
      <c r="H178" s="1">
        <v>8895</v>
      </c>
      <c r="I178" s="1">
        <v>4390</v>
      </c>
      <c r="J178" s="1"/>
    </row>
    <row r="179" spans="1:10" x14ac:dyDescent="0.25">
      <c r="A179" t="s">
        <v>226</v>
      </c>
      <c r="B179" t="s">
        <v>228</v>
      </c>
      <c r="C179" s="1">
        <v>16298</v>
      </c>
      <c r="D179" s="1">
        <v>23</v>
      </c>
      <c r="E179" s="1">
        <v>0</v>
      </c>
      <c r="F179" s="1">
        <v>0</v>
      </c>
      <c r="G179" s="1">
        <v>0</v>
      </c>
      <c r="H179" s="1">
        <v>15657</v>
      </c>
      <c r="I179" s="1">
        <v>2787</v>
      </c>
      <c r="J179" s="1"/>
    </row>
    <row r="180" spans="1:10" x14ac:dyDescent="0.25">
      <c r="A180" t="s">
        <v>229</v>
      </c>
      <c r="B180" t="s">
        <v>230</v>
      </c>
      <c r="C180" s="1">
        <f>8609+1+4163</f>
        <v>12773</v>
      </c>
      <c r="D180" s="1">
        <f>10+11+1</f>
        <v>22</v>
      </c>
      <c r="E180" s="1">
        <v>0</v>
      </c>
      <c r="F180" s="1">
        <v>0</v>
      </c>
      <c r="G180" s="1">
        <v>0</v>
      </c>
      <c r="H180" s="1">
        <v>7352</v>
      </c>
      <c r="I180" s="1">
        <v>3747</v>
      </c>
      <c r="J180" s="1"/>
    </row>
    <row r="181" spans="1:10" x14ac:dyDescent="0.25">
      <c r="A181" t="s">
        <v>231</v>
      </c>
      <c r="B181" t="s">
        <v>232</v>
      </c>
      <c r="C181" s="1">
        <v>9513</v>
      </c>
      <c r="D181" s="1">
        <v>0</v>
      </c>
      <c r="E181" s="1">
        <v>0</v>
      </c>
      <c r="F181" s="1">
        <v>0</v>
      </c>
      <c r="G181" s="1">
        <v>0</v>
      </c>
      <c r="H181" s="1">
        <v>796</v>
      </c>
      <c r="I181" s="1">
        <v>721</v>
      </c>
      <c r="J181" s="1"/>
    </row>
    <row r="182" spans="1:10" x14ac:dyDescent="0.25">
      <c r="A182" t="s">
        <v>248</v>
      </c>
      <c r="B182" t="s">
        <v>233</v>
      </c>
      <c r="C182" s="1">
        <v>9281</v>
      </c>
      <c r="D182" s="1">
        <v>39</v>
      </c>
      <c r="E182" s="1">
        <v>0</v>
      </c>
      <c r="F182" s="1">
        <v>0</v>
      </c>
      <c r="G182" s="1">
        <v>0</v>
      </c>
      <c r="H182" s="1">
        <v>12323</v>
      </c>
      <c r="I182" s="1">
        <v>754</v>
      </c>
      <c r="J182" s="1"/>
    </row>
    <row r="183" spans="1:10" x14ac:dyDescent="0.25">
      <c r="A183" t="s">
        <v>69</v>
      </c>
      <c r="B183" t="s">
        <v>234</v>
      </c>
      <c r="C183" s="1">
        <v>117208</v>
      </c>
      <c r="D183" s="1">
        <v>133</v>
      </c>
      <c r="E183" s="1">
        <v>0</v>
      </c>
      <c r="F183" s="1">
        <v>0</v>
      </c>
      <c r="G183" s="1">
        <v>0</v>
      </c>
      <c r="H183" s="1">
        <v>158974</v>
      </c>
      <c r="I183" s="1">
        <v>16728</v>
      </c>
      <c r="J183" s="1"/>
    </row>
    <row r="184" spans="1:10" x14ac:dyDescent="0.25">
      <c r="A184" t="s">
        <v>795</v>
      </c>
      <c r="B184" t="s">
        <v>235</v>
      </c>
      <c r="C184" s="1">
        <v>31788</v>
      </c>
      <c r="D184" s="1">
        <v>30</v>
      </c>
      <c r="E184" s="1">
        <v>0</v>
      </c>
      <c r="F184" s="1">
        <v>0</v>
      </c>
      <c r="G184" s="1">
        <v>0</v>
      </c>
      <c r="H184" s="1">
        <v>594</v>
      </c>
      <c r="I184" s="1">
        <v>16397</v>
      </c>
      <c r="J184" s="1"/>
    </row>
    <row r="185" spans="1:10" x14ac:dyDescent="0.25">
      <c r="A185" t="s">
        <v>795</v>
      </c>
      <c r="B185" t="s">
        <v>236</v>
      </c>
      <c r="C185" s="1">
        <v>21938</v>
      </c>
      <c r="D185" s="1">
        <v>112</v>
      </c>
      <c r="E185" s="1">
        <v>0</v>
      </c>
      <c r="F185" s="1">
        <v>0</v>
      </c>
      <c r="G185" s="1">
        <v>0</v>
      </c>
      <c r="H185" s="1">
        <v>18521</v>
      </c>
      <c r="I185" s="1">
        <v>9288</v>
      </c>
      <c r="J185" s="1"/>
    </row>
    <row r="186" spans="1:10" x14ac:dyDescent="0.25">
      <c r="A186" t="s">
        <v>801</v>
      </c>
      <c r="B186" t="s">
        <v>237</v>
      </c>
      <c r="C186" s="1">
        <v>33310</v>
      </c>
      <c r="D186" s="1">
        <v>237</v>
      </c>
      <c r="E186" s="1">
        <v>0</v>
      </c>
      <c r="F186" s="1">
        <v>0</v>
      </c>
      <c r="G186" s="1">
        <v>0</v>
      </c>
      <c r="H186" s="1">
        <v>19630</v>
      </c>
      <c r="I186" s="1">
        <v>3642</v>
      </c>
      <c r="J186" s="1"/>
    </row>
    <row r="187" spans="1:10" x14ac:dyDescent="0.25">
      <c r="A187" t="s">
        <v>788</v>
      </c>
      <c r="B187" t="s">
        <v>238</v>
      </c>
      <c r="C187" s="1">
        <v>15060</v>
      </c>
      <c r="D187" s="1">
        <v>0</v>
      </c>
      <c r="E187" s="1">
        <v>0</v>
      </c>
      <c r="F187" s="1">
        <v>0</v>
      </c>
      <c r="G187" s="1">
        <v>0</v>
      </c>
      <c r="H187" s="1">
        <v>14281</v>
      </c>
      <c r="I187" s="1">
        <v>2331</v>
      </c>
      <c r="J187" s="1"/>
    </row>
    <row r="188" spans="1:10" x14ac:dyDescent="0.25">
      <c r="A188" t="s">
        <v>791</v>
      </c>
      <c r="B188" t="s">
        <v>239</v>
      </c>
      <c r="C188" s="1">
        <v>7740</v>
      </c>
      <c r="D188" s="1">
        <v>2</v>
      </c>
      <c r="E188" s="1">
        <v>0</v>
      </c>
      <c r="F188" s="1">
        <v>0</v>
      </c>
      <c r="G188" s="1">
        <v>0</v>
      </c>
      <c r="H188" s="1">
        <v>2915</v>
      </c>
      <c r="I188" s="1">
        <v>1801</v>
      </c>
      <c r="J188" s="1"/>
    </row>
    <row r="189" spans="1:10" x14ac:dyDescent="0.25">
      <c r="A189" t="s">
        <v>801</v>
      </c>
      <c r="B189" t="s">
        <v>240</v>
      </c>
      <c r="C189" s="1">
        <v>57935</v>
      </c>
      <c r="D189" s="1">
        <v>213</v>
      </c>
      <c r="E189" s="1">
        <v>0</v>
      </c>
      <c r="F189" s="1">
        <v>0</v>
      </c>
      <c r="G189" s="1">
        <v>0</v>
      </c>
      <c r="H189" s="1">
        <v>14953</v>
      </c>
      <c r="I189" s="1">
        <v>1466</v>
      </c>
      <c r="J189" s="1"/>
    </row>
    <row r="190" spans="1:10" x14ac:dyDescent="0.25">
      <c r="A190" t="s">
        <v>788</v>
      </c>
      <c r="B190" t="s">
        <v>241</v>
      </c>
      <c r="C190" s="1">
        <v>71207</v>
      </c>
      <c r="D190" s="1">
        <v>26</v>
      </c>
      <c r="E190" s="1">
        <v>0</v>
      </c>
      <c r="F190" s="1">
        <v>0</v>
      </c>
      <c r="G190" s="1">
        <v>0</v>
      </c>
      <c r="H190" s="1">
        <v>26049</v>
      </c>
      <c r="I190" s="1">
        <v>15187</v>
      </c>
      <c r="J190" s="1"/>
    </row>
    <row r="191" spans="1:10" x14ac:dyDescent="0.25">
      <c r="A191" t="s">
        <v>138</v>
      </c>
      <c r="B191" t="s">
        <v>242</v>
      </c>
      <c r="C191" s="1">
        <v>34979</v>
      </c>
      <c r="D191" s="1">
        <v>25</v>
      </c>
      <c r="E191" s="1">
        <v>0</v>
      </c>
      <c r="F191" s="1">
        <v>0</v>
      </c>
      <c r="G191" s="1">
        <v>0</v>
      </c>
      <c r="H191" s="1">
        <v>12701</v>
      </c>
      <c r="I191" s="1">
        <v>4950</v>
      </c>
      <c r="J191" s="1"/>
    </row>
    <row r="192" spans="1:10" x14ac:dyDescent="0.25">
      <c r="A192" t="s">
        <v>512</v>
      </c>
      <c r="B192" t="s">
        <v>243</v>
      </c>
      <c r="C192" s="1">
        <v>7355</v>
      </c>
      <c r="D192" s="1">
        <v>6</v>
      </c>
      <c r="E192" s="1">
        <v>0</v>
      </c>
      <c r="F192" s="1">
        <v>0</v>
      </c>
      <c r="G192" s="1">
        <v>0</v>
      </c>
      <c r="H192" s="1">
        <v>428</v>
      </c>
      <c r="I192" s="1">
        <v>858</v>
      </c>
      <c r="J192" s="1"/>
    </row>
    <row r="193" spans="1:10" x14ac:dyDescent="0.25">
      <c r="A193" t="s">
        <v>796</v>
      </c>
      <c r="B193" t="s">
        <v>244</v>
      </c>
      <c r="C193" s="1">
        <v>70961</v>
      </c>
      <c r="D193" s="1">
        <v>497</v>
      </c>
      <c r="E193" s="1">
        <v>0</v>
      </c>
      <c r="F193" s="1">
        <v>0</v>
      </c>
      <c r="G193" s="1">
        <v>0</v>
      </c>
      <c r="H193" s="1">
        <v>97330</v>
      </c>
      <c r="I193" s="1">
        <v>14942</v>
      </c>
      <c r="J193" s="1"/>
    </row>
    <row r="194" spans="1:10" x14ac:dyDescent="0.25">
      <c r="A194" t="s">
        <v>146</v>
      </c>
      <c r="B194" t="s">
        <v>245</v>
      </c>
      <c r="C194" s="1">
        <f>13674+23+5+3453</f>
        <v>17155</v>
      </c>
      <c r="D194" s="1">
        <f>11+4+1+5</f>
        <v>21</v>
      </c>
      <c r="E194" s="1">
        <v>0</v>
      </c>
      <c r="F194" s="1">
        <v>0</v>
      </c>
      <c r="G194" s="1">
        <v>0</v>
      </c>
      <c r="H194" s="1">
        <v>19841</v>
      </c>
      <c r="I194" s="1">
        <v>3403</v>
      </c>
      <c r="J194" s="1"/>
    </row>
    <row r="195" spans="1:10" x14ac:dyDescent="0.25">
      <c r="A195" t="s">
        <v>831</v>
      </c>
      <c r="B195" t="s">
        <v>246</v>
      </c>
      <c r="C195" s="1">
        <v>3696</v>
      </c>
      <c r="D195" s="1">
        <v>8</v>
      </c>
      <c r="E195" s="1">
        <v>0</v>
      </c>
      <c r="F195" s="1">
        <v>0</v>
      </c>
      <c r="G195" s="1">
        <v>0</v>
      </c>
      <c r="H195" s="1">
        <v>1066</v>
      </c>
      <c r="I195" s="1">
        <v>803</v>
      </c>
      <c r="J195" s="1"/>
    </row>
    <row r="196" spans="1:10" x14ac:dyDescent="0.25">
      <c r="A196" t="s">
        <v>791</v>
      </c>
      <c r="B196" t="s">
        <v>247</v>
      </c>
      <c r="C196" s="1">
        <v>8755</v>
      </c>
      <c r="D196" s="1">
        <v>305</v>
      </c>
      <c r="E196" s="1">
        <v>0</v>
      </c>
      <c r="F196" s="1">
        <v>0</v>
      </c>
      <c r="G196" s="1">
        <v>0</v>
      </c>
      <c r="H196" s="1">
        <v>2733</v>
      </c>
      <c r="I196" s="1">
        <v>4719</v>
      </c>
      <c r="J196" s="1"/>
    </row>
    <row r="197" spans="1:10" x14ac:dyDescent="0.25">
      <c r="A197" t="s">
        <v>248</v>
      </c>
      <c r="B197" t="s">
        <v>249</v>
      </c>
      <c r="C197" s="1">
        <v>37770</v>
      </c>
      <c r="D197" s="1">
        <v>231</v>
      </c>
      <c r="E197" s="1">
        <v>0</v>
      </c>
      <c r="F197" s="1">
        <v>0</v>
      </c>
      <c r="G197" s="1">
        <v>0</v>
      </c>
      <c r="H197" s="1">
        <v>49744</v>
      </c>
      <c r="I197" s="1">
        <v>6995</v>
      </c>
      <c r="J197" s="1"/>
    </row>
    <row r="198" spans="1:10" x14ac:dyDescent="0.25">
      <c r="A198" t="s">
        <v>865</v>
      </c>
      <c r="B198" t="s">
        <v>250</v>
      </c>
      <c r="C198" s="1">
        <v>11522</v>
      </c>
      <c r="D198" s="1">
        <v>21</v>
      </c>
      <c r="E198" s="1">
        <v>0</v>
      </c>
      <c r="F198" s="1">
        <v>0</v>
      </c>
      <c r="G198" s="1">
        <v>0</v>
      </c>
      <c r="H198" s="1">
        <v>8511</v>
      </c>
      <c r="I198" s="1">
        <v>1745</v>
      </c>
      <c r="J198" s="1"/>
    </row>
    <row r="199" spans="1:10" x14ac:dyDescent="0.25">
      <c r="A199" t="s">
        <v>248</v>
      </c>
      <c r="B199" t="s">
        <v>251</v>
      </c>
      <c r="C199" s="1">
        <v>27765</v>
      </c>
      <c r="D199" s="1">
        <v>652</v>
      </c>
      <c r="E199" s="1">
        <v>0</v>
      </c>
      <c r="F199" s="1">
        <v>0</v>
      </c>
      <c r="G199" s="1">
        <v>0</v>
      </c>
      <c r="H199" s="1">
        <v>28291</v>
      </c>
      <c r="I199" s="1">
        <v>4753</v>
      </c>
      <c r="J199" s="1"/>
    </row>
    <row r="200" spans="1:10" x14ac:dyDescent="0.25">
      <c r="A200" t="s">
        <v>795</v>
      </c>
      <c r="B200" t="s">
        <v>252</v>
      </c>
      <c r="C200" s="1">
        <v>26719</v>
      </c>
      <c r="D200" s="1">
        <v>69</v>
      </c>
      <c r="E200" s="1">
        <v>0</v>
      </c>
      <c r="F200" s="1">
        <v>0</v>
      </c>
      <c r="G200" s="1">
        <v>0</v>
      </c>
      <c r="H200" s="1">
        <v>11380</v>
      </c>
      <c r="I200" s="1">
        <v>8700</v>
      </c>
      <c r="J200" s="1"/>
    </row>
    <row r="201" spans="1:10" x14ac:dyDescent="0.25">
      <c r="A201" t="s">
        <v>248</v>
      </c>
      <c r="B201" t="s">
        <v>253</v>
      </c>
      <c r="C201" s="1">
        <v>43435</v>
      </c>
      <c r="D201" s="1">
        <v>204</v>
      </c>
      <c r="E201" s="1">
        <v>0</v>
      </c>
      <c r="F201" s="1">
        <v>0</v>
      </c>
      <c r="G201" s="1">
        <v>0</v>
      </c>
      <c r="H201" s="1">
        <v>14252</v>
      </c>
      <c r="I201" s="1">
        <v>7732</v>
      </c>
      <c r="J201" s="1"/>
    </row>
    <row r="202" spans="1:10" x14ac:dyDescent="0.25">
      <c r="A202" t="s">
        <v>823</v>
      </c>
      <c r="B202" t="s">
        <v>254</v>
      </c>
      <c r="C202" s="1">
        <v>21763</v>
      </c>
      <c r="D202" s="1">
        <v>4</v>
      </c>
      <c r="E202" s="1">
        <v>0</v>
      </c>
      <c r="F202" s="1">
        <v>0</v>
      </c>
      <c r="G202" s="1">
        <v>0</v>
      </c>
      <c r="H202" s="1">
        <v>4596</v>
      </c>
      <c r="I202" s="1">
        <v>6587</v>
      </c>
      <c r="J202" s="1"/>
    </row>
    <row r="203" spans="1:10" x14ac:dyDescent="0.25">
      <c r="A203" t="s">
        <v>67</v>
      </c>
      <c r="B203" t="s">
        <v>255</v>
      </c>
      <c r="C203" s="1">
        <v>28311</v>
      </c>
      <c r="D203" s="1">
        <v>97</v>
      </c>
      <c r="E203" s="1">
        <v>0</v>
      </c>
      <c r="F203" s="1">
        <v>0</v>
      </c>
      <c r="G203" s="1">
        <v>0</v>
      </c>
      <c r="H203" s="1">
        <v>21846</v>
      </c>
      <c r="I203" s="1">
        <v>3692</v>
      </c>
      <c r="J203" s="1"/>
    </row>
    <row r="204" spans="1:10" x14ac:dyDescent="0.25">
      <c r="A204" t="s">
        <v>72</v>
      </c>
      <c r="B204" t="s">
        <v>256</v>
      </c>
      <c r="C204" s="1">
        <v>13726</v>
      </c>
      <c r="D204" s="1">
        <v>15</v>
      </c>
      <c r="E204" s="1">
        <v>0</v>
      </c>
      <c r="F204" s="1">
        <v>0</v>
      </c>
      <c r="G204" s="1">
        <v>0</v>
      </c>
      <c r="H204" s="1">
        <v>5020</v>
      </c>
      <c r="I204" s="1">
        <v>2280</v>
      </c>
      <c r="J204" s="1"/>
    </row>
    <row r="205" spans="1:10" x14ac:dyDescent="0.25">
      <c r="A205" t="s">
        <v>138</v>
      </c>
      <c r="B205" t="s">
        <v>257</v>
      </c>
      <c r="C205" s="1">
        <f>40180+1+26+10787</f>
        <v>50994</v>
      </c>
      <c r="D205" s="1">
        <v>2771</v>
      </c>
      <c r="E205" s="1">
        <v>0</v>
      </c>
      <c r="F205" s="1">
        <v>0</v>
      </c>
      <c r="G205" s="1">
        <v>0</v>
      </c>
      <c r="H205" s="1">
        <v>9634</v>
      </c>
      <c r="I205" s="1">
        <v>9985</v>
      </c>
      <c r="J205" s="1"/>
    </row>
    <row r="206" spans="1:10" x14ac:dyDescent="0.25">
      <c r="A206" t="s">
        <v>817</v>
      </c>
      <c r="B206" t="s">
        <v>258</v>
      </c>
      <c r="C206" s="1">
        <v>28913</v>
      </c>
      <c r="D206" s="1">
        <v>591</v>
      </c>
      <c r="E206" s="1">
        <v>0</v>
      </c>
      <c r="F206" s="1">
        <v>0</v>
      </c>
      <c r="G206" s="1">
        <v>0</v>
      </c>
      <c r="H206" s="1">
        <v>85642</v>
      </c>
      <c r="I206" s="1">
        <v>9813</v>
      </c>
      <c r="J206" s="1"/>
    </row>
    <row r="207" spans="1:10" x14ac:dyDescent="0.25">
      <c r="A207" t="s">
        <v>795</v>
      </c>
      <c r="B207" t="s">
        <v>259</v>
      </c>
      <c r="C207" s="1">
        <v>87864</v>
      </c>
      <c r="D207" s="1">
        <v>535</v>
      </c>
      <c r="E207" s="1">
        <v>0</v>
      </c>
      <c r="F207" s="1">
        <v>0</v>
      </c>
      <c r="G207" s="1">
        <v>0</v>
      </c>
      <c r="H207" s="1">
        <v>27654</v>
      </c>
      <c r="I207" s="1">
        <v>24302</v>
      </c>
      <c r="J207" s="1"/>
    </row>
    <row r="208" spans="1:10" x14ac:dyDescent="0.25">
      <c r="A208" t="s">
        <v>864</v>
      </c>
      <c r="B208" t="s">
        <v>260</v>
      </c>
      <c r="C208" s="1">
        <v>33259</v>
      </c>
      <c r="D208" s="1">
        <v>435</v>
      </c>
      <c r="E208" s="1">
        <v>0</v>
      </c>
      <c r="F208" s="1">
        <v>0</v>
      </c>
      <c r="G208" s="1">
        <v>0</v>
      </c>
      <c r="H208" s="1">
        <v>28107</v>
      </c>
      <c r="I208" s="1">
        <v>12441</v>
      </c>
      <c r="J208" s="1"/>
    </row>
    <row r="209" spans="1:10" x14ac:dyDescent="0.25">
      <c r="A209" t="s">
        <v>826</v>
      </c>
      <c r="B209" t="s">
        <v>261</v>
      </c>
      <c r="C209" s="1">
        <v>1200</v>
      </c>
      <c r="D209" s="1">
        <v>0</v>
      </c>
      <c r="E209" s="1">
        <v>0</v>
      </c>
      <c r="F209" s="1">
        <v>0</v>
      </c>
      <c r="G209" s="1">
        <v>0</v>
      </c>
      <c r="H209" s="1">
        <v>740</v>
      </c>
      <c r="I209" s="1">
        <v>465</v>
      </c>
      <c r="J209" s="1"/>
    </row>
    <row r="210" spans="1:10" x14ac:dyDescent="0.25">
      <c r="A210" t="s">
        <v>801</v>
      </c>
      <c r="B210" t="s">
        <v>262</v>
      </c>
      <c r="C210" s="1">
        <v>46009</v>
      </c>
      <c r="D210" s="1">
        <v>575</v>
      </c>
      <c r="E210" s="1">
        <v>0</v>
      </c>
      <c r="F210" s="1">
        <v>0</v>
      </c>
      <c r="G210" s="1">
        <v>0</v>
      </c>
      <c r="H210" s="1">
        <v>48979</v>
      </c>
      <c r="I210" s="1">
        <v>12670</v>
      </c>
      <c r="J210" s="1"/>
    </row>
    <row r="211" spans="1:10" x14ac:dyDescent="0.25">
      <c r="A211" t="s">
        <v>120</v>
      </c>
      <c r="B211" t="s">
        <v>263</v>
      </c>
      <c r="C211" s="1">
        <v>20886</v>
      </c>
      <c r="D211" s="1">
        <v>16</v>
      </c>
      <c r="E211" s="1">
        <v>0</v>
      </c>
      <c r="F211" s="1">
        <v>0</v>
      </c>
      <c r="G211" s="1">
        <v>0</v>
      </c>
      <c r="H211" s="1">
        <v>2095</v>
      </c>
      <c r="I211" s="1">
        <v>1412</v>
      </c>
      <c r="J211" s="1"/>
    </row>
    <row r="212" spans="1:10" x14ac:dyDescent="0.25">
      <c r="A212" t="s">
        <v>868</v>
      </c>
      <c r="B212" t="s">
        <v>264</v>
      </c>
      <c r="C212" s="1">
        <v>12064</v>
      </c>
      <c r="D212" s="1">
        <v>14</v>
      </c>
      <c r="E212" s="1">
        <v>0</v>
      </c>
      <c r="F212" s="1">
        <v>0</v>
      </c>
      <c r="G212" s="1">
        <v>0</v>
      </c>
      <c r="H212" s="1">
        <v>5482</v>
      </c>
      <c r="I212" s="1">
        <v>2113</v>
      </c>
      <c r="J212" s="1"/>
    </row>
    <row r="213" spans="1:10" x14ac:dyDescent="0.25">
      <c r="A213" t="s">
        <v>265</v>
      </c>
      <c r="B213" t="s">
        <v>266</v>
      </c>
      <c r="C213" s="1">
        <v>73251</v>
      </c>
      <c r="D213" s="1">
        <v>358</v>
      </c>
      <c r="E213" s="1">
        <v>0</v>
      </c>
      <c r="F213" s="1">
        <v>0</v>
      </c>
      <c r="G213" s="1">
        <v>0</v>
      </c>
      <c r="H213" s="1">
        <v>41949</v>
      </c>
      <c r="I213" s="1">
        <v>15666</v>
      </c>
      <c r="J213" s="1"/>
    </row>
    <row r="214" spans="1:10" x14ac:dyDescent="0.25">
      <c r="A214" t="s">
        <v>797</v>
      </c>
      <c r="B214" t="s">
        <v>267</v>
      </c>
      <c r="C214" s="1">
        <v>78814</v>
      </c>
      <c r="D214" s="1">
        <v>1550</v>
      </c>
      <c r="E214" s="1">
        <v>0</v>
      </c>
      <c r="F214" s="1">
        <v>0</v>
      </c>
      <c r="G214" s="1">
        <v>0</v>
      </c>
      <c r="H214" s="1">
        <v>45573</v>
      </c>
      <c r="I214" s="1">
        <v>41831</v>
      </c>
      <c r="J214" s="1"/>
    </row>
    <row r="215" spans="1:10" x14ac:dyDescent="0.25">
      <c r="A215" t="s">
        <v>831</v>
      </c>
      <c r="B215" t="s">
        <v>268</v>
      </c>
      <c r="C215" s="1">
        <v>20783</v>
      </c>
      <c r="D215" s="1">
        <v>286</v>
      </c>
      <c r="E215" s="1">
        <v>0</v>
      </c>
      <c r="F215" s="1">
        <v>0</v>
      </c>
      <c r="G215" s="1">
        <v>0</v>
      </c>
      <c r="H215" s="1">
        <v>8480</v>
      </c>
      <c r="I215" s="1">
        <v>5618</v>
      </c>
      <c r="J215" s="1"/>
    </row>
    <row r="216" spans="1:10" x14ac:dyDescent="0.25">
      <c r="A216" t="s">
        <v>794</v>
      </c>
      <c r="B216" t="s">
        <v>269</v>
      </c>
      <c r="C216" s="1">
        <v>17273</v>
      </c>
      <c r="D216" s="1">
        <v>86</v>
      </c>
      <c r="E216" s="1">
        <v>0</v>
      </c>
      <c r="F216" s="1">
        <v>0</v>
      </c>
      <c r="G216" s="1">
        <v>0</v>
      </c>
      <c r="H216" s="1">
        <v>14559</v>
      </c>
      <c r="I216" s="1">
        <v>2347</v>
      </c>
      <c r="J216" s="1"/>
    </row>
    <row r="217" spans="1:10" x14ac:dyDescent="0.25">
      <c r="A217" s="9" t="s">
        <v>809</v>
      </c>
      <c r="B217" s="10" t="s">
        <v>270</v>
      </c>
      <c r="C217" s="1">
        <v>22043</v>
      </c>
      <c r="D217" s="1">
        <v>88</v>
      </c>
      <c r="E217" s="1">
        <v>0</v>
      </c>
      <c r="F217" s="1">
        <v>0</v>
      </c>
      <c r="G217" s="1">
        <v>0</v>
      </c>
      <c r="H217" s="1">
        <v>10999</v>
      </c>
      <c r="I217" s="1">
        <v>4453</v>
      </c>
      <c r="J217" s="1"/>
    </row>
    <row r="218" spans="1:10" x14ac:dyDescent="0.25">
      <c r="A218" s="9" t="s">
        <v>248</v>
      </c>
      <c r="B218" s="10" t="s">
        <v>271</v>
      </c>
      <c r="C218" s="1">
        <v>90164</v>
      </c>
      <c r="D218" s="1">
        <v>1758</v>
      </c>
      <c r="E218" s="1">
        <v>0</v>
      </c>
      <c r="F218" s="1">
        <v>0</v>
      </c>
      <c r="G218" s="1">
        <v>0</v>
      </c>
      <c r="H218" s="1">
        <v>108753</v>
      </c>
      <c r="I218" s="1">
        <v>13764</v>
      </c>
      <c r="J218" s="1"/>
    </row>
    <row r="219" spans="1:10" x14ac:dyDescent="0.25">
      <c r="A219" t="s">
        <v>823</v>
      </c>
      <c r="B219" t="s">
        <v>272</v>
      </c>
      <c r="C219" s="1">
        <v>45381</v>
      </c>
      <c r="D219" s="1">
        <v>144</v>
      </c>
      <c r="E219" s="1">
        <v>0</v>
      </c>
      <c r="F219" s="1">
        <v>0</v>
      </c>
      <c r="G219" s="1">
        <v>0</v>
      </c>
      <c r="H219" s="1">
        <v>13969</v>
      </c>
      <c r="I219" s="1">
        <v>13775</v>
      </c>
      <c r="J219" s="1"/>
    </row>
    <row r="220" spans="1:10" x14ac:dyDescent="0.25">
      <c r="A220" t="s">
        <v>146</v>
      </c>
      <c r="B220" t="s">
        <v>273</v>
      </c>
      <c r="C220" s="1">
        <f>10855+1+1506+8+12272</f>
        <v>24642</v>
      </c>
      <c r="D220" s="1">
        <f>22+208+2+8</f>
        <v>240</v>
      </c>
      <c r="E220" s="1">
        <v>0</v>
      </c>
      <c r="F220" s="1">
        <v>0</v>
      </c>
      <c r="G220" s="1">
        <v>0</v>
      </c>
      <c r="H220" s="1">
        <v>52469</v>
      </c>
      <c r="I220" s="1">
        <v>11140</v>
      </c>
      <c r="J220" s="1"/>
    </row>
    <row r="221" spans="1:10" x14ac:dyDescent="0.25">
      <c r="A221" t="s">
        <v>788</v>
      </c>
      <c r="B221" t="s">
        <v>274</v>
      </c>
      <c r="C221" s="1">
        <v>29703</v>
      </c>
      <c r="D221" s="1">
        <v>33</v>
      </c>
      <c r="E221" s="1">
        <v>0</v>
      </c>
      <c r="F221" s="1">
        <v>0</v>
      </c>
      <c r="G221" s="1">
        <v>0</v>
      </c>
      <c r="H221" s="1">
        <v>26597</v>
      </c>
      <c r="I221" s="1">
        <v>6885</v>
      </c>
      <c r="J221" s="1"/>
    </row>
    <row r="222" spans="1:10" x14ac:dyDescent="0.25">
      <c r="A222" t="s">
        <v>805</v>
      </c>
      <c r="B222" t="s">
        <v>275</v>
      </c>
      <c r="C222" s="1"/>
      <c r="D222" s="1"/>
      <c r="E222" s="1"/>
      <c r="F222" s="1"/>
      <c r="G222" s="1"/>
      <c r="H222" s="1"/>
      <c r="I222" s="1"/>
      <c r="J222" s="1"/>
    </row>
    <row r="223" spans="1:10" x14ac:dyDescent="0.25">
      <c r="A223" s="23" t="s">
        <v>805</v>
      </c>
      <c r="B223" s="24" t="s">
        <v>276</v>
      </c>
      <c r="C223" s="1"/>
      <c r="D223" s="1"/>
      <c r="E223" s="1"/>
      <c r="F223" s="1"/>
      <c r="G223" s="1"/>
      <c r="H223" s="1"/>
      <c r="I223" s="1"/>
      <c r="J223" s="1"/>
    </row>
    <row r="224" spans="1:10" x14ac:dyDescent="0.25">
      <c r="A224" t="s">
        <v>76</v>
      </c>
      <c r="B224" t="s">
        <v>277</v>
      </c>
      <c r="C224" s="1">
        <v>87625</v>
      </c>
      <c r="D224" s="1">
        <v>555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/>
    </row>
    <row r="225" spans="1:10" x14ac:dyDescent="0.25">
      <c r="A225" t="s">
        <v>823</v>
      </c>
      <c r="B225" t="s">
        <v>278</v>
      </c>
      <c r="C225" s="1">
        <v>38158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/>
    </row>
    <row r="226" spans="1:10" x14ac:dyDescent="0.25">
      <c r="A226" t="s">
        <v>120</v>
      </c>
      <c r="B226" t="s">
        <v>279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f>8135+13606+1265</f>
        <v>23006</v>
      </c>
      <c r="I226" s="1">
        <v>0</v>
      </c>
      <c r="J226" s="1"/>
    </row>
    <row r="227" spans="1:10" x14ac:dyDescent="0.25">
      <c r="A227" t="s">
        <v>495</v>
      </c>
      <c r="B227" t="s">
        <v>280</v>
      </c>
      <c r="C227" s="1">
        <f>21170+1+236+393</f>
        <v>21800</v>
      </c>
      <c r="D227" s="1">
        <v>69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/>
    </row>
    <row r="228" spans="1:10" x14ac:dyDescent="0.25">
      <c r="A228" t="s">
        <v>791</v>
      </c>
      <c r="B228" t="s">
        <v>281</v>
      </c>
      <c r="C228" s="1">
        <v>2892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/>
    </row>
    <row r="229" spans="1:10" x14ac:dyDescent="0.25">
      <c r="A229" t="s">
        <v>801</v>
      </c>
      <c r="B229" t="s">
        <v>282</v>
      </c>
      <c r="C229" s="1">
        <v>16721</v>
      </c>
      <c r="D229" s="1">
        <v>138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/>
    </row>
    <row r="230" spans="1:10" x14ac:dyDescent="0.25">
      <c r="A230" t="s">
        <v>795</v>
      </c>
      <c r="B230" t="s">
        <v>283</v>
      </c>
      <c r="C230" s="1">
        <v>150845</v>
      </c>
      <c r="D230" s="1">
        <v>39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/>
    </row>
    <row r="231" spans="1:10" x14ac:dyDescent="0.25">
      <c r="A231" t="s">
        <v>811</v>
      </c>
      <c r="B231" t="s">
        <v>284</v>
      </c>
      <c r="C231" s="1">
        <v>99269</v>
      </c>
      <c r="D231" s="1">
        <v>3183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/>
    </row>
    <row r="232" spans="1:10" x14ac:dyDescent="0.25">
      <c r="A232" t="s">
        <v>120</v>
      </c>
      <c r="B232" t="s">
        <v>285</v>
      </c>
      <c r="C232" s="1">
        <v>24775</v>
      </c>
      <c r="D232" s="1">
        <v>149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/>
    </row>
    <row r="233" spans="1:10" x14ac:dyDescent="0.25">
      <c r="A233" t="s">
        <v>101</v>
      </c>
      <c r="B233" t="s">
        <v>286</v>
      </c>
      <c r="C233" s="1">
        <v>19795</v>
      </c>
      <c r="D233" s="1">
        <v>199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/>
    </row>
    <row r="234" spans="1:10" x14ac:dyDescent="0.25">
      <c r="A234" t="s">
        <v>226</v>
      </c>
      <c r="B234" t="s">
        <v>287</v>
      </c>
      <c r="C234" s="1">
        <v>12370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/>
    </row>
    <row r="235" spans="1:10" x14ac:dyDescent="0.25">
      <c r="A235" t="s">
        <v>120</v>
      </c>
      <c r="B235" t="s">
        <v>288</v>
      </c>
      <c r="C235" s="1">
        <v>4119</v>
      </c>
      <c r="D235" s="1">
        <v>2</v>
      </c>
      <c r="E235" s="1">
        <v>0</v>
      </c>
      <c r="F235" s="1">
        <v>34238</v>
      </c>
      <c r="G235" s="1">
        <v>46</v>
      </c>
      <c r="H235" s="1">
        <v>0</v>
      </c>
      <c r="I235" s="1">
        <v>0</v>
      </c>
      <c r="J235" s="1"/>
    </row>
    <row r="236" spans="1:10" x14ac:dyDescent="0.25">
      <c r="A236" t="s">
        <v>826</v>
      </c>
      <c r="B236" t="s">
        <v>289</v>
      </c>
      <c r="C236" s="1">
        <v>1691</v>
      </c>
      <c r="D236" s="1">
        <v>102</v>
      </c>
      <c r="E236" s="1">
        <v>0</v>
      </c>
      <c r="F236" s="1">
        <v>6718</v>
      </c>
      <c r="G236" s="1">
        <v>166</v>
      </c>
      <c r="H236" s="1">
        <v>0</v>
      </c>
      <c r="I236" s="1">
        <v>0</v>
      </c>
      <c r="J236" s="1"/>
    </row>
    <row r="237" spans="1:10" x14ac:dyDescent="0.25">
      <c r="A237" t="s">
        <v>791</v>
      </c>
      <c r="B237" t="s">
        <v>290</v>
      </c>
      <c r="C237" s="1">
        <v>3964</v>
      </c>
      <c r="D237" s="1">
        <v>1422</v>
      </c>
      <c r="E237" s="1">
        <v>0</v>
      </c>
      <c r="F237" s="1">
        <v>15433</v>
      </c>
      <c r="G237" s="1">
        <v>154</v>
      </c>
      <c r="H237" s="1">
        <v>0</v>
      </c>
      <c r="I237" s="1">
        <v>0</v>
      </c>
      <c r="J237" s="1"/>
    </row>
    <row r="238" spans="1:10" x14ac:dyDescent="0.25">
      <c r="A238" t="s">
        <v>826</v>
      </c>
      <c r="B238" t="s">
        <v>291</v>
      </c>
      <c r="C238" s="1">
        <v>685</v>
      </c>
      <c r="D238" s="1">
        <v>3</v>
      </c>
      <c r="E238" s="1">
        <v>0</v>
      </c>
      <c r="F238" s="1">
        <v>7227</v>
      </c>
      <c r="G238" s="1">
        <v>3</v>
      </c>
      <c r="H238" s="1">
        <v>0</v>
      </c>
      <c r="I238" s="1">
        <v>0</v>
      </c>
      <c r="J238" s="1"/>
    </row>
    <row r="239" spans="1:10" x14ac:dyDescent="0.25">
      <c r="A239" t="s">
        <v>226</v>
      </c>
      <c r="B239" t="s">
        <v>292</v>
      </c>
      <c r="C239" s="1">
        <v>750</v>
      </c>
      <c r="D239" s="1">
        <v>0</v>
      </c>
      <c r="E239" s="1">
        <v>0</v>
      </c>
      <c r="F239" s="1">
        <v>8491</v>
      </c>
      <c r="G239" s="1">
        <v>2</v>
      </c>
      <c r="H239" s="1">
        <v>0</v>
      </c>
      <c r="I239" s="1">
        <v>0</v>
      </c>
      <c r="J239" s="1"/>
    </row>
    <row r="240" spans="1:10" x14ac:dyDescent="0.25">
      <c r="A240" t="s">
        <v>495</v>
      </c>
      <c r="B240" t="s">
        <v>293</v>
      </c>
      <c r="C240" s="1">
        <v>3557</v>
      </c>
      <c r="D240" s="1">
        <v>37</v>
      </c>
      <c r="E240" s="1">
        <v>0</v>
      </c>
      <c r="F240" s="1">
        <v>4548</v>
      </c>
      <c r="G240" s="1">
        <v>3</v>
      </c>
      <c r="H240" s="1">
        <v>0</v>
      </c>
      <c r="I240" s="1">
        <v>0</v>
      </c>
      <c r="J240" s="1"/>
    </row>
    <row r="241" spans="1:10" x14ac:dyDescent="0.25">
      <c r="A241" t="s">
        <v>248</v>
      </c>
      <c r="B241" t="s">
        <v>294</v>
      </c>
      <c r="C241" s="1">
        <v>1297</v>
      </c>
      <c r="D241" s="1">
        <v>0</v>
      </c>
      <c r="E241" s="1">
        <v>0</v>
      </c>
      <c r="F241" s="1">
        <f>8652+7+2+85</f>
        <v>8746</v>
      </c>
      <c r="G241" s="1">
        <v>0</v>
      </c>
      <c r="H241" s="1">
        <v>0</v>
      </c>
      <c r="I241" s="1">
        <v>0</v>
      </c>
      <c r="J241" s="1"/>
    </row>
    <row r="242" spans="1:10" x14ac:dyDescent="0.25">
      <c r="A242" t="s">
        <v>865</v>
      </c>
      <c r="B242" t="s">
        <v>295</v>
      </c>
      <c r="C242" s="1">
        <v>727</v>
      </c>
      <c r="D242" s="1">
        <v>0</v>
      </c>
      <c r="E242" s="1">
        <v>0</v>
      </c>
      <c r="F242" s="1">
        <v>13536</v>
      </c>
      <c r="G242" s="1">
        <v>29</v>
      </c>
      <c r="H242" s="1">
        <v>0</v>
      </c>
      <c r="I242" s="1">
        <v>0</v>
      </c>
      <c r="J242" s="1"/>
    </row>
    <row r="243" spans="1:10" x14ac:dyDescent="0.25">
      <c r="A243" t="s">
        <v>831</v>
      </c>
      <c r="B243" t="s">
        <v>296</v>
      </c>
      <c r="C243" s="1">
        <v>816</v>
      </c>
      <c r="D243" s="1">
        <v>0</v>
      </c>
      <c r="E243" s="1">
        <v>0</v>
      </c>
      <c r="F243" s="1">
        <v>13313</v>
      </c>
      <c r="G243" s="1">
        <v>4</v>
      </c>
      <c r="H243" s="1">
        <v>0</v>
      </c>
      <c r="I243" s="1">
        <v>0</v>
      </c>
      <c r="J243" s="1"/>
    </row>
    <row r="244" spans="1:10" x14ac:dyDescent="0.25">
      <c r="A244" t="s">
        <v>818</v>
      </c>
      <c r="B244" t="s">
        <v>297</v>
      </c>
      <c r="C244" s="1">
        <v>3388</v>
      </c>
      <c r="D244" s="1">
        <v>0</v>
      </c>
      <c r="E244" s="1">
        <v>0</v>
      </c>
      <c r="F244" s="1">
        <v>8197</v>
      </c>
      <c r="G244" s="1">
        <v>54</v>
      </c>
      <c r="H244" s="1">
        <v>0</v>
      </c>
      <c r="I244" s="1">
        <v>0</v>
      </c>
      <c r="J244" s="1"/>
    </row>
    <row r="245" spans="1:10" x14ac:dyDescent="0.25">
      <c r="A245" t="s">
        <v>811</v>
      </c>
      <c r="B245" t="s">
        <v>298</v>
      </c>
      <c r="C245" s="1">
        <v>2695</v>
      </c>
      <c r="D245" s="1">
        <v>52</v>
      </c>
      <c r="E245" s="1">
        <v>0</v>
      </c>
      <c r="F245" s="1">
        <v>9000</v>
      </c>
      <c r="G245" s="1">
        <v>34</v>
      </c>
      <c r="H245" s="1">
        <v>0</v>
      </c>
      <c r="I245" s="1">
        <v>0</v>
      </c>
      <c r="J245" s="1"/>
    </row>
    <row r="246" spans="1:10" x14ac:dyDescent="0.25">
      <c r="A246" t="s">
        <v>72</v>
      </c>
      <c r="B246" t="s">
        <v>299</v>
      </c>
      <c r="C246" s="1">
        <v>1931</v>
      </c>
      <c r="D246" s="1">
        <v>0</v>
      </c>
      <c r="E246" s="1">
        <v>0</v>
      </c>
      <c r="F246" s="1">
        <v>10347</v>
      </c>
      <c r="G246" s="1">
        <v>19</v>
      </c>
      <c r="H246" s="1">
        <v>0</v>
      </c>
      <c r="I246" s="1">
        <v>0</v>
      </c>
      <c r="J246" s="1"/>
    </row>
    <row r="247" spans="1:10" x14ac:dyDescent="0.25">
      <c r="A247" t="s">
        <v>67</v>
      </c>
      <c r="B247" t="s">
        <v>300</v>
      </c>
      <c r="C247" s="1">
        <v>2309</v>
      </c>
      <c r="D247" s="1">
        <v>0</v>
      </c>
      <c r="E247" s="1">
        <v>0</v>
      </c>
      <c r="F247" s="1">
        <v>4636</v>
      </c>
      <c r="G247" s="1">
        <v>0</v>
      </c>
      <c r="H247" s="1">
        <v>0</v>
      </c>
      <c r="I247" s="1">
        <v>0</v>
      </c>
      <c r="J247" s="1"/>
    </row>
    <row r="248" spans="1:10" x14ac:dyDescent="0.25">
      <c r="A248" t="s">
        <v>798</v>
      </c>
      <c r="B248" t="s">
        <v>301</v>
      </c>
      <c r="C248" s="1">
        <v>2298</v>
      </c>
      <c r="D248" s="1">
        <v>22</v>
      </c>
      <c r="E248" s="1">
        <v>0</v>
      </c>
      <c r="F248" s="1">
        <v>13232</v>
      </c>
      <c r="G248" s="1">
        <v>101</v>
      </c>
      <c r="H248" s="1">
        <v>0</v>
      </c>
      <c r="I248" s="1">
        <v>0</v>
      </c>
      <c r="J248" s="1"/>
    </row>
    <row r="249" spans="1:10" x14ac:dyDescent="0.25">
      <c r="A249" t="s">
        <v>824</v>
      </c>
      <c r="B249" t="s">
        <v>302</v>
      </c>
      <c r="C249" s="1">
        <f>7034+1+412+70</f>
        <v>7517</v>
      </c>
      <c r="D249" s="1">
        <f>15</f>
        <v>15</v>
      </c>
      <c r="E249" s="1">
        <v>0</v>
      </c>
      <c r="F249" s="1">
        <f>21554+3+7+1294+15+1+1+503</f>
        <v>23378</v>
      </c>
      <c r="G249" s="1">
        <v>29</v>
      </c>
      <c r="H249" s="1">
        <v>0</v>
      </c>
      <c r="I249" s="1">
        <v>0</v>
      </c>
      <c r="J249" s="1"/>
    </row>
    <row r="250" spans="1:10" x14ac:dyDescent="0.25">
      <c r="A250" t="s">
        <v>788</v>
      </c>
      <c r="B250" t="s">
        <v>303</v>
      </c>
      <c r="C250" s="1">
        <v>1708</v>
      </c>
      <c r="D250" s="1">
        <v>6</v>
      </c>
      <c r="E250" s="1">
        <v>0</v>
      </c>
      <c r="F250" s="1">
        <v>12334</v>
      </c>
      <c r="G250" s="1">
        <v>37</v>
      </c>
      <c r="H250" s="1">
        <v>0</v>
      </c>
      <c r="I250" s="1">
        <v>0</v>
      </c>
      <c r="J250" s="1"/>
    </row>
    <row r="251" spans="1:10" x14ac:dyDescent="0.25">
      <c r="A251" t="s">
        <v>120</v>
      </c>
      <c r="B251" t="s">
        <v>304</v>
      </c>
      <c r="C251" s="1">
        <v>1689</v>
      </c>
      <c r="D251" s="1">
        <v>0</v>
      </c>
      <c r="E251" s="1">
        <v>0</v>
      </c>
      <c r="F251" s="1">
        <v>16722</v>
      </c>
      <c r="G251" s="1">
        <v>25</v>
      </c>
      <c r="H251" s="1">
        <v>0</v>
      </c>
      <c r="I251" s="1">
        <v>0</v>
      </c>
      <c r="J251" s="1"/>
    </row>
    <row r="252" spans="1:10" x14ac:dyDescent="0.25">
      <c r="A252" t="s">
        <v>229</v>
      </c>
      <c r="B252" t="s">
        <v>306</v>
      </c>
      <c r="C252" s="1">
        <f>2457+10+1+14+1</f>
        <v>2483</v>
      </c>
      <c r="D252" s="1">
        <v>0</v>
      </c>
      <c r="E252" s="1">
        <v>0</v>
      </c>
      <c r="F252" s="1">
        <f>3829+15+33+23+2</f>
        <v>3902</v>
      </c>
      <c r="G252" s="1">
        <v>59</v>
      </c>
      <c r="H252" s="1">
        <v>0</v>
      </c>
      <c r="I252" s="1">
        <v>0</v>
      </c>
      <c r="J252" s="1"/>
    </row>
    <row r="253" spans="1:10" x14ac:dyDescent="0.25">
      <c r="A253" t="s">
        <v>512</v>
      </c>
      <c r="B253" t="s">
        <v>307</v>
      </c>
      <c r="C253" s="1">
        <v>485</v>
      </c>
      <c r="D253" s="1">
        <v>9</v>
      </c>
      <c r="E253" s="1">
        <v>0</v>
      </c>
      <c r="F253" s="1">
        <v>5533</v>
      </c>
      <c r="G253" s="1">
        <v>42</v>
      </c>
      <c r="H253" s="1">
        <v>0</v>
      </c>
      <c r="I253" s="1">
        <v>0</v>
      </c>
      <c r="J253" s="1"/>
    </row>
    <row r="254" spans="1:10" x14ac:dyDescent="0.25">
      <c r="A254" t="s">
        <v>791</v>
      </c>
      <c r="B254" t="s">
        <v>308</v>
      </c>
      <c r="C254" s="1">
        <v>619</v>
      </c>
      <c r="D254" s="1">
        <v>0</v>
      </c>
      <c r="E254" s="1">
        <v>0</v>
      </c>
      <c r="F254" s="1">
        <v>5041</v>
      </c>
      <c r="G254" s="1">
        <v>0</v>
      </c>
      <c r="H254" s="1">
        <v>0</v>
      </c>
      <c r="I254" s="1">
        <v>0</v>
      </c>
      <c r="J254" s="1"/>
    </row>
    <row r="255" spans="1:10" x14ac:dyDescent="0.25">
      <c r="A255" t="s">
        <v>841</v>
      </c>
      <c r="B255" t="s">
        <v>309</v>
      </c>
      <c r="C255" s="1">
        <v>3965</v>
      </c>
      <c r="D255" s="1">
        <v>3</v>
      </c>
      <c r="E255" s="1">
        <v>0</v>
      </c>
      <c r="F255" s="1">
        <v>33478</v>
      </c>
      <c r="G255" s="1">
        <v>21</v>
      </c>
      <c r="H255" s="1">
        <v>0</v>
      </c>
      <c r="I255" s="1">
        <v>0</v>
      </c>
      <c r="J255" s="1"/>
    </row>
    <row r="256" spans="1:10" x14ac:dyDescent="0.25">
      <c r="A256" t="s">
        <v>831</v>
      </c>
      <c r="B256" t="s">
        <v>310</v>
      </c>
      <c r="C256" s="1">
        <v>176</v>
      </c>
      <c r="D256" s="1">
        <v>0</v>
      </c>
      <c r="E256" s="1">
        <v>0</v>
      </c>
      <c r="F256" s="1">
        <v>1222</v>
      </c>
      <c r="G256" s="1">
        <v>0</v>
      </c>
      <c r="H256" s="1">
        <v>0</v>
      </c>
      <c r="I256" s="1">
        <v>0</v>
      </c>
      <c r="J256" s="1"/>
    </row>
    <row r="257" spans="1:10" x14ac:dyDescent="0.25">
      <c r="A257" t="s">
        <v>864</v>
      </c>
      <c r="B257" t="s">
        <v>311</v>
      </c>
      <c r="C257" s="1">
        <v>1067</v>
      </c>
      <c r="D257" s="1">
        <v>0</v>
      </c>
      <c r="E257" s="1">
        <v>0</v>
      </c>
      <c r="F257" s="1">
        <v>5302</v>
      </c>
      <c r="G257" s="1">
        <v>0</v>
      </c>
      <c r="H257" s="1">
        <v>0</v>
      </c>
      <c r="I257" s="1">
        <v>0</v>
      </c>
      <c r="J257" s="1"/>
    </row>
    <row r="258" spans="1:10" x14ac:dyDescent="0.25">
      <c r="A258" t="s">
        <v>838</v>
      </c>
      <c r="B258" t="s">
        <v>312</v>
      </c>
      <c r="C258" s="1">
        <v>9372</v>
      </c>
      <c r="D258" s="1">
        <v>9</v>
      </c>
      <c r="E258" s="1">
        <v>0</v>
      </c>
      <c r="F258" s="1">
        <v>782</v>
      </c>
      <c r="G258" s="1">
        <v>0</v>
      </c>
      <c r="H258" s="1">
        <v>0</v>
      </c>
      <c r="I258" s="1">
        <v>0</v>
      </c>
      <c r="J258" s="1"/>
    </row>
    <row r="259" spans="1:10" x14ac:dyDescent="0.25">
      <c r="A259" t="s">
        <v>794</v>
      </c>
      <c r="B259" t="s">
        <v>313</v>
      </c>
      <c r="C259" s="1">
        <v>2421</v>
      </c>
      <c r="D259" s="1">
        <v>0</v>
      </c>
      <c r="E259" s="1">
        <v>0</v>
      </c>
      <c r="F259" s="1">
        <v>6409</v>
      </c>
      <c r="G259" s="1">
        <v>0</v>
      </c>
      <c r="H259" s="1">
        <v>0</v>
      </c>
      <c r="I259" s="1">
        <v>0</v>
      </c>
      <c r="J259" s="1"/>
    </row>
    <row r="260" spans="1:10" x14ac:dyDescent="0.25">
      <c r="A260" t="s">
        <v>830</v>
      </c>
      <c r="B260" t="s">
        <v>314</v>
      </c>
      <c r="C260" s="1">
        <v>438</v>
      </c>
      <c r="D260" s="1">
        <v>0</v>
      </c>
      <c r="E260" s="1">
        <v>0</v>
      </c>
      <c r="F260" s="1">
        <v>356</v>
      </c>
      <c r="G260" s="1">
        <v>27</v>
      </c>
      <c r="H260" s="1">
        <v>0</v>
      </c>
      <c r="I260" s="1">
        <v>0</v>
      </c>
      <c r="J260" s="1"/>
    </row>
    <row r="261" spans="1:10" x14ac:dyDescent="0.25">
      <c r="A261" t="s">
        <v>844</v>
      </c>
      <c r="B261" t="s">
        <v>315</v>
      </c>
      <c r="C261" s="1">
        <v>705</v>
      </c>
      <c r="D261" s="1">
        <v>0</v>
      </c>
      <c r="E261" s="1">
        <v>0</v>
      </c>
      <c r="F261" s="1">
        <v>3333</v>
      </c>
      <c r="G261" s="1">
        <v>0</v>
      </c>
      <c r="H261" s="1">
        <v>0</v>
      </c>
      <c r="I261" s="1">
        <v>0</v>
      </c>
      <c r="J261" s="1"/>
    </row>
    <row r="262" spans="1:10" x14ac:dyDescent="0.25">
      <c r="A262" t="s">
        <v>836</v>
      </c>
      <c r="B262" t="s">
        <v>316</v>
      </c>
      <c r="C262" s="1">
        <v>802</v>
      </c>
      <c r="D262" s="1">
        <v>0</v>
      </c>
      <c r="E262" s="1">
        <v>0</v>
      </c>
      <c r="F262" s="1">
        <v>4401</v>
      </c>
      <c r="G262" s="1">
        <v>0</v>
      </c>
      <c r="H262" s="1">
        <v>0</v>
      </c>
      <c r="I262" s="1">
        <v>0</v>
      </c>
      <c r="J262" s="1"/>
    </row>
    <row r="263" spans="1:10" x14ac:dyDescent="0.25">
      <c r="A263" t="s">
        <v>845</v>
      </c>
      <c r="B263" t="s">
        <v>317</v>
      </c>
      <c r="C263" s="1">
        <v>6295</v>
      </c>
      <c r="D263" s="1">
        <v>2</v>
      </c>
      <c r="E263" s="1">
        <v>0</v>
      </c>
      <c r="F263" s="1">
        <v>3837</v>
      </c>
      <c r="G263" s="1">
        <v>27</v>
      </c>
      <c r="H263" s="1">
        <v>0</v>
      </c>
      <c r="I263" s="1">
        <v>0</v>
      </c>
      <c r="J263" s="1"/>
    </row>
    <row r="264" spans="1:10" x14ac:dyDescent="0.25">
      <c r="A264" t="s">
        <v>846</v>
      </c>
      <c r="B264" t="s">
        <v>318</v>
      </c>
      <c r="C264" s="1">
        <v>1222</v>
      </c>
      <c r="D264" s="1">
        <v>13</v>
      </c>
      <c r="E264" s="1">
        <v>0</v>
      </c>
      <c r="F264" s="1">
        <v>3117</v>
      </c>
      <c r="G264" s="1">
        <v>6</v>
      </c>
      <c r="H264" s="1">
        <v>0</v>
      </c>
      <c r="I264" s="1">
        <v>0</v>
      </c>
      <c r="J264" s="1"/>
    </row>
    <row r="265" spans="1:10" x14ac:dyDescent="0.25">
      <c r="A265" t="s">
        <v>804</v>
      </c>
      <c r="B265" t="s">
        <v>319</v>
      </c>
      <c r="C265" s="1">
        <v>4903</v>
      </c>
      <c r="D265" s="1">
        <v>0</v>
      </c>
      <c r="E265" s="1">
        <v>0</v>
      </c>
      <c r="F265" s="1">
        <v>9314</v>
      </c>
      <c r="G265" s="1">
        <v>0</v>
      </c>
      <c r="H265" s="1">
        <v>0</v>
      </c>
      <c r="I265" s="1">
        <v>0</v>
      </c>
      <c r="J265" s="1"/>
    </row>
    <row r="266" spans="1:10" x14ac:dyDescent="0.25">
      <c r="A266" t="s">
        <v>809</v>
      </c>
      <c r="B266" t="s">
        <v>320</v>
      </c>
      <c r="C266" s="1">
        <v>10572</v>
      </c>
      <c r="D266" s="1">
        <v>0</v>
      </c>
      <c r="E266" s="1">
        <v>0</v>
      </c>
      <c r="F266" s="1">
        <v>5667</v>
      </c>
      <c r="G266" s="1">
        <v>2</v>
      </c>
      <c r="H266" s="1">
        <v>0</v>
      </c>
      <c r="I266" s="1">
        <v>0</v>
      </c>
      <c r="J266" s="1"/>
    </row>
    <row r="267" spans="1:10" x14ac:dyDescent="0.25">
      <c r="A267" t="s">
        <v>801</v>
      </c>
      <c r="B267" t="s">
        <v>321</v>
      </c>
      <c r="C267" s="1">
        <v>6622</v>
      </c>
      <c r="D267" s="1">
        <v>37</v>
      </c>
      <c r="E267" s="1">
        <v>0</v>
      </c>
      <c r="F267" s="1">
        <v>16066</v>
      </c>
      <c r="G267" s="1">
        <v>232</v>
      </c>
      <c r="H267" s="1">
        <v>0</v>
      </c>
      <c r="I267" s="1">
        <v>0</v>
      </c>
      <c r="J267" s="1"/>
    </row>
    <row r="268" spans="1:10" x14ac:dyDescent="0.25">
      <c r="A268" t="s">
        <v>138</v>
      </c>
      <c r="B268" t="s">
        <v>322</v>
      </c>
      <c r="C268" s="1">
        <v>9375</v>
      </c>
      <c r="D268" s="1">
        <v>35</v>
      </c>
      <c r="E268" s="1">
        <v>0</v>
      </c>
      <c r="F268" s="1">
        <v>64051</v>
      </c>
      <c r="G268" s="1">
        <v>389</v>
      </c>
      <c r="H268" s="1">
        <v>0</v>
      </c>
      <c r="I268" s="1">
        <v>0</v>
      </c>
      <c r="J268" s="1"/>
    </row>
    <row r="269" spans="1:10" x14ac:dyDescent="0.25">
      <c r="A269" t="s">
        <v>83</v>
      </c>
      <c r="B269" t="s">
        <v>323</v>
      </c>
      <c r="C269" s="1">
        <v>13840</v>
      </c>
      <c r="D269" s="1">
        <v>49</v>
      </c>
      <c r="E269" s="1">
        <v>0</v>
      </c>
      <c r="F269" s="1">
        <f>7702+141+1+201</f>
        <v>8045</v>
      </c>
      <c r="G269" s="1">
        <f>43+4+8</f>
        <v>55</v>
      </c>
      <c r="H269" s="1">
        <v>0</v>
      </c>
      <c r="I269" s="1">
        <v>0</v>
      </c>
      <c r="J269" s="1"/>
    </row>
    <row r="270" spans="1:10" x14ac:dyDescent="0.25">
      <c r="A270" t="s">
        <v>825</v>
      </c>
      <c r="B270" t="s">
        <v>324</v>
      </c>
      <c r="C270" s="1">
        <v>2727</v>
      </c>
      <c r="D270" s="1">
        <v>23</v>
      </c>
      <c r="E270" s="1">
        <v>0</v>
      </c>
      <c r="F270" s="1">
        <v>7674</v>
      </c>
      <c r="G270" s="1">
        <v>122</v>
      </c>
      <c r="H270" s="1">
        <v>0</v>
      </c>
      <c r="I270" s="1">
        <v>0</v>
      </c>
      <c r="J270" s="1"/>
    </row>
    <row r="271" spans="1:10" x14ac:dyDescent="0.25">
      <c r="A271" t="s">
        <v>248</v>
      </c>
      <c r="B271" t="s">
        <v>325</v>
      </c>
      <c r="C271" s="1">
        <v>881</v>
      </c>
      <c r="D271" s="1">
        <v>0</v>
      </c>
      <c r="E271" s="1">
        <v>0</v>
      </c>
      <c r="F271" s="1">
        <v>2394</v>
      </c>
      <c r="G271" s="1">
        <v>0</v>
      </c>
      <c r="H271" s="1">
        <v>0</v>
      </c>
      <c r="I271" s="1">
        <v>0</v>
      </c>
      <c r="J271" s="1"/>
    </row>
    <row r="272" spans="1:10" x14ac:dyDescent="0.25">
      <c r="A272" t="s">
        <v>83</v>
      </c>
      <c r="B272" t="s">
        <v>326</v>
      </c>
      <c r="C272" s="1">
        <v>950</v>
      </c>
      <c r="D272" s="1">
        <v>0</v>
      </c>
      <c r="E272" s="1">
        <v>0</v>
      </c>
      <c r="F272" s="1">
        <v>4714</v>
      </c>
      <c r="G272" s="1">
        <v>0</v>
      </c>
      <c r="H272" s="1">
        <v>0</v>
      </c>
      <c r="I272" s="1">
        <v>0</v>
      </c>
      <c r="J272" s="1"/>
    </row>
    <row r="273" spans="1:10" x14ac:dyDescent="0.25">
      <c r="A273" t="s">
        <v>795</v>
      </c>
      <c r="B273" t="s">
        <v>327</v>
      </c>
      <c r="C273" s="1">
        <v>198</v>
      </c>
      <c r="D273" s="1">
        <v>0</v>
      </c>
      <c r="E273" s="1">
        <v>0</v>
      </c>
      <c r="F273" s="1">
        <v>955</v>
      </c>
      <c r="G273" s="1">
        <v>43</v>
      </c>
      <c r="H273" s="1">
        <v>0</v>
      </c>
      <c r="I273" s="1">
        <v>0</v>
      </c>
      <c r="J273" s="1"/>
    </row>
    <row r="274" spans="1:10" x14ac:dyDescent="0.25">
      <c r="A274" t="s">
        <v>76</v>
      </c>
      <c r="B274" t="s">
        <v>329</v>
      </c>
      <c r="C274" s="1">
        <v>3779</v>
      </c>
      <c r="D274" s="1">
        <v>35</v>
      </c>
      <c r="E274" s="1">
        <v>0</v>
      </c>
      <c r="F274" s="1">
        <v>20031</v>
      </c>
      <c r="G274" s="1">
        <v>440</v>
      </c>
      <c r="H274" s="1">
        <v>0</v>
      </c>
      <c r="I274" s="1">
        <v>0</v>
      </c>
      <c r="J274" s="1"/>
    </row>
    <row r="275" spans="1:10" x14ac:dyDescent="0.25">
      <c r="A275" t="s">
        <v>809</v>
      </c>
      <c r="B275" t="s">
        <v>330</v>
      </c>
      <c r="C275" s="1">
        <v>5772</v>
      </c>
      <c r="D275" s="1">
        <v>601</v>
      </c>
      <c r="E275" s="1">
        <v>0</v>
      </c>
      <c r="F275" s="1">
        <v>20193</v>
      </c>
      <c r="G275" s="1">
        <v>489</v>
      </c>
      <c r="H275" s="1">
        <v>0</v>
      </c>
      <c r="I275" s="1">
        <v>0</v>
      </c>
      <c r="J275" s="1"/>
    </row>
    <row r="276" spans="1:10" x14ac:dyDescent="0.25">
      <c r="A276" t="s">
        <v>839</v>
      </c>
      <c r="B276" t="s">
        <v>331</v>
      </c>
      <c r="C276" s="1">
        <v>657</v>
      </c>
      <c r="D276" s="1">
        <v>2</v>
      </c>
      <c r="E276" s="1">
        <v>0</v>
      </c>
      <c r="F276" s="1">
        <v>2349</v>
      </c>
      <c r="G276" s="1">
        <v>9</v>
      </c>
      <c r="H276" s="1">
        <v>0</v>
      </c>
      <c r="I276" s="1">
        <v>0</v>
      </c>
      <c r="J276" s="1"/>
    </row>
    <row r="277" spans="1:10" x14ac:dyDescent="0.25">
      <c r="A277" t="s">
        <v>248</v>
      </c>
      <c r="B277" t="s">
        <v>332</v>
      </c>
      <c r="C277" s="1">
        <v>510</v>
      </c>
      <c r="D277" s="1">
        <v>0</v>
      </c>
      <c r="E277" s="1">
        <v>0</v>
      </c>
      <c r="F277" s="1">
        <v>380</v>
      </c>
      <c r="G277" s="1">
        <v>0</v>
      </c>
      <c r="H277" s="1">
        <v>0</v>
      </c>
      <c r="I277" s="1">
        <v>0</v>
      </c>
      <c r="J277" s="1"/>
    </row>
    <row r="278" spans="1:10" x14ac:dyDescent="0.25">
      <c r="A278" t="s">
        <v>862</v>
      </c>
      <c r="B278" t="s">
        <v>333</v>
      </c>
      <c r="C278" s="1">
        <v>288</v>
      </c>
      <c r="D278" s="1">
        <v>0</v>
      </c>
      <c r="E278" s="1">
        <v>0</v>
      </c>
      <c r="F278" s="1">
        <v>2013</v>
      </c>
      <c r="G278" s="1">
        <v>0</v>
      </c>
      <c r="H278" s="1">
        <v>0</v>
      </c>
      <c r="I278" s="1">
        <v>0</v>
      </c>
      <c r="J278" s="1"/>
    </row>
    <row r="279" spans="1:10" x14ac:dyDescent="0.25">
      <c r="A279" t="s">
        <v>857</v>
      </c>
      <c r="B279" t="s">
        <v>334</v>
      </c>
      <c r="C279" s="1">
        <v>2266</v>
      </c>
      <c r="D279" s="1">
        <v>0</v>
      </c>
      <c r="E279" s="1">
        <v>0</v>
      </c>
      <c r="F279" s="1">
        <v>1359</v>
      </c>
      <c r="G279" s="1">
        <v>0</v>
      </c>
      <c r="H279" s="1">
        <v>0</v>
      </c>
      <c r="I279" s="1">
        <v>0</v>
      </c>
      <c r="J279" s="1"/>
    </row>
    <row r="280" spans="1:10" x14ac:dyDescent="0.25">
      <c r="A280" t="s">
        <v>265</v>
      </c>
      <c r="B280" t="s">
        <v>335</v>
      </c>
      <c r="C280" s="1">
        <v>1255</v>
      </c>
      <c r="D280" s="1">
        <v>0</v>
      </c>
      <c r="E280" s="1">
        <v>0</v>
      </c>
      <c r="F280" s="1">
        <v>7532</v>
      </c>
      <c r="G280" s="1">
        <v>9</v>
      </c>
      <c r="H280" s="1">
        <v>0</v>
      </c>
      <c r="I280" s="1">
        <v>0</v>
      </c>
      <c r="J280" s="1"/>
    </row>
    <row r="281" spans="1:10" x14ac:dyDescent="0.25">
      <c r="A281" t="s">
        <v>855</v>
      </c>
      <c r="B281" t="s">
        <v>336</v>
      </c>
      <c r="C281" s="1">
        <v>2324</v>
      </c>
      <c r="D281" s="1">
        <v>23</v>
      </c>
      <c r="E281" s="1">
        <v>0</v>
      </c>
      <c r="F281" s="1">
        <v>7621</v>
      </c>
      <c r="G281" s="1">
        <v>17</v>
      </c>
      <c r="H281" s="1">
        <v>0</v>
      </c>
      <c r="I281" s="1">
        <v>0</v>
      </c>
      <c r="J281" s="1"/>
    </row>
    <row r="282" spans="1:10" x14ac:dyDescent="0.25">
      <c r="A282" t="s">
        <v>868</v>
      </c>
      <c r="B282" t="s">
        <v>337</v>
      </c>
      <c r="C282" s="1">
        <v>4193</v>
      </c>
      <c r="D282" s="1">
        <v>50</v>
      </c>
      <c r="E282" s="1">
        <v>0</v>
      </c>
      <c r="F282" s="1">
        <v>23182</v>
      </c>
      <c r="G282" s="1">
        <f>107+1+15</f>
        <v>123</v>
      </c>
      <c r="H282" s="1">
        <v>0</v>
      </c>
      <c r="I282" s="1">
        <v>0</v>
      </c>
      <c r="J282" s="1"/>
    </row>
    <row r="283" spans="1:10" x14ac:dyDescent="0.25">
      <c r="A283" t="s">
        <v>852</v>
      </c>
      <c r="B283" t="s">
        <v>338</v>
      </c>
      <c r="C283" s="1">
        <v>658</v>
      </c>
      <c r="D283" s="1">
        <v>0</v>
      </c>
      <c r="E283" s="1">
        <v>0</v>
      </c>
      <c r="F283" s="1">
        <v>5326</v>
      </c>
      <c r="G283" s="1">
        <v>13</v>
      </c>
      <c r="H283" s="1">
        <v>0</v>
      </c>
      <c r="I283" s="1">
        <v>0</v>
      </c>
      <c r="J283" s="1"/>
    </row>
    <row r="284" spans="1:10" x14ac:dyDescent="0.25">
      <c r="A284" t="s">
        <v>860</v>
      </c>
      <c r="B284" t="s">
        <v>339</v>
      </c>
      <c r="C284" s="1">
        <v>3106</v>
      </c>
      <c r="D284" s="1">
        <v>0</v>
      </c>
      <c r="E284" s="1">
        <v>0</v>
      </c>
      <c r="F284" s="1">
        <v>3394</v>
      </c>
      <c r="G284" s="1">
        <v>77</v>
      </c>
      <c r="H284" s="1">
        <v>0</v>
      </c>
      <c r="I284" s="1">
        <v>0</v>
      </c>
      <c r="J284" s="1"/>
    </row>
    <row r="285" spans="1:10" x14ac:dyDescent="0.25">
      <c r="A285" t="s">
        <v>861</v>
      </c>
      <c r="B285" t="s">
        <v>340</v>
      </c>
      <c r="C285" s="1">
        <v>329</v>
      </c>
      <c r="D285" s="1">
        <v>0</v>
      </c>
      <c r="E285" s="1">
        <v>0</v>
      </c>
      <c r="F285" s="1">
        <v>1238</v>
      </c>
      <c r="G285" s="1">
        <v>1</v>
      </c>
      <c r="H285" s="1">
        <v>0</v>
      </c>
      <c r="I285" s="1">
        <v>0</v>
      </c>
      <c r="J285" s="1"/>
    </row>
    <row r="286" spans="1:10" x14ac:dyDescent="0.25">
      <c r="A286" t="s">
        <v>834</v>
      </c>
      <c r="B286" t="s">
        <v>341</v>
      </c>
      <c r="C286" s="1">
        <v>872</v>
      </c>
      <c r="D286" s="1">
        <v>0</v>
      </c>
      <c r="E286" s="1">
        <v>0</v>
      </c>
      <c r="F286" s="1">
        <v>7013</v>
      </c>
      <c r="G286" s="1">
        <v>2</v>
      </c>
      <c r="H286" s="1">
        <v>0</v>
      </c>
      <c r="I286" s="1">
        <v>0</v>
      </c>
      <c r="J286" s="1"/>
    </row>
    <row r="287" spans="1:10" x14ac:dyDescent="0.25">
      <c r="A287" t="s">
        <v>850</v>
      </c>
      <c r="B287" t="s">
        <v>342</v>
      </c>
      <c r="C287" s="1">
        <v>900</v>
      </c>
      <c r="D287" s="1">
        <v>16</v>
      </c>
      <c r="E287" s="1">
        <v>0</v>
      </c>
      <c r="F287" s="1">
        <v>1260</v>
      </c>
      <c r="G287" s="1">
        <v>2</v>
      </c>
      <c r="H287" s="1">
        <v>0</v>
      </c>
      <c r="I287" s="1">
        <v>0</v>
      </c>
      <c r="J287" s="1"/>
    </row>
    <row r="288" spans="1:10" x14ac:dyDescent="0.25">
      <c r="A288" t="s">
        <v>801</v>
      </c>
      <c r="B288" t="s">
        <v>343</v>
      </c>
      <c r="C288" s="1">
        <v>726</v>
      </c>
      <c r="D288" s="1">
        <v>0</v>
      </c>
      <c r="E288" s="1">
        <v>0</v>
      </c>
      <c r="F288" s="1">
        <v>2421</v>
      </c>
      <c r="G288" s="1">
        <v>1</v>
      </c>
      <c r="H288" s="1">
        <v>0</v>
      </c>
      <c r="I288" s="1">
        <v>0</v>
      </c>
      <c r="J288" s="1"/>
    </row>
    <row r="289" spans="1:10" x14ac:dyDescent="0.25">
      <c r="A289" t="s">
        <v>138</v>
      </c>
      <c r="B289" t="s">
        <v>344</v>
      </c>
      <c r="C289" s="1">
        <v>3888</v>
      </c>
      <c r="D289" s="1">
        <v>0</v>
      </c>
      <c r="E289" s="1">
        <v>0</v>
      </c>
      <c r="F289" s="1">
        <v>17516</v>
      </c>
      <c r="G289" s="1">
        <v>71</v>
      </c>
      <c r="H289" s="1">
        <v>0</v>
      </c>
      <c r="I289" s="1">
        <v>0</v>
      </c>
      <c r="J289" s="1"/>
    </row>
    <row r="290" spans="1:10" x14ac:dyDescent="0.25">
      <c r="A290" t="s">
        <v>868</v>
      </c>
      <c r="B290" t="s">
        <v>345</v>
      </c>
      <c r="C290" s="1"/>
      <c r="D290" s="1"/>
      <c r="E290" s="1"/>
      <c r="F290" s="1"/>
      <c r="G290" s="1"/>
      <c r="H290" s="1"/>
      <c r="I290" s="1"/>
      <c r="J290" s="1"/>
    </row>
    <row r="291" spans="1:10" x14ac:dyDescent="0.25">
      <c r="A291" t="s">
        <v>69</v>
      </c>
      <c r="B291" t="s">
        <v>346</v>
      </c>
      <c r="C291" s="1">
        <v>4995</v>
      </c>
      <c r="D291" s="1">
        <v>9</v>
      </c>
      <c r="E291" s="1">
        <v>0</v>
      </c>
      <c r="F291" s="1">
        <v>37831</v>
      </c>
      <c r="G291" s="1">
        <v>725</v>
      </c>
      <c r="H291" s="1">
        <v>0</v>
      </c>
      <c r="I291" s="1">
        <v>0</v>
      </c>
      <c r="J291" s="1"/>
    </row>
    <row r="292" spans="1:10" x14ac:dyDescent="0.25">
      <c r="A292" t="s">
        <v>83</v>
      </c>
      <c r="B292" t="s">
        <v>347</v>
      </c>
      <c r="C292" s="1">
        <v>25</v>
      </c>
      <c r="D292" s="1">
        <v>0</v>
      </c>
      <c r="E292" s="1">
        <v>0</v>
      </c>
      <c r="F292" s="1">
        <v>16</v>
      </c>
      <c r="G292" s="1">
        <v>0</v>
      </c>
      <c r="H292" s="1">
        <v>0</v>
      </c>
      <c r="I292" s="1">
        <v>0</v>
      </c>
      <c r="J292" s="1"/>
    </row>
    <row r="293" spans="1:10" x14ac:dyDescent="0.25">
      <c r="A293" t="s">
        <v>101</v>
      </c>
      <c r="B293" t="s">
        <v>348</v>
      </c>
      <c r="C293" s="1">
        <v>2254</v>
      </c>
      <c r="D293" s="1">
        <v>22</v>
      </c>
      <c r="E293" s="1">
        <v>0</v>
      </c>
      <c r="F293" s="1">
        <v>13001</v>
      </c>
      <c r="G293" s="1">
        <v>10</v>
      </c>
      <c r="H293" s="1">
        <v>0</v>
      </c>
      <c r="I293" s="1">
        <v>0</v>
      </c>
      <c r="J293" s="1"/>
    </row>
    <row r="294" spans="1:10" x14ac:dyDescent="0.25">
      <c r="A294" t="s">
        <v>797</v>
      </c>
      <c r="B294" t="s">
        <v>349</v>
      </c>
      <c r="C294" s="1">
        <v>540</v>
      </c>
      <c r="D294" s="1">
        <v>0</v>
      </c>
      <c r="E294" s="1">
        <v>0</v>
      </c>
      <c r="F294" s="1">
        <v>6155</v>
      </c>
      <c r="G294" s="1">
        <v>0</v>
      </c>
      <c r="H294" s="1">
        <v>0</v>
      </c>
      <c r="I294" s="1">
        <v>0</v>
      </c>
      <c r="J294" s="1"/>
    </row>
    <row r="295" spans="1:10" x14ac:dyDescent="0.25">
      <c r="A295" t="s">
        <v>811</v>
      </c>
      <c r="B295" t="s">
        <v>350</v>
      </c>
      <c r="C295" s="1">
        <v>2698</v>
      </c>
      <c r="D295" s="1">
        <v>82</v>
      </c>
      <c r="E295" s="1">
        <v>0</v>
      </c>
      <c r="F295" s="1">
        <v>15318</v>
      </c>
      <c r="G295" s="1">
        <v>96</v>
      </c>
      <c r="H295" s="1">
        <v>0</v>
      </c>
      <c r="I295" s="1">
        <v>0</v>
      </c>
      <c r="J295" s="1"/>
    </row>
    <row r="296" spans="1:10" x14ac:dyDescent="0.25">
      <c r="A296" t="s">
        <v>837</v>
      </c>
      <c r="B296" t="s">
        <v>351</v>
      </c>
      <c r="C296" s="1">
        <v>1359</v>
      </c>
      <c r="D296" s="1">
        <v>26</v>
      </c>
      <c r="E296" s="1">
        <v>0</v>
      </c>
      <c r="F296" s="1">
        <v>5086</v>
      </c>
      <c r="G296" s="1">
        <v>25</v>
      </c>
      <c r="H296" s="1">
        <v>0</v>
      </c>
      <c r="I296" s="1">
        <v>0</v>
      </c>
      <c r="J296" s="1"/>
    </row>
    <row r="297" spans="1:10" x14ac:dyDescent="0.25">
      <c r="A297" t="s">
        <v>824</v>
      </c>
      <c r="B297" t="s">
        <v>352</v>
      </c>
      <c r="C297" s="1">
        <f>1346+55+6</f>
        <v>1407</v>
      </c>
      <c r="D297" s="1">
        <v>0</v>
      </c>
      <c r="E297" s="1">
        <v>0</v>
      </c>
      <c r="F297" s="1">
        <f>7058+286+94</f>
        <v>7438</v>
      </c>
      <c r="G297" s="1">
        <v>1</v>
      </c>
      <c r="H297" s="1">
        <v>0</v>
      </c>
      <c r="I297" s="1">
        <v>0</v>
      </c>
      <c r="J297" s="1"/>
    </row>
    <row r="298" spans="1:10" x14ac:dyDescent="0.25">
      <c r="A298" t="s">
        <v>829</v>
      </c>
      <c r="B298" t="s">
        <v>353</v>
      </c>
      <c r="C298" s="1">
        <v>9309</v>
      </c>
      <c r="D298" s="1">
        <v>3</v>
      </c>
      <c r="E298" s="1">
        <v>0</v>
      </c>
      <c r="F298" s="1">
        <v>6616</v>
      </c>
      <c r="G298" s="1">
        <v>14</v>
      </c>
      <c r="H298" s="1">
        <v>0</v>
      </c>
      <c r="I298" s="1">
        <v>0</v>
      </c>
      <c r="J298" s="1"/>
    </row>
    <row r="299" spans="1:10" x14ac:dyDescent="0.25">
      <c r="A299" t="s">
        <v>832</v>
      </c>
      <c r="B299" t="s">
        <v>354</v>
      </c>
      <c r="C299" s="1">
        <v>569</v>
      </c>
      <c r="D299" s="1">
        <v>0</v>
      </c>
      <c r="E299" s="1">
        <v>0</v>
      </c>
      <c r="F299" s="1">
        <v>1226</v>
      </c>
      <c r="G299" s="1">
        <v>4</v>
      </c>
      <c r="H299" s="1">
        <v>0</v>
      </c>
      <c r="I299" s="1">
        <v>0</v>
      </c>
      <c r="J299" s="1"/>
    </row>
    <row r="300" spans="1:10" x14ac:dyDescent="0.25">
      <c r="A300" t="s">
        <v>833</v>
      </c>
      <c r="B300" t="s">
        <v>355</v>
      </c>
      <c r="C300" s="1">
        <v>854</v>
      </c>
      <c r="D300" s="1">
        <v>0</v>
      </c>
      <c r="E300" s="1">
        <v>0</v>
      </c>
      <c r="F300" s="1">
        <v>2198</v>
      </c>
      <c r="G300" s="1">
        <v>0</v>
      </c>
      <c r="H300" s="1">
        <v>0</v>
      </c>
      <c r="I300" s="1">
        <v>0</v>
      </c>
      <c r="J300" s="1"/>
    </row>
    <row r="301" spans="1:10" x14ac:dyDescent="0.25">
      <c r="A301" t="s">
        <v>840</v>
      </c>
      <c r="B301" t="s">
        <v>356</v>
      </c>
      <c r="C301" s="1">
        <v>1527</v>
      </c>
      <c r="D301" s="1">
        <v>1</v>
      </c>
      <c r="E301" s="1">
        <v>0</v>
      </c>
      <c r="F301" s="1">
        <v>8664</v>
      </c>
      <c r="G301" s="1">
        <f>60+3</f>
        <v>63</v>
      </c>
      <c r="H301" s="1">
        <v>0</v>
      </c>
      <c r="I301" s="1">
        <v>0</v>
      </c>
      <c r="J301" s="1"/>
    </row>
    <row r="302" spans="1:10" x14ac:dyDescent="0.25">
      <c r="A302" t="s">
        <v>843</v>
      </c>
      <c r="B302" t="s">
        <v>357</v>
      </c>
      <c r="C302" s="1">
        <v>1019</v>
      </c>
      <c r="D302" s="1">
        <v>0</v>
      </c>
      <c r="E302" s="1">
        <v>0</v>
      </c>
      <c r="F302" s="1">
        <v>10837</v>
      </c>
      <c r="G302" s="1">
        <v>20</v>
      </c>
      <c r="H302" s="1">
        <v>0</v>
      </c>
      <c r="I302" s="1">
        <v>0</v>
      </c>
      <c r="J302" s="1"/>
    </row>
    <row r="303" spans="1:10" x14ac:dyDescent="0.25">
      <c r="A303" t="s">
        <v>791</v>
      </c>
      <c r="B303" t="s">
        <v>358</v>
      </c>
      <c r="C303" s="1">
        <v>8057</v>
      </c>
      <c r="D303" s="1">
        <v>1</v>
      </c>
      <c r="E303" s="1">
        <v>0</v>
      </c>
      <c r="F303" s="1">
        <v>21607</v>
      </c>
      <c r="G303" s="1">
        <v>74</v>
      </c>
      <c r="H303" s="1">
        <v>0</v>
      </c>
      <c r="I303" s="1">
        <v>0</v>
      </c>
      <c r="J303" s="1"/>
    </row>
    <row r="304" spans="1:10" x14ac:dyDescent="0.25">
      <c r="A304" t="s">
        <v>842</v>
      </c>
      <c r="B304" t="s">
        <v>359</v>
      </c>
      <c r="C304" s="1">
        <v>2793</v>
      </c>
      <c r="D304" s="1">
        <v>0</v>
      </c>
      <c r="E304" s="1">
        <v>0</v>
      </c>
      <c r="F304" s="1">
        <v>9844</v>
      </c>
      <c r="G304" s="1">
        <v>1</v>
      </c>
      <c r="H304" s="1">
        <v>0</v>
      </c>
      <c r="I304" s="1">
        <v>0</v>
      </c>
      <c r="J304" s="1"/>
    </row>
    <row r="305" spans="1:10" x14ac:dyDescent="0.25">
      <c r="A305" t="s">
        <v>835</v>
      </c>
      <c r="B305" t="s">
        <v>360</v>
      </c>
      <c r="C305" s="1">
        <v>982</v>
      </c>
      <c r="D305" s="1">
        <v>0</v>
      </c>
      <c r="E305" s="1">
        <v>0</v>
      </c>
      <c r="F305" s="1">
        <v>6271</v>
      </c>
      <c r="G305" s="1">
        <v>17</v>
      </c>
      <c r="H305" s="1">
        <v>0</v>
      </c>
      <c r="I305" s="1">
        <v>0</v>
      </c>
      <c r="J305" s="1"/>
    </row>
    <row r="306" spans="1:10" x14ac:dyDescent="0.25">
      <c r="A306" t="s">
        <v>826</v>
      </c>
      <c r="B306" t="s">
        <v>361</v>
      </c>
      <c r="C306" s="1">
        <v>6885</v>
      </c>
      <c r="D306" s="1">
        <v>58</v>
      </c>
      <c r="E306" s="1">
        <v>0</v>
      </c>
      <c r="F306" s="1">
        <v>24725</v>
      </c>
      <c r="G306" s="1">
        <v>379</v>
      </c>
      <c r="H306" s="1">
        <v>0</v>
      </c>
      <c r="I306" s="1">
        <v>0</v>
      </c>
      <c r="J306" s="1"/>
    </row>
    <row r="307" spans="1:10" x14ac:dyDescent="0.25">
      <c r="A307" t="s">
        <v>67</v>
      </c>
      <c r="B307" t="s">
        <v>362</v>
      </c>
      <c r="C307" s="1">
        <v>9697</v>
      </c>
      <c r="D307" s="1">
        <v>0</v>
      </c>
      <c r="E307" s="1">
        <v>0</v>
      </c>
      <c r="F307" s="1">
        <v>32637</v>
      </c>
      <c r="G307" s="1">
        <v>9</v>
      </c>
      <c r="H307" s="1">
        <v>0</v>
      </c>
      <c r="I307" s="1">
        <v>0</v>
      </c>
      <c r="J307" s="1"/>
    </row>
    <row r="308" spans="1:10" x14ac:dyDescent="0.25">
      <c r="A308" t="s">
        <v>831</v>
      </c>
      <c r="B308" t="s">
        <v>363</v>
      </c>
      <c r="C308" s="1">
        <v>272</v>
      </c>
      <c r="D308" s="1">
        <v>0</v>
      </c>
      <c r="E308" s="1">
        <v>0</v>
      </c>
      <c r="F308" s="1">
        <v>2673</v>
      </c>
      <c r="G308" s="1">
        <v>2</v>
      </c>
      <c r="H308" s="1">
        <v>0</v>
      </c>
      <c r="I308" s="1">
        <v>0</v>
      </c>
      <c r="J308" s="1"/>
    </row>
    <row r="309" spans="1:10" x14ac:dyDescent="0.25">
      <c r="A309" t="s">
        <v>248</v>
      </c>
      <c r="B309" t="s">
        <v>364</v>
      </c>
      <c r="C309" s="1">
        <v>719</v>
      </c>
      <c r="D309" s="1">
        <v>0</v>
      </c>
      <c r="E309" s="1">
        <v>0</v>
      </c>
      <c r="F309" s="1">
        <f>6398+1</f>
        <v>6399</v>
      </c>
      <c r="G309" s="1">
        <v>0</v>
      </c>
      <c r="H309" s="1">
        <v>0</v>
      </c>
      <c r="I309" s="1">
        <v>0</v>
      </c>
      <c r="J309" s="1"/>
    </row>
    <row r="310" spans="1:10" x14ac:dyDescent="0.25">
      <c r="A310" t="s">
        <v>791</v>
      </c>
      <c r="B310" t="s">
        <v>365</v>
      </c>
      <c r="C310" s="1">
        <v>5172</v>
      </c>
      <c r="D310" s="1">
        <v>209</v>
      </c>
      <c r="E310" s="1">
        <v>0</v>
      </c>
      <c r="F310" s="1">
        <v>9990</v>
      </c>
      <c r="G310" s="1">
        <v>591</v>
      </c>
      <c r="H310" s="1">
        <v>0</v>
      </c>
      <c r="I310" s="1">
        <v>0</v>
      </c>
      <c r="J310" s="1"/>
    </row>
    <row r="311" spans="1:10" x14ac:dyDescent="0.25">
      <c r="A311" t="s">
        <v>797</v>
      </c>
      <c r="B311" t="s">
        <v>366</v>
      </c>
      <c r="C311" s="1">
        <v>1318</v>
      </c>
      <c r="D311" s="1">
        <v>12</v>
      </c>
      <c r="E311" s="1">
        <v>0</v>
      </c>
      <c r="F311" s="1">
        <v>3491</v>
      </c>
      <c r="G311" s="1">
        <v>56</v>
      </c>
      <c r="H311" s="1">
        <v>0</v>
      </c>
      <c r="I311" s="1">
        <v>0</v>
      </c>
      <c r="J311" s="1"/>
    </row>
    <row r="312" spans="1:10" x14ac:dyDescent="0.25">
      <c r="A312" t="s">
        <v>120</v>
      </c>
      <c r="B312" t="s">
        <v>367</v>
      </c>
      <c r="C312" s="1">
        <v>3626</v>
      </c>
      <c r="D312" s="1">
        <v>24</v>
      </c>
      <c r="E312" s="1">
        <v>0</v>
      </c>
      <c r="F312" s="1">
        <v>19808</v>
      </c>
      <c r="G312" s="1">
        <v>289</v>
      </c>
      <c r="H312" s="1">
        <v>0</v>
      </c>
      <c r="I312" s="1">
        <v>0</v>
      </c>
      <c r="J312" s="1"/>
    </row>
    <row r="313" spans="1:10" x14ac:dyDescent="0.25">
      <c r="A313" t="s">
        <v>231</v>
      </c>
      <c r="B313" t="s">
        <v>368</v>
      </c>
      <c r="C313" s="1">
        <v>3245</v>
      </c>
      <c r="D313" s="1">
        <v>0</v>
      </c>
      <c r="E313" s="1">
        <v>0</v>
      </c>
      <c r="F313" s="1">
        <v>18443</v>
      </c>
      <c r="G313" s="1">
        <v>13</v>
      </c>
      <c r="H313" s="1">
        <v>0</v>
      </c>
      <c r="I313" s="1">
        <v>0</v>
      </c>
      <c r="J313" s="1"/>
    </row>
    <row r="314" spans="1:10" x14ac:dyDescent="0.25">
      <c r="A314" t="s">
        <v>809</v>
      </c>
      <c r="B314" t="s">
        <v>369</v>
      </c>
      <c r="C314" s="1">
        <v>5879</v>
      </c>
      <c r="D314" s="1">
        <v>6</v>
      </c>
      <c r="E314" s="1">
        <v>0</v>
      </c>
      <c r="F314" s="1">
        <v>35223</v>
      </c>
      <c r="G314" s="1">
        <v>814</v>
      </c>
      <c r="H314" s="1">
        <v>0</v>
      </c>
      <c r="I314" s="1">
        <v>0</v>
      </c>
      <c r="J314" s="1"/>
    </row>
    <row r="315" spans="1:10" x14ac:dyDescent="0.25">
      <c r="A315" t="s">
        <v>848</v>
      </c>
      <c r="B315" t="s">
        <v>370</v>
      </c>
      <c r="C315" s="1">
        <v>1028</v>
      </c>
      <c r="D315" s="1">
        <v>47</v>
      </c>
      <c r="E315" s="1">
        <v>0</v>
      </c>
      <c r="F315" s="1">
        <v>7290</v>
      </c>
      <c r="G315" s="1">
        <f>1+6</f>
        <v>7</v>
      </c>
      <c r="H315" s="1">
        <v>0</v>
      </c>
      <c r="I315" s="1">
        <v>0</v>
      </c>
      <c r="J315" s="1"/>
    </row>
    <row r="316" spans="1:10" x14ac:dyDescent="0.25">
      <c r="A316" t="s">
        <v>226</v>
      </c>
      <c r="B316" t="s">
        <v>371</v>
      </c>
      <c r="C316" s="1">
        <v>1637</v>
      </c>
      <c r="D316" s="1">
        <v>87</v>
      </c>
      <c r="E316" s="1">
        <v>0</v>
      </c>
      <c r="F316" s="1">
        <v>16817</v>
      </c>
      <c r="G316" s="1">
        <v>51</v>
      </c>
      <c r="H316" s="1">
        <v>0</v>
      </c>
      <c r="I316" s="1">
        <v>0</v>
      </c>
      <c r="J316" s="1"/>
    </row>
    <row r="317" spans="1:10" x14ac:dyDescent="0.25">
      <c r="A317" t="s">
        <v>797</v>
      </c>
      <c r="B317" t="s">
        <v>372</v>
      </c>
      <c r="C317" s="1">
        <v>770</v>
      </c>
      <c r="D317" s="1">
        <v>10</v>
      </c>
      <c r="E317" s="1">
        <v>0</v>
      </c>
      <c r="F317" s="1">
        <v>5884</v>
      </c>
      <c r="G317" s="1">
        <v>150</v>
      </c>
      <c r="H317" s="1">
        <v>0</v>
      </c>
      <c r="I317" s="1">
        <v>0</v>
      </c>
      <c r="J317" s="1"/>
    </row>
    <row r="318" spans="1:10" x14ac:dyDescent="0.25">
      <c r="A318" t="s">
        <v>791</v>
      </c>
      <c r="B318" t="s">
        <v>373</v>
      </c>
      <c r="C318" s="1">
        <v>2175</v>
      </c>
      <c r="D318" s="1">
        <v>1</v>
      </c>
      <c r="E318" s="1">
        <v>0</v>
      </c>
      <c r="F318" s="1">
        <v>10993</v>
      </c>
      <c r="G318" s="1">
        <v>36</v>
      </c>
      <c r="H318" s="1">
        <v>0</v>
      </c>
      <c r="I318" s="1">
        <v>0</v>
      </c>
      <c r="J318" s="1"/>
    </row>
    <row r="319" spans="1:10" x14ac:dyDescent="0.25">
      <c r="A319" t="s">
        <v>826</v>
      </c>
      <c r="B319" t="s">
        <v>374</v>
      </c>
      <c r="C319" s="1">
        <v>5083</v>
      </c>
      <c r="D319" s="1">
        <v>8</v>
      </c>
      <c r="E319" s="1">
        <v>0</v>
      </c>
      <c r="F319" s="1">
        <v>11323</v>
      </c>
      <c r="G319" s="1">
        <v>68</v>
      </c>
      <c r="H319" s="1">
        <v>0</v>
      </c>
      <c r="I319" s="1">
        <v>0</v>
      </c>
      <c r="J319" s="1"/>
    </row>
    <row r="320" spans="1:10" x14ac:dyDescent="0.25">
      <c r="A320" t="s">
        <v>512</v>
      </c>
      <c r="B320" t="s">
        <v>375</v>
      </c>
      <c r="C320" s="1">
        <v>865</v>
      </c>
      <c r="D320" s="1">
        <v>0</v>
      </c>
      <c r="E320" s="1">
        <v>0</v>
      </c>
      <c r="F320" s="1">
        <v>8878</v>
      </c>
      <c r="G320" s="1">
        <v>72</v>
      </c>
      <c r="H320" s="1">
        <v>0</v>
      </c>
      <c r="I320" s="1">
        <v>0</v>
      </c>
      <c r="J320" s="1"/>
    </row>
    <row r="321" spans="1:10" x14ac:dyDescent="0.25">
      <c r="A321" t="s">
        <v>817</v>
      </c>
      <c r="B321" t="s">
        <v>376</v>
      </c>
      <c r="C321" s="1">
        <v>2438</v>
      </c>
      <c r="D321" s="1">
        <v>15</v>
      </c>
      <c r="E321" s="1">
        <v>0</v>
      </c>
      <c r="F321" s="1">
        <v>3075</v>
      </c>
      <c r="G321" s="1">
        <v>0</v>
      </c>
      <c r="H321" s="1">
        <v>0</v>
      </c>
      <c r="I321" s="1">
        <v>0</v>
      </c>
      <c r="J321" s="1"/>
    </row>
    <row r="322" spans="1:10" x14ac:dyDescent="0.25">
      <c r="A322" t="s">
        <v>83</v>
      </c>
      <c r="B322" t="s">
        <v>377</v>
      </c>
      <c r="C322" s="1">
        <v>3140</v>
      </c>
      <c r="D322" s="1">
        <v>222</v>
      </c>
      <c r="E322" s="1">
        <v>0</v>
      </c>
      <c r="F322" s="1">
        <v>16596</v>
      </c>
      <c r="G322" s="1">
        <v>161</v>
      </c>
      <c r="H322" s="1">
        <v>0</v>
      </c>
      <c r="I322" s="1">
        <v>0</v>
      </c>
      <c r="J322" s="1"/>
    </row>
    <row r="323" spans="1:10" x14ac:dyDescent="0.25">
      <c r="A323" t="s">
        <v>795</v>
      </c>
      <c r="B323" t="s">
        <v>378</v>
      </c>
      <c r="C323" s="1">
        <v>4325</v>
      </c>
      <c r="D323" s="1">
        <v>0</v>
      </c>
      <c r="E323" s="1">
        <v>0</v>
      </c>
      <c r="F323" s="1">
        <v>7853</v>
      </c>
      <c r="G323" s="1">
        <v>5</v>
      </c>
      <c r="H323" s="1">
        <v>0</v>
      </c>
      <c r="I323" s="1">
        <v>0</v>
      </c>
      <c r="J323" s="1"/>
    </row>
    <row r="324" spans="1:10" x14ac:dyDescent="0.25">
      <c r="A324" t="s">
        <v>858</v>
      </c>
      <c r="B324" t="s">
        <v>379</v>
      </c>
      <c r="C324" s="1">
        <v>1024</v>
      </c>
      <c r="D324" s="1">
        <v>1</v>
      </c>
      <c r="E324" s="1">
        <v>0</v>
      </c>
      <c r="F324" s="1">
        <v>2533</v>
      </c>
      <c r="G324" s="1">
        <v>5</v>
      </c>
      <c r="H324" s="1">
        <v>0</v>
      </c>
      <c r="I324" s="1">
        <v>0</v>
      </c>
      <c r="J324" s="1"/>
    </row>
    <row r="325" spans="1:10" x14ac:dyDescent="0.25">
      <c r="A325" t="s">
        <v>848</v>
      </c>
      <c r="B325" t="s">
        <v>380</v>
      </c>
      <c r="C325" s="1">
        <v>1031</v>
      </c>
      <c r="D325" s="1">
        <v>0</v>
      </c>
      <c r="E325" s="1">
        <v>0</v>
      </c>
      <c r="F325" s="1">
        <v>12382</v>
      </c>
      <c r="G325" s="1">
        <v>2</v>
      </c>
      <c r="H325" s="1">
        <v>0</v>
      </c>
      <c r="I325" s="1">
        <v>0</v>
      </c>
      <c r="J325" s="1"/>
    </row>
    <row r="326" spans="1:10" x14ac:dyDescent="0.25">
      <c r="A326" t="s">
        <v>863</v>
      </c>
      <c r="B326" t="s">
        <v>381</v>
      </c>
      <c r="C326" s="1">
        <v>3663</v>
      </c>
      <c r="D326" s="1">
        <v>0</v>
      </c>
      <c r="E326" s="1">
        <v>0</v>
      </c>
      <c r="F326" s="1">
        <v>0</v>
      </c>
      <c r="G326" s="1">
        <v>8761</v>
      </c>
      <c r="H326" s="1">
        <v>0</v>
      </c>
      <c r="I326" s="1">
        <v>0</v>
      </c>
      <c r="J326" s="1"/>
    </row>
    <row r="327" spans="1:10" x14ac:dyDescent="0.25">
      <c r="A327" t="s">
        <v>854</v>
      </c>
      <c r="B327" t="s">
        <v>382</v>
      </c>
      <c r="C327" s="1">
        <v>6289</v>
      </c>
      <c r="D327" s="1">
        <v>135</v>
      </c>
      <c r="E327" s="1">
        <v>0</v>
      </c>
      <c r="F327" s="1">
        <v>6156</v>
      </c>
      <c r="G327" s="1">
        <v>26</v>
      </c>
      <c r="H327" s="1">
        <v>0</v>
      </c>
      <c r="I327" s="1">
        <v>0</v>
      </c>
      <c r="J327" s="1"/>
    </row>
    <row r="328" spans="1:10" x14ac:dyDescent="0.25">
      <c r="A328" t="s">
        <v>853</v>
      </c>
      <c r="B328" t="s">
        <v>383</v>
      </c>
      <c r="C328" s="1">
        <v>3941</v>
      </c>
      <c r="D328" s="1">
        <v>42</v>
      </c>
      <c r="E328" s="1">
        <v>0</v>
      </c>
      <c r="F328" s="1">
        <v>23958</v>
      </c>
      <c r="G328" s="1">
        <v>346</v>
      </c>
      <c r="H328" s="1">
        <v>0</v>
      </c>
      <c r="I328" s="1">
        <v>0</v>
      </c>
      <c r="J328" s="1"/>
    </row>
    <row r="329" spans="1:10" x14ac:dyDescent="0.25">
      <c r="A329" t="s">
        <v>851</v>
      </c>
      <c r="B329" t="s">
        <v>384</v>
      </c>
      <c r="C329" s="1">
        <v>1802</v>
      </c>
      <c r="D329" s="1">
        <v>7</v>
      </c>
      <c r="E329" s="1">
        <v>0</v>
      </c>
      <c r="F329" s="1">
        <v>156</v>
      </c>
      <c r="G329" s="1">
        <v>0</v>
      </c>
      <c r="H329" s="1">
        <v>0</v>
      </c>
      <c r="I329" s="1">
        <v>0</v>
      </c>
      <c r="J329" s="1"/>
    </row>
    <row r="330" spans="1:10" x14ac:dyDescent="0.25">
      <c r="A330" t="s">
        <v>856</v>
      </c>
      <c r="B330" t="s">
        <v>385</v>
      </c>
      <c r="C330" s="1">
        <v>2773</v>
      </c>
      <c r="D330" s="1">
        <v>8</v>
      </c>
      <c r="E330" s="1">
        <v>0</v>
      </c>
      <c r="F330" s="1">
        <v>6201</v>
      </c>
      <c r="G330" s="1">
        <v>32</v>
      </c>
      <c r="H330" s="1">
        <v>0</v>
      </c>
      <c r="I330" s="1">
        <v>0</v>
      </c>
      <c r="J330" s="1"/>
    </row>
    <row r="331" spans="1:10" x14ac:dyDescent="0.25">
      <c r="A331" t="s">
        <v>847</v>
      </c>
      <c r="B331" t="s">
        <v>386</v>
      </c>
      <c r="C331" s="1">
        <v>843</v>
      </c>
      <c r="D331" s="1">
        <v>0</v>
      </c>
      <c r="E331" s="1">
        <v>0</v>
      </c>
      <c r="F331" s="1">
        <v>4267</v>
      </c>
      <c r="G331" s="1">
        <v>0</v>
      </c>
      <c r="H331" s="1">
        <v>0</v>
      </c>
      <c r="I331" s="1">
        <v>0</v>
      </c>
      <c r="J331" s="1"/>
    </row>
    <row r="332" spans="1:10" x14ac:dyDescent="0.25">
      <c r="A332" t="s">
        <v>849</v>
      </c>
      <c r="B332" t="s">
        <v>387</v>
      </c>
      <c r="C332" s="1">
        <v>2868</v>
      </c>
      <c r="D332" s="1">
        <v>2</v>
      </c>
      <c r="E332" s="1">
        <v>0</v>
      </c>
      <c r="F332" s="1">
        <v>6626</v>
      </c>
      <c r="G332" s="1">
        <v>21</v>
      </c>
      <c r="H332" s="1">
        <v>0</v>
      </c>
      <c r="I332" s="1">
        <v>0</v>
      </c>
      <c r="J332" s="1"/>
    </row>
    <row r="333" spans="1:10" x14ac:dyDescent="0.25">
      <c r="A333" s="9" t="s">
        <v>794</v>
      </c>
      <c r="B333" s="10" t="s">
        <v>388</v>
      </c>
      <c r="C333" s="1">
        <v>32937</v>
      </c>
      <c r="D333" s="1">
        <v>15</v>
      </c>
      <c r="E333" s="1">
        <v>0</v>
      </c>
      <c r="F333" s="1">
        <v>0</v>
      </c>
      <c r="G333" s="1">
        <v>0</v>
      </c>
      <c r="H333" s="1">
        <v>8201</v>
      </c>
      <c r="I333" s="1">
        <v>3931</v>
      </c>
      <c r="J333" s="1"/>
    </row>
    <row r="334" spans="1:10" x14ac:dyDescent="0.25">
      <c r="A334" s="9" t="s">
        <v>805</v>
      </c>
      <c r="B334" s="10" t="s">
        <v>389</v>
      </c>
      <c r="C334" s="1"/>
      <c r="D334" s="1"/>
      <c r="E334" s="1"/>
      <c r="F334" s="1"/>
      <c r="G334" s="1"/>
      <c r="H334" s="1"/>
      <c r="I334" s="1"/>
      <c r="J334" s="1"/>
    </row>
    <row r="335" spans="1:10" x14ac:dyDescent="0.25">
      <c r="A335" t="s">
        <v>10</v>
      </c>
      <c r="B335" s="1" t="s">
        <v>390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/>
    </row>
    <row r="336" spans="1:10" x14ac:dyDescent="0.25">
      <c r="A336" t="s">
        <v>226</v>
      </c>
      <c r="B336" t="s">
        <v>391</v>
      </c>
      <c r="C336" s="1">
        <f>33721+350+8994</f>
        <v>43065</v>
      </c>
      <c r="D336" s="1">
        <v>352</v>
      </c>
      <c r="E336" s="1">
        <v>0</v>
      </c>
      <c r="F336" s="1">
        <v>0</v>
      </c>
      <c r="G336" s="1">
        <v>0</v>
      </c>
      <c r="H336" s="1">
        <v>7882</v>
      </c>
      <c r="I336" s="1">
        <v>7000</v>
      </c>
      <c r="J336" s="1"/>
    </row>
    <row r="337" spans="1:10" x14ac:dyDescent="0.25">
      <c r="A337" t="s">
        <v>798</v>
      </c>
      <c r="B337" t="s">
        <v>392</v>
      </c>
      <c r="C337" s="1">
        <v>39062</v>
      </c>
      <c r="D337" s="1">
        <v>210</v>
      </c>
      <c r="E337" s="1">
        <v>0</v>
      </c>
      <c r="F337" s="1">
        <v>0</v>
      </c>
      <c r="G337" s="1">
        <v>0</v>
      </c>
      <c r="H337" s="1">
        <v>13956</v>
      </c>
      <c r="I337" s="1">
        <v>12929</v>
      </c>
      <c r="J337" s="1"/>
    </row>
    <row r="338" spans="1:10" x14ac:dyDescent="0.25">
      <c r="A338" t="s">
        <v>10</v>
      </c>
      <c r="B338" s="1" t="s">
        <v>393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/>
    </row>
    <row r="339" spans="1:10" x14ac:dyDescent="0.25">
      <c r="A339" t="s">
        <v>10</v>
      </c>
      <c r="B339" s="1" t="s">
        <v>394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/>
    </row>
    <row r="340" spans="1:10" x14ac:dyDescent="0.25">
      <c r="A340" s="27" t="s">
        <v>10</v>
      </c>
      <c r="B340" s="32" t="s">
        <v>778</v>
      </c>
      <c r="C340" s="32"/>
      <c r="D340" s="32"/>
      <c r="E340" s="32"/>
      <c r="F340" s="32"/>
      <c r="G340" s="32"/>
      <c r="H340" s="32"/>
      <c r="I340" s="32"/>
      <c r="J340" s="32"/>
    </row>
    <row r="341" spans="1:10" x14ac:dyDescent="0.25">
      <c r="A341" t="s">
        <v>69</v>
      </c>
      <c r="B341" t="s">
        <v>395</v>
      </c>
      <c r="C341" s="1">
        <v>43490</v>
      </c>
      <c r="D341" s="1">
        <v>222</v>
      </c>
      <c r="E341" s="1">
        <v>0</v>
      </c>
      <c r="F341" s="1">
        <v>0</v>
      </c>
      <c r="G341" s="1">
        <v>0</v>
      </c>
      <c r="H341" s="1">
        <v>10987</v>
      </c>
      <c r="I341" s="1">
        <v>0</v>
      </c>
      <c r="J341" s="1"/>
    </row>
    <row r="342" spans="1:10" x14ac:dyDescent="0.25">
      <c r="A342" t="s">
        <v>796</v>
      </c>
      <c r="B342" s="1" t="s">
        <v>396</v>
      </c>
      <c r="C342" s="1"/>
      <c r="D342" s="1"/>
      <c r="E342" s="1"/>
      <c r="F342" s="1"/>
      <c r="G342" s="1"/>
      <c r="H342" s="1"/>
      <c r="I342" s="1"/>
      <c r="J342" s="1"/>
    </row>
    <row r="343" spans="1:10" x14ac:dyDescent="0.25">
      <c r="A343" t="s">
        <v>512</v>
      </c>
      <c r="B343" t="s">
        <v>397</v>
      </c>
      <c r="C343" s="1">
        <v>33773</v>
      </c>
      <c r="D343" s="1">
        <v>127</v>
      </c>
      <c r="E343" s="1">
        <v>0</v>
      </c>
      <c r="F343" s="1">
        <v>0</v>
      </c>
      <c r="G343" s="1">
        <v>0</v>
      </c>
      <c r="H343" s="1">
        <v>9185</v>
      </c>
      <c r="I343" s="1">
        <v>5467</v>
      </c>
      <c r="J343" s="1"/>
    </row>
    <row r="344" spans="1:10" x14ac:dyDescent="0.25">
      <c r="A344" t="s">
        <v>805</v>
      </c>
      <c r="B344" t="s">
        <v>398</v>
      </c>
      <c r="C344" s="1"/>
      <c r="D344" s="1"/>
      <c r="E344" s="1"/>
      <c r="F344" s="1"/>
      <c r="G344" s="1"/>
      <c r="H344" s="1"/>
      <c r="I344" s="1"/>
      <c r="J344" s="1"/>
    </row>
    <row r="345" spans="1:10" x14ac:dyDescent="0.25">
      <c r="A345" t="s">
        <v>10</v>
      </c>
      <c r="B345" s="1" t="s">
        <v>399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/>
    </row>
    <row r="346" spans="1:10" x14ac:dyDescent="0.25">
      <c r="A346" t="s">
        <v>805</v>
      </c>
      <c r="B346" t="s">
        <v>400</v>
      </c>
      <c r="C346" s="1"/>
      <c r="D346" s="1"/>
      <c r="E346" s="1"/>
      <c r="F346" s="1"/>
      <c r="G346" s="1"/>
      <c r="H346" s="1"/>
      <c r="I346" s="1"/>
      <c r="J346" s="1"/>
    </row>
    <row r="347" spans="1:10" x14ac:dyDescent="0.25">
      <c r="A347" t="s">
        <v>10</v>
      </c>
      <c r="B347" s="1" t="s">
        <v>401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/>
    </row>
    <row r="348" spans="1:10" x14ac:dyDescent="0.25">
      <c r="A348" s="23" t="s">
        <v>805</v>
      </c>
      <c r="B348" s="23" t="s">
        <v>402</v>
      </c>
      <c r="C348" s="1"/>
      <c r="D348" s="1"/>
      <c r="E348" s="1"/>
      <c r="F348" s="1"/>
      <c r="G348" s="1"/>
      <c r="H348" s="1"/>
      <c r="I348" s="1"/>
      <c r="J348" s="1"/>
    </row>
    <row r="349" spans="1:10" x14ac:dyDescent="0.25">
      <c r="A349" t="s">
        <v>10</v>
      </c>
      <c r="B349" s="1" t="s">
        <v>403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/>
    </row>
    <row r="350" spans="1:10" x14ac:dyDescent="0.25">
      <c r="A350" t="s">
        <v>797</v>
      </c>
      <c r="B350" t="s">
        <v>404</v>
      </c>
      <c r="C350" s="1">
        <v>22254</v>
      </c>
      <c r="D350" s="1">
        <v>351</v>
      </c>
      <c r="E350" s="1">
        <v>0</v>
      </c>
      <c r="F350" s="1">
        <v>0</v>
      </c>
      <c r="G350" s="1">
        <v>0</v>
      </c>
      <c r="H350" s="1">
        <v>16894</v>
      </c>
      <c r="I350" s="1">
        <v>6527</v>
      </c>
      <c r="J350" s="1"/>
    </row>
    <row r="351" spans="1:10" x14ac:dyDescent="0.25">
      <c r="A351" t="s">
        <v>83</v>
      </c>
      <c r="B351" t="s">
        <v>405</v>
      </c>
      <c r="C351" s="1">
        <v>9241</v>
      </c>
      <c r="D351" s="1">
        <v>18</v>
      </c>
      <c r="E351" s="1">
        <v>0</v>
      </c>
      <c r="F351" s="1">
        <v>0</v>
      </c>
      <c r="G351" s="1">
        <v>0</v>
      </c>
      <c r="H351" s="1">
        <v>5740</v>
      </c>
      <c r="I351" s="1">
        <v>2492</v>
      </c>
      <c r="J351" s="1"/>
    </row>
    <row r="352" spans="1:10" x14ac:dyDescent="0.25">
      <c r="A352" t="s">
        <v>248</v>
      </c>
      <c r="B352" t="s">
        <v>406</v>
      </c>
      <c r="C352" s="1">
        <v>46760</v>
      </c>
      <c r="D352" s="1">
        <v>867</v>
      </c>
      <c r="E352" s="1">
        <v>0</v>
      </c>
      <c r="F352" s="1">
        <v>0</v>
      </c>
      <c r="G352" s="1">
        <v>0</v>
      </c>
      <c r="H352" s="1">
        <v>89946</v>
      </c>
      <c r="I352" s="1">
        <v>7037</v>
      </c>
      <c r="J352" s="1"/>
    </row>
    <row r="353" spans="1:10" x14ac:dyDescent="0.25">
      <c r="A353" s="27" t="s">
        <v>10</v>
      </c>
      <c r="B353" s="32" t="s">
        <v>779</v>
      </c>
      <c r="C353" s="32"/>
      <c r="D353" s="32"/>
      <c r="E353" s="32"/>
      <c r="F353" s="32"/>
      <c r="G353" s="32"/>
      <c r="H353" s="32"/>
      <c r="I353" s="32"/>
      <c r="J353" s="32"/>
    </row>
    <row r="354" spans="1:10" x14ac:dyDescent="0.25">
      <c r="A354" t="s">
        <v>848</v>
      </c>
      <c r="B354" t="s">
        <v>407</v>
      </c>
      <c r="C354" s="1">
        <v>18022</v>
      </c>
      <c r="D354" s="1">
        <v>129</v>
      </c>
      <c r="E354" s="1">
        <v>0</v>
      </c>
      <c r="F354" s="1">
        <v>0</v>
      </c>
      <c r="G354" s="1">
        <v>0</v>
      </c>
      <c r="H354" s="1">
        <v>2713</v>
      </c>
      <c r="I354" s="1">
        <v>2357</v>
      </c>
      <c r="J354" s="1"/>
    </row>
    <row r="355" spans="1:10" x14ac:dyDescent="0.25">
      <c r="A355" t="s">
        <v>801</v>
      </c>
      <c r="B355" t="s">
        <v>408</v>
      </c>
      <c r="C355" s="1">
        <v>62686</v>
      </c>
      <c r="D355" s="1">
        <v>368</v>
      </c>
      <c r="E355" s="1">
        <v>0</v>
      </c>
      <c r="F355" s="1">
        <v>0</v>
      </c>
      <c r="G355" s="1">
        <v>0</v>
      </c>
      <c r="H355" s="1">
        <v>70153</v>
      </c>
      <c r="I355" s="1">
        <v>16731</v>
      </c>
      <c r="J355" s="1"/>
    </row>
    <row r="356" spans="1:10" x14ac:dyDescent="0.25">
      <c r="A356" t="s">
        <v>811</v>
      </c>
      <c r="B356" t="s">
        <v>409</v>
      </c>
      <c r="C356" s="1">
        <v>108158</v>
      </c>
      <c r="D356" s="1">
        <v>630</v>
      </c>
      <c r="E356" s="1">
        <v>0</v>
      </c>
      <c r="F356" s="1">
        <v>0</v>
      </c>
      <c r="G356" s="1">
        <v>0</v>
      </c>
      <c r="H356" s="1">
        <v>78313</v>
      </c>
      <c r="I356" s="1">
        <v>44202</v>
      </c>
      <c r="J356" s="1"/>
    </row>
    <row r="357" spans="1:10" x14ac:dyDescent="0.25">
      <c r="A357" t="s">
        <v>83</v>
      </c>
      <c r="B357" t="s">
        <v>410</v>
      </c>
      <c r="C357" s="1">
        <v>5255</v>
      </c>
      <c r="D357" s="1">
        <v>27</v>
      </c>
      <c r="E357" s="1">
        <v>0</v>
      </c>
      <c r="F357" s="1">
        <v>0</v>
      </c>
      <c r="G357" s="1">
        <v>0</v>
      </c>
      <c r="H357" s="1">
        <v>16632</v>
      </c>
      <c r="I357" s="1">
        <v>1180</v>
      </c>
      <c r="J357" s="1"/>
    </row>
    <row r="358" spans="1:10" x14ac:dyDescent="0.25">
      <c r="A358" t="s">
        <v>120</v>
      </c>
      <c r="B358" t="s">
        <v>411</v>
      </c>
      <c r="C358" s="1">
        <v>53184</v>
      </c>
      <c r="D358" s="1">
        <v>23</v>
      </c>
      <c r="E358" s="1">
        <v>0</v>
      </c>
      <c r="F358" s="1">
        <v>0</v>
      </c>
      <c r="G358" s="1">
        <v>0</v>
      </c>
      <c r="H358" s="1">
        <v>34261</v>
      </c>
      <c r="I358" s="1">
        <v>18388</v>
      </c>
      <c r="J358" s="1"/>
    </row>
    <row r="359" spans="1:10" x14ac:dyDescent="0.25">
      <c r="A359" t="s">
        <v>134</v>
      </c>
      <c r="B359" t="s">
        <v>412</v>
      </c>
      <c r="C359" s="1">
        <v>12372</v>
      </c>
      <c r="D359" s="1">
        <v>20</v>
      </c>
      <c r="E359" s="1">
        <v>0</v>
      </c>
      <c r="F359" s="1">
        <v>0</v>
      </c>
      <c r="G359" s="1">
        <v>0</v>
      </c>
      <c r="H359" s="1">
        <v>8728</v>
      </c>
      <c r="I359" s="1">
        <v>2350</v>
      </c>
      <c r="J359" s="1"/>
    </row>
    <row r="360" spans="1:10" x14ac:dyDescent="0.25">
      <c r="A360" t="s">
        <v>120</v>
      </c>
      <c r="B360" t="s">
        <v>413</v>
      </c>
      <c r="C360" s="1">
        <v>32694</v>
      </c>
      <c r="D360" s="1">
        <v>62</v>
      </c>
      <c r="E360" s="1">
        <v>0</v>
      </c>
      <c r="F360" s="1">
        <v>0</v>
      </c>
      <c r="G360" s="1">
        <v>0</v>
      </c>
      <c r="H360" s="1">
        <v>14086</v>
      </c>
      <c r="I360" s="1">
        <v>4696</v>
      </c>
      <c r="J360" s="1"/>
    </row>
    <row r="361" spans="1:10" x14ac:dyDescent="0.25">
      <c r="A361" t="s">
        <v>138</v>
      </c>
      <c r="B361" t="s">
        <v>414</v>
      </c>
      <c r="C361" s="1">
        <v>45152</v>
      </c>
      <c r="D361" s="1">
        <v>149</v>
      </c>
      <c r="E361" s="1">
        <v>0</v>
      </c>
      <c r="F361" s="1">
        <v>0</v>
      </c>
      <c r="G361" s="1">
        <v>0</v>
      </c>
      <c r="H361" s="1">
        <v>56351</v>
      </c>
      <c r="I361" s="1">
        <v>11539</v>
      </c>
      <c r="J361" s="1"/>
    </row>
    <row r="362" spans="1:10" x14ac:dyDescent="0.25">
      <c r="A362" t="s">
        <v>796</v>
      </c>
      <c r="B362" t="s">
        <v>415</v>
      </c>
      <c r="C362" s="1">
        <v>22281</v>
      </c>
      <c r="D362" s="1">
        <v>487</v>
      </c>
      <c r="E362" s="1">
        <v>0</v>
      </c>
      <c r="F362" s="1">
        <v>0</v>
      </c>
      <c r="G362" s="1">
        <v>0</v>
      </c>
      <c r="H362" s="1">
        <v>19300</v>
      </c>
      <c r="I362" s="1">
        <v>5827</v>
      </c>
      <c r="J362" s="1"/>
    </row>
    <row r="363" spans="1:10" x14ac:dyDescent="0.25">
      <c r="A363" t="s">
        <v>226</v>
      </c>
      <c r="B363" t="s">
        <v>416</v>
      </c>
      <c r="C363" s="1">
        <v>12031</v>
      </c>
      <c r="D363" s="1">
        <v>4</v>
      </c>
      <c r="E363" s="1">
        <v>0</v>
      </c>
      <c r="F363" s="1">
        <v>0</v>
      </c>
      <c r="G363" s="1">
        <v>0</v>
      </c>
      <c r="H363" s="1">
        <v>52022</v>
      </c>
      <c r="I363" s="1">
        <v>2294</v>
      </c>
      <c r="J363" s="1"/>
    </row>
    <row r="364" spans="1:10" x14ac:dyDescent="0.25">
      <c r="A364" t="s">
        <v>138</v>
      </c>
      <c r="B364" t="s">
        <v>417</v>
      </c>
      <c r="C364" s="1">
        <v>69860</v>
      </c>
      <c r="D364" s="1">
        <v>570</v>
      </c>
      <c r="E364" s="1">
        <v>0</v>
      </c>
      <c r="F364" s="1">
        <v>0</v>
      </c>
      <c r="G364" s="1">
        <v>0</v>
      </c>
      <c r="H364" s="1">
        <v>65668</v>
      </c>
      <c r="I364" s="1">
        <v>24472</v>
      </c>
      <c r="J364" s="1"/>
    </row>
    <row r="365" spans="1:10" x14ac:dyDescent="0.25">
      <c r="A365" t="s">
        <v>138</v>
      </c>
      <c r="B365" t="s">
        <v>418</v>
      </c>
      <c r="C365" s="1">
        <v>51800</v>
      </c>
      <c r="D365" s="1">
        <v>449</v>
      </c>
      <c r="E365" s="1">
        <v>0</v>
      </c>
      <c r="F365" s="1">
        <v>0</v>
      </c>
      <c r="G365" s="1">
        <v>0</v>
      </c>
      <c r="H365" s="1">
        <v>59074</v>
      </c>
      <c r="I365" s="1">
        <v>11708</v>
      </c>
      <c r="J365" s="1"/>
    </row>
    <row r="366" spans="1:10" x14ac:dyDescent="0.25">
      <c r="A366" t="s">
        <v>796</v>
      </c>
      <c r="B366" t="s">
        <v>419</v>
      </c>
      <c r="C366" s="1">
        <v>68632</v>
      </c>
      <c r="D366" s="1">
        <v>767</v>
      </c>
      <c r="E366" s="1">
        <v>0</v>
      </c>
      <c r="F366" s="1">
        <v>0</v>
      </c>
      <c r="G366" s="1">
        <v>0</v>
      </c>
      <c r="H366" s="1">
        <v>169372</v>
      </c>
      <c r="I366" s="1">
        <v>15427</v>
      </c>
      <c r="J366" s="1"/>
    </row>
    <row r="367" spans="1:10" x14ac:dyDescent="0.25">
      <c r="A367" t="s">
        <v>831</v>
      </c>
      <c r="B367" t="s">
        <v>420</v>
      </c>
      <c r="C367" s="1">
        <v>34438</v>
      </c>
      <c r="D367" s="1">
        <v>128</v>
      </c>
      <c r="E367" s="1">
        <v>0</v>
      </c>
      <c r="F367" s="1">
        <v>0</v>
      </c>
      <c r="G367" s="1">
        <v>0</v>
      </c>
      <c r="H367" s="1">
        <v>35268</v>
      </c>
      <c r="I367" s="1">
        <v>18583</v>
      </c>
      <c r="J367" s="1"/>
    </row>
    <row r="368" spans="1:10" x14ac:dyDescent="0.25">
      <c r="A368" t="s">
        <v>69</v>
      </c>
      <c r="B368" t="s">
        <v>421</v>
      </c>
      <c r="C368" s="1">
        <v>39609</v>
      </c>
      <c r="D368" s="1">
        <v>295</v>
      </c>
      <c r="E368" s="1">
        <v>0</v>
      </c>
      <c r="F368" s="1">
        <v>0</v>
      </c>
      <c r="G368" s="1">
        <v>0</v>
      </c>
      <c r="H368" s="1">
        <v>18171</v>
      </c>
      <c r="I368" s="1">
        <v>11630</v>
      </c>
      <c r="J368" s="1"/>
    </row>
    <row r="369" spans="1:10" x14ac:dyDescent="0.25">
      <c r="A369" t="s">
        <v>146</v>
      </c>
      <c r="B369" t="s">
        <v>422</v>
      </c>
      <c r="C369" s="1">
        <f>8122+45+435+28102+91</f>
        <v>36795</v>
      </c>
      <c r="D369" s="1">
        <f>94+83+25+259</f>
        <v>461</v>
      </c>
      <c r="E369" s="1">
        <v>0</v>
      </c>
      <c r="F369" s="1">
        <v>0</v>
      </c>
      <c r="G369" s="1">
        <v>0</v>
      </c>
      <c r="H369" s="1">
        <v>45773</v>
      </c>
      <c r="I369" s="1">
        <v>20933</v>
      </c>
      <c r="J369" s="1"/>
    </row>
    <row r="370" spans="1:10" x14ac:dyDescent="0.25">
      <c r="A370" t="s">
        <v>146</v>
      </c>
      <c r="B370" t="s">
        <v>423</v>
      </c>
      <c r="C370" s="1">
        <f>12088+173+14271</f>
        <v>26532</v>
      </c>
      <c r="D370" s="1">
        <f>19+4</f>
        <v>23</v>
      </c>
      <c r="E370" s="1">
        <v>0</v>
      </c>
      <c r="F370" s="1">
        <v>0</v>
      </c>
      <c r="G370" s="1">
        <v>0</v>
      </c>
      <c r="H370" s="1">
        <v>9893</v>
      </c>
      <c r="I370" s="1">
        <v>10356</v>
      </c>
      <c r="J370" s="1"/>
    </row>
    <row r="371" spans="1:10" x14ac:dyDescent="0.25">
      <c r="A371" t="s">
        <v>76</v>
      </c>
      <c r="B371" t="s">
        <v>424</v>
      </c>
      <c r="C371" s="1">
        <v>77421</v>
      </c>
      <c r="D371" s="1">
        <v>41</v>
      </c>
      <c r="E371" s="1">
        <v>0</v>
      </c>
      <c r="F371" s="1">
        <v>0</v>
      </c>
      <c r="G371" s="1">
        <v>0</v>
      </c>
      <c r="H371" s="1">
        <v>114801</v>
      </c>
      <c r="I371" s="1">
        <v>18478</v>
      </c>
      <c r="J371" s="1"/>
    </row>
    <row r="372" spans="1:10" x14ac:dyDescent="0.25">
      <c r="A372" t="s">
        <v>795</v>
      </c>
      <c r="B372" t="s">
        <v>425</v>
      </c>
      <c r="C372" s="1">
        <v>142130</v>
      </c>
      <c r="D372" s="1">
        <v>57</v>
      </c>
      <c r="E372" s="1">
        <v>0</v>
      </c>
      <c r="F372" s="1">
        <v>0</v>
      </c>
      <c r="G372" s="1">
        <v>0</v>
      </c>
      <c r="H372" s="1">
        <v>84256</v>
      </c>
      <c r="I372" s="1">
        <v>37342</v>
      </c>
      <c r="J372" s="1"/>
    </row>
    <row r="373" spans="1:10" x14ac:dyDescent="0.25">
      <c r="A373" t="s">
        <v>824</v>
      </c>
      <c r="B373" t="s">
        <v>426</v>
      </c>
      <c r="C373" s="1">
        <f>22924+1+49+78+4+18570</f>
        <v>41626</v>
      </c>
      <c r="D373" s="1">
        <f>73+45+20</f>
        <v>138</v>
      </c>
      <c r="E373" s="1">
        <v>0</v>
      </c>
      <c r="F373" s="1">
        <v>0</v>
      </c>
      <c r="G373" s="1">
        <v>0</v>
      </c>
      <c r="H373" s="1">
        <v>36835</v>
      </c>
      <c r="I373" s="1">
        <v>16646</v>
      </c>
      <c r="J373" s="1"/>
    </row>
    <row r="374" spans="1:10" x14ac:dyDescent="0.25">
      <c r="A374" t="s">
        <v>788</v>
      </c>
      <c r="B374" t="s">
        <v>427</v>
      </c>
      <c r="C374" s="1">
        <v>112655</v>
      </c>
      <c r="D374" s="1">
        <v>223</v>
      </c>
      <c r="E374" s="1">
        <v>0</v>
      </c>
      <c r="F374" s="1">
        <v>0</v>
      </c>
      <c r="G374" s="1">
        <v>0</v>
      </c>
      <c r="H374" s="1">
        <v>116073</v>
      </c>
      <c r="I374" s="1">
        <v>34918</v>
      </c>
      <c r="J374" s="1"/>
    </row>
    <row r="375" spans="1:10" x14ac:dyDescent="0.25">
      <c r="A375" t="s">
        <v>226</v>
      </c>
      <c r="B375" t="s">
        <v>428</v>
      </c>
      <c r="C375" s="1">
        <v>20140</v>
      </c>
      <c r="D375" s="1">
        <v>5</v>
      </c>
      <c r="E375" s="1">
        <v>0</v>
      </c>
      <c r="F375" s="1">
        <v>0</v>
      </c>
      <c r="G375" s="1">
        <v>0</v>
      </c>
      <c r="H375" s="1">
        <v>19440</v>
      </c>
      <c r="I375" s="1">
        <v>3717</v>
      </c>
      <c r="J375" s="1"/>
    </row>
    <row r="376" spans="1:10" x14ac:dyDescent="0.25">
      <c r="A376" t="s">
        <v>791</v>
      </c>
      <c r="B376" t="s">
        <v>429</v>
      </c>
      <c r="C376" s="1">
        <v>7707</v>
      </c>
      <c r="D376" s="1">
        <v>52</v>
      </c>
      <c r="E376" s="1">
        <v>0</v>
      </c>
      <c r="F376" s="1">
        <v>0</v>
      </c>
      <c r="G376" s="1">
        <v>0</v>
      </c>
      <c r="H376" s="1">
        <v>212</v>
      </c>
      <c r="I376" s="1">
        <v>1683</v>
      </c>
      <c r="J376" s="1"/>
    </row>
    <row r="377" spans="1:10" x14ac:dyDescent="0.25">
      <c r="A377" t="s">
        <v>788</v>
      </c>
      <c r="B377" t="s">
        <v>430</v>
      </c>
      <c r="C377" s="1">
        <v>32684</v>
      </c>
      <c r="D377" s="1">
        <v>80</v>
      </c>
      <c r="E377" s="1">
        <v>0</v>
      </c>
      <c r="F377" s="1">
        <v>0</v>
      </c>
      <c r="G377" s="1">
        <v>0</v>
      </c>
      <c r="H377" s="1">
        <v>16312</v>
      </c>
      <c r="I377" s="1">
        <v>8299</v>
      </c>
      <c r="J377" s="1"/>
    </row>
    <row r="378" spans="1:10" x14ac:dyDescent="0.25">
      <c r="A378" t="s">
        <v>10</v>
      </c>
      <c r="B378" s="1" t="s">
        <v>431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/>
    </row>
    <row r="379" spans="1:10" x14ac:dyDescent="0.25">
      <c r="A379" t="s">
        <v>69</v>
      </c>
      <c r="B379" t="s">
        <v>432</v>
      </c>
      <c r="C379" s="1">
        <v>51400</v>
      </c>
      <c r="D379" s="1">
        <v>63</v>
      </c>
      <c r="E379" s="1">
        <v>0</v>
      </c>
      <c r="F379" s="1">
        <v>0</v>
      </c>
      <c r="G379" s="1">
        <v>0</v>
      </c>
      <c r="H379" s="1">
        <v>71067</v>
      </c>
      <c r="I379" s="1">
        <v>14868</v>
      </c>
      <c r="J379" s="1"/>
    </row>
    <row r="380" spans="1:10" x14ac:dyDescent="0.25">
      <c r="A380" t="s">
        <v>226</v>
      </c>
      <c r="B380" t="s">
        <v>433</v>
      </c>
      <c r="C380" s="1">
        <v>53505</v>
      </c>
      <c r="D380" s="1">
        <v>115</v>
      </c>
      <c r="E380" s="1">
        <v>0</v>
      </c>
      <c r="F380" s="1">
        <v>0</v>
      </c>
      <c r="G380" s="1">
        <v>0</v>
      </c>
      <c r="H380" s="1">
        <v>46761</v>
      </c>
      <c r="I380" s="1">
        <v>12495</v>
      </c>
      <c r="J380" s="1"/>
    </row>
    <row r="381" spans="1:10" x14ac:dyDescent="0.25">
      <c r="A381" t="s">
        <v>864</v>
      </c>
      <c r="B381" t="s">
        <v>434</v>
      </c>
      <c r="C381" s="1">
        <v>21345</v>
      </c>
      <c r="D381" s="1">
        <v>306</v>
      </c>
      <c r="E381" s="1">
        <v>0</v>
      </c>
      <c r="F381" s="1">
        <v>0</v>
      </c>
      <c r="G381" s="1">
        <v>0</v>
      </c>
      <c r="H381" s="1">
        <v>13213</v>
      </c>
      <c r="I381" s="1">
        <v>10439</v>
      </c>
      <c r="J381" s="1"/>
    </row>
    <row r="382" spans="1:10" x14ac:dyDescent="0.25">
      <c r="A382" t="s">
        <v>809</v>
      </c>
      <c r="B382" t="s">
        <v>435</v>
      </c>
      <c r="C382" s="1">
        <f>59812+2+41+2404+3+4+3+1+30+16484</f>
        <v>78784</v>
      </c>
      <c r="D382" s="1">
        <f>63+1+143+2</f>
        <v>209</v>
      </c>
      <c r="E382" s="1">
        <v>0</v>
      </c>
      <c r="F382" s="1">
        <v>0</v>
      </c>
      <c r="G382" s="1">
        <v>0</v>
      </c>
      <c r="H382" s="1">
        <v>110701</v>
      </c>
      <c r="I382" s="1">
        <v>13537</v>
      </c>
      <c r="J382" s="1"/>
    </row>
    <row r="383" spans="1:10" x14ac:dyDescent="0.25">
      <c r="A383" t="s">
        <v>138</v>
      </c>
      <c r="B383" t="s">
        <v>436</v>
      </c>
      <c r="C383" s="1">
        <v>100032</v>
      </c>
      <c r="D383" s="1">
        <v>961</v>
      </c>
      <c r="E383" s="1">
        <v>0</v>
      </c>
      <c r="F383" s="1">
        <v>0</v>
      </c>
      <c r="G383" s="1">
        <v>0</v>
      </c>
      <c r="H383" s="1">
        <v>78677</v>
      </c>
      <c r="I383" s="1">
        <v>23450</v>
      </c>
      <c r="J383" s="1"/>
    </row>
    <row r="384" spans="1:10" x14ac:dyDescent="0.25">
      <c r="A384" t="s">
        <v>229</v>
      </c>
      <c r="B384" t="s">
        <v>437</v>
      </c>
      <c r="C384" s="1">
        <f>29926+4+1+8+784+6+4+45+13840</f>
        <v>44618</v>
      </c>
      <c r="D384" s="1">
        <f>24+22+72+10</f>
        <v>128</v>
      </c>
      <c r="E384" s="1">
        <v>0</v>
      </c>
      <c r="F384" s="1">
        <v>0</v>
      </c>
      <c r="G384" s="1">
        <v>0</v>
      </c>
      <c r="H384" s="1">
        <v>86965</v>
      </c>
      <c r="I384" s="1">
        <v>11838</v>
      </c>
      <c r="J384" s="1"/>
    </row>
    <row r="385" spans="1:10" x14ac:dyDescent="0.25">
      <c r="A385" t="s">
        <v>801</v>
      </c>
      <c r="B385" t="s">
        <v>438</v>
      </c>
      <c r="C385" s="1">
        <v>79729</v>
      </c>
      <c r="D385" s="1">
        <v>51</v>
      </c>
      <c r="E385" s="1">
        <v>0</v>
      </c>
      <c r="F385" s="1">
        <v>0</v>
      </c>
      <c r="G385" s="1">
        <v>0</v>
      </c>
      <c r="H385" s="1">
        <v>220839</v>
      </c>
      <c r="I385" s="1">
        <v>26890</v>
      </c>
      <c r="J385" s="1"/>
    </row>
    <row r="386" spans="1:10" x14ac:dyDescent="0.25">
      <c r="A386" s="27" t="s">
        <v>10</v>
      </c>
      <c r="B386" s="32" t="s">
        <v>780</v>
      </c>
      <c r="C386" s="32"/>
      <c r="D386" s="32"/>
      <c r="E386" s="32"/>
      <c r="F386" s="32"/>
      <c r="G386" s="32"/>
      <c r="H386" s="32"/>
      <c r="I386" s="32"/>
      <c r="J386" s="32"/>
    </row>
    <row r="387" spans="1:10" x14ac:dyDescent="0.25">
      <c r="A387" t="s">
        <v>69</v>
      </c>
      <c r="B387" t="s">
        <v>439</v>
      </c>
      <c r="C387" s="1">
        <v>52931</v>
      </c>
      <c r="D387" s="1">
        <v>1468</v>
      </c>
      <c r="E387" s="1">
        <v>0</v>
      </c>
      <c r="F387" s="1">
        <v>0</v>
      </c>
      <c r="G387" s="1">
        <v>0</v>
      </c>
      <c r="H387" s="1">
        <v>15726</v>
      </c>
      <c r="I387" s="1">
        <v>0</v>
      </c>
      <c r="J387" s="1"/>
    </row>
    <row r="388" spans="1:10" x14ac:dyDescent="0.25">
      <c r="A388" t="s">
        <v>83</v>
      </c>
      <c r="B388" t="s">
        <v>440</v>
      </c>
      <c r="C388" s="1">
        <v>7704</v>
      </c>
      <c r="D388" s="1">
        <v>24</v>
      </c>
      <c r="E388" s="1">
        <v>0</v>
      </c>
      <c r="F388" s="1">
        <v>0</v>
      </c>
      <c r="G388" s="1">
        <v>0</v>
      </c>
      <c r="H388" s="1">
        <v>17031</v>
      </c>
      <c r="I388" s="1">
        <v>1608</v>
      </c>
      <c r="J388" s="1"/>
    </row>
    <row r="389" spans="1:10" x14ac:dyDescent="0.25">
      <c r="A389" t="s">
        <v>809</v>
      </c>
      <c r="B389" t="s">
        <v>441</v>
      </c>
      <c r="C389" s="1">
        <v>30733</v>
      </c>
      <c r="D389" s="1">
        <v>697</v>
      </c>
      <c r="E389" s="1">
        <v>0</v>
      </c>
      <c r="F389" s="1">
        <v>0</v>
      </c>
      <c r="G389" s="1">
        <v>0</v>
      </c>
      <c r="H389" s="1">
        <v>19693</v>
      </c>
      <c r="I389" s="1">
        <v>4525</v>
      </c>
      <c r="J389" s="1"/>
    </row>
    <row r="390" spans="1:10" x14ac:dyDescent="0.25">
      <c r="A390" t="s">
        <v>794</v>
      </c>
      <c r="B390" t="s">
        <v>442</v>
      </c>
      <c r="C390" s="1">
        <v>78414</v>
      </c>
      <c r="D390" s="1">
        <v>236</v>
      </c>
      <c r="E390" s="1">
        <v>0</v>
      </c>
      <c r="F390" s="1">
        <v>0</v>
      </c>
      <c r="G390" s="1">
        <v>0</v>
      </c>
      <c r="H390" s="1">
        <v>68409</v>
      </c>
      <c r="I390" s="1">
        <v>30658</v>
      </c>
      <c r="J390" s="1"/>
    </row>
    <row r="391" spans="1:10" x14ac:dyDescent="0.25">
      <c r="A391" t="s">
        <v>796</v>
      </c>
      <c r="B391" t="s">
        <v>443</v>
      </c>
      <c r="C391" s="1">
        <v>113094</v>
      </c>
      <c r="D391" s="1">
        <v>200</v>
      </c>
      <c r="E391" s="1">
        <v>0</v>
      </c>
      <c r="F391" s="1">
        <v>0</v>
      </c>
      <c r="G391" s="1">
        <v>0</v>
      </c>
      <c r="H391" s="1">
        <v>101658</v>
      </c>
      <c r="I391" s="1">
        <v>20553</v>
      </c>
      <c r="J391" s="1"/>
    </row>
    <row r="392" spans="1:10" x14ac:dyDescent="0.25">
      <c r="A392" t="s">
        <v>794</v>
      </c>
      <c r="B392" t="s">
        <v>444</v>
      </c>
      <c r="C392" s="1">
        <v>125657</v>
      </c>
      <c r="D392" s="1">
        <v>769</v>
      </c>
      <c r="E392" s="1">
        <v>0</v>
      </c>
      <c r="F392" s="1">
        <v>0</v>
      </c>
      <c r="G392" s="1">
        <v>0</v>
      </c>
      <c r="H392" s="1">
        <v>50047</v>
      </c>
      <c r="I392" s="1">
        <v>42224</v>
      </c>
      <c r="J392" s="1"/>
    </row>
    <row r="393" spans="1:10" x14ac:dyDescent="0.25">
      <c r="A393" t="s">
        <v>811</v>
      </c>
      <c r="B393" t="s">
        <v>445</v>
      </c>
      <c r="C393" s="1">
        <v>42549</v>
      </c>
      <c r="D393" s="1">
        <v>28816</v>
      </c>
      <c r="E393" s="1">
        <v>0</v>
      </c>
      <c r="F393" s="1">
        <v>0</v>
      </c>
      <c r="G393" s="1">
        <v>0</v>
      </c>
      <c r="H393" s="1">
        <v>17320</v>
      </c>
      <c r="I393" s="1">
        <v>17318</v>
      </c>
      <c r="J393" s="1"/>
    </row>
    <row r="394" spans="1:10" x14ac:dyDescent="0.25">
      <c r="A394" t="s">
        <v>848</v>
      </c>
      <c r="B394" t="s">
        <v>446</v>
      </c>
      <c r="C394" s="1">
        <v>25817</v>
      </c>
      <c r="D394" s="1">
        <v>39</v>
      </c>
      <c r="E394" s="1">
        <v>0</v>
      </c>
      <c r="F394" s="1">
        <v>0</v>
      </c>
      <c r="G394" s="1">
        <v>0</v>
      </c>
      <c r="H394" s="1">
        <v>8136</v>
      </c>
      <c r="I394" s="1">
        <v>4156</v>
      </c>
      <c r="J394" s="1"/>
    </row>
    <row r="395" spans="1:10" x14ac:dyDescent="0.25">
      <c r="A395" t="s">
        <v>134</v>
      </c>
      <c r="B395" t="s">
        <v>447</v>
      </c>
      <c r="C395" s="1">
        <v>163829</v>
      </c>
      <c r="D395" s="1">
        <v>146</v>
      </c>
      <c r="E395" s="1">
        <v>0</v>
      </c>
      <c r="F395" s="1">
        <v>0</v>
      </c>
      <c r="G395" s="1">
        <v>0</v>
      </c>
      <c r="H395" s="1">
        <v>38075</v>
      </c>
      <c r="I395" s="1">
        <v>23223</v>
      </c>
      <c r="J395" s="1"/>
    </row>
    <row r="396" spans="1:10" x14ac:dyDescent="0.25">
      <c r="A396" t="s">
        <v>76</v>
      </c>
      <c r="B396" t="s">
        <v>448</v>
      </c>
      <c r="C396" s="1">
        <v>128458</v>
      </c>
      <c r="D396" s="1">
        <v>109</v>
      </c>
      <c r="E396" s="1">
        <v>0</v>
      </c>
      <c r="F396" s="1">
        <v>0</v>
      </c>
      <c r="G396" s="1">
        <v>0</v>
      </c>
      <c r="H396" s="1">
        <v>81370</v>
      </c>
      <c r="I396" s="1">
        <v>13974</v>
      </c>
      <c r="J396" s="1"/>
    </row>
    <row r="397" spans="1:10" x14ac:dyDescent="0.25">
      <c r="A397" t="s">
        <v>801</v>
      </c>
      <c r="B397" t="s">
        <v>449</v>
      </c>
      <c r="C397" s="1">
        <v>94276</v>
      </c>
      <c r="D397" s="1">
        <v>134</v>
      </c>
      <c r="E397" s="1">
        <v>0</v>
      </c>
      <c r="F397" s="1">
        <v>0</v>
      </c>
      <c r="G397" s="1">
        <v>0</v>
      </c>
      <c r="H397" s="1">
        <v>135329</v>
      </c>
      <c r="I397" s="1">
        <v>21702</v>
      </c>
      <c r="J397" s="1"/>
    </row>
    <row r="398" spans="1:10" x14ac:dyDescent="0.25">
      <c r="A398" t="s">
        <v>788</v>
      </c>
      <c r="B398" t="s">
        <v>450</v>
      </c>
      <c r="C398" s="1">
        <v>37931</v>
      </c>
      <c r="D398" s="1">
        <v>582</v>
      </c>
      <c r="E398" s="1">
        <v>0</v>
      </c>
      <c r="F398" s="1">
        <v>0</v>
      </c>
      <c r="G398" s="1">
        <v>0</v>
      </c>
      <c r="H398" s="1">
        <v>25511</v>
      </c>
      <c r="I398" s="1">
        <v>8719</v>
      </c>
      <c r="J398" s="1"/>
    </row>
    <row r="399" spans="1:10" x14ac:dyDescent="0.25">
      <c r="A399" t="s">
        <v>795</v>
      </c>
      <c r="B399" t="s">
        <v>451</v>
      </c>
      <c r="C399" s="1">
        <v>161538</v>
      </c>
      <c r="D399" s="1">
        <v>2315</v>
      </c>
      <c r="E399" s="1">
        <v>0</v>
      </c>
      <c r="F399" s="1">
        <v>0</v>
      </c>
      <c r="G399" s="1">
        <v>0</v>
      </c>
      <c r="H399" s="1">
        <v>80317</v>
      </c>
      <c r="I399" s="1">
        <v>65603</v>
      </c>
      <c r="J399" s="1"/>
    </row>
    <row r="400" spans="1:10" x14ac:dyDescent="0.25">
      <c r="A400" t="s">
        <v>825</v>
      </c>
      <c r="B400" t="s">
        <v>452</v>
      </c>
      <c r="C400" s="1">
        <v>11724</v>
      </c>
      <c r="D400" s="1">
        <v>30</v>
      </c>
      <c r="E400" s="1">
        <v>0</v>
      </c>
      <c r="F400" s="1">
        <v>0</v>
      </c>
      <c r="G400" s="1">
        <v>0</v>
      </c>
      <c r="H400" s="1">
        <v>12222</v>
      </c>
      <c r="I400" s="1">
        <v>2635</v>
      </c>
      <c r="J400" s="1"/>
    </row>
    <row r="401" spans="1:10" x14ac:dyDescent="0.25">
      <c r="A401" t="s">
        <v>101</v>
      </c>
      <c r="B401" t="s">
        <v>453</v>
      </c>
      <c r="C401" s="1">
        <v>53929</v>
      </c>
      <c r="D401" s="1">
        <v>226</v>
      </c>
      <c r="E401" s="1">
        <v>0</v>
      </c>
      <c r="F401" s="1">
        <v>0</v>
      </c>
      <c r="G401" s="1">
        <v>0</v>
      </c>
      <c r="H401" s="1">
        <v>44786</v>
      </c>
      <c r="I401" s="1">
        <v>10870</v>
      </c>
      <c r="J401" s="1"/>
    </row>
    <row r="402" spans="1:10" x14ac:dyDescent="0.25">
      <c r="A402" t="s">
        <v>265</v>
      </c>
      <c r="B402" t="s">
        <v>454</v>
      </c>
      <c r="C402" s="1">
        <v>76006</v>
      </c>
      <c r="D402" s="1">
        <v>20</v>
      </c>
      <c r="E402" s="1">
        <v>0</v>
      </c>
      <c r="F402" s="1">
        <v>0</v>
      </c>
      <c r="G402" s="1">
        <v>0</v>
      </c>
      <c r="H402" s="1">
        <v>110430</v>
      </c>
      <c r="I402" s="1">
        <v>7250</v>
      </c>
      <c r="J402" s="1"/>
    </row>
    <row r="403" spans="1:10" x14ac:dyDescent="0.25">
      <c r="A403" t="s">
        <v>248</v>
      </c>
      <c r="B403" t="s">
        <v>455</v>
      </c>
      <c r="C403" s="1">
        <v>18918</v>
      </c>
      <c r="D403" s="1">
        <v>447</v>
      </c>
      <c r="E403" s="1">
        <v>0</v>
      </c>
      <c r="F403" s="1">
        <v>0</v>
      </c>
      <c r="G403" s="1">
        <v>0</v>
      </c>
      <c r="H403" s="1">
        <v>57603</v>
      </c>
      <c r="I403" s="1">
        <v>3669</v>
      </c>
      <c r="J403" s="1"/>
    </row>
    <row r="404" spans="1:10" x14ac:dyDescent="0.25">
      <c r="A404" t="s">
        <v>76</v>
      </c>
      <c r="B404" t="s">
        <v>456</v>
      </c>
      <c r="C404" s="1">
        <v>95088</v>
      </c>
      <c r="D404" s="1">
        <v>199</v>
      </c>
      <c r="E404" s="1">
        <v>0</v>
      </c>
      <c r="F404" s="1">
        <v>0</v>
      </c>
      <c r="G404" s="1">
        <v>0</v>
      </c>
      <c r="H404" s="1">
        <v>277283</v>
      </c>
      <c r="I404" s="1">
        <v>12897</v>
      </c>
      <c r="J404" s="1"/>
    </row>
    <row r="405" spans="1:10" x14ac:dyDescent="0.25">
      <c r="A405" t="s">
        <v>76</v>
      </c>
      <c r="B405" t="s">
        <v>457</v>
      </c>
      <c r="C405" s="1">
        <v>55764</v>
      </c>
      <c r="D405" s="1">
        <v>386</v>
      </c>
      <c r="E405" s="1">
        <v>0</v>
      </c>
      <c r="F405" s="1">
        <v>0</v>
      </c>
      <c r="G405" s="1">
        <v>0</v>
      </c>
      <c r="H405" s="1">
        <v>30510</v>
      </c>
      <c r="I405" s="1">
        <v>16959</v>
      </c>
      <c r="J405" s="1"/>
    </row>
    <row r="406" spans="1:10" x14ac:dyDescent="0.25">
      <c r="A406" t="s">
        <v>146</v>
      </c>
      <c r="B406" t="s">
        <v>458</v>
      </c>
      <c r="C406" s="1">
        <f>14732+4+1950+98+7928+1+1+4+3</f>
        <v>24721</v>
      </c>
      <c r="D406" s="1">
        <f>1731+2+730+213+1+140</f>
        <v>2817</v>
      </c>
      <c r="E406" s="1">
        <v>0</v>
      </c>
      <c r="F406" s="1">
        <v>0</v>
      </c>
      <c r="G406" s="1">
        <v>0</v>
      </c>
      <c r="H406" s="1">
        <v>59496</v>
      </c>
      <c r="I406" s="1">
        <v>7897</v>
      </c>
      <c r="J406" s="1"/>
    </row>
    <row r="407" spans="1:10" x14ac:dyDescent="0.25">
      <c r="A407" t="s">
        <v>83</v>
      </c>
      <c r="B407" t="s">
        <v>459</v>
      </c>
      <c r="C407" s="1">
        <v>10291</v>
      </c>
      <c r="D407" s="1">
        <v>64</v>
      </c>
      <c r="E407" s="1">
        <v>0</v>
      </c>
      <c r="F407" s="1">
        <v>0</v>
      </c>
      <c r="G407" s="1">
        <v>0</v>
      </c>
      <c r="H407" s="1">
        <v>11586</v>
      </c>
      <c r="I407" s="1">
        <v>2457</v>
      </c>
      <c r="J407" s="1"/>
    </row>
    <row r="408" spans="1:10" x14ac:dyDescent="0.25">
      <c r="A408" t="s">
        <v>248</v>
      </c>
      <c r="B408" t="s">
        <v>460</v>
      </c>
      <c r="C408" s="1">
        <v>86942</v>
      </c>
      <c r="D408" s="1">
        <v>797</v>
      </c>
      <c r="E408" s="1">
        <v>0</v>
      </c>
      <c r="F408" s="1">
        <v>0</v>
      </c>
      <c r="G408" s="1">
        <v>0</v>
      </c>
      <c r="H408" s="1">
        <v>295658</v>
      </c>
      <c r="I408" s="1">
        <v>37083</v>
      </c>
      <c r="J408" s="1"/>
    </row>
    <row r="409" spans="1:10" x14ac:dyDescent="0.25">
      <c r="A409" t="s">
        <v>248</v>
      </c>
      <c r="B409" t="s">
        <v>461</v>
      </c>
      <c r="C409" s="1">
        <v>91856</v>
      </c>
      <c r="D409" s="1">
        <v>136</v>
      </c>
      <c r="E409" s="1">
        <v>0</v>
      </c>
      <c r="F409" s="1">
        <v>0</v>
      </c>
      <c r="G409" s="1">
        <v>0</v>
      </c>
      <c r="H409" s="1">
        <v>121677</v>
      </c>
      <c r="I409" s="1">
        <v>15222</v>
      </c>
      <c r="J409" s="1"/>
    </row>
    <row r="410" spans="1:10" x14ac:dyDescent="0.25">
      <c r="A410" t="s">
        <v>226</v>
      </c>
      <c r="B410" t="s">
        <v>462</v>
      </c>
      <c r="C410" s="1">
        <v>20884</v>
      </c>
      <c r="D410" s="1">
        <v>45</v>
      </c>
      <c r="E410" s="1">
        <v>0</v>
      </c>
      <c r="F410" s="1">
        <v>0</v>
      </c>
      <c r="G410" s="1">
        <v>0</v>
      </c>
      <c r="H410" s="1">
        <v>1821</v>
      </c>
      <c r="I410" s="1">
        <v>1986</v>
      </c>
      <c r="J410" s="1"/>
    </row>
    <row r="411" spans="1:10" x14ac:dyDescent="0.25">
      <c r="A411" t="s">
        <v>826</v>
      </c>
      <c r="B411" t="s">
        <v>463</v>
      </c>
      <c r="C411" s="1">
        <v>15578</v>
      </c>
      <c r="D411" s="1">
        <v>574</v>
      </c>
      <c r="E411" s="1">
        <v>0</v>
      </c>
      <c r="F411" s="1">
        <v>0</v>
      </c>
      <c r="G411" s="1">
        <v>0</v>
      </c>
      <c r="H411" s="1">
        <v>44530</v>
      </c>
      <c r="I411" s="1">
        <v>0</v>
      </c>
      <c r="J411" s="1"/>
    </row>
    <row r="412" spans="1:10" x14ac:dyDescent="0.25">
      <c r="A412" t="s">
        <v>248</v>
      </c>
      <c r="B412" t="s">
        <v>464</v>
      </c>
      <c r="C412" s="1">
        <v>32663</v>
      </c>
      <c r="D412" s="1">
        <v>108</v>
      </c>
      <c r="E412" s="1">
        <v>0</v>
      </c>
      <c r="F412" s="1">
        <v>0</v>
      </c>
      <c r="G412" s="1">
        <v>0</v>
      </c>
      <c r="H412" s="1">
        <v>42088</v>
      </c>
      <c r="I412" s="1">
        <v>6304</v>
      </c>
      <c r="J412" s="1"/>
    </row>
    <row r="413" spans="1:10" x14ac:dyDescent="0.25">
      <c r="A413" t="s">
        <v>101</v>
      </c>
      <c r="B413" t="s">
        <v>465</v>
      </c>
      <c r="C413" s="1">
        <v>29725</v>
      </c>
      <c r="D413" s="1">
        <v>7</v>
      </c>
      <c r="E413" s="1">
        <v>0</v>
      </c>
      <c r="F413" s="1">
        <v>0</v>
      </c>
      <c r="G413" s="1">
        <v>0</v>
      </c>
      <c r="H413" s="1">
        <v>69644</v>
      </c>
      <c r="I413" s="1">
        <v>9879</v>
      </c>
      <c r="J413" s="1"/>
    </row>
    <row r="414" spans="1:10" x14ac:dyDescent="0.25">
      <c r="A414" t="s">
        <v>865</v>
      </c>
      <c r="B414" t="s">
        <v>466</v>
      </c>
      <c r="C414" s="1">
        <v>71154</v>
      </c>
      <c r="D414" s="1">
        <v>64</v>
      </c>
      <c r="E414" s="1">
        <v>0</v>
      </c>
      <c r="F414" s="1">
        <v>0</v>
      </c>
      <c r="G414" s="1">
        <v>0</v>
      </c>
      <c r="H414" s="1">
        <v>24932</v>
      </c>
      <c r="I414" s="1">
        <v>9169</v>
      </c>
      <c r="J414" s="1"/>
    </row>
    <row r="415" spans="1:10" x14ac:dyDescent="0.25">
      <c r="A415" t="s">
        <v>512</v>
      </c>
      <c r="B415" t="s">
        <v>467</v>
      </c>
      <c r="C415" s="1">
        <v>36145</v>
      </c>
      <c r="D415" s="1">
        <v>81</v>
      </c>
      <c r="E415" s="1">
        <v>0</v>
      </c>
      <c r="F415" s="1">
        <v>0</v>
      </c>
      <c r="G415" s="1">
        <v>0</v>
      </c>
      <c r="H415" s="1">
        <v>25288</v>
      </c>
      <c r="I415" s="1">
        <v>11206</v>
      </c>
      <c r="J415" s="1"/>
    </row>
    <row r="416" spans="1:10" x14ac:dyDescent="0.25">
      <c r="A416" s="27" t="s">
        <v>10</v>
      </c>
      <c r="B416" s="32" t="s">
        <v>781</v>
      </c>
      <c r="C416" s="32"/>
      <c r="D416" s="32"/>
      <c r="E416" s="32"/>
      <c r="F416" s="32"/>
      <c r="G416" s="32"/>
      <c r="H416" s="32"/>
      <c r="I416" s="32"/>
      <c r="J416" s="32"/>
    </row>
    <row r="417" spans="1:10" x14ac:dyDescent="0.25">
      <c r="A417" t="s">
        <v>868</v>
      </c>
      <c r="B417" t="s">
        <v>468</v>
      </c>
      <c r="C417" s="1">
        <v>17429</v>
      </c>
      <c r="D417" s="1">
        <v>138</v>
      </c>
      <c r="E417" s="1">
        <v>0</v>
      </c>
      <c r="F417" s="1">
        <v>0</v>
      </c>
      <c r="G417" s="1">
        <v>0</v>
      </c>
      <c r="H417" s="1">
        <v>16035</v>
      </c>
      <c r="I417" s="1">
        <v>0</v>
      </c>
      <c r="J417" s="1"/>
    </row>
    <row r="418" spans="1:10" x14ac:dyDescent="0.25">
      <c r="A418" t="s">
        <v>817</v>
      </c>
      <c r="B418" t="s">
        <v>469</v>
      </c>
      <c r="C418" s="1">
        <v>272346</v>
      </c>
      <c r="D418" s="1">
        <v>316</v>
      </c>
      <c r="E418" s="1">
        <v>0</v>
      </c>
      <c r="F418" s="1">
        <v>0</v>
      </c>
      <c r="G418" s="1">
        <v>0</v>
      </c>
      <c r="H418" s="1">
        <v>42274</v>
      </c>
      <c r="I418" s="1">
        <v>2561</v>
      </c>
      <c r="J418" s="1"/>
    </row>
    <row r="419" spans="1:10" x14ac:dyDescent="0.25">
      <c r="A419" t="s">
        <v>791</v>
      </c>
      <c r="B419" t="s">
        <v>470</v>
      </c>
      <c r="C419" s="1">
        <v>22009</v>
      </c>
      <c r="D419" s="1">
        <v>1141</v>
      </c>
      <c r="E419" s="1">
        <v>0</v>
      </c>
      <c r="F419" s="1">
        <v>0</v>
      </c>
      <c r="G419" s="1">
        <v>0</v>
      </c>
      <c r="H419" s="1">
        <v>12932</v>
      </c>
      <c r="I419" s="1">
        <v>14484</v>
      </c>
      <c r="J419" s="1"/>
    </row>
    <row r="420" spans="1:10" x14ac:dyDescent="0.25">
      <c r="A420" t="s">
        <v>788</v>
      </c>
      <c r="B420" t="s">
        <v>471</v>
      </c>
      <c r="C420" s="1">
        <v>49201</v>
      </c>
      <c r="D420" s="1">
        <v>287</v>
      </c>
      <c r="E420" s="1">
        <v>0</v>
      </c>
      <c r="F420" s="1">
        <v>0</v>
      </c>
      <c r="G420" s="1">
        <v>0</v>
      </c>
      <c r="H420" s="1">
        <v>10353</v>
      </c>
      <c r="I420" s="1">
        <v>7873</v>
      </c>
      <c r="J420" s="1"/>
    </row>
    <row r="421" spans="1:10" x14ac:dyDescent="0.25">
      <c r="A421" t="s">
        <v>795</v>
      </c>
      <c r="B421" t="s">
        <v>472</v>
      </c>
      <c r="C421" s="1">
        <v>42097</v>
      </c>
      <c r="D421" s="1">
        <v>1125</v>
      </c>
      <c r="E421" s="1">
        <v>0</v>
      </c>
      <c r="F421" s="1">
        <v>0</v>
      </c>
      <c r="G421" s="1">
        <v>0</v>
      </c>
      <c r="H421" s="1">
        <v>23668</v>
      </c>
      <c r="I421" s="1">
        <v>8999</v>
      </c>
      <c r="J421" s="1"/>
    </row>
    <row r="422" spans="1:10" x14ac:dyDescent="0.25">
      <c r="A422" t="s">
        <v>788</v>
      </c>
      <c r="B422" t="s">
        <v>473</v>
      </c>
      <c r="C422" s="1">
        <v>89463</v>
      </c>
      <c r="D422" s="1">
        <v>1843</v>
      </c>
      <c r="E422" s="1">
        <v>0</v>
      </c>
      <c r="F422" s="1">
        <v>0</v>
      </c>
      <c r="G422" s="1">
        <v>0</v>
      </c>
      <c r="H422" s="1">
        <v>36195</v>
      </c>
      <c r="I422" s="1">
        <v>27113</v>
      </c>
      <c r="J422" s="1"/>
    </row>
    <row r="423" spans="1:10" x14ac:dyDescent="0.25">
      <c r="A423" t="s">
        <v>817</v>
      </c>
      <c r="B423" t="s">
        <v>474</v>
      </c>
      <c r="C423" s="1">
        <v>72313</v>
      </c>
      <c r="D423" s="1">
        <v>356</v>
      </c>
      <c r="E423" s="1">
        <v>0</v>
      </c>
      <c r="F423" s="1">
        <v>0</v>
      </c>
      <c r="G423" s="1">
        <v>0</v>
      </c>
      <c r="H423" s="1">
        <v>340384</v>
      </c>
      <c r="I423" s="1">
        <v>41062</v>
      </c>
      <c r="J423" s="1"/>
    </row>
    <row r="424" spans="1:10" x14ac:dyDescent="0.25">
      <c r="A424" t="s">
        <v>512</v>
      </c>
      <c r="B424" t="s">
        <v>475</v>
      </c>
      <c r="C424" s="1">
        <v>16728</v>
      </c>
      <c r="D424" s="1">
        <v>61</v>
      </c>
      <c r="E424" s="1">
        <v>0</v>
      </c>
      <c r="F424" s="1">
        <v>0</v>
      </c>
      <c r="G424" s="1">
        <v>0</v>
      </c>
      <c r="H424" s="1">
        <v>25994</v>
      </c>
      <c r="I424" s="1">
        <v>3243</v>
      </c>
      <c r="J424" s="1"/>
    </row>
    <row r="425" spans="1:10" x14ac:dyDescent="0.25">
      <c r="A425" t="s">
        <v>146</v>
      </c>
      <c r="B425" t="s">
        <v>476</v>
      </c>
      <c r="C425" s="1">
        <f>48913+6+6+70+1+2+1+3+16377+1+1+1</f>
        <v>65382</v>
      </c>
      <c r="D425" s="1">
        <f>15+62+4</f>
        <v>81</v>
      </c>
      <c r="E425" s="1">
        <v>0</v>
      </c>
      <c r="F425" s="1">
        <v>0</v>
      </c>
      <c r="G425" s="1">
        <v>0</v>
      </c>
      <c r="H425" s="1">
        <v>26645</v>
      </c>
      <c r="I425" s="1">
        <v>15830</v>
      </c>
      <c r="J425" s="1"/>
    </row>
    <row r="426" spans="1:10" x14ac:dyDescent="0.25">
      <c r="A426" t="s">
        <v>76</v>
      </c>
      <c r="B426" t="s">
        <v>477</v>
      </c>
      <c r="C426" s="1">
        <v>84755</v>
      </c>
      <c r="D426" s="1">
        <v>1119</v>
      </c>
      <c r="E426" s="1">
        <v>0</v>
      </c>
      <c r="F426" s="1">
        <v>0</v>
      </c>
      <c r="G426" s="1">
        <v>0</v>
      </c>
      <c r="H426" s="1">
        <v>64483</v>
      </c>
      <c r="I426" s="1">
        <v>28932</v>
      </c>
      <c r="J426" s="1"/>
    </row>
    <row r="427" spans="1:10" x14ac:dyDescent="0.25">
      <c r="A427" t="s">
        <v>76</v>
      </c>
      <c r="B427" t="s">
        <v>478</v>
      </c>
      <c r="C427" s="1">
        <v>82779</v>
      </c>
      <c r="D427" s="1">
        <v>576</v>
      </c>
      <c r="E427" s="1">
        <v>0</v>
      </c>
      <c r="F427" s="1">
        <v>0</v>
      </c>
      <c r="G427" s="1">
        <v>0</v>
      </c>
      <c r="H427" s="1">
        <v>33865</v>
      </c>
      <c r="I427" s="1">
        <v>23395</v>
      </c>
      <c r="J427" s="1"/>
    </row>
    <row r="428" spans="1:10" x14ac:dyDescent="0.25">
      <c r="A428" t="s">
        <v>823</v>
      </c>
      <c r="B428" t="s">
        <v>479</v>
      </c>
      <c r="C428" s="1">
        <v>57024</v>
      </c>
      <c r="D428" s="1">
        <v>10</v>
      </c>
      <c r="E428" s="1">
        <v>0</v>
      </c>
      <c r="F428" s="1">
        <v>0</v>
      </c>
      <c r="G428" s="1">
        <v>0</v>
      </c>
      <c r="H428" s="1">
        <v>11722</v>
      </c>
      <c r="I428" s="1">
        <v>11147</v>
      </c>
      <c r="J428" s="1"/>
    </row>
    <row r="429" spans="1:10" x14ac:dyDescent="0.25">
      <c r="A429" t="s">
        <v>83</v>
      </c>
      <c r="B429" t="s">
        <v>480</v>
      </c>
      <c r="C429" s="1">
        <v>33990</v>
      </c>
      <c r="D429" s="1">
        <v>90</v>
      </c>
      <c r="E429" s="1">
        <v>0</v>
      </c>
      <c r="F429" s="1">
        <v>0</v>
      </c>
      <c r="G429" s="1">
        <v>0</v>
      </c>
      <c r="H429" s="1">
        <v>31425</v>
      </c>
      <c r="I429" s="1">
        <v>13447</v>
      </c>
      <c r="J429" s="1"/>
    </row>
    <row r="430" spans="1:10" x14ac:dyDescent="0.25">
      <c r="A430" t="s">
        <v>512</v>
      </c>
      <c r="B430" t="s">
        <v>481</v>
      </c>
      <c r="C430" s="1">
        <v>30564</v>
      </c>
      <c r="D430" s="1">
        <v>244</v>
      </c>
      <c r="E430" s="1">
        <v>0</v>
      </c>
      <c r="F430" s="1">
        <v>0</v>
      </c>
      <c r="G430" s="1">
        <v>0</v>
      </c>
      <c r="H430" s="1">
        <v>3966</v>
      </c>
      <c r="I430" s="1">
        <v>6557</v>
      </c>
      <c r="J430" s="1"/>
    </row>
    <row r="431" spans="1:10" x14ac:dyDescent="0.25">
      <c r="A431" t="s">
        <v>824</v>
      </c>
      <c r="B431" t="s">
        <v>482</v>
      </c>
      <c r="C431" s="1">
        <v>12797</v>
      </c>
      <c r="D431" s="1">
        <f>331+53+12</f>
        <v>396</v>
      </c>
      <c r="E431" s="1">
        <v>0</v>
      </c>
      <c r="F431" s="1">
        <v>0</v>
      </c>
      <c r="G431" s="1">
        <v>0</v>
      </c>
      <c r="H431" s="1">
        <v>7595</v>
      </c>
      <c r="I431" s="1">
        <v>3609</v>
      </c>
      <c r="J431" s="1"/>
    </row>
    <row r="432" spans="1:10" x14ac:dyDescent="0.25">
      <c r="A432" t="s">
        <v>72</v>
      </c>
      <c r="B432" t="s">
        <v>483</v>
      </c>
      <c r="C432" s="1">
        <v>47794</v>
      </c>
      <c r="D432" s="1">
        <v>95</v>
      </c>
      <c r="E432" s="1">
        <v>0</v>
      </c>
      <c r="F432" s="1">
        <v>0</v>
      </c>
      <c r="G432" s="1">
        <v>0</v>
      </c>
      <c r="H432" s="1">
        <v>139578</v>
      </c>
      <c r="I432" s="1">
        <v>5225</v>
      </c>
      <c r="J432" s="1"/>
    </row>
    <row r="433" spans="1:10" x14ac:dyDescent="0.25">
      <c r="A433" t="s">
        <v>801</v>
      </c>
      <c r="B433" t="s">
        <v>484</v>
      </c>
      <c r="C433" s="1">
        <v>53051</v>
      </c>
      <c r="D433" s="1">
        <v>24</v>
      </c>
      <c r="E433" s="1">
        <v>0</v>
      </c>
      <c r="F433" s="1">
        <v>0</v>
      </c>
      <c r="G433" s="1">
        <v>0</v>
      </c>
      <c r="H433" s="1">
        <v>134639</v>
      </c>
      <c r="I433" s="1">
        <v>21816</v>
      </c>
      <c r="J433" s="1"/>
    </row>
    <row r="434" spans="1:10" x14ac:dyDescent="0.25">
      <c r="A434" t="s">
        <v>818</v>
      </c>
      <c r="B434" t="s">
        <v>485</v>
      </c>
      <c r="C434" s="1">
        <v>39106</v>
      </c>
      <c r="D434" s="1">
        <v>1</v>
      </c>
      <c r="E434" s="1">
        <v>0</v>
      </c>
      <c r="F434" s="1">
        <v>0</v>
      </c>
      <c r="G434" s="1">
        <v>0</v>
      </c>
      <c r="H434" s="1">
        <v>23568</v>
      </c>
      <c r="I434" s="1">
        <v>9051</v>
      </c>
      <c r="J434" s="1"/>
    </row>
    <row r="435" spans="1:10" x14ac:dyDescent="0.25">
      <c r="A435" t="s">
        <v>797</v>
      </c>
      <c r="B435" t="s">
        <v>486</v>
      </c>
      <c r="C435" s="1">
        <v>72224</v>
      </c>
      <c r="D435" s="1">
        <v>78</v>
      </c>
      <c r="E435" s="1">
        <v>0</v>
      </c>
      <c r="F435" s="1">
        <v>0</v>
      </c>
      <c r="G435" s="1">
        <v>0</v>
      </c>
      <c r="H435" s="1">
        <v>18905</v>
      </c>
      <c r="I435" s="1">
        <v>9141</v>
      </c>
      <c r="J435" s="1"/>
    </row>
    <row r="436" spans="1:10" x14ac:dyDescent="0.25">
      <c r="A436" t="s">
        <v>804</v>
      </c>
      <c r="B436" t="s">
        <v>487</v>
      </c>
      <c r="C436" s="1">
        <v>48713</v>
      </c>
      <c r="D436" s="1">
        <v>23</v>
      </c>
      <c r="E436" s="1">
        <v>0</v>
      </c>
      <c r="F436" s="1">
        <v>0</v>
      </c>
      <c r="G436" s="1">
        <v>0</v>
      </c>
      <c r="H436" s="1">
        <v>27656</v>
      </c>
      <c r="I436" s="1">
        <v>14924</v>
      </c>
      <c r="J436" s="1"/>
    </row>
    <row r="437" spans="1:10" x14ac:dyDescent="0.25">
      <c r="A437" t="s">
        <v>226</v>
      </c>
      <c r="B437" t="s">
        <v>488</v>
      </c>
      <c r="C437" s="1">
        <v>57969</v>
      </c>
      <c r="D437" s="1">
        <v>290</v>
      </c>
      <c r="E437" s="1">
        <v>0</v>
      </c>
      <c r="F437" s="1">
        <v>0</v>
      </c>
      <c r="G437" s="1">
        <v>0</v>
      </c>
      <c r="H437" s="1">
        <v>27753</v>
      </c>
      <c r="I437" s="1">
        <v>13435</v>
      </c>
      <c r="J437" s="1"/>
    </row>
    <row r="438" spans="1:10" x14ac:dyDescent="0.25">
      <c r="A438" t="s">
        <v>265</v>
      </c>
      <c r="B438" t="s">
        <v>489</v>
      </c>
      <c r="C438" s="1">
        <v>32108</v>
      </c>
      <c r="D438" s="1">
        <v>88</v>
      </c>
      <c r="E438" s="1">
        <v>0</v>
      </c>
      <c r="F438" s="1">
        <v>0</v>
      </c>
      <c r="G438" s="1">
        <v>0</v>
      </c>
      <c r="H438" s="1">
        <v>42883</v>
      </c>
      <c r="I438" s="1">
        <v>5003</v>
      </c>
      <c r="J438" s="1"/>
    </row>
    <row r="439" spans="1:10" x14ac:dyDescent="0.25">
      <c r="A439" t="s">
        <v>10</v>
      </c>
      <c r="B439" s="1" t="s">
        <v>490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/>
    </row>
    <row r="440" spans="1:10" x14ac:dyDescent="0.25">
      <c r="A440" t="s">
        <v>801</v>
      </c>
      <c r="B440" t="s">
        <v>491</v>
      </c>
      <c r="C440" s="1">
        <v>47172</v>
      </c>
      <c r="D440" s="1">
        <v>1367</v>
      </c>
      <c r="E440" s="1">
        <v>0</v>
      </c>
      <c r="F440" s="1">
        <v>0</v>
      </c>
      <c r="G440" s="1">
        <v>0</v>
      </c>
      <c r="H440" s="1">
        <v>54596</v>
      </c>
      <c r="I440" s="1">
        <v>21446</v>
      </c>
      <c r="J440" s="1"/>
    </row>
    <row r="441" spans="1:10" x14ac:dyDescent="0.25">
      <c r="A441" t="s">
        <v>818</v>
      </c>
      <c r="B441" t="s">
        <v>492</v>
      </c>
      <c r="C441" s="1">
        <v>23545</v>
      </c>
      <c r="D441" s="1">
        <v>92</v>
      </c>
      <c r="E441" s="1">
        <v>0</v>
      </c>
      <c r="F441" s="1">
        <v>0</v>
      </c>
      <c r="G441" s="1">
        <v>0</v>
      </c>
      <c r="H441" s="1">
        <v>28781</v>
      </c>
      <c r="I441" s="1">
        <v>5588</v>
      </c>
      <c r="J441" s="1"/>
    </row>
    <row r="442" spans="1:10" x14ac:dyDescent="0.25">
      <c r="A442" t="s">
        <v>791</v>
      </c>
      <c r="B442" t="s">
        <v>493</v>
      </c>
      <c r="C442" s="1">
        <v>25796</v>
      </c>
      <c r="D442" s="1">
        <v>486</v>
      </c>
      <c r="E442" s="1">
        <v>0</v>
      </c>
      <c r="F442" s="1">
        <v>0</v>
      </c>
      <c r="G442" s="1">
        <v>0</v>
      </c>
      <c r="H442" s="1">
        <v>42799</v>
      </c>
      <c r="I442" s="1">
        <v>3571</v>
      </c>
      <c r="J442" s="1"/>
    </row>
    <row r="443" spans="1:10" x14ac:dyDescent="0.25">
      <c r="A443" t="s">
        <v>138</v>
      </c>
      <c r="B443" t="s">
        <v>494</v>
      </c>
      <c r="C443" s="1">
        <v>19010</v>
      </c>
      <c r="D443" s="1">
        <v>17</v>
      </c>
      <c r="E443" s="1">
        <v>0</v>
      </c>
      <c r="F443" s="1">
        <v>0</v>
      </c>
      <c r="G443" s="1">
        <v>0</v>
      </c>
      <c r="H443" s="1">
        <v>44738</v>
      </c>
      <c r="I443" s="1">
        <v>4201</v>
      </c>
      <c r="J443" s="1"/>
    </row>
    <row r="444" spans="1:10" x14ac:dyDescent="0.25">
      <c r="A444" t="s">
        <v>495</v>
      </c>
      <c r="B444" t="s">
        <v>496</v>
      </c>
      <c r="C444" s="1">
        <v>245830</v>
      </c>
      <c r="D444" s="1">
        <v>726</v>
      </c>
      <c r="E444" s="1">
        <v>0</v>
      </c>
      <c r="F444" s="1">
        <v>0</v>
      </c>
      <c r="G444" s="1">
        <v>0</v>
      </c>
      <c r="H444" s="1">
        <v>61647</v>
      </c>
      <c r="I444" s="1">
        <v>68079</v>
      </c>
      <c r="J444" s="1"/>
    </row>
    <row r="445" spans="1:10" x14ac:dyDescent="0.25">
      <c r="A445" t="s">
        <v>791</v>
      </c>
      <c r="B445" t="s">
        <v>497</v>
      </c>
      <c r="C445" s="1">
        <v>17876</v>
      </c>
      <c r="D445" s="1">
        <v>89</v>
      </c>
      <c r="E445" s="1">
        <v>0</v>
      </c>
      <c r="F445" s="1">
        <v>0</v>
      </c>
      <c r="G445" s="1">
        <v>0</v>
      </c>
      <c r="H445" s="1">
        <v>15847</v>
      </c>
      <c r="I445" s="1">
        <v>7402</v>
      </c>
      <c r="J445" s="1"/>
    </row>
    <row r="446" spans="1:10" x14ac:dyDescent="0.25">
      <c r="A446" s="27" t="s">
        <v>10</v>
      </c>
      <c r="B446" s="32" t="s">
        <v>782</v>
      </c>
      <c r="C446" s="32"/>
      <c r="D446" s="32"/>
      <c r="E446" s="32"/>
      <c r="F446" s="32"/>
      <c r="G446" s="32"/>
      <c r="H446" s="32"/>
      <c r="I446" s="32"/>
      <c r="J446" s="32"/>
    </row>
    <row r="447" spans="1:10" x14ac:dyDescent="0.25">
      <c r="A447" s="27" t="s">
        <v>10</v>
      </c>
      <c r="B447" s="32" t="s">
        <v>783</v>
      </c>
      <c r="C447" s="32"/>
      <c r="D447" s="32"/>
      <c r="E447" s="32"/>
      <c r="F447" s="32"/>
      <c r="G447" s="32"/>
      <c r="H447" s="32"/>
      <c r="I447" s="32"/>
      <c r="J447" s="32"/>
    </row>
    <row r="448" spans="1:10" x14ac:dyDescent="0.25">
      <c r="A448" s="27" t="s">
        <v>10</v>
      </c>
      <c r="B448" s="32" t="s">
        <v>784</v>
      </c>
      <c r="C448" s="32"/>
      <c r="D448" s="32"/>
      <c r="E448" s="32"/>
      <c r="F448" s="32"/>
      <c r="G448" s="32"/>
      <c r="H448" s="32"/>
      <c r="I448" s="32"/>
      <c r="J448" s="32"/>
    </row>
    <row r="449" spans="1:10" x14ac:dyDescent="0.25">
      <c r="A449" s="27" t="s">
        <v>10</v>
      </c>
      <c r="B449" s="32" t="s">
        <v>785</v>
      </c>
      <c r="C449" s="32"/>
      <c r="D449" s="32"/>
      <c r="E449" s="32"/>
      <c r="F449" s="32"/>
      <c r="G449" s="32"/>
      <c r="H449" s="32"/>
      <c r="I449" s="32"/>
      <c r="J449" s="32"/>
    </row>
    <row r="450" spans="1:10" x14ac:dyDescent="0.25">
      <c r="A450" t="s">
        <v>10</v>
      </c>
      <c r="B450" s="1" t="s">
        <v>498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/>
    </row>
    <row r="451" spans="1:10" x14ac:dyDescent="0.25">
      <c r="A451" s="27" t="s">
        <v>10</v>
      </c>
      <c r="B451" s="32" t="s">
        <v>786</v>
      </c>
      <c r="C451" s="32"/>
      <c r="D451" s="32"/>
      <c r="E451" s="32"/>
      <c r="F451" s="32"/>
      <c r="G451" s="32"/>
      <c r="H451" s="32"/>
      <c r="I451" s="32"/>
      <c r="J451" s="32"/>
    </row>
    <row r="452" spans="1:10" x14ac:dyDescent="0.25">
      <c r="A452" t="s">
        <v>10</v>
      </c>
      <c r="B452" s="1" t="s">
        <v>499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/>
    </row>
    <row r="453" spans="1:10" x14ac:dyDescent="0.25">
      <c r="A453" t="s">
        <v>10</v>
      </c>
      <c r="B453" s="1" t="s">
        <v>500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/>
    </row>
    <row r="454" spans="1:10" x14ac:dyDescent="0.25">
      <c r="A454" t="s">
        <v>76</v>
      </c>
      <c r="B454" t="s">
        <v>501</v>
      </c>
      <c r="C454" s="1">
        <v>11060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/>
    </row>
    <row r="455" spans="1:10" x14ac:dyDescent="0.25">
      <c r="A455" t="s">
        <v>817</v>
      </c>
      <c r="B455" t="s">
        <v>502</v>
      </c>
      <c r="C455" s="1">
        <v>660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/>
    </row>
    <row r="456" spans="1:10" x14ac:dyDescent="0.25">
      <c r="A456" t="s">
        <v>831</v>
      </c>
      <c r="B456" t="s">
        <v>503</v>
      </c>
      <c r="C456" s="1">
        <v>1453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/>
    </row>
    <row r="457" spans="1:10" x14ac:dyDescent="0.25">
      <c r="A457" t="s">
        <v>76</v>
      </c>
      <c r="B457" t="s">
        <v>504</v>
      </c>
      <c r="C457" s="1">
        <v>22933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/>
    </row>
    <row r="458" spans="1:10" x14ac:dyDescent="0.25">
      <c r="A458" t="s">
        <v>817</v>
      </c>
      <c r="B458" t="s">
        <v>505</v>
      </c>
      <c r="C458" s="1">
        <v>6947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/>
    </row>
    <row r="459" spans="1:10" x14ac:dyDescent="0.25">
      <c r="A459" s="9" t="s">
        <v>824</v>
      </c>
      <c r="B459" s="10" t="s">
        <v>506</v>
      </c>
      <c r="C459" s="1">
        <v>5157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/>
    </row>
    <row r="460" spans="1:10" x14ac:dyDescent="0.25">
      <c r="A460" t="s">
        <v>817</v>
      </c>
      <c r="B460" t="s">
        <v>507</v>
      </c>
      <c r="C460" s="1">
        <v>13427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/>
    </row>
    <row r="461" spans="1:10" x14ac:dyDescent="0.25">
      <c r="A461" t="s">
        <v>817</v>
      </c>
      <c r="B461" t="s">
        <v>508</v>
      </c>
      <c r="C461" s="1">
        <v>2719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/>
    </row>
    <row r="462" spans="1:10" x14ac:dyDescent="0.25">
      <c r="A462" t="s">
        <v>801</v>
      </c>
      <c r="B462" t="s">
        <v>509</v>
      </c>
      <c r="C462" s="1">
        <v>714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/>
    </row>
    <row r="463" spans="1:10" x14ac:dyDescent="0.25">
      <c r="A463" t="s">
        <v>801</v>
      </c>
      <c r="B463" t="s">
        <v>510</v>
      </c>
      <c r="C463" s="1">
        <v>18987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/>
    </row>
    <row r="464" spans="1:10" x14ac:dyDescent="0.25">
      <c r="A464" t="s">
        <v>831</v>
      </c>
      <c r="B464" t="s">
        <v>511</v>
      </c>
      <c r="C464" s="1">
        <v>2113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/>
    </row>
    <row r="465" spans="1:10" x14ac:dyDescent="0.25">
      <c r="A465" t="s">
        <v>512</v>
      </c>
      <c r="B465" t="s">
        <v>513</v>
      </c>
      <c r="C465" s="1">
        <v>5123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/>
    </row>
    <row r="466" spans="1:10" x14ac:dyDescent="0.25">
      <c r="A466" t="s">
        <v>817</v>
      </c>
      <c r="B466" t="s">
        <v>514</v>
      </c>
      <c r="C466" s="1">
        <v>6292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/>
    </row>
    <row r="467" spans="1:10" x14ac:dyDescent="0.25">
      <c r="A467" t="s">
        <v>801</v>
      </c>
      <c r="B467" t="s">
        <v>515</v>
      </c>
      <c r="C467" s="1">
        <v>2368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/>
    </row>
    <row r="468" spans="1:10" x14ac:dyDescent="0.25">
      <c r="A468" t="s">
        <v>848</v>
      </c>
      <c r="B468" t="s">
        <v>516</v>
      </c>
      <c r="C468" s="1">
        <v>3280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/>
    </row>
    <row r="469" spans="1:10" x14ac:dyDescent="0.25">
      <c r="A469" t="s">
        <v>797</v>
      </c>
      <c r="B469" t="s">
        <v>517</v>
      </c>
      <c r="C469" s="1">
        <v>4281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/>
    </row>
    <row r="470" spans="1:10" x14ac:dyDescent="0.25">
      <c r="A470" t="s">
        <v>811</v>
      </c>
      <c r="B470" t="s">
        <v>518</v>
      </c>
      <c r="C470" s="1">
        <v>21606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/>
    </row>
    <row r="471" spans="1:10" x14ac:dyDescent="0.25">
      <c r="A471" t="s">
        <v>226</v>
      </c>
      <c r="B471" t="s">
        <v>519</v>
      </c>
      <c r="C471" s="1">
        <v>1119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/>
    </row>
    <row r="472" spans="1:10" x14ac:dyDescent="0.25">
      <c r="A472" t="s">
        <v>76</v>
      </c>
      <c r="B472" t="s">
        <v>520</v>
      </c>
      <c r="C472" s="1">
        <v>9756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/>
    </row>
    <row r="473" spans="1:10" x14ac:dyDescent="0.25">
      <c r="A473" t="s">
        <v>831</v>
      </c>
      <c r="B473" t="s">
        <v>521</v>
      </c>
      <c r="C473" s="1">
        <v>24435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/>
    </row>
    <row r="474" spans="1:10" x14ac:dyDescent="0.25">
      <c r="A474" t="s">
        <v>72</v>
      </c>
      <c r="B474" t="s">
        <v>522</v>
      </c>
      <c r="C474" s="1">
        <v>2065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/>
    </row>
    <row r="475" spans="1:10" x14ac:dyDescent="0.25">
      <c r="A475" t="s">
        <v>823</v>
      </c>
      <c r="B475" t="s">
        <v>523</v>
      </c>
      <c r="C475" s="1">
        <v>13288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/>
    </row>
    <row r="476" spans="1:10" x14ac:dyDescent="0.25">
      <c r="A476" t="s">
        <v>248</v>
      </c>
      <c r="B476" t="s">
        <v>524</v>
      </c>
      <c r="C476" s="1">
        <v>3883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/>
    </row>
    <row r="477" spans="1:10" x14ac:dyDescent="0.25">
      <c r="A477" t="s">
        <v>231</v>
      </c>
      <c r="B477" t="s">
        <v>525</v>
      </c>
      <c r="C477" s="1">
        <v>4174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/>
    </row>
    <row r="478" spans="1:10" x14ac:dyDescent="0.25">
      <c r="A478" t="s">
        <v>76</v>
      </c>
      <c r="B478" t="s">
        <v>526</v>
      </c>
      <c r="C478" s="1">
        <v>1471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/>
    </row>
    <row r="479" spans="1:10" x14ac:dyDescent="0.25">
      <c r="A479" t="s">
        <v>804</v>
      </c>
      <c r="B479" t="s">
        <v>527</v>
      </c>
      <c r="C479" s="1">
        <v>30391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/>
    </row>
    <row r="480" spans="1:10" x14ac:dyDescent="0.25">
      <c r="A480" t="s">
        <v>76</v>
      </c>
      <c r="B480" t="s">
        <v>528</v>
      </c>
      <c r="C480" s="1">
        <v>1171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/>
    </row>
    <row r="481" spans="1:10" x14ac:dyDescent="0.25">
      <c r="A481" t="s">
        <v>801</v>
      </c>
      <c r="B481" t="s">
        <v>529</v>
      </c>
      <c r="C481" s="1">
        <v>7683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/>
    </row>
    <row r="482" spans="1:10" x14ac:dyDescent="0.25">
      <c r="A482" t="s">
        <v>795</v>
      </c>
      <c r="B482" t="s">
        <v>530</v>
      </c>
      <c r="C482" s="1">
        <v>96842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/>
    </row>
    <row r="483" spans="1:10" x14ac:dyDescent="0.25">
      <c r="A483" t="s">
        <v>848</v>
      </c>
      <c r="B483" t="s">
        <v>531</v>
      </c>
      <c r="C483" s="1">
        <v>3091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/>
    </row>
    <row r="484" spans="1:10" x14ac:dyDescent="0.25">
      <c r="A484" t="s">
        <v>824</v>
      </c>
      <c r="B484" t="s">
        <v>532</v>
      </c>
      <c r="C484" s="1">
        <v>10440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/>
    </row>
    <row r="485" spans="1:10" x14ac:dyDescent="0.25">
      <c r="A485" t="s">
        <v>76</v>
      </c>
      <c r="B485" t="s">
        <v>533</v>
      </c>
      <c r="C485" s="1">
        <v>1362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/>
    </row>
    <row r="486" spans="1:10" x14ac:dyDescent="0.25">
      <c r="A486" t="s">
        <v>101</v>
      </c>
      <c r="B486" t="s">
        <v>534</v>
      </c>
      <c r="C486" s="1">
        <v>8443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/>
    </row>
    <row r="487" spans="1:10" x14ac:dyDescent="0.25">
      <c r="A487" t="s">
        <v>797</v>
      </c>
      <c r="B487" t="s">
        <v>535</v>
      </c>
      <c r="C487" s="1"/>
      <c r="D487" s="1"/>
      <c r="E487" s="1"/>
      <c r="F487" s="1"/>
      <c r="G487" s="1"/>
      <c r="H487" s="1"/>
      <c r="I487" s="1"/>
      <c r="J487" s="1"/>
    </row>
    <row r="488" spans="1:10" x14ac:dyDescent="0.25">
      <c r="A488" t="s">
        <v>120</v>
      </c>
      <c r="B488" t="s">
        <v>536</v>
      </c>
      <c r="C488" s="1">
        <v>4116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/>
    </row>
    <row r="489" spans="1:10" x14ac:dyDescent="0.25">
      <c r="A489" t="s">
        <v>817</v>
      </c>
      <c r="B489" t="s">
        <v>537</v>
      </c>
      <c r="C489" s="1">
        <v>34069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/>
    </row>
    <row r="490" spans="1:10" x14ac:dyDescent="0.25">
      <c r="A490" t="s">
        <v>811</v>
      </c>
      <c r="B490" t="s">
        <v>538</v>
      </c>
      <c r="C490" s="1">
        <v>106086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/>
    </row>
    <row r="491" spans="1:10" x14ac:dyDescent="0.25">
      <c r="A491" t="s">
        <v>817</v>
      </c>
      <c r="B491" t="s">
        <v>539</v>
      </c>
      <c r="C491" s="1">
        <v>9054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/>
    </row>
    <row r="492" spans="1:10" x14ac:dyDescent="0.25">
      <c r="A492" t="s">
        <v>146</v>
      </c>
      <c r="B492" t="s">
        <v>540</v>
      </c>
      <c r="C492" s="1">
        <v>12437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/>
    </row>
    <row r="493" spans="1:10" x14ac:dyDescent="0.25">
      <c r="A493" t="s">
        <v>817</v>
      </c>
      <c r="B493" t="s">
        <v>541</v>
      </c>
      <c r="C493" s="1">
        <v>18111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/>
    </row>
    <row r="494" spans="1:10" x14ac:dyDescent="0.25">
      <c r="A494" t="s">
        <v>72</v>
      </c>
      <c r="B494" t="s">
        <v>542</v>
      </c>
      <c r="C494" s="1">
        <v>20269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/>
    </row>
    <row r="495" spans="1:10" x14ac:dyDescent="0.25">
      <c r="A495" t="s">
        <v>795</v>
      </c>
      <c r="B495" t="s">
        <v>543</v>
      </c>
      <c r="C495" s="1">
        <v>13601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/>
    </row>
    <row r="496" spans="1:10" x14ac:dyDescent="0.25">
      <c r="A496" t="s">
        <v>83</v>
      </c>
      <c r="B496" t="s">
        <v>544</v>
      </c>
      <c r="C496" s="1">
        <v>848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/>
    </row>
    <row r="497" spans="1:10" x14ac:dyDescent="0.25">
      <c r="A497" t="s">
        <v>134</v>
      </c>
      <c r="B497" t="s">
        <v>545</v>
      </c>
      <c r="C497" s="1">
        <v>4819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/>
    </row>
    <row r="498" spans="1:10" x14ac:dyDescent="0.25">
      <c r="A498" t="s">
        <v>76</v>
      </c>
      <c r="B498" t="s">
        <v>546</v>
      </c>
      <c r="C498" s="1">
        <v>2620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/>
    </row>
    <row r="499" spans="1:10" x14ac:dyDescent="0.25">
      <c r="A499" t="s">
        <v>495</v>
      </c>
      <c r="B499" t="s">
        <v>547</v>
      </c>
      <c r="C499" s="1">
        <v>18775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/>
    </row>
    <row r="500" spans="1:10" x14ac:dyDescent="0.25">
      <c r="A500" t="s">
        <v>825</v>
      </c>
      <c r="B500" t="s">
        <v>548</v>
      </c>
      <c r="C500" s="1">
        <v>8777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/>
    </row>
    <row r="501" spans="1:10" x14ac:dyDescent="0.25">
      <c r="A501" t="s">
        <v>72</v>
      </c>
      <c r="B501" t="s">
        <v>549</v>
      </c>
      <c r="C501" s="1">
        <v>26301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/>
    </row>
    <row r="502" spans="1:10" x14ac:dyDescent="0.25">
      <c r="A502" t="s">
        <v>134</v>
      </c>
      <c r="B502" t="s">
        <v>550</v>
      </c>
      <c r="C502" s="1">
        <v>16445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/>
    </row>
    <row r="503" spans="1:10" x14ac:dyDescent="0.25">
      <c r="A503" t="s">
        <v>795</v>
      </c>
      <c r="B503" t="s">
        <v>551</v>
      </c>
      <c r="C503" s="1">
        <v>3791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/>
    </row>
    <row r="504" spans="1:10" x14ac:dyDescent="0.25">
      <c r="A504" t="s">
        <v>76</v>
      </c>
      <c r="B504" t="s">
        <v>552</v>
      </c>
      <c r="C504" s="1">
        <v>1874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/>
    </row>
    <row r="505" spans="1:10" x14ac:dyDescent="0.25">
      <c r="A505" t="s">
        <v>824</v>
      </c>
      <c r="B505" t="s">
        <v>553</v>
      </c>
      <c r="C505" s="1">
        <v>1910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/>
    </row>
    <row r="506" spans="1:10" x14ac:dyDescent="0.25">
      <c r="A506" t="s">
        <v>512</v>
      </c>
      <c r="B506" t="s">
        <v>554</v>
      </c>
      <c r="C506" s="1">
        <v>13583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/>
    </row>
    <row r="507" spans="1:10" x14ac:dyDescent="0.25">
      <c r="A507" t="s">
        <v>788</v>
      </c>
      <c r="B507" t="s">
        <v>555</v>
      </c>
      <c r="C507" s="1">
        <v>76221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/>
    </row>
    <row r="508" spans="1:10" x14ac:dyDescent="0.25">
      <c r="A508" t="s">
        <v>101</v>
      </c>
      <c r="B508" t="s">
        <v>556</v>
      </c>
      <c r="C508" s="1">
        <v>22496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/>
    </row>
    <row r="509" spans="1:10" x14ac:dyDescent="0.25">
      <c r="A509" t="s">
        <v>796</v>
      </c>
      <c r="B509" t="s">
        <v>557</v>
      </c>
      <c r="C509" s="1">
        <v>2784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/>
    </row>
    <row r="510" spans="1:10" x14ac:dyDescent="0.25">
      <c r="A510" t="s">
        <v>817</v>
      </c>
      <c r="B510" t="s">
        <v>558</v>
      </c>
      <c r="C510" s="1">
        <v>5302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/>
    </row>
    <row r="511" spans="1:10" x14ac:dyDescent="0.25">
      <c r="A511" t="s">
        <v>76</v>
      </c>
      <c r="B511" t="s">
        <v>559</v>
      </c>
      <c r="C511" s="1">
        <v>5024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/>
    </row>
    <row r="512" spans="1:10" x14ac:dyDescent="0.25">
      <c r="A512" t="s">
        <v>801</v>
      </c>
      <c r="B512" t="s">
        <v>560</v>
      </c>
      <c r="C512" s="1">
        <v>29427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/>
    </row>
    <row r="513" spans="1:10" x14ac:dyDescent="0.25">
      <c r="A513" t="s">
        <v>796</v>
      </c>
      <c r="B513" t="s">
        <v>561</v>
      </c>
      <c r="C513" s="1">
        <v>9525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/>
    </row>
    <row r="514" spans="1:10" x14ac:dyDescent="0.25">
      <c r="A514" t="s">
        <v>817</v>
      </c>
      <c r="B514" t="s">
        <v>562</v>
      </c>
      <c r="C514" s="1">
        <v>6715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/>
    </row>
    <row r="515" spans="1:10" x14ac:dyDescent="0.25">
      <c r="A515" t="s">
        <v>248</v>
      </c>
      <c r="B515" t="s">
        <v>563</v>
      </c>
      <c r="C515" s="1">
        <v>27404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/>
    </row>
    <row r="516" spans="1:10" x14ac:dyDescent="0.25">
      <c r="A516" t="s">
        <v>791</v>
      </c>
      <c r="B516" t="s">
        <v>564</v>
      </c>
      <c r="C516" s="1">
        <v>7352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/>
    </row>
    <row r="517" spans="1:10" x14ac:dyDescent="0.25">
      <c r="A517" t="s">
        <v>69</v>
      </c>
      <c r="B517" t="s">
        <v>565</v>
      </c>
      <c r="C517" s="1">
        <v>15914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/>
    </row>
    <row r="518" spans="1:10" x14ac:dyDescent="0.25">
      <c r="A518" t="s">
        <v>794</v>
      </c>
      <c r="B518" t="s">
        <v>566</v>
      </c>
      <c r="C518" s="1">
        <v>4908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/>
    </row>
    <row r="519" spans="1:10" x14ac:dyDescent="0.25">
      <c r="A519" t="s">
        <v>797</v>
      </c>
      <c r="B519" t="s">
        <v>567</v>
      </c>
      <c r="C519" s="1">
        <v>2343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/>
    </row>
    <row r="520" spans="1:10" x14ac:dyDescent="0.25">
      <c r="A520" t="s">
        <v>826</v>
      </c>
      <c r="B520" t="s">
        <v>568</v>
      </c>
      <c r="C520" s="1"/>
      <c r="D520" s="1"/>
      <c r="E520" s="1"/>
      <c r="F520" s="1"/>
      <c r="G520" s="1"/>
      <c r="H520" s="1"/>
      <c r="I520" s="1"/>
      <c r="J520" s="1"/>
    </row>
    <row r="521" spans="1:10" x14ac:dyDescent="0.25">
      <c r="A521" t="s">
        <v>864</v>
      </c>
      <c r="B521" t="s">
        <v>569</v>
      </c>
      <c r="C521" s="1">
        <v>15303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/>
    </row>
    <row r="522" spans="1:10" x14ac:dyDescent="0.25">
      <c r="A522" t="s">
        <v>826</v>
      </c>
      <c r="B522" t="s">
        <v>570</v>
      </c>
      <c r="C522" s="1"/>
      <c r="D522" s="1"/>
      <c r="E522" s="1"/>
      <c r="F522" s="1"/>
      <c r="G522" s="1"/>
      <c r="H522" s="1"/>
      <c r="I522" s="1"/>
      <c r="J522" s="1"/>
    </row>
    <row r="523" spans="1:10" x14ac:dyDescent="0.25">
      <c r="A523" t="s">
        <v>72</v>
      </c>
      <c r="B523" t="s">
        <v>571</v>
      </c>
      <c r="C523" s="1">
        <v>19903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/>
    </row>
    <row r="524" spans="1:10" x14ac:dyDescent="0.25">
      <c r="A524" t="s">
        <v>801</v>
      </c>
      <c r="B524" t="s">
        <v>572</v>
      </c>
      <c r="C524" s="1">
        <v>21586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/>
    </row>
    <row r="525" spans="1:10" x14ac:dyDescent="0.25">
      <c r="A525" t="s">
        <v>859</v>
      </c>
      <c r="B525" t="s">
        <v>573</v>
      </c>
      <c r="C525" s="1">
        <v>6030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/>
    </row>
    <row r="526" spans="1:10" x14ac:dyDescent="0.25">
      <c r="A526" t="s">
        <v>816</v>
      </c>
      <c r="B526" t="s">
        <v>574</v>
      </c>
      <c r="C526" s="1">
        <v>15470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/>
    </row>
    <row r="527" spans="1:10" x14ac:dyDescent="0.25">
      <c r="A527" t="s">
        <v>864</v>
      </c>
      <c r="B527" t="s">
        <v>575</v>
      </c>
      <c r="C527" s="1">
        <v>24379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/>
    </row>
    <row r="528" spans="1:10" x14ac:dyDescent="0.25">
      <c r="A528" t="s">
        <v>146</v>
      </c>
      <c r="B528" t="s">
        <v>576</v>
      </c>
      <c r="C528" s="1">
        <v>4389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/>
    </row>
    <row r="529" spans="1:10" x14ac:dyDescent="0.25">
      <c r="A529" t="s">
        <v>794</v>
      </c>
      <c r="B529" t="s">
        <v>577</v>
      </c>
      <c r="C529" s="1">
        <v>19501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/>
    </row>
    <row r="530" spans="1:10" x14ac:dyDescent="0.25">
      <c r="A530" t="s">
        <v>146</v>
      </c>
      <c r="B530" t="s">
        <v>578</v>
      </c>
      <c r="C530" s="1">
        <v>22666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/>
    </row>
    <row r="531" spans="1:10" x14ac:dyDescent="0.25">
      <c r="A531" t="s">
        <v>832</v>
      </c>
      <c r="B531" t="s">
        <v>579</v>
      </c>
      <c r="C531" s="1">
        <v>6584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/>
    </row>
    <row r="532" spans="1:10" x14ac:dyDescent="0.25">
      <c r="A532" t="s">
        <v>839</v>
      </c>
      <c r="B532" t="s">
        <v>580</v>
      </c>
      <c r="C532" s="1">
        <v>29397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/>
    </row>
    <row r="533" spans="1:10" x14ac:dyDescent="0.25">
      <c r="A533" t="s">
        <v>794</v>
      </c>
      <c r="B533" t="s">
        <v>581</v>
      </c>
      <c r="C533" s="1">
        <v>48129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/>
    </row>
    <row r="534" spans="1:10" x14ac:dyDescent="0.25">
      <c r="A534" t="s">
        <v>794</v>
      </c>
      <c r="B534" t="s">
        <v>582</v>
      </c>
      <c r="C534" s="1">
        <v>22113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/>
    </row>
    <row r="535" spans="1:10" x14ac:dyDescent="0.25">
      <c r="A535" t="s">
        <v>794</v>
      </c>
      <c r="B535" t="s">
        <v>583</v>
      </c>
      <c r="C535" s="1">
        <v>10332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/>
    </row>
    <row r="536" spans="1:10" x14ac:dyDescent="0.25">
      <c r="A536" t="s">
        <v>120</v>
      </c>
      <c r="B536" t="s">
        <v>584</v>
      </c>
      <c r="C536" s="1">
        <v>1987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/>
    </row>
    <row r="537" spans="1:10" x14ac:dyDescent="0.25">
      <c r="A537" t="s">
        <v>837</v>
      </c>
      <c r="B537" t="s">
        <v>585</v>
      </c>
      <c r="C537" s="1">
        <v>6993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/>
    </row>
    <row r="538" spans="1:10" x14ac:dyDescent="0.25">
      <c r="A538" t="s">
        <v>859</v>
      </c>
      <c r="B538" t="s">
        <v>586</v>
      </c>
      <c r="C538" s="1">
        <v>10556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/>
    </row>
    <row r="539" spans="1:10" x14ac:dyDescent="0.25">
      <c r="A539" t="s">
        <v>836</v>
      </c>
      <c r="B539" t="s">
        <v>587</v>
      </c>
      <c r="C539" s="1">
        <v>23482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/>
    </row>
    <row r="540" spans="1:10" x14ac:dyDescent="0.25">
      <c r="A540" t="s">
        <v>844</v>
      </c>
      <c r="B540" t="s">
        <v>588</v>
      </c>
      <c r="C540" s="1">
        <v>13249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/>
    </row>
    <row r="541" spans="1:10" x14ac:dyDescent="0.25">
      <c r="A541" t="s">
        <v>838</v>
      </c>
      <c r="B541" t="s">
        <v>589</v>
      </c>
      <c r="C541" s="1">
        <v>8217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/>
    </row>
    <row r="542" spans="1:10" x14ac:dyDescent="0.25">
      <c r="A542" t="s">
        <v>833</v>
      </c>
      <c r="B542" t="s">
        <v>590</v>
      </c>
      <c r="C542" s="1">
        <v>15318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/>
    </row>
    <row r="543" spans="1:10" x14ac:dyDescent="0.25">
      <c r="A543" t="s">
        <v>845</v>
      </c>
      <c r="B543" t="s">
        <v>591</v>
      </c>
      <c r="C543" s="1">
        <v>989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/>
    </row>
    <row r="544" spans="1:10" x14ac:dyDescent="0.25">
      <c r="A544" t="s">
        <v>794</v>
      </c>
      <c r="B544" t="s">
        <v>592</v>
      </c>
      <c r="C544" s="1">
        <v>2886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/>
    </row>
    <row r="545" spans="1:10" x14ac:dyDescent="0.25">
      <c r="A545" t="s">
        <v>843</v>
      </c>
      <c r="B545" t="s">
        <v>593</v>
      </c>
      <c r="C545" s="1">
        <v>2094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/>
    </row>
    <row r="546" spans="1:10" x14ac:dyDescent="0.25">
      <c r="A546" t="s">
        <v>863</v>
      </c>
      <c r="B546" t="s">
        <v>594</v>
      </c>
      <c r="C546" s="1">
        <v>5585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/>
    </row>
    <row r="547" spans="1:10" x14ac:dyDescent="0.25">
      <c r="A547" t="s">
        <v>804</v>
      </c>
      <c r="B547" t="s">
        <v>595</v>
      </c>
      <c r="C547" s="1">
        <v>2863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/>
    </row>
    <row r="548" spans="1:10" x14ac:dyDescent="0.25">
      <c r="A548" t="s">
        <v>795</v>
      </c>
      <c r="B548" t="s">
        <v>596</v>
      </c>
      <c r="C548" s="1">
        <v>8161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/>
    </row>
    <row r="549" spans="1:10" x14ac:dyDescent="0.25">
      <c r="A549" t="s">
        <v>101</v>
      </c>
      <c r="B549" t="s">
        <v>597</v>
      </c>
      <c r="C549" s="1">
        <v>15000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/>
    </row>
    <row r="550" spans="1:10" x14ac:dyDescent="0.25">
      <c r="A550" t="s">
        <v>835</v>
      </c>
      <c r="B550" t="s">
        <v>598</v>
      </c>
      <c r="C550" s="1">
        <v>5196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/>
    </row>
    <row r="551" spans="1:10" x14ac:dyDescent="0.25">
      <c r="A551" t="s">
        <v>842</v>
      </c>
      <c r="B551" t="s">
        <v>599</v>
      </c>
      <c r="C551" s="1">
        <v>3566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/>
    </row>
    <row r="552" spans="1:10" x14ac:dyDescent="0.25">
      <c r="A552" t="s">
        <v>226</v>
      </c>
      <c r="B552" t="s">
        <v>600</v>
      </c>
      <c r="C552" s="1">
        <v>2476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/>
    </row>
    <row r="553" spans="1:10" x14ac:dyDescent="0.25">
      <c r="A553" t="s">
        <v>817</v>
      </c>
      <c r="B553" t="s">
        <v>601</v>
      </c>
      <c r="C553" s="1">
        <v>14441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/>
    </row>
    <row r="554" spans="1:10" x14ac:dyDescent="0.25">
      <c r="A554" t="s">
        <v>788</v>
      </c>
      <c r="B554" t="s">
        <v>602</v>
      </c>
      <c r="C554" s="1"/>
      <c r="D554" s="1"/>
      <c r="E554" s="1"/>
      <c r="F554" s="1"/>
      <c r="G554" s="1"/>
      <c r="H554" s="1"/>
      <c r="I554" s="1"/>
      <c r="J554" s="1"/>
    </row>
    <row r="555" spans="1:10" x14ac:dyDescent="0.25">
      <c r="A555" t="s">
        <v>859</v>
      </c>
      <c r="B555" t="s">
        <v>603</v>
      </c>
      <c r="C555" s="1">
        <v>4147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/>
    </row>
    <row r="556" spans="1:10" x14ac:dyDescent="0.25">
      <c r="A556" t="s">
        <v>831</v>
      </c>
      <c r="B556" t="s">
        <v>604</v>
      </c>
      <c r="C556" s="1">
        <v>13470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/>
    </row>
    <row r="557" spans="1:10" x14ac:dyDescent="0.25">
      <c r="A557" t="s">
        <v>809</v>
      </c>
      <c r="B557" t="s">
        <v>605</v>
      </c>
      <c r="C557" s="1">
        <v>1779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/>
    </row>
    <row r="558" spans="1:10" x14ac:dyDescent="0.25">
      <c r="A558" t="s">
        <v>817</v>
      </c>
      <c r="B558" t="s">
        <v>606</v>
      </c>
      <c r="C558" s="1">
        <v>60319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/>
    </row>
    <row r="559" spans="1:10" x14ac:dyDescent="0.25">
      <c r="A559" t="s">
        <v>824</v>
      </c>
      <c r="B559" t="s">
        <v>607</v>
      </c>
      <c r="C559" s="1">
        <v>4003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/>
    </row>
    <row r="560" spans="1:10" x14ac:dyDescent="0.25">
      <c r="A560" t="s">
        <v>138</v>
      </c>
      <c r="B560" t="s">
        <v>608</v>
      </c>
      <c r="C560" s="1">
        <v>21687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/>
    </row>
    <row r="561" spans="1:10" x14ac:dyDescent="0.25">
      <c r="A561" t="s">
        <v>859</v>
      </c>
      <c r="B561" t="s">
        <v>609</v>
      </c>
      <c r="C561" s="1">
        <v>4567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/>
    </row>
    <row r="562" spans="1:10" x14ac:dyDescent="0.25">
      <c r="A562" t="s">
        <v>817</v>
      </c>
      <c r="B562" t="s">
        <v>610</v>
      </c>
      <c r="C562" s="1">
        <v>38665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/>
    </row>
    <row r="563" spans="1:10" x14ac:dyDescent="0.25">
      <c r="A563" t="s">
        <v>817</v>
      </c>
      <c r="B563" t="s">
        <v>611</v>
      </c>
      <c r="C563" s="1">
        <v>8928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/>
    </row>
    <row r="564" spans="1:10" x14ac:dyDescent="0.25">
      <c r="A564" t="s">
        <v>134</v>
      </c>
      <c r="B564" t="s">
        <v>612</v>
      </c>
      <c r="C564" s="1">
        <v>37159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/>
    </row>
    <row r="565" spans="1:10" x14ac:dyDescent="0.25">
      <c r="A565" t="s">
        <v>817</v>
      </c>
      <c r="B565" t="s">
        <v>613</v>
      </c>
      <c r="C565" s="1">
        <v>37866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/>
    </row>
    <row r="566" spans="1:10" x14ac:dyDescent="0.25">
      <c r="A566" t="s">
        <v>817</v>
      </c>
      <c r="B566" t="s">
        <v>614</v>
      </c>
      <c r="C566" s="1">
        <v>4097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/>
    </row>
    <row r="567" spans="1:10" x14ac:dyDescent="0.25">
      <c r="A567" t="s">
        <v>826</v>
      </c>
      <c r="B567" t="s">
        <v>615</v>
      </c>
      <c r="C567" s="1">
        <v>6960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/>
    </row>
    <row r="568" spans="1:10" x14ac:dyDescent="0.25">
      <c r="A568" t="s">
        <v>101</v>
      </c>
      <c r="B568" t="s">
        <v>616</v>
      </c>
      <c r="C568" s="1">
        <v>11210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/>
    </row>
    <row r="569" spans="1:10" x14ac:dyDescent="0.25">
      <c r="A569" t="s">
        <v>811</v>
      </c>
      <c r="B569" t="s">
        <v>617</v>
      </c>
      <c r="C569" s="1">
        <v>4293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/>
    </row>
    <row r="570" spans="1:10" x14ac:dyDescent="0.25">
      <c r="A570" t="s">
        <v>101</v>
      </c>
      <c r="B570" t="s">
        <v>618</v>
      </c>
      <c r="C570" s="1">
        <v>4198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/>
    </row>
    <row r="571" spans="1:10" x14ac:dyDescent="0.25">
      <c r="A571" t="s">
        <v>788</v>
      </c>
      <c r="B571" t="s">
        <v>619</v>
      </c>
      <c r="C571" s="1">
        <v>16485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/>
    </row>
    <row r="572" spans="1:10" x14ac:dyDescent="0.25">
      <c r="A572" t="s">
        <v>817</v>
      </c>
      <c r="B572" t="s">
        <v>620</v>
      </c>
      <c r="C572" s="1">
        <v>15971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/>
    </row>
    <row r="573" spans="1:10" x14ac:dyDescent="0.25">
      <c r="A573" t="s">
        <v>248</v>
      </c>
      <c r="B573" t="s">
        <v>621</v>
      </c>
      <c r="C573" s="1">
        <v>6497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/>
    </row>
    <row r="574" spans="1:10" x14ac:dyDescent="0.25">
      <c r="A574" t="s">
        <v>831</v>
      </c>
      <c r="B574" t="s">
        <v>622</v>
      </c>
      <c r="C574" s="1">
        <v>26436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/>
    </row>
    <row r="575" spans="1:10" x14ac:dyDescent="0.25">
      <c r="A575" t="s">
        <v>823</v>
      </c>
      <c r="B575" t="s">
        <v>623</v>
      </c>
      <c r="C575" s="1">
        <v>4986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/>
    </row>
    <row r="576" spans="1:10" x14ac:dyDescent="0.25">
      <c r="A576" t="s">
        <v>817</v>
      </c>
      <c r="B576" t="s">
        <v>624</v>
      </c>
      <c r="C576" s="1">
        <v>8557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/>
    </row>
    <row r="577" spans="1:10" x14ac:dyDescent="0.25">
      <c r="A577" t="s">
        <v>76</v>
      </c>
      <c r="B577" t="s">
        <v>625</v>
      </c>
      <c r="C577" s="1">
        <v>18793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/>
    </row>
    <row r="578" spans="1:10" x14ac:dyDescent="0.25">
      <c r="A578" t="s">
        <v>69</v>
      </c>
      <c r="B578" t="s">
        <v>626</v>
      </c>
      <c r="C578" s="1">
        <v>43139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/>
    </row>
    <row r="579" spans="1:10" x14ac:dyDescent="0.25">
      <c r="A579" t="s">
        <v>83</v>
      </c>
      <c r="B579" t="s">
        <v>627</v>
      </c>
      <c r="C579" s="1">
        <v>6961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/>
    </row>
    <row r="580" spans="1:10" x14ac:dyDescent="0.25">
      <c r="A580" t="s">
        <v>791</v>
      </c>
      <c r="B580" t="s">
        <v>628</v>
      </c>
      <c r="C580" s="1">
        <v>4467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/>
    </row>
    <row r="581" spans="1:10" x14ac:dyDescent="0.25">
      <c r="A581" t="s">
        <v>797</v>
      </c>
      <c r="B581" t="s">
        <v>629</v>
      </c>
      <c r="C581" s="1">
        <v>687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/>
    </row>
    <row r="582" spans="1:10" x14ac:dyDescent="0.25">
      <c r="A582" t="s">
        <v>69</v>
      </c>
      <c r="B582" t="s">
        <v>630</v>
      </c>
      <c r="C582" s="1">
        <v>13305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/>
    </row>
    <row r="583" spans="1:10" x14ac:dyDescent="0.25">
      <c r="A583" t="s">
        <v>69</v>
      </c>
      <c r="B583" t="s">
        <v>631</v>
      </c>
      <c r="C583" s="1">
        <v>28121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/>
    </row>
    <row r="584" spans="1:10" x14ac:dyDescent="0.25">
      <c r="A584" t="s">
        <v>823</v>
      </c>
      <c r="B584" t="s">
        <v>632</v>
      </c>
      <c r="C584" s="1">
        <v>3233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/>
    </row>
    <row r="585" spans="1:10" x14ac:dyDescent="0.25">
      <c r="A585" t="s">
        <v>76</v>
      </c>
      <c r="B585" t="s">
        <v>633</v>
      </c>
      <c r="C585" s="1">
        <v>9458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/>
    </row>
    <row r="586" spans="1:10" x14ac:dyDescent="0.25">
      <c r="A586" t="s">
        <v>817</v>
      </c>
      <c r="B586" t="s">
        <v>634</v>
      </c>
      <c r="C586" s="1">
        <v>5523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/>
    </row>
    <row r="587" spans="1:10" x14ac:dyDescent="0.25">
      <c r="A587" t="s">
        <v>801</v>
      </c>
      <c r="B587" t="s">
        <v>635</v>
      </c>
      <c r="C587" s="1">
        <v>40341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/>
    </row>
    <row r="588" spans="1:10" x14ac:dyDescent="0.25">
      <c r="A588" t="s">
        <v>817</v>
      </c>
      <c r="B588" t="s">
        <v>636</v>
      </c>
      <c r="C588" s="1">
        <v>8118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/>
    </row>
    <row r="589" spans="1:10" x14ac:dyDescent="0.25">
      <c r="A589" t="s">
        <v>824</v>
      </c>
      <c r="B589" t="s">
        <v>637</v>
      </c>
      <c r="C589" s="1">
        <v>7683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/>
    </row>
    <row r="590" spans="1:10" x14ac:dyDescent="0.25">
      <c r="A590" t="s">
        <v>818</v>
      </c>
      <c r="B590" t="s">
        <v>638</v>
      </c>
      <c r="C590" s="1">
        <v>21879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/>
    </row>
    <row r="591" spans="1:10" x14ac:dyDescent="0.25">
      <c r="A591" t="s">
        <v>817</v>
      </c>
      <c r="B591" t="s">
        <v>639</v>
      </c>
      <c r="C591" s="1">
        <v>14467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/>
    </row>
    <row r="592" spans="1:10" x14ac:dyDescent="0.25">
      <c r="A592" t="s">
        <v>811</v>
      </c>
      <c r="B592" t="s">
        <v>640</v>
      </c>
      <c r="C592" s="1">
        <v>87245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/>
    </row>
    <row r="593" spans="1:10" x14ac:dyDescent="0.25">
      <c r="A593" t="s">
        <v>811</v>
      </c>
      <c r="B593" t="s">
        <v>641</v>
      </c>
      <c r="C593" s="1">
        <v>23626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/>
    </row>
    <row r="594" spans="1:10" x14ac:dyDescent="0.25">
      <c r="A594" t="s">
        <v>76</v>
      </c>
      <c r="B594" t="s">
        <v>642</v>
      </c>
      <c r="C594" s="1">
        <v>4392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/>
    </row>
    <row r="595" spans="1:10" x14ac:dyDescent="0.25">
      <c r="A595" t="s">
        <v>817</v>
      </c>
      <c r="B595" t="s">
        <v>643</v>
      </c>
      <c r="C595" s="1"/>
      <c r="D595" s="1"/>
      <c r="E595" s="1"/>
      <c r="F595" s="1"/>
      <c r="G595" s="1"/>
      <c r="H595" s="1"/>
      <c r="I595" s="1"/>
      <c r="J595" s="1"/>
    </row>
    <row r="596" spans="1:10" x14ac:dyDescent="0.25">
      <c r="A596" t="s">
        <v>76</v>
      </c>
      <c r="B596" t="s">
        <v>644</v>
      </c>
      <c r="C596" s="1">
        <v>6261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/>
    </row>
    <row r="597" spans="1:10" x14ac:dyDescent="0.25">
      <c r="A597" t="s">
        <v>817</v>
      </c>
      <c r="B597" t="s">
        <v>645</v>
      </c>
      <c r="C597" s="1">
        <v>26328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/>
    </row>
    <row r="598" spans="1:10" x14ac:dyDescent="0.25">
      <c r="A598" t="s">
        <v>817</v>
      </c>
      <c r="B598" t="s">
        <v>646</v>
      </c>
      <c r="C598" s="1">
        <v>8928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/>
    </row>
    <row r="599" spans="1:10" x14ac:dyDescent="0.25">
      <c r="A599" t="s">
        <v>226</v>
      </c>
      <c r="B599" t="s">
        <v>647</v>
      </c>
      <c r="C599" s="1">
        <v>691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/>
    </row>
    <row r="600" spans="1:10" x14ac:dyDescent="0.25">
      <c r="A600" t="s">
        <v>831</v>
      </c>
      <c r="B600" t="s">
        <v>648</v>
      </c>
      <c r="C600" s="1">
        <v>23704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/>
    </row>
    <row r="601" spans="1:10" x14ac:dyDescent="0.25">
      <c r="A601" t="s">
        <v>818</v>
      </c>
      <c r="B601" t="s">
        <v>649</v>
      </c>
      <c r="C601" s="1">
        <v>10566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/>
    </row>
    <row r="602" spans="1:10" x14ac:dyDescent="0.25">
      <c r="A602" t="s">
        <v>817</v>
      </c>
      <c r="B602" t="s">
        <v>650</v>
      </c>
      <c r="C602" s="1">
        <v>20868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/>
    </row>
    <row r="603" spans="1:10" x14ac:dyDescent="0.25">
      <c r="A603" t="s">
        <v>817</v>
      </c>
      <c r="B603" t="s">
        <v>651</v>
      </c>
      <c r="C603" s="1">
        <v>10198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/>
    </row>
    <row r="604" spans="1:10" x14ac:dyDescent="0.25">
      <c r="A604" t="s">
        <v>817</v>
      </c>
      <c r="B604" t="s">
        <v>652</v>
      </c>
      <c r="C604" s="1"/>
      <c r="D604" s="1"/>
      <c r="E604" s="1"/>
      <c r="F604" s="1"/>
      <c r="G604" s="1"/>
      <c r="H604" s="1"/>
      <c r="I604" s="1"/>
      <c r="J604" s="1"/>
    </row>
    <row r="605" spans="1:10" x14ac:dyDescent="0.25">
      <c r="A605" t="s">
        <v>817</v>
      </c>
      <c r="B605" t="s">
        <v>653</v>
      </c>
      <c r="C605" s="1">
        <v>33329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/>
    </row>
    <row r="606" spans="1:10" x14ac:dyDescent="0.25">
      <c r="A606" t="s">
        <v>817</v>
      </c>
      <c r="B606" t="s">
        <v>654</v>
      </c>
      <c r="C606" s="1">
        <v>25079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/>
    </row>
    <row r="607" spans="1:10" x14ac:dyDescent="0.25">
      <c r="A607" t="s">
        <v>826</v>
      </c>
      <c r="B607" t="s">
        <v>655</v>
      </c>
      <c r="C607" s="1"/>
      <c r="D607" s="1"/>
      <c r="E607" s="1"/>
      <c r="F607" s="1"/>
      <c r="G607" s="1"/>
      <c r="H607" s="1"/>
      <c r="I607" s="1"/>
      <c r="J607" s="1"/>
    </row>
    <row r="608" spans="1:10" x14ac:dyDescent="0.25">
      <c r="A608" t="s">
        <v>817</v>
      </c>
      <c r="B608" t="s">
        <v>656</v>
      </c>
      <c r="C608" s="1">
        <v>6192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/>
    </row>
    <row r="609" spans="1:10" x14ac:dyDescent="0.25">
      <c r="A609" t="s">
        <v>811</v>
      </c>
      <c r="B609" t="s">
        <v>657</v>
      </c>
      <c r="C609" s="1">
        <v>36216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/>
    </row>
    <row r="610" spans="1:10" x14ac:dyDescent="0.25">
      <c r="A610" t="s">
        <v>817</v>
      </c>
      <c r="B610" t="s">
        <v>658</v>
      </c>
      <c r="C610" s="1">
        <v>36836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/>
    </row>
    <row r="611" spans="1:10" x14ac:dyDescent="0.25">
      <c r="A611" t="s">
        <v>860</v>
      </c>
      <c r="B611" t="s">
        <v>659</v>
      </c>
      <c r="C611" s="1">
        <v>7125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/>
    </row>
    <row r="612" spans="1:10" x14ac:dyDescent="0.25">
      <c r="A612" t="s">
        <v>248</v>
      </c>
      <c r="B612" t="s">
        <v>660</v>
      </c>
      <c r="C612" s="1">
        <v>9979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/>
    </row>
    <row r="613" spans="1:10" x14ac:dyDescent="0.25">
      <c r="A613" t="s">
        <v>861</v>
      </c>
      <c r="B613" t="s">
        <v>661</v>
      </c>
      <c r="C613" s="1">
        <v>6303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/>
    </row>
    <row r="614" spans="1:10" x14ac:dyDescent="0.25">
      <c r="A614" t="s">
        <v>229</v>
      </c>
      <c r="B614" t="s">
        <v>662</v>
      </c>
      <c r="C614" s="1">
        <v>8978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/>
    </row>
    <row r="615" spans="1:10" x14ac:dyDescent="0.25">
      <c r="A615" t="s">
        <v>101</v>
      </c>
      <c r="B615" t="s">
        <v>663</v>
      </c>
      <c r="C615" s="1">
        <v>5534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/>
    </row>
    <row r="616" spans="1:10" x14ac:dyDescent="0.25">
      <c r="A616" t="s">
        <v>69</v>
      </c>
      <c r="B616" t="s">
        <v>664</v>
      </c>
      <c r="C616" s="1">
        <v>12476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/>
    </row>
    <row r="617" spans="1:10" x14ac:dyDescent="0.25">
      <c r="A617" t="s">
        <v>859</v>
      </c>
      <c r="B617" t="s">
        <v>665</v>
      </c>
      <c r="C617" s="1">
        <v>6754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/>
    </row>
    <row r="618" spans="1:10" x14ac:dyDescent="0.25">
      <c r="A618" t="s">
        <v>804</v>
      </c>
      <c r="B618" t="s">
        <v>666</v>
      </c>
      <c r="C618" s="1">
        <v>24254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/>
    </row>
    <row r="619" spans="1:10" x14ac:dyDescent="0.25">
      <c r="A619" t="s">
        <v>853</v>
      </c>
      <c r="B619" t="s">
        <v>667</v>
      </c>
      <c r="C619" s="1">
        <v>3359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/>
    </row>
    <row r="620" spans="1:10" x14ac:dyDescent="0.25">
      <c r="A620" t="s">
        <v>862</v>
      </c>
      <c r="B620" t="s">
        <v>668</v>
      </c>
      <c r="C620" s="1">
        <v>7434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/>
    </row>
    <row r="621" spans="1:10" x14ac:dyDescent="0.25">
      <c r="A621" t="s">
        <v>847</v>
      </c>
      <c r="B621" t="s">
        <v>669</v>
      </c>
      <c r="C621" s="1">
        <v>2168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/>
    </row>
    <row r="622" spans="1:10" x14ac:dyDescent="0.25">
      <c r="A622" t="s">
        <v>849</v>
      </c>
      <c r="B622" t="s">
        <v>670</v>
      </c>
      <c r="C622" s="1">
        <v>1091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/>
    </row>
    <row r="623" spans="1:10" x14ac:dyDescent="0.25">
      <c r="A623" t="s">
        <v>226</v>
      </c>
      <c r="B623" t="s">
        <v>671</v>
      </c>
      <c r="C623" s="1">
        <v>571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/>
    </row>
    <row r="624" spans="1:10" x14ac:dyDescent="0.25">
      <c r="A624" t="s">
        <v>795</v>
      </c>
      <c r="B624" t="s">
        <v>672</v>
      </c>
      <c r="C624" s="1">
        <v>34393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/>
    </row>
    <row r="625" spans="1:10" x14ac:dyDescent="0.25">
      <c r="A625" t="s">
        <v>830</v>
      </c>
      <c r="B625" t="s">
        <v>673</v>
      </c>
      <c r="C625" s="1">
        <v>6957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/>
    </row>
    <row r="626" spans="1:10" x14ac:dyDescent="0.25">
      <c r="A626" t="s">
        <v>795</v>
      </c>
      <c r="B626" t="s">
        <v>674</v>
      </c>
      <c r="C626" s="1">
        <v>30025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/>
    </row>
    <row r="627" spans="1:10" x14ac:dyDescent="0.25">
      <c r="A627" t="s">
        <v>854</v>
      </c>
      <c r="B627" t="s">
        <v>675</v>
      </c>
      <c r="C627" s="1">
        <v>4251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/>
    </row>
    <row r="628" spans="1:10" x14ac:dyDescent="0.25">
      <c r="A628" t="s">
        <v>101</v>
      </c>
      <c r="B628" t="s">
        <v>676</v>
      </c>
      <c r="C628" s="1">
        <v>18142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/>
    </row>
    <row r="629" spans="1:10" x14ac:dyDescent="0.25">
      <c r="A629" t="s">
        <v>226</v>
      </c>
      <c r="B629" t="s">
        <v>677</v>
      </c>
      <c r="C629" s="1">
        <v>4988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/>
    </row>
    <row r="630" spans="1:10" x14ac:dyDescent="0.25">
      <c r="A630" t="s">
        <v>138</v>
      </c>
      <c r="B630" t="s">
        <v>678</v>
      </c>
      <c r="C630" s="1"/>
      <c r="D630" s="1"/>
      <c r="E630" s="1"/>
      <c r="F630" s="1"/>
      <c r="G630" s="1"/>
      <c r="H630" s="1"/>
      <c r="I630" s="1"/>
      <c r="J630" s="1"/>
    </row>
    <row r="631" spans="1:10" x14ac:dyDescent="0.25">
      <c r="A631" t="s">
        <v>804</v>
      </c>
      <c r="B631" t="s">
        <v>679</v>
      </c>
      <c r="C631" s="1">
        <v>51990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/>
    </row>
    <row r="632" spans="1:10" x14ac:dyDescent="0.25">
      <c r="A632" t="s">
        <v>823</v>
      </c>
      <c r="B632" t="s">
        <v>680</v>
      </c>
      <c r="C632" s="1">
        <v>27440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/>
    </row>
    <row r="633" spans="1:10" x14ac:dyDescent="0.25">
      <c r="A633" t="s">
        <v>809</v>
      </c>
      <c r="B633" t="s">
        <v>681</v>
      </c>
      <c r="C633" s="1">
        <v>43190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/>
    </row>
    <row r="634" spans="1:10" x14ac:dyDescent="0.25">
      <c r="A634" t="s">
        <v>248</v>
      </c>
      <c r="B634" t="s">
        <v>682</v>
      </c>
      <c r="C634" s="1">
        <v>15916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/>
    </row>
    <row r="635" spans="1:10" x14ac:dyDescent="0.25">
      <c r="A635" t="s">
        <v>795</v>
      </c>
      <c r="B635" t="s">
        <v>683</v>
      </c>
      <c r="C635" s="1">
        <v>22651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/>
    </row>
    <row r="636" spans="1:10" x14ac:dyDescent="0.25">
      <c r="A636" t="s">
        <v>795</v>
      </c>
      <c r="B636" t="s">
        <v>684</v>
      </c>
      <c r="C636" s="1">
        <v>60291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/>
    </row>
    <row r="637" spans="1:10" x14ac:dyDescent="0.25">
      <c r="A637" t="s">
        <v>795</v>
      </c>
      <c r="B637" t="s">
        <v>685</v>
      </c>
      <c r="C637" s="1">
        <v>10550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/>
    </row>
    <row r="638" spans="1:10" x14ac:dyDescent="0.25">
      <c r="A638" t="s">
        <v>851</v>
      </c>
      <c r="B638" t="s">
        <v>686</v>
      </c>
      <c r="C638" s="1">
        <v>2361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/>
    </row>
    <row r="639" spans="1:10" x14ac:dyDescent="0.25">
      <c r="A639" t="s">
        <v>841</v>
      </c>
      <c r="B639" t="s">
        <v>687</v>
      </c>
      <c r="C639" s="1">
        <v>11675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/>
    </row>
    <row r="640" spans="1:10" x14ac:dyDescent="0.25">
      <c r="A640" t="s">
        <v>859</v>
      </c>
      <c r="B640" t="s">
        <v>688</v>
      </c>
      <c r="C640" s="1">
        <v>3363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/>
    </row>
    <row r="641" spans="1:10" x14ac:dyDescent="0.25">
      <c r="A641" t="s">
        <v>248</v>
      </c>
      <c r="B641" t="s">
        <v>689</v>
      </c>
      <c r="C641" s="1">
        <v>30076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/>
    </row>
    <row r="642" spans="1:10" x14ac:dyDescent="0.25">
      <c r="A642" t="s">
        <v>831</v>
      </c>
      <c r="B642" t="s">
        <v>690</v>
      </c>
      <c r="C642" s="1">
        <v>11238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/>
    </row>
    <row r="643" spans="1:10" x14ac:dyDescent="0.25">
      <c r="A643" t="s">
        <v>840</v>
      </c>
      <c r="B643" t="s">
        <v>691</v>
      </c>
      <c r="C643" s="1">
        <v>7849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/>
    </row>
    <row r="644" spans="1:10" x14ac:dyDescent="0.25">
      <c r="A644" t="s">
        <v>495</v>
      </c>
      <c r="B644" t="s">
        <v>692</v>
      </c>
      <c r="C644" s="1">
        <v>14798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/>
    </row>
    <row r="645" spans="1:10" x14ac:dyDescent="0.25">
      <c r="A645" t="s">
        <v>824</v>
      </c>
      <c r="B645" t="s">
        <v>693</v>
      </c>
      <c r="C645" s="1">
        <v>11115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/>
    </row>
    <row r="646" spans="1:10" x14ac:dyDescent="0.25">
      <c r="A646" t="s">
        <v>795</v>
      </c>
      <c r="B646" t="s">
        <v>694</v>
      </c>
      <c r="C646" s="1">
        <v>4095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/>
    </row>
    <row r="647" spans="1:10" x14ac:dyDescent="0.25">
      <c r="A647" t="s">
        <v>72</v>
      </c>
      <c r="B647" t="s">
        <v>695</v>
      </c>
      <c r="C647" s="1">
        <v>2325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/>
    </row>
    <row r="648" spans="1:10" x14ac:dyDescent="0.25">
      <c r="A648" t="s">
        <v>795</v>
      </c>
      <c r="B648" t="s">
        <v>696</v>
      </c>
      <c r="C648" s="1">
        <v>9054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/>
    </row>
    <row r="649" spans="1:10" x14ac:dyDescent="0.25">
      <c r="A649" t="s">
        <v>831</v>
      </c>
      <c r="B649" t="s">
        <v>697</v>
      </c>
      <c r="C649" s="1">
        <v>11217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/>
    </row>
    <row r="650" spans="1:10" x14ac:dyDescent="0.25">
      <c r="A650" t="s">
        <v>829</v>
      </c>
      <c r="B650" t="s">
        <v>698</v>
      </c>
      <c r="C650" s="1">
        <v>21035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/>
    </row>
    <row r="651" spans="1:10" x14ac:dyDescent="0.25">
      <c r="A651" t="s">
        <v>811</v>
      </c>
      <c r="B651" t="s">
        <v>699</v>
      </c>
      <c r="C651" s="1">
        <v>18846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/>
    </row>
    <row r="652" spans="1:10" x14ac:dyDescent="0.25">
      <c r="A652" t="s">
        <v>856</v>
      </c>
      <c r="B652" t="s">
        <v>700</v>
      </c>
      <c r="C652" s="1">
        <v>19651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/>
    </row>
    <row r="653" spans="1:10" x14ac:dyDescent="0.25">
      <c r="A653" t="s">
        <v>796</v>
      </c>
      <c r="B653" t="s">
        <v>701</v>
      </c>
      <c r="C653" s="1">
        <v>19590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/>
    </row>
    <row r="654" spans="1:10" x14ac:dyDescent="0.25">
      <c r="A654" t="s">
        <v>512</v>
      </c>
      <c r="B654" t="s">
        <v>702</v>
      </c>
      <c r="C654" s="1"/>
      <c r="D654" s="1"/>
      <c r="E654" s="1"/>
      <c r="F654" s="1"/>
      <c r="G654" s="1"/>
      <c r="H654" s="1"/>
      <c r="I654" s="1"/>
      <c r="J654" s="1"/>
    </row>
    <row r="655" spans="1:10" x14ac:dyDescent="0.25">
      <c r="A655" t="s">
        <v>850</v>
      </c>
      <c r="B655" t="s">
        <v>703</v>
      </c>
      <c r="C655" s="1">
        <v>2478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/>
    </row>
    <row r="656" spans="1:10" x14ac:dyDescent="0.25">
      <c r="A656" t="s">
        <v>146</v>
      </c>
      <c r="B656" t="s">
        <v>704</v>
      </c>
      <c r="C656" s="1">
        <v>13163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/>
    </row>
    <row r="657" spans="1:10" x14ac:dyDescent="0.25">
      <c r="A657" t="s">
        <v>846</v>
      </c>
      <c r="B657" t="s">
        <v>705</v>
      </c>
      <c r="C657" s="1">
        <v>4482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/>
    </row>
    <row r="658" spans="1:10" x14ac:dyDescent="0.25">
      <c r="A658" t="s">
        <v>855</v>
      </c>
      <c r="B658" t="s">
        <v>706</v>
      </c>
      <c r="C658" s="1">
        <v>5542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/>
    </row>
    <row r="659" spans="1:10" x14ac:dyDescent="0.25">
      <c r="A659" t="s">
        <v>794</v>
      </c>
      <c r="B659" t="s">
        <v>707</v>
      </c>
      <c r="C659" s="1">
        <v>5899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/>
    </row>
    <row r="660" spans="1:10" x14ac:dyDescent="0.25">
      <c r="A660" t="s">
        <v>108</v>
      </c>
      <c r="B660" t="s">
        <v>708</v>
      </c>
      <c r="C660" s="1"/>
      <c r="D660" s="1"/>
      <c r="E660" s="1"/>
      <c r="F660" s="1"/>
      <c r="G660" s="1"/>
      <c r="H660" s="1"/>
      <c r="I660" s="1"/>
      <c r="J660" s="1"/>
    </row>
    <row r="661" spans="1:10" x14ac:dyDescent="0.25">
      <c r="A661" t="s">
        <v>834</v>
      </c>
      <c r="B661" t="s">
        <v>709</v>
      </c>
      <c r="C661" s="1">
        <v>6377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/>
    </row>
    <row r="662" spans="1:10" x14ac:dyDescent="0.25">
      <c r="A662" t="s">
        <v>852</v>
      </c>
      <c r="B662" t="s">
        <v>710</v>
      </c>
      <c r="C662" s="1">
        <v>5721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/>
    </row>
    <row r="663" spans="1:10" x14ac:dyDescent="0.25">
      <c r="A663" t="s">
        <v>824</v>
      </c>
      <c r="B663" t="s">
        <v>711</v>
      </c>
      <c r="C663" s="1">
        <v>9176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/>
    </row>
    <row r="664" spans="1:10" x14ac:dyDescent="0.25">
      <c r="A664" t="s">
        <v>817</v>
      </c>
      <c r="B664" t="s">
        <v>712</v>
      </c>
      <c r="C664" s="1">
        <v>19885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/>
    </row>
    <row r="665" spans="1:10" x14ac:dyDescent="0.25">
      <c r="A665" t="s">
        <v>857</v>
      </c>
      <c r="B665" t="s">
        <v>713</v>
      </c>
      <c r="C665" s="1">
        <v>5887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/>
    </row>
    <row r="666" spans="1:10" x14ac:dyDescent="0.25">
      <c r="A666" t="s">
        <v>146</v>
      </c>
      <c r="B666" t="s">
        <v>714</v>
      </c>
      <c r="C666" s="1">
        <v>23026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/>
    </row>
    <row r="667" spans="1:10" x14ac:dyDescent="0.25">
      <c r="A667" t="s">
        <v>120</v>
      </c>
      <c r="B667" t="s">
        <v>715</v>
      </c>
      <c r="C667" s="1">
        <v>7797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/>
    </row>
    <row r="668" spans="1:10" x14ac:dyDescent="0.25">
      <c r="A668" t="s">
        <v>146</v>
      </c>
      <c r="B668" t="s">
        <v>716</v>
      </c>
      <c r="C668" s="1">
        <v>5880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/>
    </row>
    <row r="669" spans="1:10" x14ac:dyDescent="0.25">
      <c r="A669" t="s">
        <v>795</v>
      </c>
      <c r="B669" t="s">
        <v>717</v>
      </c>
      <c r="C669" s="1">
        <v>8811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/>
    </row>
    <row r="670" spans="1:10" x14ac:dyDescent="0.25">
      <c r="A670" t="s">
        <v>146</v>
      </c>
      <c r="B670" t="s">
        <v>718</v>
      </c>
      <c r="C670" s="1">
        <v>17984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/>
    </row>
    <row r="671" spans="1:10" x14ac:dyDescent="0.25">
      <c r="A671" t="s">
        <v>816</v>
      </c>
      <c r="B671" t="s">
        <v>719</v>
      </c>
      <c r="C671" s="1">
        <v>5341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/>
    </row>
    <row r="672" spans="1:10" x14ac:dyDescent="0.25">
      <c r="A672" t="s">
        <v>817</v>
      </c>
      <c r="B672" t="s">
        <v>720</v>
      </c>
      <c r="C672" s="1">
        <v>26103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/>
    </row>
    <row r="673" spans="1:10" x14ac:dyDescent="0.25">
      <c r="A673" t="s">
        <v>864</v>
      </c>
      <c r="B673" t="s">
        <v>721</v>
      </c>
      <c r="C673" s="1">
        <v>50547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/>
    </row>
    <row r="674" spans="1:10" x14ac:dyDescent="0.25">
      <c r="A674" t="s">
        <v>146</v>
      </c>
      <c r="B674" t="s">
        <v>722</v>
      </c>
      <c r="C674" s="1">
        <v>6666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/>
    </row>
    <row r="675" spans="1:10" x14ac:dyDescent="0.25">
      <c r="A675" t="s">
        <v>858</v>
      </c>
      <c r="B675" t="s">
        <v>723</v>
      </c>
      <c r="C675" s="1">
        <v>7547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/>
    </row>
    <row r="676" spans="1:10" x14ac:dyDescent="0.25">
      <c r="A676" t="s">
        <v>864</v>
      </c>
      <c r="B676" t="s">
        <v>724</v>
      </c>
      <c r="C676" s="1">
        <v>80147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/>
    </row>
    <row r="677" spans="1:10" x14ac:dyDescent="0.25">
      <c r="A677" t="s">
        <v>794</v>
      </c>
      <c r="B677" t="s">
        <v>725</v>
      </c>
      <c r="C677" s="1">
        <v>25763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/>
    </row>
    <row r="678" spans="1:10" x14ac:dyDescent="0.25">
      <c r="A678" t="s">
        <v>864</v>
      </c>
      <c r="B678" t="s">
        <v>726</v>
      </c>
      <c r="C678" s="1">
        <v>35473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/>
    </row>
    <row r="679" spans="1:10" x14ac:dyDescent="0.25">
      <c r="A679" t="s">
        <v>824</v>
      </c>
      <c r="B679" t="s">
        <v>727</v>
      </c>
      <c r="C679" s="1">
        <v>4939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/>
    </row>
    <row r="680" spans="1:10" x14ac:dyDescent="0.25">
      <c r="A680" t="s">
        <v>134</v>
      </c>
      <c r="B680" t="s">
        <v>728</v>
      </c>
      <c r="C680" s="1">
        <v>2231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/>
    </row>
    <row r="681" spans="1:10" x14ac:dyDescent="0.25">
      <c r="A681" t="s">
        <v>138</v>
      </c>
      <c r="B681" t="s">
        <v>729</v>
      </c>
      <c r="C681" s="1">
        <v>20037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/>
    </row>
    <row r="682" spans="1:10" x14ac:dyDescent="0.25">
      <c r="A682" t="s">
        <v>788</v>
      </c>
      <c r="B682" t="s">
        <v>730</v>
      </c>
      <c r="C682" s="1">
        <v>1748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/>
    </row>
    <row r="683" spans="1:10" x14ac:dyDescent="0.25">
      <c r="A683" t="s">
        <v>831</v>
      </c>
      <c r="B683" t="s">
        <v>731</v>
      </c>
      <c r="C683" s="1">
        <v>1864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/>
    </row>
    <row r="684" spans="1:10" x14ac:dyDescent="0.25">
      <c r="A684" t="s">
        <v>138</v>
      </c>
      <c r="B684" t="s">
        <v>732</v>
      </c>
      <c r="C684" s="11">
        <v>7177</v>
      </c>
      <c r="D684" s="1"/>
      <c r="E684" s="1"/>
      <c r="F684" s="1"/>
      <c r="G684" s="1"/>
      <c r="H684" s="1"/>
      <c r="I684" s="1"/>
      <c r="J684" s="1"/>
    </row>
    <row r="685" spans="1:10" x14ac:dyDescent="0.25">
      <c r="A685" t="s">
        <v>809</v>
      </c>
      <c r="B685" t="s">
        <v>733</v>
      </c>
      <c r="C685" s="1">
        <v>21732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/>
    </row>
    <row r="686" spans="1:10" x14ac:dyDescent="0.25">
      <c r="A686" t="s">
        <v>868</v>
      </c>
      <c r="B686" t="s">
        <v>734</v>
      </c>
      <c r="C686" s="1">
        <v>1641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/>
    </row>
    <row r="687" spans="1:10" x14ac:dyDescent="0.25">
      <c r="A687" t="s">
        <v>817</v>
      </c>
      <c r="B687" t="s">
        <v>735</v>
      </c>
      <c r="C687" s="1">
        <v>7153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/>
    </row>
    <row r="688" spans="1:10" x14ac:dyDescent="0.25">
      <c r="A688" t="s">
        <v>801</v>
      </c>
      <c r="B688" t="s">
        <v>736</v>
      </c>
      <c r="C688" s="1">
        <v>1291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/>
    </row>
    <row r="689" spans="1:10" x14ac:dyDescent="0.25">
      <c r="A689" t="s">
        <v>138</v>
      </c>
      <c r="B689" t="s">
        <v>737</v>
      </c>
      <c r="C689" s="1">
        <v>11047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/>
    </row>
    <row r="690" spans="1:10" x14ac:dyDescent="0.25">
      <c r="A690" t="s">
        <v>138</v>
      </c>
      <c r="B690" t="s">
        <v>738</v>
      </c>
      <c r="C690" s="1">
        <v>9750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/>
    </row>
    <row r="691" spans="1:10" x14ac:dyDescent="0.25">
      <c r="A691" t="s">
        <v>248</v>
      </c>
      <c r="B691" t="s">
        <v>739</v>
      </c>
      <c r="C691" s="1">
        <v>12495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/>
    </row>
    <row r="692" spans="1:10" x14ac:dyDescent="0.25">
      <c r="A692" t="s">
        <v>138</v>
      </c>
      <c r="B692" t="s">
        <v>740</v>
      </c>
      <c r="C692" s="1">
        <v>5473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/>
    </row>
    <row r="693" spans="1:10" x14ac:dyDescent="0.25">
      <c r="A693" t="s">
        <v>134</v>
      </c>
      <c r="B693" t="s">
        <v>741</v>
      </c>
      <c r="C693" s="1">
        <v>5751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/>
    </row>
    <row r="694" spans="1:10" x14ac:dyDescent="0.25">
      <c r="A694" t="s">
        <v>231</v>
      </c>
      <c r="B694" t="s">
        <v>742</v>
      </c>
      <c r="C694" s="1">
        <v>20576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/>
    </row>
    <row r="695" spans="1:10" x14ac:dyDescent="0.25">
      <c r="A695" t="s">
        <v>83</v>
      </c>
      <c r="B695" t="s">
        <v>743</v>
      </c>
      <c r="C695" s="1">
        <v>1736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/>
    </row>
    <row r="696" spans="1:10" x14ac:dyDescent="0.25">
      <c r="A696" t="s">
        <v>826</v>
      </c>
      <c r="B696" t="s">
        <v>744</v>
      </c>
      <c r="C696" s="1">
        <v>1658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/>
    </row>
    <row r="697" spans="1:10" x14ac:dyDescent="0.25">
      <c r="A697" t="s">
        <v>811</v>
      </c>
      <c r="B697" t="s">
        <v>745</v>
      </c>
      <c r="C697" s="1">
        <v>18968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/>
    </row>
    <row r="698" spans="1:10" x14ac:dyDescent="0.25">
      <c r="A698" t="s">
        <v>248</v>
      </c>
      <c r="B698" t="s">
        <v>746</v>
      </c>
      <c r="C698" s="1">
        <v>88689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/>
    </row>
    <row r="699" spans="1:10" x14ac:dyDescent="0.25">
      <c r="A699" s="9" t="s">
        <v>801</v>
      </c>
      <c r="B699" t="s">
        <v>747</v>
      </c>
      <c r="C699" s="1">
        <v>4380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/>
    </row>
    <row r="700" spans="1:10" x14ac:dyDescent="0.25">
      <c r="A700" s="9" t="s">
        <v>809</v>
      </c>
      <c r="B700" t="s">
        <v>748</v>
      </c>
      <c r="C700" s="1">
        <v>16656</v>
      </c>
      <c r="D700" s="1">
        <v>342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/>
    </row>
    <row r="701" spans="1:10" x14ac:dyDescent="0.25">
      <c r="A701" s="9" t="s">
        <v>823</v>
      </c>
      <c r="B701" t="s">
        <v>749</v>
      </c>
      <c r="C701" s="1">
        <v>33697</v>
      </c>
      <c r="D701" s="1">
        <v>40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/>
    </row>
    <row r="702" spans="1:10" x14ac:dyDescent="0.25">
      <c r="A702" t="s">
        <v>226</v>
      </c>
      <c r="B702" t="s">
        <v>750</v>
      </c>
      <c r="C702" s="1">
        <v>2739</v>
      </c>
      <c r="D702" s="1">
        <v>45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/>
    </row>
    <row r="703" spans="1:10" x14ac:dyDescent="0.25">
      <c r="A703" t="s">
        <v>811</v>
      </c>
      <c r="B703" t="s">
        <v>751</v>
      </c>
      <c r="C703" s="1">
        <v>8380</v>
      </c>
      <c r="D703" s="1">
        <v>28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/>
    </row>
    <row r="704" spans="1:10" x14ac:dyDescent="0.25">
      <c r="A704" t="s">
        <v>797</v>
      </c>
      <c r="B704" t="s">
        <v>752</v>
      </c>
      <c r="C704" s="1">
        <v>26584</v>
      </c>
      <c r="D704" s="1">
        <v>35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/>
    </row>
    <row r="705" spans="1:10" x14ac:dyDescent="0.25">
      <c r="A705" t="s">
        <v>69</v>
      </c>
      <c r="B705" t="s">
        <v>753</v>
      </c>
      <c r="C705" s="1">
        <v>45239</v>
      </c>
      <c r="D705" s="1">
        <v>18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/>
    </row>
    <row r="706" spans="1:10" x14ac:dyDescent="0.25">
      <c r="A706" t="s">
        <v>824</v>
      </c>
      <c r="B706" t="s">
        <v>754</v>
      </c>
      <c r="C706" s="1">
        <f>10568+32</f>
        <v>10600</v>
      </c>
      <c r="D706" s="1">
        <v>20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/>
    </row>
    <row r="707" spans="1:10" x14ac:dyDescent="0.25">
      <c r="A707" t="s">
        <v>817</v>
      </c>
      <c r="B707" t="s">
        <v>755</v>
      </c>
      <c r="C707" s="1">
        <v>52660</v>
      </c>
      <c r="D707" s="1">
        <v>100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/>
    </row>
    <row r="708" spans="1:10" x14ac:dyDescent="0.25">
      <c r="A708" t="s">
        <v>794</v>
      </c>
      <c r="B708" t="s">
        <v>756</v>
      </c>
      <c r="C708" s="11">
        <v>39333</v>
      </c>
      <c r="D708" s="1">
        <v>162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/>
    </row>
    <row r="709" spans="1:10" x14ac:dyDescent="0.25">
      <c r="A709" t="s">
        <v>120</v>
      </c>
      <c r="B709" t="s">
        <v>757</v>
      </c>
      <c r="C709" s="11"/>
      <c r="D709" s="11"/>
      <c r="E709" s="1"/>
      <c r="F709" s="1"/>
      <c r="G709" s="1"/>
      <c r="H709" s="1"/>
      <c r="I709" s="1"/>
      <c r="J709" s="1"/>
    </row>
    <row r="710" spans="1:10" x14ac:dyDescent="0.25">
      <c r="A710" t="s">
        <v>788</v>
      </c>
      <c r="B710" t="s">
        <v>758</v>
      </c>
      <c r="C710" s="1">
        <v>22812</v>
      </c>
      <c r="D710" s="1">
        <v>1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/>
    </row>
    <row r="711" spans="1:10" x14ac:dyDescent="0.25">
      <c r="A711" t="s">
        <v>146</v>
      </c>
      <c r="B711" t="s">
        <v>759</v>
      </c>
      <c r="C711" s="1">
        <v>74690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/>
    </row>
    <row r="712" spans="1:10" x14ac:dyDescent="0.25">
      <c r="A712" t="s">
        <v>795</v>
      </c>
      <c r="B712" t="s">
        <v>760</v>
      </c>
      <c r="C712" s="1">
        <v>50453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/>
    </row>
    <row r="713" spans="1:10" x14ac:dyDescent="0.25">
      <c r="A713" t="s">
        <v>248</v>
      </c>
      <c r="B713" t="s">
        <v>761</v>
      </c>
      <c r="C713" s="1">
        <v>20072</v>
      </c>
      <c r="D713" s="1">
        <v>6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/>
    </row>
    <row r="714" spans="1:10" x14ac:dyDescent="0.25">
      <c r="A714" t="s">
        <v>796</v>
      </c>
      <c r="B714" t="s">
        <v>762</v>
      </c>
      <c r="C714" s="1">
        <v>1888</v>
      </c>
      <c r="D714" s="1">
        <v>2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/>
    </row>
    <row r="715" spans="1:10" x14ac:dyDescent="0.25">
      <c r="A715" t="s">
        <v>138</v>
      </c>
      <c r="B715" t="s">
        <v>763</v>
      </c>
      <c r="C715" s="1">
        <v>29540</v>
      </c>
      <c r="D715" s="1">
        <v>59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/>
    </row>
    <row r="716" spans="1:10" x14ac:dyDescent="0.25">
      <c r="A716" t="s">
        <v>265</v>
      </c>
      <c r="B716" t="s">
        <v>764</v>
      </c>
      <c r="C716" s="1">
        <v>8078</v>
      </c>
      <c r="D716" s="1">
        <v>2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/>
    </row>
    <row r="717" spans="1:10" x14ac:dyDescent="0.25">
      <c r="A717" t="s">
        <v>823</v>
      </c>
      <c r="B717" t="s">
        <v>765</v>
      </c>
      <c r="C717" s="1">
        <v>29861</v>
      </c>
      <c r="D717" s="1">
        <v>555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/>
    </row>
    <row r="718" spans="1:10" x14ac:dyDescent="0.25">
      <c r="A718" t="s">
        <v>83</v>
      </c>
      <c r="B718" t="s">
        <v>766</v>
      </c>
      <c r="C718" s="1">
        <v>6665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/>
    </row>
    <row r="719" spans="1:10" x14ac:dyDescent="0.25">
      <c r="A719" t="s">
        <v>864</v>
      </c>
      <c r="B719" t="s">
        <v>767</v>
      </c>
      <c r="C719" s="1">
        <v>19364</v>
      </c>
      <c r="D719" s="1">
        <v>36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/>
    </row>
    <row r="720" spans="1:10" x14ac:dyDescent="0.25">
      <c r="A720" t="s">
        <v>76</v>
      </c>
      <c r="B720" t="s">
        <v>768</v>
      </c>
      <c r="C720" s="1">
        <v>33263</v>
      </c>
      <c r="D720" s="1">
        <v>109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/>
    </row>
    <row r="721" spans="1:10" x14ac:dyDescent="0.25">
      <c r="A721" s="53" t="s">
        <v>101</v>
      </c>
      <c r="B721" s="55" t="s">
        <v>769</v>
      </c>
      <c r="C721" s="60">
        <v>20626</v>
      </c>
      <c r="D721" s="60">
        <v>19</v>
      </c>
      <c r="E721" s="60">
        <v>0</v>
      </c>
      <c r="F721" s="60">
        <v>0</v>
      </c>
      <c r="G721" s="60">
        <v>0</v>
      </c>
      <c r="H721" s="60">
        <v>0</v>
      </c>
      <c r="I721" s="60">
        <v>0</v>
      </c>
      <c r="J721" s="60"/>
    </row>
    <row r="722" spans="1:10" x14ac:dyDescent="0.25">
      <c r="A722" s="53" t="s">
        <v>831</v>
      </c>
      <c r="B722" s="55" t="s">
        <v>770</v>
      </c>
      <c r="C722" s="60">
        <v>2738</v>
      </c>
      <c r="D722" s="60">
        <v>375</v>
      </c>
      <c r="E722" s="60">
        <v>0</v>
      </c>
      <c r="F722" s="60">
        <v>0</v>
      </c>
      <c r="G722" s="60">
        <v>0</v>
      </c>
      <c r="H722" s="60">
        <v>0</v>
      </c>
      <c r="I722" s="60">
        <v>0</v>
      </c>
      <c r="J722" s="60"/>
    </row>
    <row r="723" spans="1:10" x14ac:dyDescent="0.25">
      <c r="A723" s="53" t="s">
        <v>512</v>
      </c>
      <c r="B723" s="55" t="s">
        <v>771</v>
      </c>
      <c r="C723" s="60">
        <v>8607</v>
      </c>
      <c r="D723" s="60">
        <v>1</v>
      </c>
      <c r="E723" s="60">
        <v>0</v>
      </c>
      <c r="F723" s="60">
        <v>0</v>
      </c>
      <c r="G723" s="60">
        <v>0</v>
      </c>
      <c r="H723" s="60">
        <v>0</v>
      </c>
      <c r="I723" s="60">
        <v>0</v>
      </c>
      <c r="J723" s="60"/>
    </row>
    <row r="724" spans="1:10" x14ac:dyDescent="0.25">
      <c r="A724" s="53" t="s">
        <v>848</v>
      </c>
      <c r="B724" s="55" t="s">
        <v>772</v>
      </c>
      <c r="C724" s="60">
        <v>5026</v>
      </c>
      <c r="D724" s="60">
        <v>6</v>
      </c>
      <c r="E724" s="60">
        <v>0</v>
      </c>
      <c r="F724" s="60">
        <v>0</v>
      </c>
      <c r="G724" s="60">
        <v>0</v>
      </c>
      <c r="H724" s="60">
        <v>0</v>
      </c>
      <c r="I724" s="60">
        <v>0</v>
      </c>
      <c r="J724" s="60"/>
    </row>
    <row r="725" spans="1:10" x14ac:dyDescent="0.25">
      <c r="A725" s="53" t="s">
        <v>796</v>
      </c>
      <c r="B725" s="55" t="s">
        <v>773</v>
      </c>
      <c r="C725" s="60">
        <v>9966</v>
      </c>
      <c r="D725" s="60">
        <v>2</v>
      </c>
      <c r="E725" s="60">
        <v>0</v>
      </c>
      <c r="F725" s="60">
        <v>0</v>
      </c>
      <c r="G725" s="60">
        <v>0</v>
      </c>
      <c r="H725" s="60">
        <v>0</v>
      </c>
      <c r="I725" s="60">
        <v>0</v>
      </c>
      <c r="J725" s="60"/>
    </row>
    <row r="726" spans="1:10" x14ac:dyDescent="0.25">
      <c r="A726" s="53" t="s">
        <v>826</v>
      </c>
      <c r="B726" s="55" t="s">
        <v>774</v>
      </c>
      <c r="C726" s="60">
        <v>1363</v>
      </c>
      <c r="D726" s="60">
        <v>0</v>
      </c>
      <c r="E726" s="60">
        <v>0</v>
      </c>
      <c r="F726" s="60">
        <v>0</v>
      </c>
      <c r="G726" s="60">
        <v>0</v>
      </c>
      <c r="H726" s="60">
        <v>0</v>
      </c>
      <c r="I726" s="60">
        <v>0</v>
      </c>
      <c r="J726" s="60"/>
    </row>
    <row r="727" spans="1:10" x14ac:dyDescent="0.25">
      <c r="A727" s="53" t="s">
        <v>805</v>
      </c>
      <c r="B727" s="55" t="s">
        <v>775</v>
      </c>
      <c r="C727" s="60"/>
      <c r="D727" s="60"/>
      <c r="E727" s="60"/>
      <c r="F727" s="60"/>
      <c r="G727" s="60"/>
      <c r="H727" s="60"/>
      <c r="I727" s="60"/>
      <c r="J727" s="60"/>
    </row>
    <row r="728" spans="1:10" x14ac:dyDescent="0.25">
      <c r="A728" s="58" t="s">
        <v>805</v>
      </c>
      <c r="B728" s="55" t="s">
        <v>776</v>
      </c>
      <c r="C728" s="60"/>
      <c r="D728" s="60"/>
      <c r="E728" s="60"/>
      <c r="F728" s="60"/>
      <c r="G728" s="60"/>
      <c r="H728" s="60"/>
      <c r="I728" s="60"/>
      <c r="J728" s="60"/>
    </row>
    <row r="729" spans="1:10" x14ac:dyDescent="0.25">
      <c r="A729" s="54" t="s">
        <v>805</v>
      </c>
      <c r="B729" s="56" t="s">
        <v>777</v>
      </c>
      <c r="C729" s="61"/>
      <c r="D729" s="61"/>
      <c r="E729" s="61"/>
      <c r="F729" s="61"/>
      <c r="G729" s="61"/>
      <c r="H729" s="61"/>
      <c r="I729" s="61"/>
      <c r="J729" s="61"/>
    </row>
  </sheetData>
  <conditionalFormatting sqref="A709:C709">
    <cfRule type="expression" dxfId="52" priority="9">
      <formula>A709&lt;&gt;N709</formula>
    </cfRule>
  </conditionalFormatting>
  <conditionalFormatting sqref="B721:B729">
    <cfRule type="expression" dxfId="51" priority="1">
      <formula>B721&lt;&gt;M721</formula>
    </cfRule>
  </conditionalFormatting>
  <conditionalFormatting sqref="B709:C710">
    <cfRule type="expression" dxfId="50" priority="6">
      <formula>B709&lt;&gt;#REF!</formula>
    </cfRule>
  </conditionalFormatting>
  <conditionalFormatting sqref="B712:C712">
    <cfRule type="expression" dxfId="49" priority="5">
      <formula>B712&lt;&gt;#REF!</formula>
    </cfRule>
  </conditionalFormatting>
  <conditionalFormatting sqref="C721:J729">
    <cfRule type="expression" dxfId="48" priority="3">
      <formula>C721&lt;&gt;N721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7" id="{FDBED769-27D0-4F87-ADF7-57A5B901B0DD}">
            <xm:f>A710&lt;&gt;'202210 OCTUBRE'!#REF!</xm:f>
            <x14:dxf>
              <fill>
                <patternFill>
                  <bgColor theme="7" tint="0.39994506668294322"/>
                </patternFill>
              </fill>
            </x14:dxf>
          </x14:cfRule>
          <xm:sqref>A710:J720</xm:sqref>
        </x14:conditionalFormatting>
        <x14:conditionalFormatting xmlns:xm="http://schemas.microsoft.com/office/excel/2006/main">
          <x14:cfRule type="expression" priority="4" id="{6C98EC03-AF07-4402-9C2B-14A1A6F227E3}">
            <xm:f>A721&lt;&gt;'202212 DICIEMBRE'!#REF!</xm:f>
            <x14:dxf>
              <fill>
                <patternFill>
                  <bgColor theme="7" tint="0.39994506668294322"/>
                </patternFill>
              </fill>
            </x14:dxf>
          </x14:cfRule>
          <xm:sqref>A721:J729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29118-2E6E-48FA-B7CA-C1696AB7E10A}">
  <sheetPr>
    <tabColor theme="7"/>
  </sheetPr>
  <dimension ref="A1:J729"/>
  <sheetViews>
    <sheetView topLeftCell="A416" zoomScale="90" zoomScaleNormal="90" workbookViewId="0">
      <selection activeCell="C451" sqref="C451"/>
    </sheetView>
  </sheetViews>
  <sheetFormatPr baseColWidth="10" defaultColWidth="11.42578125" defaultRowHeight="15" x14ac:dyDescent="0.25"/>
  <cols>
    <col min="1" max="1" width="12" bestFit="1" customWidth="1"/>
    <col min="2" max="2" width="9.140625" bestFit="1" customWidth="1"/>
    <col min="3" max="3" width="14" bestFit="1" customWidth="1"/>
    <col min="4" max="4" width="12.42578125" bestFit="1" customWidth="1"/>
    <col min="5" max="5" width="12.5703125" customWidth="1"/>
    <col min="6" max="6" width="9" bestFit="1" customWidth="1"/>
    <col min="7" max="7" width="15.85546875" bestFit="1" customWidth="1"/>
    <col min="8" max="8" width="16" bestFit="1" customWidth="1"/>
    <col min="9" max="10" width="10.140625" bestFit="1" customWidth="1"/>
  </cols>
  <sheetData>
    <row r="1" spans="1:10" x14ac:dyDescent="0.25">
      <c r="A1" t="s">
        <v>0</v>
      </c>
      <c r="B1" t="s">
        <v>869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 t="s">
        <v>76</v>
      </c>
      <c r="B2" t="s">
        <v>870</v>
      </c>
      <c r="C2" t="s">
        <v>11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44072</v>
      </c>
      <c r="J2" s="1">
        <v>0</v>
      </c>
    </row>
    <row r="3" spans="1:10" x14ac:dyDescent="0.25">
      <c r="A3" t="s">
        <v>796</v>
      </c>
      <c r="B3" t="s">
        <v>870</v>
      </c>
      <c r="C3" t="s">
        <v>12</v>
      </c>
      <c r="D3" s="1"/>
      <c r="E3" s="1"/>
      <c r="F3" s="1"/>
      <c r="G3" s="1"/>
      <c r="H3" s="1"/>
      <c r="I3" s="1"/>
      <c r="J3" s="1"/>
    </row>
    <row r="4" spans="1:10" x14ac:dyDescent="0.25">
      <c r="A4" t="s">
        <v>76</v>
      </c>
      <c r="B4" t="s">
        <v>870</v>
      </c>
      <c r="C4" t="s">
        <v>13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8994</v>
      </c>
      <c r="J4" s="1">
        <v>0</v>
      </c>
    </row>
    <row r="5" spans="1:10" x14ac:dyDescent="0.25">
      <c r="A5" t="s">
        <v>801</v>
      </c>
      <c r="B5" t="s">
        <v>870</v>
      </c>
      <c r="C5" t="s">
        <v>14</v>
      </c>
      <c r="D5" s="1"/>
      <c r="E5" s="1"/>
      <c r="F5" s="1"/>
      <c r="G5" s="1"/>
      <c r="H5" s="1"/>
      <c r="I5" s="1"/>
      <c r="J5" s="1"/>
    </row>
    <row r="6" spans="1:10" x14ac:dyDescent="0.25">
      <c r="A6" t="s">
        <v>826</v>
      </c>
      <c r="B6" t="s">
        <v>870</v>
      </c>
      <c r="C6" t="s">
        <v>15</v>
      </c>
      <c r="D6" s="1"/>
      <c r="E6" s="1"/>
      <c r="F6" s="1"/>
      <c r="G6" s="1"/>
      <c r="H6" s="1"/>
      <c r="I6" s="1"/>
      <c r="J6" s="1"/>
    </row>
    <row r="7" spans="1:10" x14ac:dyDescent="0.25">
      <c r="A7" t="s">
        <v>796</v>
      </c>
      <c r="B7" t="s">
        <v>870</v>
      </c>
      <c r="C7" t="s">
        <v>16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1540</v>
      </c>
      <c r="J7" s="1">
        <v>0</v>
      </c>
    </row>
    <row r="8" spans="1:10" x14ac:dyDescent="0.25">
      <c r="A8" t="s">
        <v>83</v>
      </c>
      <c r="B8" t="s">
        <v>870</v>
      </c>
      <c r="C8" t="s">
        <v>17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619</v>
      </c>
      <c r="J8" s="1">
        <v>0</v>
      </c>
    </row>
    <row r="9" spans="1:10" x14ac:dyDescent="0.25">
      <c r="A9" t="s">
        <v>803</v>
      </c>
      <c r="B9" t="s">
        <v>870</v>
      </c>
      <c r="C9" t="s">
        <v>18</v>
      </c>
      <c r="D9" s="1"/>
      <c r="E9" s="1"/>
      <c r="F9" s="1"/>
      <c r="G9" s="1"/>
      <c r="H9" s="1"/>
      <c r="I9" s="1"/>
      <c r="J9" s="1"/>
    </row>
    <row r="10" spans="1:10" x14ac:dyDescent="0.25">
      <c r="A10" t="s">
        <v>76</v>
      </c>
      <c r="B10" t="s">
        <v>870</v>
      </c>
      <c r="C10" t="s">
        <v>19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23153</v>
      </c>
      <c r="J10" s="1">
        <v>0</v>
      </c>
    </row>
    <row r="11" spans="1:10" x14ac:dyDescent="0.25">
      <c r="A11" t="s">
        <v>83</v>
      </c>
      <c r="B11" t="s">
        <v>870</v>
      </c>
      <c r="C11" t="s">
        <v>20</v>
      </c>
      <c r="D11" s="1"/>
      <c r="E11" s="1"/>
      <c r="F11" s="1"/>
      <c r="G11" s="1"/>
      <c r="H11" s="1"/>
      <c r="I11" s="1"/>
      <c r="J11" s="1"/>
    </row>
    <row r="12" spans="1:10" x14ac:dyDescent="0.25">
      <c r="A12" t="s">
        <v>248</v>
      </c>
      <c r="B12" t="s">
        <v>870</v>
      </c>
      <c r="C12" t="s">
        <v>21</v>
      </c>
      <c r="D12" s="1"/>
      <c r="E12" s="1"/>
      <c r="F12" s="1"/>
      <c r="G12" s="1"/>
      <c r="H12" s="1"/>
      <c r="I12" s="1"/>
      <c r="J12" s="1"/>
    </row>
    <row r="13" spans="1:10" x14ac:dyDescent="0.25">
      <c r="A13" t="s">
        <v>83</v>
      </c>
      <c r="B13" t="s">
        <v>870</v>
      </c>
      <c r="C13" t="s">
        <v>22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2573</v>
      </c>
      <c r="J13" s="1">
        <v>0</v>
      </c>
    </row>
    <row r="14" spans="1:10" x14ac:dyDescent="0.25">
      <c r="A14" t="s">
        <v>801</v>
      </c>
      <c r="B14" t="s">
        <v>870</v>
      </c>
      <c r="C14" t="s">
        <v>23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918</v>
      </c>
      <c r="J14" s="1">
        <v>0</v>
      </c>
    </row>
    <row r="15" spans="1:10" x14ac:dyDescent="0.25">
      <c r="A15" t="s">
        <v>796</v>
      </c>
      <c r="B15" t="s">
        <v>870</v>
      </c>
      <c r="C15" t="s">
        <v>24</v>
      </c>
      <c r="D15" s="1"/>
      <c r="E15" s="1"/>
      <c r="F15" s="1"/>
      <c r="G15" s="1"/>
      <c r="H15" s="1"/>
      <c r="I15" s="1"/>
      <c r="J15" s="1"/>
    </row>
    <row r="16" spans="1:10" x14ac:dyDescent="0.25">
      <c r="A16" t="s">
        <v>804</v>
      </c>
      <c r="B16" t="s">
        <v>870</v>
      </c>
      <c r="C16" t="s">
        <v>25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1748</v>
      </c>
      <c r="J16" s="1">
        <v>0</v>
      </c>
    </row>
    <row r="17" spans="1:10" x14ac:dyDescent="0.25">
      <c r="A17" t="s">
        <v>248</v>
      </c>
      <c r="B17" t="s">
        <v>871</v>
      </c>
      <c r="C17" t="s">
        <v>26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77740</v>
      </c>
      <c r="J17" s="1">
        <v>0</v>
      </c>
    </row>
    <row r="18" spans="1:10" x14ac:dyDescent="0.25">
      <c r="A18" t="s">
        <v>805</v>
      </c>
      <c r="C18" t="s">
        <v>27</v>
      </c>
      <c r="D18" s="1"/>
      <c r="E18" s="1"/>
      <c r="F18" s="1"/>
      <c r="G18" s="1"/>
      <c r="H18" s="1"/>
      <c r="I18" s="1"/>
      <c r="J18" s="1"/>
    </row>
    <row r="19" spans="1:10" x14ac:dyDescent="0.25">
      <c r="A19" t="s">
        <v>805</v>
      </c>
      <c r="B19" t="s">
        <v>872</v>
      </c>
      <c r="C19" t="s">
        <v>28</v>
      </c>
      <c r="D19" s="1"/>
      <c r="E19" s="1"/>
      <c r="F19" s="1"/>
      <c r="G19" s="1"/>
      <c r="H19" s="1"/>
      <c r="I19" s="1"/>
      <c r="J19" s="1"/>
    </row>
    <row r="20" spans="1:10" x14ac:dyDescent="0.25">
      <c r="A20" t="s">
        <v>806</v>
      </c>
      <c r="B20" t="s">
        <v>872</v>
      </c>
      <c r="C20" t="s">
        <v>29</v>
      </c>
      <c r="D20" s="1"/>
      <c r="E20" s="1"/>
      <c r="F20" s="1"/>
      <c r="G20" s="1"/>
      <c r="H20" s="1"/>
      <c r="I20" s="1"/>
      <c r="J20" s="1"/>
    </row>
    <row r="21" spans="1:10" x14ac:dyDescent="0.25">
      <c r="A21" t="s">
        <v>805</v>
      </c>
      <c r="C21" t="s">
        <v>30</v>
      </c>
      <c r="D21" s="1"/>
      <c r="E21" s="1"/>
      <c r="F21" s="1"/>
      <c r="G21" s="1"/>
      <c r="H21" s="1"/>
      <c r="I21" s="1"/>
      <c r="J21" s="1"/>
    </row>
    <row r="22" spans="1:10" x14ac:dyDescent="0.25">
      <c r="A22" t="s">
        <v>829</v>
      </c>
      <c r="B22" t="s">
        <v>872</v>
      </c>
      <c r="C22" t="s">
        <v>32</v>
      </c>
      <c r="D22" s="1">
        <v>22904</v>
      </c>
      <c r="E22" s="1">
        <v>12</v>
      </c>
      <c r="F22" s="1">
        <v>0</v>
      </c>
      <c r="G22" s="1">
        <v>0</v>
      </c>
      <c r="H22" s="1">
        <v>0</v>
      </c>
      <c r="I22" s="1">
        <v>17012</v>
      </c>
      <c r="J22" s="1">
        <v>3843</v>
      </c>
    </row>
    <row r="23" spans="1:10" x14ac:dyDescent="0.25">
      <c r="A23" t="s">
        <v>830</v>
      </c>
      <c r="B23" t="s">
        <v>872</v>
      </c>
      <c r="C23" t="s">
        <v>34</v>
      </c>
      <c r="D23" s="1">
        <v>9642</v>
      </c>
      <c r="E23" s="1">
        <v>59</v>
      </c>
      <c r="F23" s="1">
        <v>0</v>
      </c>
      <c r="G23" s="1">
        <v>0</v>
      </c>
      <c r="H23" s="1">
        <v>0</v>
      </c>
      <c r="I23" s="1">
        <v>6934</v>
      </c>
      <c r="J23" s="1">
        <v>4445</v>
      </c>
    </row>
    <row r="24" spans="1:10" x14ac:dyDescent="0.25">
      <c r="A24" t="s">
        <v>831</v>
      </c>
      <c r="B24" t="s">
        <v>872</v>
      </c>
      <c r="C24" t="s">
        <v>35</v>
      </c>
      <c r="D24" s="1">
        <v>12939</v>
      </c>
      <c r="E24" s="1">
        <v>1</v>
      </c>
      <c r="F24" s="1">
        <v>0</v>
      </c>
      <c r="G24" s="1">
        <v>0</v>
      </c>
      <c r="H24" s="1">
        <v>0</v>
      </c>
      <c r="I24" s="1">
        <v>4910</v>
      </c>
      <c r="J24" s="1">
        <v>1592</v>
      </c>
    </row>
    <row r="25" spans="1:10" x14ac:dyDescent="0.25">
      <c r="A25" t="s">
        <v>832</v>
      </c>
      <c r="B25" t="s">
        <v>872</v>
      </c>
      <c r="C25" t="s">
        <v>37</v>
      </c>
      <c r="D25" s="1">
        <v>12772</v>
      </c>
      <c r="E25" s="1">
        <v>41</v>
      </c>
      <c r="F25" s="1">
        <v>0</v>
      </c>
      <c r="G25" s="1">
        <v>0</v>
      </c>
      <c r="H25" s="1">
        <v>0</v>
      </c>
      <c r="I25" s="1">
        <v>8461</v>
      </c>
      <c r="J25" s="1">
        <v>2689</v>
      </c>
    </row>
    <row r="26" spans="1:10" x14ac:dyDescent="0.25">
      <c r="A26" t="s">
        <v>833</v>
      </c>
      <c r="B26" t="s">
        <v>872</v>
      </c>
      <c r="C26" t="s">
        <v>39</v>
      </c>
      <c r="D26" s="1">
        <v>6420</v>
      </c>
      <c r="E26" s="1">
        <v>8</v>
      </c>
      <c r="F26" s="1">
        <v>0</v>
      </c>
      <c r="G26" s="1">
        <v>0</v>
      </c>
      <c r="H26" s="1">
        <v>0</v>
      </c>
      <c r="I26" s="1">
        <v>14774</v>
      </c>
      <c r="J26" s="1">
        <v>3037</v>
      </c>
    </row>
    <row r="27" spans="1:10" x14ac:dyDescent="0.25">
      <c r="A27" t="s">
        <v>834</v>
      </c>
      <c r="B27" t="s">
        <v>872</v>
      </c>
      <c r="C27" t="s">
        <v>41</v>
      </c>
      <c r="D27" s="1">
        <v>26462</v>
      </c>
      <c r="E27" s="1">
        <v>152</v>
      </c>
      <c r="F27" s="1">
        <v>0</v>
      </c>
      <c r="G27" s="1">
        <v>0</v>
      </c>
      <c r="H27" s="1">
        <v>0</v>
      </c>
      <c r="I27" s="1">
        <v>7435</v>
      </c>
      <c r="J27" s="1">
        <v>6225</v>
      </c>
    </row>
    <row r="28" spans="1:10" x14ac:dyDescent="0.25">
      <c r="A28" t="s">
        <v>835</v>
      </c>
      <c r="B28" t="s">
        <v>872</v>
      </c>
      <c r="C28" t="s">
        <v>42</v>
      </c>
      <c r="D28" s="1">
        <v>10297</v>
      </c>
      <c r="E28" s="1">
        <v>62</v>
      </c>
      <c r="F28" s="1">
        <v>0</v>
      </c>
      <c r="G28" s="1">
        <v>0</v>
      </c>
      <c r="H28" s="1">
        <v>0</v>
      </c>
      <c r="I28" s="1">
        <v>4989</v>
      </c>
      <c r="J28" s="1">
        <v>2377</v>
      </c>
    </row>
    <row r="29" spans="1:10" x14ac:dyDescent="0.25">
      <c r="A29" t="s">
        <v>836</v>
      </c>
      <c r="B29" t="s">
        <v>872</v>
      </c>
      <c r="C29" t="s">
        <v>44</v>
      </c>
      <c r="D29" s="1">
        <v>30055</v>
      </c>
      <c r="E29" s="1">
        <v>53</v>
      </c>
      <c r="F29" s="1">
        <v>0</v>
      </c>
      <c r="G29" s="1">
        <v>0</v>
      </c>
      <c r="H29" s="1">
        <v>0</v>
      </c>
      <c r="I29" s="1">
        <v>14102</v>
      </c>
      <c r="J29" s="1">
        <v>7986</v>
      </c>
    </row>
    <row r="30" spans="1:10" x14ac:dyDescent="0.25">
      <c r="A30" t="s">
        <v>837</v>
      </c>
      <c r="B30" t="s">
        <v>872</v>
      </c>
      <c r="C30" t="s">
        <v>46</v>
      </c>
      <c r="D30" s="1">
        <v>13243</v>
      </c>
      <c r="E30" s="1">
        <v>0</v>
      </c>
      <c r="F30" s="1">
        <v>0</v>
      </c>
      <c r="G30" s="1">
        <v>0</v>
      </c>
      <c r="H30" s="1">
        <v>0</v>
      </c>
      <c r="I30" s="1">
        <v>10847</v>
      </c>
      <c r="J30" s="1">
        <v>2457</v>
      </c>
    </row>
    <row r="31" spans="1:10" x14ac:dyDescent="0.25">
      <c r="A31" t="s">
        <v>838</v>
      </c>
      <c r="B31" t="s">
        <v>872</v>
      </c>
      <c r="C31" t="s">
        <v>48</v>
      </c>
      <c r="D31" s="1">
        <v>24970</v>
      </c>
      <c r="E31" s="1">
        <v>27</v>
      </c>
      <c r="F31" s="1">
        <v>0</v>
      </c>
      <c r="G31" s="1">
        <v>0</v>
      </c>
      <c r="H31" s="1">
        <v>0</v>
      </c>
      <c r="I31" s="1">
        <v>16402</v>
      </c>
      <c r="J31" s="1">
        <v>7689</v>
      </c>
    </row>
    <row r="32" spans="1:10" x14ac:dyDescent="0.25">
      <c r="A32" t="s">
        <v>839</v>
      </c>
      <c r="B32" t="s">
        <v>872</v>
      </c>
      <c r="C32" t="s">
        <v>49</v>
      </c>
      <c r="D32" s="1">
        <v>15465</v>
      </c>
      <c r="E32" s="1">
        <v>9</v>
      </c>
      <c r="F32" s="1">
        <v>0</v>
      </c>
      <c r="G32" s="1">
        <v>0</v>
      </c>
      <c r="H32" s="1">
        <v>0</v>
      </c>
      <c r="I32" s="1">
        <v>8734</v>
      </c>
      <c r="J32" s="1">
        <v>6254</v>
      </c>
    </row>
    <row r="33" spans="1:10" x14ac:dyDescent="0.25">
      <c r="A33" t="s">
        <v>840</v>
      </c>
      <c r="B33" t="s">
        <v>872</v>
      </c>
      <c r="C33" t="s">
        <v>51</v>
      </c>
      <c r="D33" s="1">
        <v>6788</v>
      </c>
      <c r="E33" s="1">
        <v>3</v>
      </c>
      <c r="F33" s="1">
        <v>0</v>
      </c>
      <c r="G33" s="1">
        <v>0</v>
      </c>
      <c r="H33" s="1">
        <v>0</v>
      </c>
      <c r="I33" s="1">
        <v>1529</v>
      </c>
      <c r="J33" s="1">
        <v>1786</v>
      </c>
    </row>
    <row r="34" spans="1:10" x14ac:dyDescent="0.25">
      <c r="A34" t="s">
        <v>841</v>
      </c>
      <c r="B34" t="s">
        <v>872</v>
      </c>
      <c r="C34" t="s">
        <v>53</v>
      </c>
      <c r="D34" s="1">
        <v>20962</v>
      </c>
      <c r="E34" s="1">
        <v>0</v>
      </c>
      <c r="F34" s="1">
        <v>0</v>
      </c>
      <c r="G34" s="1">
        <v>0</v>
      </c>
      <c r="H34" s="1">
        <v>0</v>
      </c>
      <c r="I34" s="1">
        <v>10810</v>
      </c>
      <c r="J34" s="1">
        <v>9642</v>
      </c>
    </row>
    <row r="35" spans="1:10" x14ac:dyDescent="0.25">
      <c r="A35" t="s">
        <v>842</v>
      </c>
      <c r="B35" t="s">
        <v>872</v>
      </c>
      <c r="C35" t="s">
        <v>55</v>
      </c>
      <c r="D35" s="1">
        <v>21263</v>
      </c>
      <c r="E35" s="1">
        <v>363</v>
      </c>
      <c r="F35" s="1">
        <v>0</v>
      </c>
      <c r="G35" s="1">
        <v>0</v>
      </c>
      <c r="H35" s="1">
        <v>0</v>
      </c>
      <c r="I35" s="1">
        <v>16914</v>
      </c>
      <c r="J35" s="1">
        <v>6194</v>
      </c>
    </row>
    <row r="36" spans="1:10" x14ac:dyDescent="0.25">
      <c r="A36" t="s">
        <v>788</v>
      </c>
      <c r="B36" t="s">
        <v>872</v>
      </c>
      <c r="C36" t="s">
        <v>56</v>
      </c>
      <c r="D36" s="1">
        <v>75987</v>
      </c>
      <c r="E36" s="1">
        <v>181</v>
      </c>
      <c r="F36" s="1">
        <v>0</v>
      </c>
      <c r="G36" s="1">
        <v>0</v>
      </c>
      <c r="H36" s="1">
        <v>0</v>
      </c>
      <c r="I36" s="1">
        <v>17571</v>
      </c>
      <c r="J36" s="1">
        <v>20943</v>
      </c>
    </row>
    <row r="37" spans="1:10" x14ac:dyDescent="0.25">
      <c r="A37" t="s">
        <v>495</v>
      </c>
      <c r="B37" t="s">
        <v>872</v>
      </c>
      <c r="C37" t="s">
        <v>57</v>
      </c>
      <c r="D37" s="1">
        <v>20051</v>
      </c>
      <c r="E37" s="1">
        <v>0</v>
      </c>
      <c r="F37" s="1">
        <v>0</v>
      </c>
      <c r="G37" s="1">
        <v>0</v>
      </c>
      <c r="H37" s="1">
        <v>0</v>
      </c>
      <c r="I37" s="1">
        <v>4423</v>
      </c>
      <c r="J37" s="1">
        <v>884</v>
      </c>
    </row>
    <row r="38" spans="1:10" x14ac:dyDescent="0.25">
      <c r="A38" t="s">
        <v>248</v>
      </c>
      <c r="B38" t="s">
        <v>872</v>
      </c>
      <c r="C38" t="s">
        <v>58</v>
      </c>
      <c r="D38" s="1">
        <v>26533</v>
      </c>
      <c r="E38" s="1">
        <v>417</v>
      </c>
      <c r="F38" s="1">
        <v>0</v>
      </c>
      <c r="G38" s="1">
        <v>0</v>
      </c>
      <c r="H38" s="1">
        <v>0</v>
      </c>
      <c r="I38" s="1">
        <v>21469</v>
      </c>
      <c r="J38" s="1">
        <v>4176</v>
      </c>
    </row>
    <row r="39" spans="1:10" x14ac:dyDescent="0.25">
      <c r="A39" t="s">
        <v>843</v>
      </c>
      <c r="B39" t="s">
        <v>872</v>
      </c>
      <c r="C39" t="s">
        <v>60</v>
      </c>
      <c r="D39" s="1">
        <v>8724</v>
      </c>
      <c r="E39" s="1">
        <v>0</v>
      </c>
      <c r="F39" s="1">
        <v>0</v>
      </c>
      <c r="G39" s="1">
        <v>0</v>
      </c>
      <c r="H39" s="1">
        <v>0</v>
      </c>
      <c r="I39" s="1">
        <v>8517</v>
      </c>
      <c r="J39" s="1">
        <v>2718</v>
      </c>
    </row>
    <row r="40" spans="1:10" x14ac:dyDescent="0.25">
      <c r="A40" t="s">
        <v>844</v>
      </c>
      <c r="B40" t="s">
        <v>872</v>
      </c>
      <c r="C40" t="s">
        <v>62</v>
      </c>
      <c r="D40" s="1">
        <v>13525</v>
      </c>
      <c r="E40" s="1">
        <v>17</v>
      </c>
      <c r="F40" s="1">
        <v>0</v>
      </c>
      <c r="G40" s="1">
        <v>0</v>
      </c>
      <c r="H40" s="1">
        <v>0</v>
      </c>
      <c r="I40" s="1">
        <v>8009</v>
      </c>
      <c r="J40" s="1">
        <v>3896</v>
      </c>
    </row>
    <row r="41" spans="1:10" x14ac:dyDescent="0.25">
      <c r="A41" t="s">
        <v>845</v>
      </c>
      <c r="B41" t="s">
        <v>872</v>
      </c>
      <c r="C41" t="s">
        <v>63</v>
      </c>
      <c r="D41" s="1">
        <v>38910</v>
      </c>
      <c r="E41" s="1">
        <v>183</v>
      </c>
      <c r="F41" s="1">
        <v>0</v>
      </c>
      <c r="G41" s="1">
        <v>0</v>
      </c>
      <c r="H41" s="1">
        <v>0</v>
      </c>
      <c r="I41" s="1">
        <v>21026</v>
      </c>
      <c r="J41" s="1">
        <v>6617</v>
      </c>
    </row>
    <row r="42" spans="1:10" x14ac:dyDescent="0.25">
      <c r="A42" t="s">
        <v>846</v>
      </c>
      <c r="B42" t="s">
        <v>872</v>
      </c>
      <c r="C42" s="10" t="s">
        <v>64</v>
      </c>
      <c r="D42" s="1">
        <v>9994</v>
      </c>
      <c r="E42" s="1">
        <v>0</v>
      </c>
      <c r="F42" s="1">
        <v>0</v>
      </c>
      <c r="G42" s="1">
        <v>0</v>
      </c>
      <c r="H42" s="1">
        <v>0</v>
      </c>
      <c r="I42" s="1">
        <v>15961</v>
      </c>
      <c r="J42" s="1">
        <v>2702</v>
      </c>
    </row>
    <row r="43" spans="1:10" x14ac:dyDescent="0.25">
      <c r="A43" t="s">
        <v>788</v>
      </c>
      <c r="B43" t="s">
        <v>872</v>
      </c>
      <c r="C43" t="s">
        <v>65</v>
      </c>
      <c r="D43" s="1">
        <v>23109</v>
      </c>
      <c r="E43" s="1">
        <v>126</v>
      </c>
      <c r="F43" s="1">
        <v>0</v>
      </c>
      <c r="G43" s="1">
        <v>0</v>
      </c>
      <c r="H43" s="1">
        <v>0</v>
      </c>
      <c r="I43" s="1">
        <v>19829</v>
      </c>
      <c r="J43" s="1">
        <v>7414</v>
      </c>
    </row>
    <row r="44" spans="1:10" x14ac:dyDescent="0.25">
      <c r="A44" t="s">
        <v>76</v>
      </c>
      <c r="B44" t="s">
        <v>872</v>
      </c>
      <c r="C44" t="s">
        <v>66</v>
      </c>
      <c r="D44" s="1">
        <v>14342</v>
      </c>
      <c r="E44" s="1">
        <v>66</v>
      </c>
      <c r="F44" s="1">
        <v>0</v>
      </c>
      <c r="G44" s="1">
        <v>0</v>
      </c>
      <c r="H44" s="1">
        <v>0</v>
      </c>
      <c r="I44" s="1">
        <v>1789</v>
      </c>
      <c r="J44" s="1">
        <v>3585</v>
      </c>
    </row>
    <row r="45" spans="1:10" x14ac:dyDescent="0.25">
      <c r="A45" t="s">
        <v>67</v>
      </c>
      <c r="B45" t="s">
        <v>872</v>
      </c>
      <c r="C45" t="s">
        <v>68</v>
      </c>
      <c r="D45" s="1">
        <v>20186</v>
      </c>
      <c r="E45" s="1">
        <v>319</v>
      </c>
      <c r="F45" s="1">
        <v>0</v>
      </c>
      <c r="G45" s="1">
        <v>0</v>
      </c>
      <c r="H45" s="1">
        <v>0</v>
      </c>
      <c r="I45" s="1">
        <v>17264</v>
      </c>
      <c r="J45" s="1">
        <v>2469</v>
      </c>
    </row>
    <row r="46" spans="1:10" x14ac:dyDescent="0.25">
      <c r="A46" t="s">
        <v>76</v>
      </c>
      <c r="B46" t="s">
        <v>872</v>
      </c>
      <c r="C46" t="s">
        <v>70</v>
      </c>
      <c r="D46" s="1">
        <v>122854</v>
      </c>
      <c r="E46" s="1">
        <v>669</v>
      </c>
      <c r="F46" s="1">
        <v>0</v>
      </c>
      <c r="G46" s="1">
        <v>0</v>
      </c>
      <c r="H46" s="1">
        <v>0</v>
      </c>
      <c r="I46" s="1">
        <v>94575</v>
      </c>
      <c r="J46" s="1">
        <v>25786</v>
      </c>
    </row>
    <row r="47" spans="1:10" x14ac:dyDescent="0.25">
      <c r="A47" t="s">
        <v>803</v>
      </c>
      <c r="B47" t="s">
        <v>872</v>
      </c>
      <c r="C47" t="s">
        <v>71</v>
      </c>
      <c r="D47" s="1"/>
      <c r="E47" s="1"/>
      <c r="F47" s="1"/>
      <c r="G47" s="1"/>
      <c r="H47" s="1"/>
      <c r="I47" s="1"/>
      <c r="J47" s="1"/>
    </row>
    <row r="48" spans="1:10" x14ac:dyDescent="0.25">
      <c r="A48" t="s">
        <v>72</v>
      </c>
      <c r="B48" t="s">
        <v>872</v>
      </c>
      <c r="C48" t="s">
        <v>73</v>
      </c>
      <c r="D48" s="1">
        <v>19336</v>
      </c>
      <c r="E48" s="1">
        <v>104</v>
      </c>
      <c r="F48" s="1">
        <v>0</v>
      </c>
      <c r="G48" s="1">
        <v>0</v>
      </c>
      <c r="H48" s="1">
        <v>0</v>
      </c>
      <c r="I48" s="1">
        <v>11441</v>
      </c>
      <c r="J48" s="1">
        <v>3031</v>
      </c>
    </row>
    <row r="49" spans="1:10" x14ac:dyDescent="0.25">
      <c r="A49" t="s">
        <v>809</v>
      </c>
      <c r="B49" t="s">
        <v>872</v>
      </c>
      <c r="C49" t="s">
        <v>74</v>
      </c>
      <c r="D49" s="1"/>
      <c r="E49" s="1"/>
      <c r="F49" s="1"/>
      <c r="G49" s="1"/>
      <c r="H49" s="1"/>
      <c r="I49" s="1"/>
      <c r="J49" s="1"/>
    </row>
    <row r="50" spans="1:10" x14ac:dyDescent="0.25">
      <c r="A50" t="s">
        <v>146</v>
      </c>
      <c r="B50" t="s">
        <v>872</v>
      </c>
      <c r="C50" t="s">
        <v>75</v>
      </c>
      <c r="D50" s="1">
        <v>25871</v>
      </c>
      <c r="E50" s="1">
        <v>149</v>
      </c>
      <c r="F50" s="1">
        <v>0</v>
      </c>
      <c r="G50" s="1">
        <v>0</v>
      </c>
      <c r="H50" s="1">
        <v>0</v>
      </c>
      <c r="I50" s="1">
        <v>15769</v>
      </c>
      <c r="J50" s="1">
        <v>15597</v>
      </c>
    </row>
    <row r="51" spans="1:10" x14ac:dyDescent="0.25">
      <c r="A51" t="s">
        <v>76</v>
      </c>
      <c r="B51" t="s">
        <v>872</v>
      </c>
      <c r="C51" t="s">
        <v>77</v>
      </c>
      <c r="D51" s="1">
        <v>36929</v>
      </c>
      <c r="E51" s="1">
        <v>204</v>
      </c>
      <c r="F51" s="1">
        <v>0</v>
      </c>
      <c r="G51" s="1">
        <v>0</v>
      </c>
      <c r="H51" s="1">
        <v>0</v>
      </c>
      <c r="I51" s="1">
        <v>11853</v>
      </c>
      <c r="J51" s="1">
        <v>10248</v>
      </c>
    </row>
    <row r="52" spans="1:10" x14ac:dyDescent="0.25">
      <c r="A52" t="s">
        <v>801</v>
      </c>
      <c r="B52" t="s">
        <v>872</v>
      </c>
      <c r="C52" t="s">
        <v>78</v>
      </c>
      <c r="D52" s="1">
        <v>41151</v>
      </c>
      <c r="E52" s="1">
        <v>28</v>
      </c>
      <c r="F52" s="1">
        <v>0</v>
      </c>
      <c r="G52" s="1">
        <v>0</v>
      </c>
      <c r="H52" s="1">
        <v>0</v>
      </c>
      <c r="I52" s="1">
        <v>65119</v>
      </c>
      <c r="J52" s="1">
        <v>11550</v>
      </c>
    </row>
    <row r="53" spans="1:10" x14ac:dyDescent="0.25">
      <c r="A53" t="s">
        <v>847</v>
      </c>
      <c r="B53" t="s">
        <v>872</v>
      </c>
      <c r="C53" t="s">
        <v>79</v>
      </c>
      <c r="D53" s="1">
        <v>10952</v>
      </c>
      <c r="E53" s="1">
        <v>0</v>
      </c>
      <c r="F53" s="1">
        <v>0</v>
      </c>
      <c r="G53" s="1">
        <v>0</v>
      </c>
      <c r="H53" s="1">
        <v>0</v>
      </c>
      <c r="I53" s="1">
        <v>2362</v>
      </c>
      <c r="J53" s="1">
        <v>1999</v>
      </c>
    </row>
    <row r="54" spans="1:10" x14ac:dyDescent="0.25">
      <c r="A54" t="s">
        <v>226</v>
      </c>
      <c r="B54" t="s">
        <v>872</v>
      </c>
      <c r="C54" t="s">
        <v>80</v>
      </c>
      <c r="D54" s="1">
        <v>6137</v>
      </c>
      <c r="E54" s="1">
        <v>7</v>
      </c>
      <c r="F54" s="1">
        <v>0</v>
      </c>
      <c r="G54" s="1">
        <v>0</v>
      </c>
      <c r="H54" s="1">
        <v>0</v>
      </c>
      <c r="I54" s="1">
        <v>4547</v>
      </c>
      <c r="J54" s="1">
        <v>2309</v>
      </c>
    </row>
    <row r="55" spans="1:10" x14ac:dyDescent="0.25">
      <c r="A55" t="s">
        <v>826</v>
      </c>
      <c r="B55" t="s">
        <v>872</v>
      </c>
      <c r="C55" t="s">
        <v>81</v>
      </c>
      <c r="D55" s="1"/>
      <c r="E55" s="1"/>
      <c r="F55" s="1"/>
      <c r="G55" s="1"/>
      <c r="H55" s="1"/>
      <c r="I55" s="1"/>
      <c r="J55" s="1"/>
    </row>
    <row r="56" spans="1:10" x14ac:dyDescent="0.25">
      <c r="A56" t="s">
        <v>76</v>
      </c>
      <c r="B56" t="s">
        <v>872</v>
      </c>
      <c r="C56" t="s">
        <v>82</v>
      </c>
      <c r="D56" s="1">
        <v>65910</v>
      </c>
      <c r="E56" s="1">
        <v>592</v>
      </c>
      <c r="F56" s="1">
        <v>0</v>
      </c>
      <c r="G56" s="1">
        <v>0</v>
      </c>
      <c r="H56" s="1">
        <v>0</v>
      </c>
      <c r="I56" s="1">
        <v>6938</v>
      </c>
      <c r="J56" s="1">
        <v>6446</v>
      </c>
    </row>
    <row r="57" spans="1:10" x14ac:dyDescent="0.25">
      <c r="A57" t="s">
        <v>83</v>
      </c>
      <c r="B57" t="s">
        <v>872</v>
      </c>
      <c r="C57" t="s">
        <v>84</v>
      </c>
      <c r="D57" s="1">
        <v>30890</v>
      </c>
      <c r="E57" s="1">
        <v>14</v>
      </c>
      <c r="F57" s="1">
        <v>0</v>
      </c>
      <c r="G57" s="1">
        <v>0</v>
      </c>
      <c r="H57" s="1">
        <v>0</v>
      </c>
      <c r="I57" s="1">
        <v>23414</v>
      </c>
      <c r="J57" s="1">
        <v>21384</v>
      </c>
    </row>
    <row r="58" spans="1:10" x14ac:dyDescent="0.25">
      <c r="A58" t="s">
        <v>809</v>
      </c>
      <c r="B58" t="s">
        <v>872</v>
      </c>
      <c r="C58" t="s">
        <v>85</v>
      </c>
      <c r="D58" s="1"/>
      <c r="E58" s="1"/>
      <c r="F58" s="1"/>
      <c r="G58" s="1"/>
      <c r="H58" s="1"/>
      <c r="I58" s="1"/>
      <c r="J58" s="1"/>
    </row>
    <row r="59" spans="1:10" x14ac:dyDescent="0.25">
      <c r="A59" t="s">
        <v>811</v>
      </c>
      <c r="B59" t="s">
        <v>872</v>
      </c>
      <c r="C59" t="s">
        <v>86</v>
      </c>
      <c r="D59" s="1"/>
      <c r="E59" s="1"/>
      <c r="F59" s="1"/>
      <c r="G59" s="1"/>
      <c r="H59" s="1"/>
      <c r="I59" s="1"/>
      <c r="J59" s="1"/>
    </row>
    <row r="60" spans="1:10" x14ac:dyDescent="0.25">
      <c r="A60" t="s">
        <v>811</v>
      </c>
      <c r="B60" t="s">
        <v>872</v>
      </c>
      <c r="C60" t="s">
        <v>87</v>
      </c>
      <c r="D60" s="1"/>
      <c r="E60" s="1"/>
      <c r="F60" s="1"/>
      <c r="G60" s="1"/>
      <c r="H60" s="1"/>
      <c r="I60" s="1"/>
      <c r="J60" s="1"/>
    </row>
    <row r="61" spans="1:10" x14ac:dyDescent="0.25">
      <c r="A61" t="s">
        <v>791</v>
      </c>
      <c r="B61" t="s">
        <v>872</v>
      </c>
      <c r="C61" t="s">
        <v>88</v>
      </c>
      <c r="D61" s="1"/>
      <c r="E61" s="1"/>
      <c r="F61" s="1"/>
      <c r="G61" s="1"/>
      <c r="H61" s="1"/>
      <c r="I61" s="1"/>
      <c r="J61" s="1"/>
    </row>
    <row r="62" spans="1:10" x14ac:dyDescent="0.25">
      <c r="A62" t="s">
        <v>809</v>
      </c>
      <c r="B62" t="s">
        <v>872</v>
      </c>
      <c r="C62" t="s">
        <v>89</v>
      </c>
      <c r="D62" s="1"/>
      <c r="E62" s="1"/>
      <c r="F62" s="1"/>
      <c r="G62" s="1"/>
      <c r="H62" s="1"/>
      <c r="I62" s="1"/>
      <c r="J62" s="1"/>
    </row>
    <row r="63" spans="1:10" x14ac:dyDescent="0.25">
      <c r="A63" t="s">
        <v>848</v>
      </c>
      <c r="B63" t="s">
        <v>872</v>
      </c>
      <c r="C63" t="s">
        <v>90</v>
      </c>
      <c r="D63" s="1">
        <v>39387</v>
      </c>
      <c r="E63" s="1">
        <v>132</v>
      </c>
      <c r="F63" s="1">
        <v>0</v>
      </c>
      <c r="G63" s="1">
        <v>0</v>
      </c>
      <c r="H63" s="1">
        <v>0</v>
      </c>
      <c r="I63" s="1">
        <v>6729</v>
      </c>
      <c r="J63" s="1">
        <v>20490</v>
      </c>
    </row>
    <row r="64" spans="1:10" x14ac:dyDescent="0.25">
      <c r="A64" t="s">
        <v>811</v>
      </c>
      <c r="B64" t="s">
        <v>872</v>
      </c>
      <c r="C64" t="s">
        <v>91</v>
      </c>
      <c r="D64" s="1"/>
      <c r="E64" s="1"/>
      <c r="F64" s="1"/>
      <c r="G64" s="1"/>
      <c r="H64" s="1"/>
      <c r="I64" s="1"/>
      <c r="J64" s="1"/>
    </row>
    <row r="65" spans="1:10" x14ac:dyDescent="0.25">
      <c r="A65" t="s">
        <v>826</v>
      </c>
      <c r="B65" t="s">
        <v>872</v>
      </c>
      <c r="C65" t="s">
        <v>92</v>
      </c>
      <c r="D65" s="1"/>
      <c r="E65" s="1"/>
      <c r="F65" s="1"/>
      <c r="G65" s="1"/>
      <c r="H65" s="1"/>
      <c r="I65" s="1"/>
      <c r="J65" s="1"/>
    </row>
    <row r="66" spans="1:10" x14ac:dyDescent="0.25">
      <c r="A66" t="s">
        <v>849</v>
      </c>
      <c r="B66" t="s">
        <v>872</v>
      </c>
      <c r="C66" t="s">
        <v>93</v>
      </c>
      <c r="D66" s="1">
        <v>9493</v>
      </c>
      <c r="E66" s="1">
        <v>209</v>
      </c>
      <c r="F66" s="1">
        <v>0</v>
      </c>
      <c r="G66" s="1">
        <v>0</v>
      </c>
      <c r="H66" s="1">
        <v>0</v>
      </c>
      <c r="I66" s="1">
        <v>8457</v>
      </c>
      <c r="J66" s="1">
        <v>3969</v>
      </c>
    </row>
    <row r="67" spans="1:10" x14ac:dyDescent="0.25">
      <c r="A67" t="s">
        <v>791</v>
      </c>
      <c r="B67" t="s">
        <v>872</v>
      </c>
      <c r="C67" t="s">
        <v>94</v>
      </c>
      <c r="D67" s="1"/>
      <c r="E67" s="1"/>
      <c r="F67" s="1"/>
      <c r="G67" s="1"/>
      <c r="H67" s="1"/>
      <c r="I67" s="1"/>
      <c r="J67" s="1"/>
    </row>
    <row r="68" spans="1:10" x14ac:dyDescent="0.25">
      <c r="A68" t="s">
        <v>848</v>
      </c>
      <c r="B68" t="s">
        <v>872</v>
      </c>
      <c r="C68" t="s">
        <v>95</v>
      </c>
      <c r="D68" s="1">
        <v>4078</v>
      </c>
      <c r="E68" s="1">
        <v>130</v>
      </c>
      <c r="F68" s="1">
        <v>0</v>
      </c>
      <c r="G68" s="1">
        <v>0</v>
      </c>
      <c r="H68" s="1">
        <v>0</v>
      </c>
      <c r="I68" s="1">
        <v>1447</v>
      </c>
      <c r="J68" s="1">
        <v>515</v>
      </c>
    </row>
    <row r="69" spans="1:10" x14ac:dyDescent="0.25">
      <c r="A69" t="s">
        <v>826</v>
      </c>
      <c r="B69" t="s">
        <v>872</v>
      </c>
      <c r="C69" t="s">
        <v>96</v>
      </c>
      <c r="D69" s="1"/>
      <c r="E69" s="1"/>
      <c r="F69" s="1"/>
      <c r="G69" s="1"/>
      <c r="H69" s="1"/>
      <c r="I69" s="1"/>
      <c r="J69" s="1"/>
    </row>
    <row r="70" spans="1:10" x14ac:dyDescent="0.25">
      <c r="A70" t="s">
        <v>850</v>
      </c>
      <c r="B70" t="s">
        <v>872</v>
      </c>
      <c r="C70" t="s">
        <v>98</v>
      </c>
      <c r="D70" s="1">
        <v>11210</v>
      </c>
      <c r="E70" s="1">
        <v>20</v>
      </c>
      <c r="F70" s="1">
        <v>0</v>
      </c>
      <c r="G70" s="1">
        <v>0</v>
      </c>
      <c r="H70" s="1">
        <v>0</v>
      </c>
      <c r="I70" s="1">
        <v>7681</v>
      </c>
      <c r="J70" s="1">
        <v>3324</v>
      </c>
    </row>
    <row r="71" spans="1:10" x14ac:dyDescent="0.25">
      <c r="A71" t="s">
        <v>851</v>
      </c>
      <c r="B71" t="s">
        <v>872</v>
      </c>
      <c r="C71" t="s">
        <v>100</v>
      </c>
      <c r="D71" s="1">
        <v>7496</v>
      </c>
      <c r="E71" s="1">
        <v>277</v>
      </c>
      <c r="F71" s="1">
        <v>0</v>
      </c>
      <c r="G71" s="1">
        <v>0</v>
      </c>
      <c r="H71" s="1">
        <v>0</v>
      </c>
      <c r="I71" s="1">
        <v>4535</v>
      </c>
      <c r="J71" s="1">
        <v>2043</v>
      </c>
    </row>
    <row r="72" spans="1:10" x14ac:dyDescent="0.25">
      <c r="A72" t="s">
        <v>101</v>
      </c>
      <c r="B72" t="s">
        <v>872</v>
      </c>
      <c r="C72" t="s">
        <v>102</v>
      </c>
      <c r="D72" s="1">
        <v>43775</v>
      </c>
      <c r="E72" s="1">
        <v>2</v>
      </c>
      <c r="F72" s="1">
        <v>0</v>
      </c>
      <c r="G72" s="1">
        <v>0</v>
      </c>
      <c r="H72" s="1">
        <v>0</v>
      </c>
      <c r="I72" s="1">
        <v>37961</v>
      </c>
      <c r="J72" s="1">
        <v>6570</v>
      </c>
    </row>
    <row r="73" spans="1:10" x14ac:dyDescent="0.25">
      <c r="A73" t="s">
        <v>512</v>
      </c>
      <c r="B73" t="s">
        <v>872</v>
      </c>
      <c r="C73" t="s">
        <v>103</v>
      </c>
      <c r="D73" s="1">
        <v>20082</v>
      </c>
      <c r="E73" s="1">
        <v>0</v>
      </c>
      <c r="F73" s="1">
        <v>0</v>
      </c>
      <c r="G73" s="1">
        <v>0</v>
      </c>
      <c r="H73" s="1">
        <v>0</v>
      </c>
      <c r="I73" s="1">
        <v>1069</v>
      </c>
      <c r="J73" s="1">
        <v>3767</v>
      </c>
    </row>
    <row r="74" spans="1:10" x14ac:dyDescent="0.25">
      <c r="A74" t="s">
        <v>852</v>
      </c>
      <c r="B74" t="s">
        <v>872</v>
      </c>
      <c r="C74" t="s">
        <v>105</v>
      </c>
      <c r="D74" s="1">
        <v>13085</v>
      </c>
      <c r="E74" s="1">
        <v>107</v>
      </c>
      <c r="F74" s="1">
        <v>0</v>
      </c>
      <c r="G74" s="1">
        <v>0</v>
      </c>
      <c r="H74" s="1">
        <v>0</v>
      </c>
      <c r="I74" s="1">
        <v>7765</v>
      </c>
      <c r="J74" s="1">
        <v>4292</v>
      </c>
    </row>
    <row r="75" spans="1:10" x14ac:dyDescent="0.25">
      <c r="A75" t="s">
        <v>853</v>
      </c>
      <c r="B75" t="s">
        <v>872</v>
      </c>
      <c r="C75" t="s">
        <v>107</v>
      </c>
      <c r="D75" s="1">
        <v>38293</v>
      </c>
      <c r="E75" s="1">
        <v>209</v>
      </c>
      <c r="F75" s="1">
        <v>0</v>
      </c>
      <c r="G75" s="1">
        <v>0</v>
      </c>
      <c r="H75" s="1">
        <v>0</v>
      </c>
      <c r="I75" s="1">
        <v>25226</v>
      </c>
      <c r="J75" s="1">
        <v>8391</v>
      </c>
    </row>
    <row r="76" spans="1:10" x14ac:dyDescent="0.25">
      <c r="A76" t="s">
        <v>854</v>
      </c>
      <c r="B76" t="s">
        <v>872</v>
      </c>
      <c r="C76" t="s">
        <v>109</v>
      </c>
      <c r="D76" s="1">
        <v>20576</v>
      </c>
      <c r="E76" s="1">
        <v>1211</v>
      </c>
      <c r="F76" s="1">
        <v>0</v>
      </c>
      <c r="G76" s="1">
        <v>0</v>
      </c>
      <c r="H76" s="1">
        <v>0</v>
      </c>
      <c r="I76" s="1">
        <v>16156</v>
      </c>
      <c r="J76" s="1">
        <v>5627</v>
      </c>
    </row>
    <row r="77" spans="1:10" x14ac:dyDescent="0.25">
      <c r="A77" t="s">
        <v>855</v>
      </c>
      <c r="B77" t="s">
        <v>872</v>
      </c>
      <c r="C77" t="s">
        <v>111</v>
      </c>
      <c r="D77" s="1">
        <v>11264</v>
      </c>
      <c r="E77" s="1">
        <v>119</v>
      </c>
      <c r="F77" s="1">
        <v>0</v>
      </c>
      <c r="G77" s="1">
        <v>0</v>
      </c>
      <c r="H77" s="1">
        <v>0</v>
      </c>
      <c r="I77" s="1">
        <v>12858</v>
      </c>
      <c r="J77" s="1">
        <v>3727</v>
      </c>
    </row>
    <row r="78" spans="1:10" x14ac:dyDescent="0.25">
      <c r="A78" t="s">
        <v>101</v>
      </c>
      <c r="B78" t="s">
        <v>872</v>
      </c>
      <c r="C78" t="s">
        <v>112</v>
      </c>
      <c r="D78" s="1">
        <v>34682</v>
      </c>
      <c r="E78" s="1">
        <v>9</v>
      </c>
      <c r="F78" s="1">
        <v>0</v>
      </c>
      <c r="G78" s="1">
        <v>0</v>
      </c>
      <c r="H78" s="1">
        <v>0</v>
      </c>
      <c r="I78" s="1">
        <v>65521</v>
      </c>
      <c r="J78" s="1">
        <v>3226</v>
      </c>
    </row>
    <row r="79" spans="1:10" x14ac:dyDescent="0.25">
      <c r="A79" t="s">
        <v>856</v>
      </c>
      <c r="B79" t="s">
        <v>872</v>
      </c>
      <c r="C79" t="s">
        <v>114</v>
      </c>
      <c r="D79" s="1">
        <v>13174</v>
      </c>
      <c r="E79" s="1">
        <v>399</v>
      </c>
      <c r="F79" s="1">
        <v>0</v>
      </c>
      <c r="G79" s="1">
        <v>0</v>
      </c>
      <c r="H79" s="1">
        <v>0</v>
      </c>
      <c r="I79" s="1">
        <v>20472</v>
      </c>
      <c r="J79" s="1">
        <v>9211</v>
      </c>
    </row>
    <row r="80" spans="1:10" x14ac:dyDescent="0.25">
      <c r="A80" t="s">
        <v>857</v>
      </c>
      <c r="B80" t="s">
        <v>872</v>
      </c>
      <c r="C80" t="s">
        <v>116</v>
      </c>
      <c r="D80" s="1">
        <v>17136</v>
      </c>
      <c r="E80" s="1">
        <v>148</v>
      </c>
      <c r="F80" s="1">
        <v>0</v>
      </c>
      <c r="G80" s="1">
        <v>0</v>
      </c>
      <c r="H80" s="1">
        <v>0</v>
      </c>
      <c r="I80" s="1">
        <v>3605</v>
      </c>
      <c r="J80" s="1">
        <v>5218</v>
      </c>
    </row>
    <row r="81" spans="1:10" x14ac:dyDescent="0.25">
      <c r="A81" t="s">
        <v>823</v>
      </c>
      <c r="B81" t="s">
        <v>872</v>
      </c>
      <c r="C81" t="s">
        <v>117</v>
      </c>
      <c r="D81" s="1">
        <v>20747</v>
      </c>
      <c r="E81" s="1">
        <v>14</v>
      </c>
      <c r="F81" s="1">
        <v>0</v>
      </c>
      <c r="G81" s="1">
        <v>0</v>
      </c>
      <c r="H81" s="1">
        <v>0</v>
      </c>
      <c r="I81" s="1">
        <v>3785</v>
      </c>
      <c r="J81" s="1">
        <v>4478</v>
      </c>
    </row>
    <row r="82" spans="1:10" x14ac:dyDescent="0.25">
      <c r="A82" t="s">
        <v>858</v>
      </c>
      <c r="B82" t="s">
        <v>872</v>
      </c>
      <c r="C82" t="s">
        <v>119</v>
      </c>
      <c r="D82" s="1">
        <v>17071</v>
      </c>
      <c r="E82" s="1">
        <v>160</v>
      </c>
      <c r="F82" s="1">
        <v>0</v>
      </c>
      <c r="G82" s="1">
        <v>0</v>
      </c>
      <c r="H82" s="1">
        <v>0</v>
      </c>
      <c r="I82" s="1">
        <v>8454</v>
      </c>
      <c r="J82" s="1">
        <v>6098</v>
      </c>
    </row>
    <row r="83" spans="1:10" x14ac:dyDescent="0.25">
      <c r="A83" t="s">
        <v>859</v>
      </c>
      <c r="B83" t="s">
        <v>872</v>
      </c>
      <c r="C83" t="s">
        <v>121</v>
      </c>
      <c r="D83" s="1">
        <v>19740</v>
      </c>
      <c r="E83" s="1">
        <v>6</v>
      </c>
      <c r="F83" s="1">
        <v>0</v>
      </c>
      <c r="G83" s="1">
        <v>0</v>
      </c>
      <c r="H83" s="1">
        <v>0</v>
      </c>
      <c r="I83" s="1">
        <v>11245</v>
      </c>
      <c r="J83" s="1">
        <v>2625</v>
      </c>
    </row>
    <row r="84" spans="1:10" x14ac:dyDescent="0.25">
      <c r="A84" t="s">
        <v>860</v>
      </c>
      <c r="B84" t="s">
        <v>872</v>
      </c>
      <c r="C84" t="s">
        <v>122</v>
      </c>
      <c r="D84" s="1">
        <v>17757</v>
      </c>
      <c r="E84" s="1">
        <v>41</v>
      </c>
      <c r="F84" s="1">
        <v>0</v>
      </c>
      <c r="G84" s="1">
        <v>0</v>
      </c>
      <c r="H84" s="1">
        <v>0</v>
      </c>
      <c r="I84" s="1">
        <v>7714</v>
      </c>
      <c r="J84" s="1">
        <v>4695</v>
      </c>
    </row>
    <row r="85" spans="1:10" x14ac:dyDescent="0.25">
      <c r="A85" t="s">
        <v>861</v>
      </c>
      <c r="B85" t="s">
        <v>872</v>
      </c>
      <c r="C85" t="s">
        <v>124</v>
      </c>
      <c r="D85" s="1">
        <v>16912</v>
      </c>
      <c r="E85" s="1">
        <v>0</v>
      </c>
      <c r="F85" s="1">
        <v>0</v>
      </c>
      <c r="G85" s="1">
        <v>0</v>
      </c>
      <c r="H85" s="1">
        <v>0</v>
      </c>
      <c r="I85" s="1">
        <v>9219</v>
      </c>
      <c r="J85" s="1">
        <v>3797</v>
      </c>
    </row>
    <row r="86" spans="1:10" x14ac:dyDescent="0.25">
      <c r="A86" t="s">
        <v>823</v>
      </c>
      <c r="B86" t="s">
        <v>872</v>
      </c>
      <c r="C86" t="s">
        <v>125</v>
      </c>
      <c r="D86" s="1">
        <v>65959</v>
      </c>
      <c r="E86" s="1">
        <v>1</v>
      </c>
      <c r="F86" s="1">
        <v>0</v>
      </c>
      <c r="G86" s="1">
        <v>0</v>
      </c>
      <c r="H86" s="1">
        <v>0</v>
      </c>
      <c r="I86" s="1">
        <v>2119</v>
      </c>
      <c r="J86" s="1">
        <v>3919</v>
      </c>
    </row>
    <row r="87" spans="1:10" x14ac:dyDescent="0.25">
      <c r="A87" t="s">
        <v>248</v>
      </c>
      <c r="B87" t="s">
        <v>872</v>
      </c>
      <c r="C87" t="s">
        <v>126</v>
      </c>
      <c r="D87" s="1">
        <v>22930</v>
      </c>
      <c r="E87" s="1">
        <v>14</v>
      </c>
      <c r="F87" s="1">
        <v>0</v>
      </c>
      <c r="G87" s="1">
        <v>0</v>
      </c>
      <c r="H87" s="1">
        <v>0</v>
      </c>
      <c r="I87" s="1">
        <v>41414</v>
      </c>
      <c r="J87" s="1">
        <v>4672</v>
      </c>
    </row>
    <row r="88" spans="1:10" x14ac:dyDescent="0.25">
      <c r="A88" t="s">
        <v>862</v>
      </c>
      <c r="B88" t="s">
        <v>872</v>
      </c>
      <c r="C88" t="s">
        <v>127</v>
      </c>
      <c r="D88" s="1">
        <v>8255</v>
      </c>
      <c r="E88" s="1">
        <v>94</v>
      </c>
      <c r="F88" s="1">
        <v>0</v>
      </c>
      <c r="G88" s="1">
        <v>0</v>
      </c>
      <c r="H88" s="1">
        <v>0</v>
      </c>
      <c r="I88" s="1">
        <v>5222</v>
      </c>
      <c r="J88" s="1">
        <v>2766</v>
      </c>
    </row>
    <row r="89" spans="1:10" x14ac:dyDescent="0.25">
      <c r="A89" t="s">
        <v>863</v>
      </c>
      <c r="B89" t="s">
        <v>872</v>
      </c>
      <c r="C89" t="s">
        <v>129</v>
      </c>
      <c r="D89" s="1">
        <v>23885</v>
      </c>
      <c r="E89" s="1">
        <v>355</v>
      </c>
      <c r="F89" s="1">
        <v>0</v>
      </c>
      <c r="G89" s="1">
        <v>0</v>
      </c>
      <c r="H89" s="1">
        <v>0</v>
      </c>
      <c r="I89" s="1">
        <v>7849</v>
      </c>
      <c r="J89" s="1">
        <v>5944</v>
      </c>
    </row>
    <row r="90" spans="1:10" x14ac:dyDescent="0.25">
      <c r="A90" t="s">
        <v>794</v>
      </c>
      <c r="B90" t="s">
        <v>872</v>
      </c>
      <c r="C90" t="s">
        <v>130</v>
      </c>
      <c r="D90" s="1">
        <v>46019</v>
      </c>
      <c r="E90" s="1">
        <v>130</v>
      </c>
      <c r="F90" s="1">
        <v>0</v>
      </c>
      <c r="G90" s="1">
        <v>0</v>
      </c>
      <c r="H90" s="1">
        <v>0</v>
      </c>
      <c r="I90" s="1">
        <v>5256</v>
      </c>
      <c r="J90" s="1">
        <v>4901</v>
      </c>
    </row>
    <row r="91" spans="1:10" x14ac:dyDescent="0.25">
      <c r="A91" t="s">
        <v>864</v>
      </c>
      <c r="B91" t="s">
        <v>872</v>
      </c>
      <c r="C91" t="s">
        <v>132</v>
      </c>
      <c r="D91" s="1">
        <v>38319</v>
      </c>
      <c r="E91" s="1">
        <v>54</v>
      </c>
      <c r="F91" s="1">
        <v>0</v>
      </c>
      <c r="G91" s="1">
        <v>0</v>
      </c>
      <c r="H91" s="1">
        <v>0</v>
      </c>
      <c r="I91" s="1">
        <v>39023</v>
      </c>
      <c r="J91" s="1">
        <v>17956</v>
      </c>
    </row>
    <row r="92" spans="1:10" x14ac:dyDescent="0.25">
      <c r="A92" t="s">
        <v>512</v>
      </c>
      <c r="B92" t="s">
        <v>872</v>
      </c>
      <c r="C92" t="s">
        <v>133</v>
      </c>
      <c r="D92" s="1">
        <v>12661</v>
      </c>
      <c r="E92" s="1">
        <v>700</v>
      </c>
      <c r="F92" s="1">
        <v>0</v>
      </c>
      <c r="G92" s="1">
        <v>0</v>
      </c>
      <c r="H92" s="1">
        <v>0</v>
      </c>
      <c r="I92" s="1">
        <v>3990</v>
      </c>
      <c r="J92" s="1">
        <v>2639</v>
      </c>
    </row>
    <row r="93" spans="1:10" x14ac:dyDescent="0.25">
      <c r="A93" t="s">
        <v>134</v>
      </c>
      <c r="B93" t="s">
        <v>872</v>
      </c>
      <c r="C93" t="s">
        <v>135</v>
      </c>
      <c r="D93" s="1">
        <v>29214</v>
      </c>
      <c r="E93" s="1">
        <v>10</v>
      </c>
      <c r="F93" s="1">
        <v>0</v>
      </c>
      <c r="G93" s="1">
        <v>0</v>
      </c>
      <c r="H93" s="1">
        <v>0</v>
      </c>
      <c r="I93" s="1">
        <v>43825</v>
      </c>
      <c r="J93" s="1">
        <v>8972</v>
      </c>
    </row>
    <row r="94" spans="1:10" x14ac:dyDescent="0.25">
      <c r="A94" t="s">
        <v>795</v>
      </c>
      <c r="B94" t="s">
        <v>872</v>
      </c>
      <c r="C94" t="s">
        <v>136</v>
      </c>
      <c r="D94" s="1">
        <v>14727</v>
      </c>
      <c r="E94" s="1">
        <v>174</v>
      </c>
      <c r="F94" s="1">
        <v>0</v>
      </c>
      <c r="G94" s="1">
        <v>0</v>
      </c>
      <c r="H94" s="1">
        <v>0</v>
      </c>
      <c r="I94" s="1">
        <v>15757</v>
      </c>
      <c r="J94" s="1">
        <v>3947</v>
      </c>
    </row>
    <row r="95" spans="1:10" x14ac:dyDescent="0.25">
      <c r="A95" t="s">
        <v>120</v>
      </c>
      <c r="B95" t="s">
        <v>872</v>
      </c>
      <c r="C95" t="s">
        <v>137</v>
      </c>
      <c r="D95" s="1">
        <v>50445</v>
      </c>
      <c r="E95" s="1">
        <v>95</v>
      </c>
      <c r="F95" s="1">
        <v>0</v>
      </c>
      <c r="G95" s="1">
        <v>0</v>
      </c>
      <c r="H95" s="1">
        <v>0</v>
      </c>
      <c r="I95" s="1">
        <v>26246</v>
      </c>
      <c r="J95" s="1">
        <v>3707</v>
      </c>
    </row>
    <row r="96" spans="1:10" x14ac:dyDescent="0.25">
      <c r="A96" t="s">
        <v>138</v>
      </c>
      <c r="B96" t="s">
        <v>872</v>
      </c>
      <c r="C96" t="s">
        <v>139</v>
      </c>
      <c r="D96" s="1">
        <v>35239</v>
      </c>
      <c r="E96" s="1">
        <v>28</v>
      </c>
      <c r="F96" s="1">
        <v>0</v>
      </c>
      <c r="G96" s="1">
        <v>0</v>
      </c>
      <c r="H96" s="1">
        <v>0</v>
      </c>
      <c r="I96" s="1">
        <v>30823</v>
      </c>
      <c r="J96" s="1">
        <v>6299</v>
      </c>
    </row>
    <row r="97" spans="1:10" x14ac:dyDescent="0.25">
      <c r="A97" t="s">
        <v>868</v>
      </c>
      <c r="B97" t="s">
        <v>872</v>
      </c>
      <c r="C97" t="s">
        <v>141</v>
      </c>
      <c r="D97" s="1"/>
      <c r="E97" s="1"/>
      <c r="F97" s="1"/>
      <c r="G97" s="1"/>
      <c r="H97" s="1"/>
      <c r="I97" s="1"/>
      <c r="J97" s="1"/>
    </row>
    <row r="98" spans="1:10" x14ac:dyDescent="0.25">
      <c r="A98" t="s">
        <v>67</v>
      </c>
      <c r="B98" t="s">
        <v>872</v>
      </c>
      <c r="C98" t="s">
        <v>142</v>
      </c>
      <c r="D98" s="1">
        <v>29341</v>
      </c>
      <c r="E98" s="1">
        <v>41</v>
      </c>
      <c r="F98" s="1">
        <v>0</v>
      </c>
      <c r="G98" s="1">
        <v>0</v>
      </c>
      <c r="H98" s="1">
        <v>0</v>
      </c>
      <c r="I98" s="1">
        <v>8244</v>
      </c>
      <c r="J98" s="1">
        <v>1915</v>
      </c>
    </row>
    <row r="99" spans="1:10" x14ac:dyDescent="0.25">
      <c r="A99" t="s">
        <v>823</v>
      </c>
      <c r="B99" t="s">
        <v>872</v>
      </c>
      <c r="C99" t="s">
        <v>143</v>
      </c>
      <c r="D99" s="1">
        <v>19741</v>
      </c>
      <c r="E99" s="1">
        <v>0</v>
      </c>
      <c r="F99" s="1">
        <v>0</v>
      </c>
      <c r="G99" s="1">
        <v>0</v>
      </c>
      <c r="H99" s="1">
        <v>0</v>
      </c>
      <c r="I99" s="1">
        <v>869</v>
      </c>
      <c r="J99" s="1">
        <v>1997</v>
      </c>
    </row>
    <row r="100" spans="1:10" x14ac:dyDescent="0.25">
      <c r="A100" t="s">
        <v>848</v>
      </c>
      <c r="B100" t="s">
        <v>872</v>
      </c>
      <c r="C100" t="s">
        <v>144</v>
      </c>
      <c r="D100" s="1">
        <v>9761</v>
      </c>
      <c r="E100" s="1">
        <v>421</v>
      </c>
      <c r="F100" s="1">
        <v>0</v>
      </c>
      <c r="G100" s="1">
        <v>0</v>
      </c>
      <c r="H100" s="1">
        <v>0</v>
      </c>
      <c r="I100" s="1">
        <v>1557</v>
      </c>
      <c r="J100" s="1">
        <v>3100</v>
      </c>
    </row>
    <row r="101" spans="1:10" x14ac:dyDescent="0.25">
      <c r="A101" t="s">
        <v>816</v>
      </c>
      <c r="B101" t="s">
        <v>872</v>
      </c>
      <c r="C101" t="s">
        <v>145</v>
      </c>
      <c r="D101" s="1">
        <v>56141</v>
      </c>
      <c r="E101" s="1">
        <v>108</v>
      </c>
      <c r="F101" s="1">
        <v>0</v>
      </c>
      <c r="G101" s="1">
        <v>0</v>
      </c>
      <c r="H101" s="1">
        <v>0</v>
      </c>
      <c r="I101" s="1">
        <v>42848</v>
      </c>
      <c r="J101" s="1">
        <v>18647</v>
      </c>
    </row>
    <row r="102" spans="1:10" x14ac:dyDescent="0.25">
      <c r="A102" t="s">
        <v>146</v>
      </c>
      <c r="B102" t="s">
        <v>872</v>
      </c>
      <c r="C102" t="s">
        <v>147</v>
      </c>
      <c r="D102" s="1">
        <v>92193</v>
      </c>
      <c r="E102" s="1">
        <v>60</v>
      </c>
      <c r="F102" s="1">
        <v>0</v>
      </c>
      <c r="G102" s="1">
        <v>0</v>
      </c>
      <c r="H102" s="1">
        <v>0</v>
      </c>
      <c r="I102" s="1">
        <v>43784</v>
      </c>
      <c r="J102" s="1">
        <v>20894</v>
      </c>
    </row>
    <row r="103" spans="1:10" x14ac:dyDescent="0.25">
      <c r="A103" t="s">
        <v>804</v>
      </c>
      <c r="B103" t="s">
        <v>872</v>
      </c>
      <c r="C103" t="s">
        <v>148</v>
      </c>
      <c r="D103" s="1">
        <v>103301</v>
      </c>
      <c r="E103" s="1">
        <v>106</v>
      </c>
      <c r="F103" s="1">
        <v>0</v>
      </c>
      <c r="G103" s="1">
        <v>0</v>
      </c>
      <c r="H103" s="1">
        <v>0</v>
      </c>
      <c r="I103" s="1">
        <v>119094</v>
      </c>
      <c r="J103" s="1">
        <v>20671</v>
      </c>
    </row>
    <row r="104" spans="1:10" x14ac:dyDescent="0.25">
      <c r="A104" t="s">
        <v>817</v>
      </c>
      <c r="B104" t="s">
        <v>872</v>
      </c>
      <c r="C104" t="s">
        <v>149</v>
      </c>
      <c r="D104" s="1">
        <v>21682</v>
      </c>
      <c r="E104" s="1">
        <v>751</v>
      </c>
      <c r="F104" s="1">
        <v>0</v>
      </c>
      <c r="G104" s="1">
        <v>0</v>
      </c>
      <c r="H104" s="1">
        <v>0</v>
      </c>
      <c r="I104" s="1">
        <v>23758</v>
      </c>
      <c r="J104" s="1">
        <v>8528</v>
      </c>
    </row>
    <row r="105" spans="1:10" x14ac:dyDescent="0.25">
      <c r="A105" t="s">
        <v>831</v>
      </c>
      <c r="B105" t="s">
        <v>872</v>
      </c>
      <c r="C105" t="s">
        <v>151</v>
      </c>
      <c r="D105" s="1">
        <v>6275</v>
      </c>
      <c r="E105" s="1">
        <v>30</v>
      </c>
      <c r="F105" s="1">
        <v>0</v>
      </c>
      <c r="G105" s="1">
        <v>0</v>
      </c>
      <c r="H105" s="1">
        <v>0</v>
      </c>
      <c r="I105" s="1">
        <v>3106</v>
      </c>
      <c r="J105" s="1">
        <v>1293</v>
      </c>
    </row>
    <row r="106" spans="1:10" x14ac:dyDescent="0.25">
      <c r="A106" t="s">
        <v>146</v>
      </c>
      <c r="B106" t="s">
        <v>872</v>
      </c>
      <c r="C106" t="s">
        <v>152</v>
      </c>
      <c r="D106" s="1">
        <v>25275</v>
      </c>
      <c r="E106" s="1">
        <v>44</v>
      </c>
      <c r="F106" s="1">
        <v>0</v>
      </c>
      <c r="G106" s="1">
        <v>0</v>
      </c>
      <c r="H106" s="1">
        <v>0</v>
      </c>
      <c r="I106" s="1">
        <v>26735</v>
      </c>
      <c r="J106" s="1">
        <v>9001</v>
      </c>
    </row>
    <row r="107" spans="1:10" x14ac:dyDescent="0.25">
      <c r="A107" t="s">
        <v>495</v>
      </c>
      <c r="B107" t="s">
        <v>872</v>
      </c>
      <c r="C107" t="s">
        <v>153</v>
      </c>
      <c r="D107" s="1">
        <v>7247</v>
      </c>
      <c r="E107" s="1">
        <v>4</v>
      </c>
      <c r="F107" s="1">
        <v>0</v>
      </c>
      <c r="G107" s="1">
        <v>0</v>
      </c>
      <c r="H107" s="1">
        <v>0</v>
      </c>
      <c r="I107" s="1">
        <v>9694</v>
      </c>
      <c r="J107" s="1">
        <v>853</v>
      </c>
    </row>
    <row r="108" spans="1:10" x14ac:dyDescent="0.25">
      <c r="A108" t="s">
        <v>76</v>
      </c>
      <c r="B108" t="s">
        <v>872</v>
      </c>
      <c r="C108" t="s">
        <v>154</v>
      </c>
      <c r="D108" s="1">
        <v>45707</v>
      </c>
      <c r="E108" s="1">
        <v>505</v>
      </c>
      <c r="F108" s="1">
        <v>0</v>
      </c>
      <c r="G108" s="1">
        <v>0</v>
      </c>
      <c r="H108" s="1">
        <v>0</v>
      </c>
      <c r="I108" s="1">
        <v>5894</v>
      </c>
      <c r="J108" s="1">
        <v>17366</v>
      </c>
    </row>
    <row r="109" spans="1:10" x14ac:dyDescent="0.25">
      <c r="A109" t="s">
        <v>83</v>
      </c>
      <c r="B109" t="s">
        <v>872</v>
      </c>
      <c r="C109" t="s">
        <v>155</v>
      </c>
      <c r="D109" s="1">
        <v>15646</v>
      </c>
      <c r="E109" s="1">
        <v>18</v>
      </c>
      <c r="F109" s="1">
        <v>0</v>
      </c>
      <c r="G109" s="1">
        <v>0</v>
      </c>
      <c r="H109" s="1">
        <v>0</v>
      </c>
      <c r="I109" s="1">
        <v>60405</v>
      </c>
      <c r="J109" s="1">
        <v>2697</v>
      </c>
    </row>
    <row r="110" spans="1:10" x14ac:dyDescent="0.25">
      <c r="A110" t="s">
        <v>138</v>
      </c>
      <c r="B110" t="s">
        <v>872</v>
      </c>
      <c r="C110" t="s">
        <v>156</v>
      </c>
      <c r="D110" s="1">
        <v>46779</v>
      </c>
      <c r="E110" s="1">
        <v>219</v>
      </c>
      <c r="F110" s="1">
        <v>0</v>
      </c>
      <c r="G110" s="1">
        <v>0</v>
      </c>
      <c r="H110" s="1">
        <v>0</v>
      </c>
      <c r="I110" s="1">
        <v>59940</v>
      </c>
      <c r="J110" s="1">
        <v>10416</v>
      </c>
    </row>
    <row r="111" spans="1:10" x14ac:dyDescent="0.25">
      <c r="A111" t="s">
        <v>831</v>
      </c>
      <c r="B111" t="s">
        <v>872</v>
      </c>
      <c r="C111" t="s">
        <v>157</v>
      </c>
      <c r="D111" s="1">
        <v>8006</v>
      </c>
      <c r="E111" s="1">
        <v>16</v>
      </c>
      <c r="F111" s="1">
        <v>0</v>
      </c>
      <c r="G111" s="1">
        <v>0</v>
      </c>
      <c r="H111" s="1">
        <v>0</v>
      </c>
      <c r="I111" s="1">
        <v>3558</v>
      </c>
      <c r="J111" s="1">
        <v>2138</v>
      </c>
    </row>
    <row r="112" spans="1:10" x14ac:dyDescent="0.25">
      <c r="A112" t="s">
        <v>818</v>
      </c>
      <c r="B112" t="s">
        <v>872</v>
      </c>
      <c r="C112" t="s">
        <v>158</v>
      </c>
      <c r="D112" s="1">
        <v>22882</v>
      </c>
      <c r="E112" s="1">
        <v>12</v>
      </c>
      <c r="F112" s="1">
        <v>0</v>
      </c>
      <c r="G112" s="1">
        <v>0</v>
      </c>
      <c r="H112" s="1">
        <v>0</v>
      </c>
      <c r="I112" s="1">
        <v>13308</v>
      </c>
      <c r="J112" s="1">
        <v>3418</v>
      </c>
    </row>
    <row r="113" spans="1:10" x14ac:dyDescent="0.25">
      <c r="A113" t="s">
        <v>134</v>
      </c>
      <c r="B113" t="s">
        <v>872</v>
      </c>
      <c r="C113" t="s">
        <v>159</v>
      </c>
      <c r="D113" s="1">
        <v>4817</v>
      </c>
      <c r="E113" s="1">
        <v>81</v>
      </c>
      <c r="F113" s="1">
        <v>0</v>
      </c>
      <c r="G113" s="1">
        <v>0</v>
      </c>
      <c r="H113" s="1">
        <v>0</v>
      </c>
      <c r="I113" s="1">
        <v>5153</v>
      </c>
      <c r="J113" s="1">
        <v>515</v>
      </c>
    </row>
    <row r="114" spans="1:10" x14ac:dyDescent="0.25">
      <c r="A114" t="s">
        <v>795</v>
      </c>
      <c r="B114" t="s">
        <v>872</v>
      </c>
      <c r="C114" t="s">
        <v>160</v>
      </c>
      <c r="D114" s="1">
        <v>58535</v>
      </c>
      <c r="E114" s="1">
        <v>1408</v>
      </c>
      <c r="F114" s="1">
        <v>0</v>
      </c>
      <c r="G114" s="1">
        <v>0</v>
      </c>
      <c r="H114" s="1">
        <v>0</v>
      </c>
      <c r="I114" s="1">
        <v>8045</v>
      </c>
      <c r="J114" s="1">
        <v>15819</v>
      </c>
    </row>
    <row r="115" spans="1:10" x14ac:dyDescent="0.25">
      <c r="A115" t="s">
        <v>226</v>
      </c>
      <c r="B115" t="s">
        <v>872</v>
      </c>
      <c r="C115" t="s">
        <v>161</v>
      </c>
      <c r="D115" s="1">
        <v>4377</v>
      </c>
      <c r="E115" s="1">
        <v>1</v>
      </c>
      <c r="F115" s="1">
        <v>0</v>
      </c>
      <c r="G115" s="1">
        <v>0</v>
      </c>
      <c r="H115" s="1">
        <v>0</v>
      </c>
      <c r="I115" s="1">
        <v>1169</v>
      </c>
      <c r="J115" s="1">
        <v>300</v>
      </c>
    </row>
    <row r="116" spans="1:10" x14ac:dyDescent="0.25">
      <c r="A116" t="s">
        <v>791</v>
      </c>
      <c r="B116" t="s">
        <v>872</v>
      </c>
      <c r="C116" t="s">
        <v>162</v>
      </c>
      <c r="D116" s="1"/>
      <c r="E116" s="1"/>
      <c r="F116" s="1"/>
      <c r="G116" s="1"/>
      <c r="H116" s="1"/>
      <c r="I116" s="1"/>
      <c r="J116" s="1"/>
    </row>
    <row r="117" spans="1:10" x14ac:dyDescent="0.25">
      <c r="A117" t="s">
        <v>811</v>
      </c>
      <c r="B117" t="s">
        <v>872</v>
      </c>
      <c r="C117" t="s">
        <v>163</v>
      </c>
      <c r="D117" s="1"/>
      <c r="E117" s="1"/>
      <c r="F117" s="1"/>
      <c r="G117" s="1"/>
      <c r="H117" s="1"/>
      <c r="I117" s="1"/>
      <c r="J117" s="1"/>
    </row>
    <row r="118" spans="1:10" x14ac:dyDescent="0.25">
      <c r="A118" t="s">
        <v>138</v>
      </c>
      <c r="B118" t="s">
        <v>872</v>
      </c>
      <c r="C118" t="s">
        <v>164</v>
      </c>
      <c r="D118" s="1"/>
      <c r="E118" s="1"/>
      <c r="F118" s="1"/>
      <c r="G118" s="1"/>
      <c r="H118" s="1"/>
      <c r="I118" s="1"/>
      <c r="J118" s="1"/>
    </row>
    <row r="119" spans="1:10" x14ac:dyDescent="0.25">
      <c r="A119" t="s">
        <v>83</v>
      </c>
      <c r="B119" t="s">
        <v>872</v>
      </c>
      <c r="C119" t="s">
        <v>165</v>
      </c>
      <c r="D119" s="1">
        <v>11177</v>
      </c>
      <c r="E119" s="1">
        <v>137</v>
      </c>
      <c r="F119" s="1">
        <v>0</v>
      </c>
      <c r="G119" s="1">
        <v>0</v>
      </c>
      <c r="H119" s="1">
        <v>0</v>
      </c>
      <c r="I119" s="1">
        <v>4841</v>
      </c>
      <c r="J119" s="1">
        <v>2246</v>
      </c>
    </row>
    <row r="120" spans="1:10" x14ac:dyDescent="0.25">
      <c r="A120" t="s">
        <v>818</v>
      </c>
      <c r="B120" t="s">
        <v>872</v>
      </c>
      <c r="C120" t="s">
        <v>166</v>
      </c>
      <c r="D120" s="1">
        <v>9091</v>
      </c>
      <c r="E120" s="1">
        <v>11</v>
      </c>
      <c r="F120" s="1">
        <v>0</v>
      </c>
      <c r="G120" s="1">
        <v>0</v>
      </c>
      <c r="H120" s="1">
        <v>0</v>
      </c>
      <c r="I120" s="1">
        <v>10482</v>
      </c>
      <c r="J120" s="1">
        <v>621</v>
      </c>
    </row>
    <row r="121" spans="1:10" x14ac:dyDescent="0.25">
      <c r="A121" t="s">
        <v>801</v>
      </c>
      <c r="B121" t="s">
        <v>872</v>
      </c>
      <c r="C121" t="s">
        <v>167</v>
      </c>
      <c r="D121" s="1">
        <v>25545</v>
      </c>
      <c r="E121" s="1">
        <v>3</v>
      </c>
      <c r="F121" s="1">
        <v>0</v>
      </c>
      <c r="G121" s="1">
        <v>0</v>
      </c>
      <c r="H121" s="1">
        <v>0</v>
      </c>
      <c r="I121" s="1">
        <v>25583</v>
      </c>
      <c r="J121" s="1">
        <v>2563</v>
      </c>
    </row>
    <row r="122" spans="1:10" x14ac:dyDescent="0.25">
      <c r="A122" t="s">
        <v>826</v>
      </c>
      <c r="B122" t="s">
        <v>872</v>
      </c>
      <c r="C122" t="s">
        <v>168</v>
      </c>
      <c r="D122" s="1"/>
      <c r="E122" s="1"/>
      <c r="F122" s="1"/>
      <c r="G122" s="1"/>
      <c r="H122" s="1"/>
      <c r="I122" s="1"/>
      <c r="J122" s="1"/>
    </row>
    <row r="123" spans="1:10" x14ac:dyDescent="0.25">
      <c r="A123" t="s">
        <v>848</v>
      </c>
      <c r="B123" t="s">
        <v>872</v>
      </c>
      <c r="C123" t="s">
        <v>169</v>
      </c>
      <c r="D123" s="1">
        <v>7807</v>
      </c>
      <c r="E123" s="1">
        <v>97</v>
      </c>
      <c r="F123" s="1">
        <v>0</v>
      </c>
      <c r="G123" s="1">
        <v>0</v>
      </c>
      <c r="H123" s="1">
        <v>0</v>
      </c>
      <c r="I123" s="1">
        <v>1454</v>
      </c>
      <c r="J123" s="1">
        <v>2192</v>
      </c>
    </row>
    <row r="124" spans="1:10" x14ac:dyDescent="0.25">
      <c r="A124" t="s">
        <v>811</v>
      </c>
      <c r="B124" t="s">
        <v>872</v>
      </c>
      <c r="C124" t="s">
        <v>170</v>
      </c>
      <c r="D124" s="1"/>
      <c r="E124" s="1"/>
      <c r="F124" s="1"/>
      <c r="G124" s="1"/>
      <c r="H124" s="1"/>
      <c r="I124" s="1"/>
      <c r="J124" s="1"/>
    </row>
    <row r="125" spans="1:10" x14ac:dyDescent="0.25">
      <c r="A125" t="s">
        <v>512</v>
      </c>
      <c r="B125" t="s">
        <v>872</v>
      </c>
      <c r="C125" t="s">
        <v>171</v>
      </c>
      <c r="D125" s="1">
        <v>9860</v>
      </c>
      <c r="E125" s="1">
        <v>3</v>
      </c>
      <c r="F125" s="1">
        <v>0</v>
      </c>
      <c r="G125" s="1">
        <v>0</v>
      </c>
      <c r="H125" s="1">
        <v>0</v>
      </c>
      <c r="I125" s="1">
        <v>4404</v>
      </c>
      <c r="J125" s="1">
        <v>2142</v>
      </c>
    </row>
    <row r="126" spans="1:10" x14ac:dyDescent="0.25">
      <c r="A126" t="s">
        <v>848</v>
      </c>
      <c r="B126" t="s">
        <v>872</v>
      </c>
      <c r="C126" t="s">
        <v>172</v>
      </c>
      <c r="D126" s="1">
        <v>5391</v>
      </c>
      <c r="E126" s="1">
        <v>1</v>
      </c>
      <c r="F126" s="1">
        <v>0</v>
      </c>
      <c r="G126" s="1">
        <v>0</v>
      </c>
      <c r="H126" s="1">
        <v>0</v>
      </c>
      <c r="I126" s="1">
        <v>827</v>
      </c>
      <c r="J126" s="1">
        <v>425</v>
      </c>
    </row>
    <row r="127" spans="1:10" x14ac:dyDescent="0.25">
      <c r="A127" t="s">
        <v>801</v>
      </c>
      <c r="B127" t="s">
        <v>872</v>
      </c>
      <c r="C127" t="s">
        <v>173</v>
      </c>
      <c r="D127" s="1">
        <v>51667</v>
      </c>
      <c r="E127" s="1">
        <v>1342</v>
      </c>
      <c r="F127" s="1">
        <v>0</v>
      </c>
      <c r="G127" s="1">
        <v>0</v>
      </c>
      <c r="H127" s="1">
        <v>0</v>
      </c>
      <c r="I127" s="1">
        <v>36916</v>
      </c>
      <c r="J127" s="1">
        <v>18638</v>
      </c>
    </row>
    <row r="128" spans="1:10" x14ac:dyDescent="0.25">
      <c r="A128" t="s">
        <v>864</v>
      </c>
      <c r="B128" t="s">
        <v>872</v>
      </c>
      <c r="C128" t="s">
        <v>174</v>
      </c>
      <c r="D128" s="1">
        <v>17207</v>
      </c>
      <c r="E128" s="1">
        <v>34</v>
      </c>
      <c r="F128" s="1">
        <v>0</v>
      </c>
      <c r="G128" s="1">
        <v>0</v>
      </c>
      <c r="H128" s="1">
        <v>0</v>
      </c>
      <c r="I128" s="1">
        <v>9183</v>
      </c>
      <c r="J128" s="1">
        <v>3528</v>
      </c>
    </row>
    <row r="129" spans="1:10" x14ac:dyDescent="0.25">
      <c r="A129" t="s">
        <v>226</v>
      </c>
      <c r="B129" t="s">
        <v>872</v>
      </c>
      <c r="C129" t="s">
        <v>175</v>
      </c>
      <c r="D129" s="1">
        <v>3614</v>
      </c>
      <c r="E129" s="1">
        <v>344</v>
      </c>
      <c r="F129" s="1">
        <v>0</v>
      </c>
      <c r="G129" s="1">
        <v>0</v>
      </c>
      <c r="H129" s="1">
        <v>0</v>
      </c>
      <c r="I129" s="1">
        <v>1307</v>
      </c>
      <c r="J129" s="1">
        <v>692</v>
      </c>
    </row>
    <row r="130" spans="1:10" x14ac:dyDescent="0.25">
      <c r="A130" t="s">
        <v>794</v>
      </c>
      <c r="B130" t="s">
        <v>872</v>
      </c>
      <c r="C130" t="s">
        <v>176</v>
      </c>
      <c r="D130" s="1">
        <v>102833</v>
      </c>
      <c r="E130" s="1">
        <v>59</v>
      </c>
      <c r="F130" s="1">
        <v>0</v>
      </c>
      <c r="G130" s="1">
        <v>0</v>
      </c>
      <c r="H130" s="1">
        <v>0</v>
      </c>
      <c r="I130" s="1">
        <v>19285</v>
      </c>
      <c r="J130" s="1">
        <v>6691</v>
      </c>
    </row>
    <row r="131" spans="1:10" x14ac:dyDescent="0.25">
      <c r="A131" t="s">
        <v>248</v>
      </c>
      <c r="B131" t="s">
        <v>872</v>
      </c>
      <c r="C131" t="s">
        <v>177</v>
      </c>
      <c r="D131" s="1">
        <v>19036</v>
      </c>
      <c r="E131" s="1">
        <v>28</v>
      </c>
      <c r="F131" s="1">
        <v>0</v>
      </c>
      <c r="G131" s="1">
        <v>0</v>
      </c>
      <c r="H131" s="1">
        <v>0</v>
      </c>
      <c r="I131" s="1">
        <v>13068</v>
      </c>
      <c r="J131" s="1">
        <v>2442</v>
      </c>
    </row>
    <row r="132" spans="1:10" x14ac:dyDescent="0.25">
      <c r="A132" t="s">
        <v>83</v>
      </c>
      <c r="B132" t="s">
        <v>872</v>
      </c>
      <c r="C132" t="s">
        <v>178</v>
      </c>
      <c r="D132" s="1">
        <v>43353</v>
      </c>
      <c r="E132" s="1">
        <v>244</v>
      </c>
      <c r="F132" s="1">
        <v>0</v>
      </c>
      <c r="G132" s="1">
        <v>0</v>
      </c>
      <c r="H132" s="1">
        <v>0</v>
      </c>
      <c r="I132" s="1">
        <v>58948</v>
      </c>
      <c r="J132" s="1">
        <v>6624</v>
      </c>
    </row>
    <row r="133" spans="1:10" x14ac:dyDescent="0.25">
      <c r="A133" t="s">
        <v>823</v>
      </c>
      <c r="B133" t="s">
        <v>872</v>
      </c>
      <c r="C133" t="s">
        <v>179</v>
      </c>
      <c r="D133" s="1">
        <v>42339</v>
      </c>
      <c r="E133" s="1">
        <v>164</v>
      </c>
      <c r="F133" s="1">
        <v>0</v>
      </c>
      <c r="G133" s="1">
        <v>0</v>
      </c>
      <c r="H133" s="1">
        <v>0</v>
      </c>
      <c r="I133" s="1">
        <v>13440</v>
      </c>
      <c r="J133" s="1">
        <v>12033</v>
      </c>
    </row>
    <row r="134" spans="1:10" x14ac:dyDescent="0.25">
      <c r="A134" t="s">
        <v>795</v>
      </c>
      <c r="B134" t="s">
        <v>872</v>
      </c>
      <c r="C134" t="s">
        <v>180</v>
      </c>
      <c r="D134" s="1">
        <v>111924</v>
      </c>
      <c r="E134" s="1">
        <v>47</v>
      </c>
      <c r="F134" s="1">
        <v>0</v>
      </c>
      <c r="G134" s="1">
        <v>0</v>
      </c>
      <c r="H134" s="1">
        <v>0</v>
      </c>
      <c r="I134" s="1">
        <v>50898</v>
      </c>
      <c r="J134" s="1">
        <v>32553</v>
      </c>
    </row>
    <row r="135" spans="1:10" x14ac:dyDescent="0.25">
      <c r="A135" t="s">
        <v>791</v>
      </c>
      <c r="B135" t="s">
        <v>872</v>
      </c>
      <c r="C135" t="s">
        <v>181</v>
      </c>
      <c r="D135" s="1"/>
      <c r="E135" s="1"/>
      <c r="F135" s="1"/>
      <c r="G135" s="1"/>
      <c r="H135" s="1"/>
      <c r="I135" s="1"/>
      <c r="J135" s="1"/>
    </row>
    <row r="136" spans="1:10" x14ac:dyDescent="0.25">
      <c r="A136" t="s">
        <v>83</v>
      </c>
      <c r="B136" t="s">
        <v>872</v>
      </c>
      <c r="C136" t="s">
        <v>182</v>
      </c>
      <c r="D136" s="1">
        <v>28504</v>
      </c>
      <c r="E136" s="1">
        <v>81</v>
      </c>
      <c r="F136" s="1">
        <v>0</v>
      </c>
      <c r="G136" s="1">
        <v>0</v>
      </c>
      <c r="H136" s="1">
        <v>0</v>
      </c>
      <c r="I136" s="1">
        <v>4004</v>
      </c>
      <c r="J136" s="1">
        <v>6886</v>
      </c>
    </row>
    <row r="137" spans="1:10" x14ac:dyDescent="0.25">
      <c r="A137" t="s">
        <v>817</v>
      </c>
      <c r="B137" t="s">
        <v>872</v>
      </c>
      <c r="C137" t="s">
        <v>183</v>
      </c>
      <c r="D137" s="1">
        <v>10785</v>
      </c>
      <c r="E137" s="1">
        <v>144</v>
      </c>
      <c r="F137" s="1">
        <v>0</v>
      </c>
      <c r="G137" s="1">
        <v>0</v>
      </c>
      <c r="H137" s="1">
        <v>0</v>
      </c>
      <c r="I137" s="1">
        <v>14874</v>
      </c>
      <c r="J137" s="1">
        <v>2804</v>
      </c>
    </row>
    <row r="138" spans="1:10" x14ac:dyDescent="0.25">
      <c r="A138" t="s">
        <v>67</v>
      </c>
      <c r="B138" t="s">
        <v>872</v>
      </c>
      <c r="C138" t="s">
        <v>184</v>
      </c>
      <c r="D138" s="1">
        <v>42545</v>
      </c>
      <c r="E138" s="1">
        <v>293</v>
      </c>
      <c r="F138" s="1">
        <v>0</v>
      </c>
      <c r="G138" s="1">
        <v>0</v>
      </c>
      <c r="H138" s="1">
        <v>0</v>
      </c>
      <c r="I138" s="1">
        <v>42709</v>
      </c>
      <c r="J138" s="1">
        <v>5996</v>
      </c>
    </row>
    <row r="139" spans="1:10" x14ac:dyDescent="0.25">
      <c r="A139" t="s">
        <v>865</v>
      </c>
      <c r="B139" t="s">
        <v>872</v>
      </c>
      <c r="C139" t="s">
        <v>186</v>
      </c>
      <c r="D139" s="1">
        <v>19215</v>
      </c>
      <c r="E139" s="1">
        <v>18</v>
      </c>
      <c r="F139" s="1">
        <v>0</v>
      </c>
      <c r="G139" s="1">
        <v>0</v>
      </c>
      <c r="H139" s="1">
        <v>0</v>
      </c>
      <c r="I139" s="1">
        <v>19539</v>
      </c>
      <c r="J139" s="1">
        <v>4548</v>
      </c>
    </row>
    <row r="140" spans="1:10" x14ac:dyDescent="0.25">
      <c r="A140" t="s">
        <v>512</v>
      </c>
      <c r="B140" t="s">
        <v>872</v>
      </c>
      <c r="C140" t="s">
        <v>187</v>
      </c>
      <c r="D140" s="1">
        <v>26424</v>
      </c>
      <c r="E140" s="1">
        <v>6</v>
      </c>
      <c r="F140" s="1">
        <v>0</v>
      </c>
      <c r="G140" s="1">
        <v>0</v>
      </c>
      <c r="H140" s="1">
        <v>0</v>
      </c>
      <c r="I140" s="1">
        <v>15045</v>
      </c>
      <c r="J140" s="1">
        <v>3342</v>
      </c>
    </row>
    <row r="141" spans="1:10" x14ac:dyDescent="0.25">
      <c r="A141" t="s">
        <v>231</v>
      </c>
      <c r="B141" t="s">
        <v>872</v>
      </c>
      <c r="C141" t="s">
        <v>189</v>
      </c>
      <c r="D141" s="1"/>
      <c r="E141" s="1"/>
      <c r="F141" s="1"/>
      <c r="G141" s="1"/>
      <c r="H141" s="1"/>
      <c r="I141" s="1"/>
      <c r="J141" s="1"/>
    </row>
    <row r="142" spans="1:10" x14ac:dyDescent="0.25">
      <c r="A142" t="s">
        <v>83</v>
      </c>
      <c r="B142" t="s">
        <v>872</v>
      </c>
      <c r="C142" t="s">
        <v>190</v>
      </c>
      <c r="D142" s="1">
        <v>31449</v>
      </c>
      <c r="E142" s="1">
        <v>60</v>
      </c>
      <c r="F142" s="1">
        <v>0</v>
      </c>
      <c r="G142" s="1">
        <v>0</v>
      </c>
      <c r="H142" s="1">
        <v>0</v>
      </c>
      <c r="I142" s="1">
        <v>3236</v>
      </c>
      <c r="J142" s="1">
        <v>1762</v>
      </c>
    </row>
    <row r="143" spans="1:10" x14ac:dyDescent="0.25">
      <c r="A143" t="s">
        <v>76</v>
      </c>
      <c r="B143" t="s">
        <v>872</v>
      </c>
      <c r="C143" t="s">
        <v>191</v>
      </c>
      <c r="D143" s="1">
        <v>64358</v>
      </c>
      <c r="E143" s="1">
        <v>2460</v>
      </c>
      <c r="F143" s="1">
        <v>0</v>
      </c>
      <c r="G143" s="1">
        <v>0</v>
      </c>
      <c r="H143" s="1">
        <v>0</v>
      </c>
      <c r="I143" s="1">
        <v>2089</v>
      </c>
      <c r="J143" s="1">
        <v>13247</v>
      </c>
    </row>
    <row r="144" spans="1:10" x14ac:dyDescent="0.25">
      <c r="A144" t="s">
        <v>101</v>
      </c>
      <c r="B144" t="s">
        <v>872</v>
      </c>
      <c r="C144" t="s">
        <v>192</v>
      </c>
      <c r="D144" s="1">
        <v>48674</v>
      </c>
      <c r="E144" s="1">
        <v>314</v>
      </c>
      <c r="F144" s="1">
        <v>0</v>
      </c>
      <c r="G144" s="1">
        <v>0</v>
      </c>
      <c r="H144" s="1">
        <v>0</v>
      </c>
      <c r="I144" s="1">
        <v>61096</v>
      </c>
      <c r="J144" s="1">
        <v>7096</v>
      </c>
    </row>
    <row r="145" spans="1:10" x14ac:dyDescent="0.25">
      <c r="A145" t="s">
        <v>831</v>
      </c>
      <c r="B145" t="s">
        <v>872</v>
      </c>
      <c r="C145" t="s">
        <v>193</v>
      </c>
      <c r="D145" s="1">
        <v>2085</v>
      </c>
      <c r="E145" s="1">
        <v>0</v>
      </c>
      <c r="F145" s="1">
        <v>0</v>
      </c>
      <c r="G145" s="1">
        <v>0</v>
      </c>
      <c r="H145" s="1">
        <v>0</v>
      </c>
      <c r="I145" s="1">
        <v>780</v>
      </c>
      <c r="J145" s="1">
        <v>281</v>
      </c>
    </row>
    <row r="146" spans="1:10" x14ac:dyDescent="0.25">
      <c r="A146" t="s">
        <v>811</v>
      </c>
      <c r="B146" t="s">
        <v>872</v>
      </c>
      <c r="C146" t="s">
        <v>194</v>
      </c>
      <c r="D146" s="1"/>
      <c r="E146" s="1"/>
      <c r="F146" s="1"/>
      <c r="G146" s="1"/>
      <c r="H146" s="1"/>
      <c r="I146" s="1"/>
      <c r="J146" s="1"/>
    </row>
    <row r="147" spans="1:10" x14ac:dyDescent="0.25">
      <c r="A147" t="s">
        <v>76</v>
      </c>
      <c r="B147" t="s">
        <v>872</v>
      </c>
      <c r="C147" t="s">
        <v>195</v>
      </c>
      <c r="D147" s="1">
        <v>64439</v>
      </c>
      <c r="E147" s="1">
        <v>1092</v>
      </c>
      <c r="F147" s="1">
        <v>0</v>
      </c>
      <c r="G147" s="1">
        <v>0</v>
      </c>
      <c r="H147" s="1">
        <v>0</v>
      </c>
      <c r="I147" s="1">
        <v>42217</v>
      </c>
      <c r="J147" s="1">
        <v>10827</v>
      </c>
    </row>
    <row r="148" spans="1:10" x14ac:dyDescent="0.25">
      <c r="A148" t="s">
        <v>788</v>
      </c>
      <c r="B148" t="s">
        <v>872</v>
      </c>
      <c r="C148" t="s">
        <v>196</v>
      </c>
      <c r="D148" s="1">
        <v>47090</v>
      </c>
      <c r="E148" s="1">
        <v>644</v>
      </c>
      <c r="F148" s="1">
        <v>0</v>
      </c>
      <c r="G148" s="1">
        <v>0</v>
      </c>
      <c r="H148" s="1">
        <v>0</v>
      </c>
      <c r="I148" s="1">
        <v>69975</v>
      </c>
      <c r="J148" s="1">
        <v>18678</v>
      </c>
    </row>
    <row r="149" spans="1:10" x14ac:dyDescent="0.25">
      <c r="A149" t="s">
        <v>817</v>
      </c>
      <c r="B149" t="s">
        <v>872</v>
      </c>
      <c r="C149" t="s">
        <v>197</v>
      </c>
      <c r="D149" s="1">
        <v>23680</v>
      </c>
      <c r="E149" s="1">
        <v>132</v>
      </c>
      <c r="F149" s="1">
        <v>0</v>
      </c>
      <c r="G149" s="1">
        <v>0</v>
      </c>
      <c r="H149" s="1">
        <v>0</v>
      </c>
      <c r="I149" s="1">
        <v>47820</v>
      </c>
      <c r="J149" s="1">
        <v>14624</v>
      </c>
    </row>
    <row r="150" spans="1:10" x14ac:dyDescent="0.25">
      <c r="A150" t="s">
        <v>817</v>
      </c>
      <c r="B150" t="s">
        <v>872</v>
      </c>
      <c r="C150" t="s">
        <v>198</v>
      </c>
      <c r="D150" s="1">
        <v>19672</v>
      </c>
      <c r="E150" s="1">
        <v>392</v>
      </c>
      <c r="F150" s="1">
        <v>0</v>
      </c>
      <c r="G150" s="1">
        <v>0</v>
      </c>
      <c r="H150" s="1">
        <v>0</v>
      </c>
      <c r="I150" s="1">
        <v>20788</v>
      </c>
      <c r="J150" s="1">
        <v>13165</v>
      </c>
    </row>
    <row r="151" spans="1:10" x14ac:dyDescent="0.25">
      <c r="A151" t="s">
        <v>69</v>
      </c>
      <c r="B151" t="s">
        <v>872</v>
      </c>
      <c r="C151" t="s">
        <v>199</v>
      </c>
      <c r="D151" s="1">
        <v>79342</v>
      </c>
      <c r="E151" s="1">
        <v>73</v>
      </c>
      <c r="F151" s="1">
        <v>0</v>
      </c>
      <c r="G151" s="1">
        <v>0</v>
      </c>
      <c r="H151" s="1">
        <v>0</v>
      </c>
      <c r="I151" s="1">
        <v>133363</v>
      </c>
      <c r="J151" s="1">
        <v>13690</v>
      </c>
    </row>
    <row r="152" spans="1:10" x14ac:dyDescent="0.25">
      <c r="A152" t="s">
        <v>76</v>
      </c>
      <c r="B152" t="s">
        <v>872</v>
      </c>
      <c r="C152" t="s">
        <v>200</v>
      </c>
      <c r="D152" s="1">
        <v>3122</v>
      </c>
      <c r="E152" s="1">
        <v>102</v>
      </c>
      <c r="F152" s="1">
        <v>0</v>
      </c>
      <c r="G152" s="1">
        <v>0</v>
      </c>
      <c r="H152" s="1">
        <v>0</v>
      </c>
      <c r="I152" s="1">
        <v>1227</v>
      </c>
      <c r="J152" s="1">
        <v>564</v>
      </c>
    </row>
    <row r="153" spans="1:10" x14ac:dyDescent="0.25">
      <c r="A153" t="s">
        <v>120</v>
      </c>
      <c r="B153" t="s">
        <v>872</v>
      </c>
      <c r="C153" t="s">
        <v>201</v>
      </c>
      <c r="D153" s="1">
        <v>24617</v>
      </c>
      <c r="E153" s="1">
        <v>422</v>
      </c>
      <c r="F153" s="1">
        <v>0</v>
      </c>
      <c r="G153" s="1">
        <v>0</v>
      </c>
      <c r="H153" s="1">
        <v>0</v>
      </c>
      <c r="I153" s="1">
        <v>6487</v>
      </c>
      <c r="J153" s="1">
        <v>3739</v>
      </c>
    </row>
    <row r="154" spans="1:10" x14ac:dyDescent="0.25">
      <c r="A154" t="s">
        <v>495</v>
      </c>
      <c r="B154" t="s">
        <v>872</v>
      </c>
      <c r="C154" t="s">
        <v>202</v>
      </c>
      <c r="D154" s="1">
        <v>53712</v>
      </c>
      <c r="E154" s="1">
        <v>62</v>
      </c>
      <c r="F154" s="1">
        <v>0</v>
      </c>
      <c r="G154" s="1">
        <v>0</v>
      </c>
      <c r="H154" s="1">
        <v>0</v>
      </c>
      <c r="I154" s="1">
        <v>34140</v>
      </c>
      <c r="J154" s="1">
        <v>11878</v>
      </c>
    </row>
    <row r="155" spans="1:10" x14ac:dyDescent="0.25">
      <c r="A155" t="s">
        <v>788</v>
      </c>
      <c r="B155" t="s">
        <v>872</v>
      </c>
      <c r="C155" t="s">
        <v>203</v>
      </c>
      <c r="D155" s="1">
        <v>77153</v>
      </c>
      <c r="E155" s="1">
        <v>47</v>
      </c>
      <c r="F155" s="1">
        <v>0</v>
      </c>
      <c r="G155" s="1">
        <v>0</v>
      </c>
      <c r="H155" s="1">
        <v>0</v>
      </c>
      <c r="I155" s="1">
        <v>12603</v>
      </c>
      <c r="J155" s="1">
        <v>11389</v>
      </c>
    </row>
    <row r="156" spans="1:10" x14ac:dyDescent="0.25">
      <c r="A156" t="s">
        <v>72</v>
      </c>
      <c r="B156" t="s">
        <v>872</v>
      </c>
      <c r="C156" t="s">
        <v>204</v>
      </c>
      <c r="D156" s="1">
        <v>23401</v>
      </c>
      <c r="E156" s="1">
        <v>48</v>
      </c>
      <c r="F156" s="1">
        <v>0</v>
      </c>
      <c r="G156" s="1">
        <v>0</v>
      </c>
      <c r="H156" s="1">
        <v>0</v>
      </c>
      <c r="I156" s="1">
        <v>7910</v>
      </c>
      <c r="J156" s="1">
        <v>2754</v>
      </c>
    </row>
    <row r="157" spans="1:10" x14ac:dyDescent="0.25">
      <c r="A157" t="s">
        <v>76</v>
      </c>
      <c r="B157" t="s">
        <v>873</v>
      </c>
      <c r="C157" t="s">
        <v>205</v>
      </c>
      <c r="D157" s="1">
        <v>30351</v>
      </c>
      <c r="E157" s="1">
        <v>210</v>
      </c>
      <c r="F157" s="1">
        <v>0</v>
      </c>
      <c r="G157" s="1">
        <v>0</v>
      </c>
      <c r="H157" s="1">
        <v>0</v>
      </c>
      <c r="I157" s="1">
        <v>22402</v>
      </c>
      <c r="J157" s="1">
        <v>13316</v>
      </c>
    </row>
    <row r="158" spans="1:10" x14ac:dyDescent="0.25">
      <c r="A158" t="s">
        <v>864</v>
      </c>
      <c r="B158" t="s">
        <v>872</v>
      </c>
      <c r="C158" t="s">
        <v>206</v>
      </c>
      <c r="D158" s="1">
        <v>31984</v>
      </c>
      <c r="E158" s="1">
        <v>16</v>
      </c>
      <c r="F158" s="1">
        <v>0</v>
      </c>
      <c r="G158" s="1">
        <v>0</v>
      </c>
      <c r="H158" s="1">
        <v>0</v>
      </c>
      <c r="I158" s="1">
        <v>16217</v>
      </c>
      <c r="J158" s="1">
        <v>21186</v>
      </c>
    </row>
    <row r="159" spans="1:10" x14ac:dyDescent="0.25">
      <c r="A159" t="s">
        <v>76</v>
      </c>
      <c r="B159" t="s">
        <v>872</v>
      </c>
      <c r="C159" t="s">
        <v>207</v>
      </c>
      <c r="D159" s="1">
        <v>44662</v>
      </c>
      <c r="E159" s="1">
        <v>42</v>
      </c>
      <c r="F159" s="1">
        <v>0</v>
      </c>
      <c r="G159" s="1">
        <v>0</v>
      </c>
      <c r="H159" s="1">
        <v>0</v>
      </c>
      <c r="I159" s="1">
        <v>31860</v>
      </c>
      <c r="J159" s="1">
        <v>15695</v>
      </c>
    </row>
    <row r="160" spans="1:10" x14ac:dyDescent="0.25">
      <c r="A160" t="s">
        <v>265</v>
      </c>
      <c r="B160" t="s">
        <v>872</v>
      </c>
      <c r="C160" t="s">
        <v>208</v>
      </c>
      <c r="D160" s="1">
        <v>11109</v>
      </c>
      <c r="E160" s="1">
        <v>169</v>
      </c>
      <c r="F160" s="1">
        <v>0</v>
      </c>
      <c r="G160" s="1">
        <v>0</v>
      </c>
      <c r="H160" s="1">
        <v>0</v>
      </c>
      <c r="I160" s="1">
        <v>9338</v>
      </c>
      <c r="J160" s="1">
        <v>2391</v>
      </c>
    </row>
    <row r="161" spans="1:10" x14ac:dyDescent="0.25">
      <c r="A161" t="s">
        <v>801</v>
      </c>
      <c r="B161" t="s">
        <v>872</v>
      </c>
      <c r="C161" t="s">
        <v>209</v>
      </c>
      <c r="D161" s="1">
        <v>33722</v>
      </c>
      <c r="E161" s="1">
        <v>324</v>
      </c>
      <c r="F161" s="1">
        <v>0</v>
      </c>
      <c r="G161" s="1">
        <v>0</v>
      </c>
      <c r="H161" s="1">
        <v>0</v>
      </c>
      <c r="I161" s="1">
        <v>48267</v>
      </c>
      <c r="J161" s="1">
        <v>16609</v>
      </c>
    </row>
    <row r="162" spans="1:10" x14ac:dyDescent="0.25">
      <c r="A162" t="s">
        <v>72</v>
      </c>
      <c r="B162" t="s">
        <v>872</v>
      </c>
      <c r="C162" t="s">
        <v>210</v>
      </c>
      <c r="D162" s="1">
        <v>43512</v>
      </c>
      <c r="E162" s="1">
        <v>78</v>
      </c>
      <c r="F162" s="1">
        <v>0</v>
      </c>
      <c r="G162" s="1">
        <v>0</v>
      </c>
      <c r="H162" s="1">
        <v>0</v>
      </c>
      <c r="I162" s="1">
        <v>27988</v>
      </c>
      <c r="J162" s="1">
        <v>13065</v>
      </c>
    </row>
    <row r="163" spans="1:10" x14ac:dyDescent="0.25">
      <c r="A163" t="s">
        <v>817</v>
      </c>
      <c r="B163" t="s">
        <v>872</v>
      </c>
      <c r="C163" t="s">
        <v>211</v>
      </c>
      <c r="D163" s="1">
        <v>76780</v>
      </c>
      <c r="E163" s="1">
        <v>310</v>
      </c>
      <c r="F163" s="1">
        <v>0</v>
      </c>
      <c r="G163" s="1">
        <v>0</v>
      </c>
      <c r="H163" s="1">
        <v>0</v>
      </c>
      <c r="I163" s="1">
        <v>50611</v>
      </c>
      <c r="J163" s="1">
        <v>69033</v>
      </c>
    </row>
    <row r="164" spans="1:10" x14ac:dyDescent="0.25">
      <c r="A164" t="s">
        <v>72</v>
      </c>
      <c r="B164" t="s">
        <v>872</v>
      </c>
      <c r="C164" t="s">
        <v>212</v>
      </c>
      <c r="D164" s="1">
        <v>26310</v>
      </c>
      <c r="E164" s="1">
        <v>1</v>
      </c>
      <c r="F164" s="1">
        <v>0</v>
      </c>
      <c r="G164" s="1">
        <v>0</v>
      </c>
      <c r="H164" s="1">
        <v>0</v>
      </c>
      <c r="I164" s="1">
        <v>4570</v>
      </c>
      <c r="J164" s="1">
        <v>3209</v>
      </c>
    </row>
    <row r="165" spans="1:10" x14ac:dyDescent="0.25">
      <c r="A165" t="s">
        <v>134</v>
      </c>
      <c r="B165" t="s">
        <v>872</v>
      </c>
      <c r="C165" t="s">
        <v>213</v>
      </c>
      <c r="D165" s="1">
        <v>23365</v>
      </c>
      <c r="E165" s="1">
        <v>0</v>
      </c>
      <c r="F165" s="1">
        <v>0</v>
      </c>
      <c r="G165" s="1">
        <v>0</v>
      </c>
      <c r="H165" s="1">
        <v>0</v>
      </c>
      <c r="I165" s="1">
        <v>26003</v>
      </c>
      <c r="J165" s="1">
        <v>746</v>
      </c>
    </row>
    <row r="166" spans="1:10" x14ac:dyDescent="0.25">
      <c r="A166" t="s">
        <v>495</v>
      </c>
      <c r="B166" t="s">
        <v>872</v>
      </c>
      <c r="C166" t="s">
        <v>214</v>
      </c>
      <c r="D166" s="1">
        <v>44769</v>
      </c>
      <c r="E166" s="1">
        <v>1218</v>
      </c>
      <c r="F166" s="1">
        <v>0</v>
      </c>
      <c r="G166" s="1">
        <v>0</v>
      </c>
      <c r="H166" s="1">
        <v>0</v>
      </c>
      <c r="I166" s="1">
        <v>27585</v>
      </c>
      <c r="J166" s="1">
        <v>10524</v>
      </c>
    </row>
    <row r="167" spans="1:10" x14ac:dyDescent="0.25">
      <c r="A167" t="s">
        <v>146</v>
      </c>
      <c r="B167" t="s">
        <v>872</v>
      </c>
      <c r="C167" t="s">
        <v>215</v>
      </c>
      <c r="D167" s="1">
        <v>69581</v>
      </c>
      <c r="E167" s="1">
        <v>1182</v>
      </c>
      <c r="F167" s="1">
        <v>0</v>
      </c>
      <c r="G167" s="1">
        <v>0</v>
      </c>
      <c r="H167" s="1">
        <v>0</v>
      </c>
      <c r="I167" s="1">
        <v>48315</v>
      </c>
      <c r="J167" s="1">
        <v>16411</v>
      </c>
    </row>
    <row r="168" spans="1:10" x14ac:dyDescent="0.25">
      <c r="A168" t="s">
        <v>138</v>
      </c>
      <c r="B168" t="s">
        <v>872</v>
      </c>
      <c r="C168" t="s">
        <v>216</v>
      </c>
      <c r="D168" s="1">
        <v>29395</v>
      </c>
      <c r="E168" s="1">
        <v>13</v>
      </c>
      <c r="F168" s="1">
        <v>0</v>
      </c>
      <c r="G168" s="1">
        <v>0</v>
      </c>
      <c r="H168" s="1">
        <v>0</v>
      </c>
      <c r="I168" s="1">
        <v>52595</v>
      </c>
      <c r="J168" s="1">
        <v>9122</v>
      </c>
    </row>
    <row r="169" spans="1:10" x14ac:dyDescent="0.25">
      <c r="A169" t="s">
        <v>794</v>
      </c>
      <c r="B169" t="s">
        <v>872</v>
      </c>
      <c r="C169" t="s">
        <v>217</v>
      </c>
      <c r="D169" s="1">
        <v>16045</v>
      </c>
      <c r="E169" s="1">
        <v>0</v>
      </c>
      <c r="F169" s="1">
        <v>0</v>
      </c>
      <c r="G169" s="1">
        <v>0</v>
      </c>
      <c r="H169" s="1">
        <v>0</v>
      </c>
      <c r="I169" s="1">
        <v>17936</v>
      </c>
      <c r="J169" s="1">
        <v>3664</v>
      </c>
    </row>
    <row r="170" spans="1:10" x14ac:dyDescent="0.25">
      <c r="A170" t="s">
        <v>265</v>
      </c>
      <c r="B170" t="s">
        <v>872</v>
      </c>
      <c r="C170" t="s">
        <v>218</v>
      </c>
      <c r="D170" s="1">
        <v>8888</v>
      </c>
      <c r="E170" s="1">
        <v>0</v>
      </c>
      <c r="F170" s="1">
        <v>0</v>
      </c>
      <c r="G170" s="1">
        <v>0</v>
      </c>
      <c r="H170" s="1">
        <v>0</v>
      </c>
      <c r="I170" s="1">
        <v>36562</v>
      </c>
      <c r="J170" s="1">
        <v>1119</v>
      </c>
    </row>
    <row r="171" spans="1:10" x14ac:dyDescent="0.25">
      <c r="A171" t="s">
        <v>801</v>
      </c>
      <c r="B171" t="s">
        <v>872</v>
      </c>
      <c r="C171" t="s">
        <v>219</v>
      </c>
      <c r="D171" s="1">
        <v>47671</v>
      </c>
      <c r="E171" s="1">
        <v>235</v>
      </c>
      <c r="F171" s="1">
        <v>0</v>
      </c>
      <c r="G171" s="1">
        <v>0</v>
      </c>
      <c r="H171" s="1">
        <v>0</v>
      </c>
      <c r="I171" s="1">
        <v>18468</v>
      </c>
      <c r="J171" s="1">
        <v>5562</v>
      </c>
    </row>
    <row r="172" spans="1:10" x14ac:dyDescent="0.25">
      <c r="A172" t="s">
        <v>831</v>
      </c>
      <c r="B172" t="s">
        <v>872</v>
      </c>
      <c r="C172" t="s">
        <v>220</v>
      </c>
      <c r="D172" s="1">
        <v>3259</v>
      </c>
      <c r="E172" s="1">
        <v>3</v>
      </c>
      <c r="F172" s="1">
        <v>0</v>
      </c>
      <c r="G172" s="1">
        <v>0</v>
      </c>
      <c r="H172" s="1">
        <v>0</v>
      </c>
      <c r="I172" s="1">
        <v>4220</v>
      </c>
      <c r="J172" s="1">
        <v>673</v>
      </c>
    </row>
    <row r="173" spans="1:10" x14ac:dyDescent="0.25">
      <c r="A173" t="s">
        <v>794</v>
      </c>
      <c r="B173" t="s">
        <v>872</v>
      </c>
      <c r="C173" t="s">
        <v>221</v>
      </c>
      <c r="D173" s="1">
        <v>40215</v>
      </c>
      <c r="E173" s="1">
        <v>46</v>
      </c>
      <c r="F173" s="1">
        <v>0</v>
      </c>
      <c r="G173" s="1">
        <v>0</v>
      </c>
      <c r="H173" s="1">
        <v>0</v>
      </c>
      <c r="I173" s="1">
        <v>23126</v>
      </c>
      <c r="J173" s="1">
        <v>12801</v>
      </c>
    </row>
    <row r="174" spans="1:10" x14ac:dyDescent="0.25">
      <c r="A174" t="s">
        <v>120</v>
      </c>
      <c r="B174" t="s">
        <v>872</v>
      </c>
      <c r="C174" t="s">
        <v>222</v>
      </c>
      <c r="D174" s="1">
        <v>61259</v>
      </c>
      <c r="E174" s="1">
        <v>29</v>
      </c>
      <c r="F174" s="1">
        <v>0</v>
      </c>
      <c r="G174" s="1">
        <v>0</v>
      </c>
      <c r="H174" s="1">
        <v>0</v>
      </c>
      <c r="I174" s="1">
        <v>6092</v>
      </c>
      <c r="J174" s="1">
        <v>5063</v>
      </c>
    </row>
    <row r="175" spans="1:10" x14ac:dyDescent="0.25">
      <c r="A175" t="s">
        <v>848</v>
      </c>
      <c r="B175" t="s">
        <v>872</v>
      </c>
      <c r="C175" t="s">
        <v>223</v>
      </c>
      <c r="D175" s="1">
        <v>9968</v>
      </c>
      <c r="E175" s="1">
        <v>13</v>
      </c>
      <c r="F175" s="1">
        <v>0</v>
      </c>
      <c r="G175" s="1">
        <v>0</v>
      </c>
      <c r="H175" s="1">
        <v>0</v>
      </c>
      <c r="I175" s="1">
        <v>1830</v>
      </c>
      <c r="J175" s="1">
        <v>1216</v>
      </c>
    </row>
    <row r="176" spans="1:10" x14ac:dyDescent="0.25">
      <c r="A176" t="s">
        <v>825</v>
      </c>
      <c r="B176" t="s">
        <v>872</v>
      </c>
      <c r="C176" t="s">
        <v>224</v>
      </c>
      <c r="D176" s="1">
        <v>14200</v>
      </c>
      <c r="E176" s="1">
        <v>74</v>
      </c>
      <c r="F176" s="1">
        <v>0</v>
      </c>
      <c r="G176" s="1">
        <v>0</v>
      </c>
      <c r="H176" s="1">
        <v>0</v>
      </c>
      <c r="I176" s="1">
        <v>8088</v>
      </c>
      <c r="J176" s="1">
        <v>1757</v>
      </c>
    </row>
    <row r="177" spans="1:10" x14ac:dyDescent="0.25">
      <c r="A177" t="s">
        <v>788</v>
      </c>
      <c r="B177" t="s">
        <v>872</v>
      </c>
      <c r="C177" t="s">
        <v>225</v>
      </c>
      <c r="D177" s="1">
        <v>50217</v>
      </c>
      <c r="E177" s="1">
        <v>38</v>
      </c>
      <c r="F177" s="1">
        <v>0</v>
      </c>
      <c r="G177" s="1">
        <v>0</v>
      </c>
      <c r="H177" s="1">
        <v>0</v>
      </c>
      <c r="I177" s="1">
        <v>133202</v>
      </c>
      <c r="J177" s="1">
        <v>27962</v>
      </c>
    </row>
    <row r="178" spans="1:10" x14ac:dyDescent="0.25">
      <c r="A178" t="s">
        <v>226</v>
      </c>
      <c r="B178" t="s">
        <v>872</v>
      </c>
      <c r="C178" t="s">
        <v>227</v>
      </c>
      <c r="D178" s="1">
        <v>21711</v>
      </c>
      <c r="E178" s="1">
        <v>17</v>
      </c>
      <c r="F178" s="1">
        <v>0</v>
      </c>
      <c r="G178" s="1">
        <v>0</v>
      </c>
      <c r="H178" s="1">
        <v>0</v>
      </c>
      <c r="I178" s="1">
        <v>10096</v>
      </c>
      <c r="J178" s="1">
        <v>5274</v>
      </c>
    </row>
    <row r="179" spans="1:10" x14ac:dyDescent="0.25">
      <c r="A179" t="s">
        <v>226</v>
      </c>
      <c r="B179" t="s">
        <v>872</v>
      </c>
      <c r="C179" t="s">
        <v>228</v>
      </c>
      <c r="D179" s="1">
        <v>16575</v>
      </c>
      <c r="E179" s="1">
        <v>23</v>
      </c>
      <c r="F179" s="1">
        <v>0</v>
      </c>
      <c r="G179" s="1">
        <v>0</v>
      </c>
      <c r="H179" s="1">
        <v>0</v>
      </c>
      <c r="I179" s="1">
        <v>15724</v>
      </c>
      <c r="J179" s="1">
        <v>2995</v>
      </c>
    </row>
    <row r="180" spans="1:10" x14ac:dyDescent="0.25">
      <c r="A180" t="s">
        <v>229</v>
      </c>
      <c r="B180" t="s">
        <v>872</v>
      </c>
      <c r="C180" t="s">
        <v>230</v>
      </c>
      <c r="D180" s="1">
        <v>15070</v>
      </c>
      <c r="E180" s="1">
        <v>22</v>
      </c>
      <c r="F180" s="1">
        <v>0</v>
      </c>
      <c r="G180" s="1">
        <v>0</v>
      </c>
      <c r="H180" s="1">
        <v>0</v>
      </c>
      <c r="I180" s="1">
        <v>7563</v>
      </c>
      <c r="J180" s="1">
        <v>4446</v>
      </c>
    </row>
    <row r="181" spans="1:10" x14ac:dyDescent="0.25">
      <c r="A181" t="s">
        <v>231</v>
      </c>
      <c r="B181" t="s">
        <v>872</v>
      </c>
      <c r="C181" t="s">
        <v>232</v>
      </c>
      <c r="D181" s="1"/>
      <c r="E181" s="1"/>
      <c r="F181" s="1"/>
      <c r="G181" s="1"/>
      <c r="H181" s="1"/>
      <c r="I181" s="1"/>
      <c r="J181" s="1"/>
    </row>
    <row r="182" spans="1:10" x14ac:dyDescent="0.25">
      <c r="A182" t="s">
        <v>248</v>
      </c>
      <c r="B182" t="s">
        <v>872</v>
      </c>
      <c r="C182" t="s">
        <v>233</v>
      </c>
      <c r="D182" s="1">
        <v>12780</v>
      </c>
      <c r="E182" s="1">
        <v>60</v>
      </c>
      <c r="F182" s="1">
        <v>0</v>
      </c>
      <c r="G182" s="1">
        <v>0</v>
      </c>
      <c r="H182" s="1">
        <v>0</v>
      </c>
      <c r="I182" s="1">
        <v>14477</v>
      </c>
      <c r="J182" s="1">
        <v>988</v>
      </c>
    </row>
    <row r="183" spans="1:10" x14ac:dyDescent="0.25">
      <c r="A183" t="s">
        <v>69</v>
      </c>
      <c r="B183" t="s">
        <v>872</v>
      </c>
      <c r="C183" t="s">
        <v>234</v>
      </c>
      <c r="D183" s="1">
        <v>119052</v>
      </c>
      <c r="E183" s="1">
        <v>133</v>
      </c>
      <c r="F183" s="1">
        <v>0</v>
      </c>
      <c r="G183" s="1">
        <v>0</v>
      </c>
      <c r="H183" s="1">
        <v>0</v>
      </c>
      <c r="I183" s="1">
        <v>175896</v>
      </c>
      <c r="J183" s="1">
        <v>17120</v>
      </c>
    </row>
    <row r="184" spans="1:10" x14ac:dyDescent="0.25">
      <c r="A184" t="s">
        <v>795</v>
      </c>
      <c r="B184" t="s">
        <v>872</v>
      </c>
      <c r="C184" t="s">
        <v>235</v>
      </c>
      <c r="D184" s="1">
        <v>37793</v>
      </c>
      <c r="E184" s="1">
        <v>30</v>
      </c>
      <c r="F184" s="1">
        <v>0</v>
      </c>
      <c r="G184" s="1">
        <v>0</v>
      </c>
      <c r="H184" s="1">
        <v>0</v>
      </c>
      <c r="I184" s="1">
        <v>635</v>
      </c>
      <c r="J184" s="1">
        <v>19233</v>
      </c>
    </row>
    <row r="185" spans="1:10" x14ac:dyDescent="0.25">
      <c r="A185" t="s">
        <v>795</v>
      </c>
      <c r="B185" t="s">
        <v>872</v>
      </c>
      <c r="C185" t="s">
        <v>236</v>
      </c>
      <c r="D185" s="1">
        <v>25998</v>
      </c>
      <c r="E185" s="1">
        <v>223</v>
      </c>
      <c r="F185" s="1">
        <v>0</v>
      </c>
      <c r="G185" s="1">
        <v>0</v>
      </c>
      <c r="H185" s="1">
        <v>0</v>
      </c>
      <c r="I185" s="1">
        <v>21217</v>
      </c>
      <c r="J185" s="1">
        <v>12148</v>
      </c>
    </row>
    <row r="186" spans="1:10" x14ac:dyDescent="0.25">
      <c r="A186" t="s">
        <v>801</v>
      </c>
      <c r="B186" t="s">
        <v>872</v>
      </c>
      <c r="C186" t="s">
        <v>237</v>
      </c>
      <c r="D186" s="1">
        <v>37206</v>
      </c>
      <c r="E186" s="1">
        <v>270</v>
      </c>
      <c r="F186" s="1">
        <v>0</v>
      </c>
      <c r="G186" s="1">
        <v>0</v>
      </c>
      <c r="H186" s="1">
        <v>0</v>
      </c>
      <c r="I186" s="1">
        <v>22977</v>
      </c>
      <c r="J186" s="1">
        <v>4087</v>
      </c>
    </row>
    <row r="187" spans="1:10" x14ac:dyDescent="0.25">
      <c r="A187" t="s">
        <v>788</v>
      </c>
      <c r="B187" t="s">
        <v>872</v>
      </c>
      <c r="C187" t="s">
        <v>238</v>
      </c>
      <c r="D187" s="1">
        <v>20048</v>
      </c>
      <c r="E187" s="1">
        <v>0</v>
      </c>
      <c r="F187" s="1">
        <v>0</v>
      </c>
      <c r="G187" s="1">
        <v>0</v>
      </c>
      <c r="H187" s="1">
        <v>0</v>
      </c>
      <c r="I187" s="1">
        <v>17820</v>
      </c>
      <c r="J187" s="1">
        <v>3161</v>
      </c>
    </row>
    <row r="188" spans="1:10" x14ac:dyDescent="0.25">
      <c r="A188" t="s">
        <v>791</v>
      </c>
      <c r="B188" t="s">
        <v>872</v>
      </c>
      <c r="C188" t="s">
        <v>239</v>
      </c>
      <c r="D188" s="1"/>
      <c r="E188" s="1"/>
      <c r="F188" s="1"/>
      <c r="G188" s="1"/>
      <c r="H188" s="1"/>
      <c r="I188" s="1"/>
      <c r="J188" s="1"/>
    </row>
    <row r="189" spans="1:10" x14ac:dyDescent="0.25">
      <c r="A189" t="s">
        <v>801</v>
      </c>
      <c r="B189" t="s">
        <v>872</v>
      </c>
      <c r="C189" t="s">
        <v>240</v>
      </c>
      <c r="D189" s="1">
        <v>60557</v>
      </c>
      <c r="E189" s="1">
        <v>217</v>
      </c>
      <c r="F189" s="1">
        <v>0</v>
      </c>
      <c r="G189" s="1">
        <v>0</v>
      </c>
      <c r="H189" s="1">
        <v>0</v>
      </c>
      <c r="I189" s="1">
        <v>17045</v>
      </c>
      <c r="J189" s="1">
        <v>1702</v>
      </c>
    </row>
    <row r="190" spans="1:10" x14ac:dyDescent="0.25">
      <c r="A190" t="s">
        <v>788</v>
      </c>
      <c r="B190" t="s">
        <v>872</v>
      </c>
      <c r="C190" t="s">
        <v>241</v>
      </c>
      <c r="D190" s="1">
        <v>77143</v>
      </c>
      <c r="E190" s="1">
        <v>26</v>
      </c>
      <c r="F190" s="1">
        <v>0</v>
      </c>
      <c r="G190" s="1">
        <v>0</v>
      </c>
      <c r="H190" s="1">
        <v>0</v>
      </c>
      <c r="I190" s="1">
        <v>29455</v>
      </c>
      <c r="J190" s="1">
        <v>16851</v>
      </c>
    </row>
    <row r="191" spans="1:10" x14ac:dyDescent="0.25">
      <c r="A191" t="s">
        <v>138</v>
      </c>
      <c r="B191" t="s">
        <v>872</v>
      </c>
      <c r="C191" t="s">
        <v>242</v>
      </c>
      <c r="D191" s="1">
        <v>39361</v>
      </c>
      <c r="E191" s="1">
        <v>25</v>
      </c>
      <c r="F191" s="1">
        <v>0</v>
      </c>
      <c r="G191" s="1">
        <v>0</v>
      </c>
      <c r="H191" s="1">
        <v>0</v>
      </c>
      <c r="I191" s="1">
        <v>13141</v>
      </c>
      <c r="J191" s="1">
        <v>5330</v>
      </c>
    </row>
    <row r="192" spans="1:10" x14ac:dyDescent="0.25">
      <c r="A192" t="s">
        <v>512</v>
      </c>
      <c r="B192" t="s">
        <v>872</v>
      </c>
      <c r="C192" t="s">
        <v>243</v>
      </c>
      <c r="D192" s="1">
        <v>8186</v>
      </c>
      <c r="E192" s="1">
        <v>6</v>
      </c>
      <c r="F192" s="1">
        <v>0</v>
      </c>
      <c r="G192" s="1">
        <v>0</v>
      </c>
      <c r="H192" s="1">
        <v>0</v>
      </c>
      <c r="I192" s="1">
        <v>494</v>
      </c>
      <c r="J192" s="1">
        <v>947</v>
      </c>
    </row>
    <row r="193" spans="1:10" x14ac:dyDescent="0.25">
      <c r="A193" t="s">
        <v>796</v>
      </c>
      <c r="B193" t="s">
        <v>872</v>
      </c>
      <c r="C193" t="s">
        <v>244</v>
      </c>
      <c r="D193" s="1">
        <v>72639</v>
      </c>
      <c r="E193" s="1">
        <v>497</v>
      </c>
      <c r="F193" s="1">
        <v>0</v>
      </c>
      <c r="G193" s="1">
        <v>0</v>
      </c>
      <c r="H193" s="1">
        <v>0</v>
      </c>
      <c r="I193" s="1">
        <v>97992</v>
      </c>
      <c r="J193" s="1">
        <v>15343</v>
      </c>
    </row>
    <row r="194" spans="1:10" x14ac:dyDescent="0.25">
      <c r="A194" t="s">
        <v>146</v>
      </c>
      <c r="B194" t="s">
        <v>872</v>
      </c>
      <c r="C194" t="s">
        <v>245</v>
      </c>
      <c r="D194" s="1">
        <v>19843</v>
      </c>
      <c r="E194" s="1">
        <v>22</v>
      </c>
      <c r="F194" s="1">
        <v>0</v>
      </c>
      <c r="G194" s="1">
        <v>0</v>
      </c>
      <c r="H194" s="1">
        <v>0</v>
      </c>
      <c r="I194" s="1">
        <v>23541</v>
      </c>
      <c r="J194" s="1">
        <v>3929</v>
      </c>
    </row>
    <row r="195" spans="1:10" x14ac:dyDescent="0.25">
      <c r="A195" t="s">
        <v>831</v>
      </c>
      <c r="B195" t="s">
        <v>872</v>
      </c>
      <c r="C195" t="s">
        <v>246</v>
      </c>
      <c r="D195" s="1">
        <v>3913</v>
      </c>
      <c r="E195" s="1">
        <v>8</v>
      </c>
      <c r="F195" s="1">
        <v>0</v>
      </c>
      <c r="G195" s="1">
        <v>0</v>
      </c>
      <c r="H195" s="1">
        <v>0</v>
      </c>
      <c r="I195" s="1">
        <v>1175</v>
      </c>
      <c r="J195" s="1">
        <v>885</v>
      </c>
    </row>
    <row r="196" spans="1:10" x14ac:dyDescent="0.25">
      <c r="A196" t="s">
        <v>791</v>
      </c>
      <c r="B196" t="s">
        <v>872</v>
      </c>
      <c r="C196" t="s">
        <v>247</v>
      </c>
      <c r="D196" s="1"/>
      <c r="E196" s="1"/>
      <c r="F196" s="1"/>
      <c r="G196" s="1"/>
      <c r="H196" s="1"/>
      <c r="I196" s="1"/>
      <c r="J196" s="1"/>
    </row>
    <row r="197" spans="1:10" x14ac:dyDescent="0.25">
      <c r="A197" t="s">
        <v>248</v>
      </c>
      <c r="B197" t="s">
        <v>872</v>
      </c>
      <c r="C197" t="s">
        <v>249</v>
      </c>
      <c r="D197" s="1">
        <v>44232</v>
      </c>
      <c r="E197" s="1">
        <v>302</v>
      </c>
      <c r="F197" s="1">
        <v>0</v>
      </c>
      <c r="G197" s="1">
        <v>0</v>
      </c>
      <c r="H197" s="1">
        <v>0</v>
      </c>
      <c r="I197" s="1">
        <v>55572</v>
      </c>
      <c r="J197" s="1">
        <v>8589</v>
      </c>
    </row>
    <row r="198" spans="1:10" x14ac:dyDescent="0.25">
      <c r="A198" t="s">
        <v>865</v>
      </c>
      <c r="B198" t="s">
        <v>872</v>
      </c>
      <c r="C198" t="s">
        <v>250</v>
      </c>
      <c r="D198" s="1">
        <v>15257</v>
      </c>
      <c r="E198" s="1">
        <v>25</v>
      </c>
      <c r="F198" s="1">
        <v>0</v>
      </c>
      <c r="G198" s="1">
        <v>0</v>
      </c>
      <c r="H198" s="1">
        <v>0</v>
      </c>
      <c r="I198" s="1">
        <v>8869</v>
      </c>
      <c r="J198" s="1">
        <v>2121</v>
      </c>
    </row>
    <row r="199" spans="1:10" x14ac:dyDescent="0.25">
      <c r="A199" t="s">
        <v>248</v>
      </c>
      <c r="B199" t="s">
        <v>872</v>
      </c>
      <c r="C199" t="s">
        <v>251</v>
      </c>
      <c r="D199" s="1"/>
      <c r="E199" s="1"/>
      <c r="F199" s="1"/>
      <c r="G199" s="1"/>
      <c r="H199" s="1"/>
      <c r="I199" s="1"/>
      <c r="J199" s="1"/>
    </row>
    <row r="200" spans="1:10" x14ac:dyDescent="0.25">
      <c r="A200" t="s">
        <v>795</v>
      </c>
      <c r="B200" t="s">
        <v>872</v>
      </c>
      <c r="C200" t="s">
        <v>252</v>
      </c>
      <c r="D200" s="1">
        <v>29769</v>
      </c>
      <c r="E200" s="1">
        <v>84</v>
      </c>
      <c r="F200" s="1">
        <v>0</v>
      </c>
      <c r="G200" s="1">
        <v>0</v>
      </c>
      <c r="H200" s="1">
        <v>0</v>
      </c>
      <c r="I200" s="1">
        <v>12397</v>
      </c>
      <c r="J200" s="1">
        <v>9473</v>
      </c>
    </row>
    <row r="201" spans="1:10" x14ac:dyDescent="0.25">
      <c r="A201" t="s">
        <v>248</v>
      </c>
      <c r="B201" t="s">
        <v>872</v>
      </c>
      <c r="C201" t="s">
        <v>253</v>
      </c>
      <c r="D201" s="1">
        <v>52339</v>
      </c>
      <c r="E201" s="1">
        <v>222</v>
      </c>
      <c r="F201" s="1">
        <v>0</v>
      </c>
      <c r="G201" s="1">
        <v>0</v>
      </c>
      <c r="H201" s="1">
        <v>0</v>
      </c>
      <c r="I201" s="1">
        <v>18473</v>
      </c>
      <c r="J201" s="1">
        <v>9168</v>
      </c>
    </row>
    <row r="202" spans="1:10" x14ac:dyDescent="0.25">
      <c r="A202" t="s">
        <v>823</v>
      </c>
      <c r="B202" t="s">
        <v>872</v>
      </c>
      <c r="C202" t="s">
        <v>254</v>
      </c>
      <c r="D202" s="1">
        <v>27870</v>
      </c>
      <c r="E202" s="1">
        <v>10</v>
      </c>
      <c r="F202" s="1">
        <v>0</v>
      </c>
      <c r="G202" s="1">
        <v>0</v>
      </c>
      <c r="H202" s="1">
        <v>0</v>
      </c>
      <c r="I202" s="1">
        <v>5015</v>
      </c>
      <c r="J202" s="1">
        <v>7574</v>
      </c>
    </row>
    <row r="203" spans="1:10" x14ac:dyDescent="0.25">
      <c r="A203" t="s">
        <v>67</v>
      </c>
      <c r="B203" t="s">
        <v>872</v>
      </c>
      <c r="C203" t="s">
        <v>255</v>
      </c>
      <c r="D203" s="1">
        <v>30507</v>
      </c>
      <c r="E203" s="1">
        <v>97</v>
      </c>
      <c r="F203" s="1">
        <v>0</v>
      </c>
      <c r="G203" s="1">
        <v>0</v>
      </c>
      <c r="H203" s="1">
        <v>0</v>
      </c>
      <c r="I203" s="1">
        <v>24846</v>
      </c>
      <c r="J203" s="1">
        <v>4030</v>
      </c>
    </row>
    <row r="204" spans="1:10" x14ac:dyDescent="0.25">
      <c r="A204" t="s">
        <v>72</v>
      </c>
      <c r="B204" t="s">
        <v>872</v>
      </c>
      <c r="C204" t="s">
        <v>256</v>
      </c>
      <c r="D204" s="1">
        <v>15979</v>
      </c>
      <c r="E204" s="1">
        <v>15</v>
      </c>
      <c r="F204" s="1">
        <v>0</v>
      </c>
      <c r="G204" s="1">
        <v>0</v>
      </c>
      <c r="H204" s="1">
        <v>0</v>
      </c>
      <c r="I204" s="1">
        <v>5728</v>
      </c>
      <c r="J204" s="1">
        <v>2640</v>
      </c>
    </row>
    <row r="205" spans="1:10" x14ac:dyDescent="0.25">
      <c r="A205" t="s">
        <v>138</v>
      </c>
      <c r="B205" t="s">
        <v>872</v>
      </c>
      <c r="C205" t="s">
        <v>257</v>
      </c>
      <c r="D205" s="1">
        <v>52735</v>
      </c>
      <c r="E205" s="1">
        <v>2771</v>
      </c>
      <c r="F205" s="1">
        <v>0</v>
      </c>
      <c r="G205" s="1">
        <v>0</v>
      </c>
      <c r="H205" s="1">
        <v>0</v>
      </c>
      <c r="I205" s="1">
        <v>9647</v>
      </c>
      <c r="J205" s="1">
        <v>10057</v>
      </c>
    </row>
    <row r="206" spans="1:10" x14ac:dyDescent="0.25">
      <c r="A206" t="s">
        <v>817</v>
      </c>
      <c r="B206" t="s">
        <v>872</v>
      </c>
      <c r="C206" t="s">
        <v>258</v>
      </c>
      <c r="D206" s="1">
        <v>32914</v>
      </c>
      <c r="E206" s="1">
        <v>645</v>
      </c>
      <c r="F206" s="1">
        <v>0</v>
      </c>
      <c r="G206" s="1">
        <v>0</v>
      </c>
      <c r="H206" s="1">
        <v>0</v>
      </c>
      <c r="I206" s="1">
        <v>85814</v>
      </c>
      <c r="J206" s="1">
        <v>11299</v>
      </c>
    </row>
    <row r="207" spans="1:10" x14ac:dyDescent="0.25">
      <c r="A207" t="s">
        <v>795</v>
      </c>
      <c r="B207" t="s">
        <v>872</v>
      </c>
      <c r="C207" t="s">
        <v>259</v>
      </c>
      <c r="D207" s="1">
        <v>88483</v>
      </c>
      <c r="E207" s="1">
        <v>535</v>
      </c>
      <c r="F207" s="1">
        <v>0</v>
      </c>
      <c r="G207" s="1">
        <v>0</v>
      </c>
      <c r="H207" s="1">
        <v>0</v>
      </c>
      <c r="I207" s="1">
        <v>27710</v>
      </c>
      <c r="J207" s="1">
        <v>24409</v>
      </c>
    </row>
    <row r="208" spans="1:10" x14ac:dyDescent="0.25">
      <c r="A208" t="s">
        <v>864</v>
      </c>
      <c r="B208" t="s">
        <v>872</v>
      </c>
      <c r="C208" t="s">
        <v>260</v>
      </c>
      <c r="D208" s="1">
        <v>36401</v>
      </c>
      <c r="E208" s="1">
        <v>484</v>
      </c>
      <c r="F208" s="1">
        <v>0</v>
      </c>
      <c r="G208" s="1">
        <v>0</v>
      </c>
      <c r="H208" s="1">
        <v>0</v>
      </c>
      <c r="I208" s="1">
        <v>35586</v>
      </c>
      <c r="J208" s="1">
        <v>13406</v>
      </c>
    </row>
    <row r="209" spans="1:10" x14ac:dyDescent="0.25">
      <c r="A209" t="s">
        <v>826</v>
      </c>
      <c r="B209" t="s">
        <v>872</v>
      </c>
      <c r="C209" t="s">
        <v>261</v>
      </c>
      <c r="D209" s="1"/>
      <c r="E209" s="1"/>
      <c r="F209" s="1"/>
      <c r="G209" s="1"/>
      <c r="H209" s="1"/>
      <c r="I209" s="1"/>
      <c r="J209" s="1"/>
    </row>
    <row r="210" spans="1:10" x14ac:dyDescent="0.25">
      <c r="A210" t="s">
        <v>801</v>
      </c>
      <c r="B210" t="s">
        <v>872</v>
      </c>
      <c r="C210" t="s">
        <v>262</v>
      </c>
      <c r="D210" s="1">
        <v>50635</v>
      </c>
      <c r="E210" s="1">
        <v>613</v>
      </c>
      <c r="F210" s="1">
        <v>0</v>
      </c>
      <c r="G210" s="1">
        <v>0</v>
      </c>
      <c r="H210" s="1">
        <v>0</v>
      </c>
      <c r="I210" s="1">
        <v>58779</v>
      </c>
      <c r="J210" s="1">
        <v>13890</v>
      </c>
    </row>
    <row r="211" spans="1:10" x14ac:dyDescent="0.25">
      <c r="A211" t="s">
        <v>120</v>
      </c>
      <c r="B211" t="s">
        <v>872</v>
      </c>
      <c r="C211" t="s">
        <v>263</v>
      </c>
      <c r="D211" s="1">
        <v>24641</v>
      </c>
      <c r="E211" s="1">
        <v>16</v>
      </c>
      <c r="F211" s="1">
        <v>0</v>
      </c>
      <c r="G211" s="1">
        <v>0</v>
      </c>
      <c r="H211" s="1">
        <v>0</v>
      </c>
      <c r="I211" s="1">
        <v>2215</v>
      </c>
      <c r="J211" s="1">
        <v>1594</v>
      </c>
    </row>
    <row r="212" spans="1:10" x14ac:dyDescent="0.25">
      <c r="A212" t="s">
        <v>868</v>
      </c>
      <c r="B212" t="s">
        <v>872</v>
      </c>
      <c r="C212" t="s">
        <v>264</v>
      </c>
      <c r="D212" s="1"/>
      <c r="E212" s="1"/>
      <c r="F212" s="1"/>
      <c r="G212" s="1"/>
      <c r="H212" s="1"/>
      <c r="I212" s="1"/>
      <c r="J212" s="1"/>
    </row>
    <row r="213" spans="1:10" x14ac:dyDescent="0.25">
      <c r="A213" t="s">
        <v>265</v>
      </c>
      <c r="B213" t="s">
        <v>872</v>
      </c>
      <c r="C213" t="s">
        <v>266</v>
      </c>
      <c r="D213" s="1">
        <v>79341</v>
      </c>
      <c r="E213" s="1">
        <v>394</v>
      </c>
      <c r="F213" s="1">
        <v>0</v>
      </c>
      <c r="G213" s="1">
        <v>0</v>
      </c>
      <c r="H213" s="1">
        <v>0</v>
      </c>
      <c r="I213" s="1">
        <v>43514</v>
      </c>
      <c r="J213" s="1">
        <v>16446</v>
      </c>
    </row>
    <row r="214" spans="1:10" x14ac:dyDescent="0.25">
      <c r="A214" t="s">
        <v>797</v>
      </c>
      <c r="B214" t="s">
        <v>872</v>
      </c>
      <c r="C214" t="s">
        <v>267</v>
      </c>
      <c r="D214" s="1">
        <v>79483</v>
      </c>
      <c r="E214" s="1">
        <v>1550</v>
      </c>
      <c r="F214" s="1">
        <v>0</v>
      </c>
      <c r="G214" s="1">
        <v>0</v>
      </c>
      <c r="H214" s="1">
        <v>0</v>
      </c>
      <c r="I214" s="1">
        <v>46529</v>
      </c>
      <c r="J214" s="1">
        <v>42088</v>
      </c>
    </row>
    <row r="215" spans="1:10" x14ac:dyDescent="0.25">
      <c r="A215" t="s">
        <v>831</v>
      </c>
      <c r="B215" t="s">
        <v>872</v>
      </c>
      <c r="C215" t="s">
        <v>268</v>
      </c>
      <c r="D215" s="1">
        <v>24889</v>
      </c>
      <c r="E215" s="1">
        <v>294</v>
      </c>
      <c r="F215" s="1">
        <v>0</v>
      </c>
      <c r="G215" s="1">
        <v>0</v>
      </c>
      <c r="H215" s="1">
        <v>0</v>
      </c>
      <c r="I215" s="1">
        <v>9927</v>
      </c>
      <c r="J215" s="1">
        <v>6184</v>
      </c>
    </row>
    <row r="216" spans="1:10" x14ac:dyDescent="0.25">
      <c r="A216" t="s">
        <v>794</v>
      </c>
      <c r="B216" t="s">
        <v>872</v>
      </c>
      <c r="C216" t="s">
        <v>269</v>
      </c>
      <c r="D216" s="1">
        <v>21490</v>
      </c>
      <c r="E216" s="1">
        <v>92</v>
      </c>
      <c r="F216" s="1">
        <v>0</v>
      </c>
      <c r="G216" s="1">
        <v>0</v>
      </c>
      <c r="H216" s="1">
        <v>0</v>
      </c>
      <c r="I216" s="1">
        <v>16636</v>
      </c>
      <c r="J216" s="1">
        <v>3102</v>
      </c>
    </row>
    <row r="217" spans="1:10" x14ac:dyDescent="0.25">
      <c r="A217" t="s">
        <v>809</v>
      </c>
      <c r="B217" t="s">
        <v>872</v>
      </c>
      <c r="C217" t="s">
        <v>270</v>
      </c>
      <c r="D217" s="1">
        <v>24051</v>
      </c>
      <c r="E217" s="1">
        <v>99</v>
      </c>
      <c r="F217" s="1">
        <v>0</v>
      </c>
      <c r="G217" s="1">
        <v>0</v>
      </c>
      <c r="H217" s="1">
        <v>0</v>
      </c>
      <c r="I217" s="1">
        <v>11608</v>
      </c>
      <c r="J217" s="1">
        <v>5016</v>
      </c>
    </row>
    <row r="218" spans="1:10" x14ac:dyDescent="0.25">
      <c r="A218" t="s">
        <v>248</v>
      </c>
      <c r="B218" t="s">
        <v>872</v>
      </c>
      <c r="C218" t="s">
        <v>271</v>
      </c>
      <c r="D218" s="1">
        <v>103623</v>
      </c>
      <c r="E218" s="1">
        <v>1995</v>
      </c>
      <c r="F218" s="1">
        <v>0</v>
      </c>
      <c r="G218" s="1">
        <v>0</v>
      </c>
      <c r="H218" s="1">
        <v>0</v>
      </c>
      <c r="I218" s="1">
        <v>120966</v>
      </c>
      <c r="J218" s="1">
        <v>15741</v>
      </c>
    </row>
    <row r="219" spans="1:10" x14ac:dyDescent="0.25">
      <c r="A219" t="s">
        <v>823</v>
      </c>
      <c r="B219" t="s">
        <v>872</v>
      </c>
      <c r="C219" t="s">
        <v>272</v>
      </c>
      <c r="D219" s="1">
        <v>50500</v>
      </c>
      <c r="E219" s="1">
        <v>218</v>
      </c>
      <c r="F219" s="1">
        <v>0</v>
      </c>
      <c r="G219" s="1">
        <v>0</v>
      </c>
      <c r="H219" s="1">
        <v>0</v>
      </c>
      <c r="I219" s="1">
        <v>16575</v>
      </c>
      <c r="J219" s="1">
        <v>15485</v>
      </c>
    </row>
    <row r="220" spans="1:10" x14ac:dyDescent="0.25">
      <c r="A220" t="s">
        <v>146</v>
      </c>
      <c r="B220" t="s">
        <v>872</v>
      </c>
      <c r="C220" t="s">
        <v>273</v>
      </c>
      <c r="D220" s="1">
        <v>28284</v>
      </c>
      <c r="E220" s="1">
        <v>248</v>
      </c>
      <c r="F220" s="1">
        <v>0</v>
      </c>
      <c r="G220" s="1">
        <v>0</v>
      </c>
      <c r="H220" s="1">
        <v>0</v>
      </c>
      <c r="I220" s="1">
        <v>63136</v>
      </c>
      <c r="J220" s="1">
        <v>12964</v>
      </c>
    </row>
    <row r="221" spans="1:10" x14ac:dyDescent="0.25">
      <c r="A221" t="s">
        <v>788</v>
      </c>
      <c r="B221" t="s">
        <v>872</v>
      </c>
      <c r="C221" t="s">
        <v>274</v>
      </c>
      <c r="D221" s="1">
        <v>32414</v>
      </c>
      <c r="E221" s="1">
        <v>45</v>
      </c>
      <c r="F221" s="1">
        <v>0</v>
      </c>
      <c r="G221" s="1">
        <v>0</v>
      </c>
      <c r="H221" s="1">
        <v>0</v>
      </c>
      <c r="I221" s="1">
        <v>27888</v>
      </c>
      <c r="J221" s="1">
        <v>7488</v>
      </c>
    </row>
    <row r="222" spans="1:10" x14ac:dyDescent="0.25">
      <c r="A222" t="s">
        <v>495</v>
      </c>
      <c r="B222" t="s">
        <v>874</v>
      </c>
      <c r="C222" t="s">
        <v>275</v>
      </c>
      <c r="D222" s="1">
        <v>416755</v>
      </c>
      <c r="E222" s="1">
        <v>4367</v>
      </c>
      <c r="F222" s="1">
        <v>0</v>
      </c>
      <c r="G222" s="1">
        <v>0</v>
      </c>
      <c r="H222" s="1">
        <v>0</v>
      </c>
      <c r="I222" s="1">
        <v>24657</v>
      </c>
      <c r="J222" s="1">
        <v>122800</v>
      </c>
    </row>
    <row r="223" spans="1:10" x14ac:dyDescent="0.25">
      <c r="A223" t="s">
        <v>796</v>
      </c>
      <c r="B223" t="s">
        <v>874</v>
      </c>
      <c r="C223" t="s">
        <v>276</v>
      </c>
      <c r="D223" s="1">
        <v>296725</v>
      </c>
      <c r="E223" s="1">
        <v>3021</v>
      </c>
      <c r="F223" s="1"/>
      <c r="G223" s="1"/>
      <c r="H223" s="1"/>
      <c r="I223" s="1">
        <v>25596</v>
      </c>
      <c r="J223" s="1">
        <v>79654</v>
      </c>
    </row>
    <row r="224" spans="1:10" x14ac:dyDescent="0.25">
      <c r="A224" t="s">
        <v>76</v>
      </c>
      <c r="B224" t="s">
        <v>875</v>
      </c>
      <c r="C224" t="s">
        <v>277</v>
      </c>
      <c r="D224" s="1">
        <v>94088</v>
      </c>
      <c r="E224" s="1">
        <v>555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</row>
    <row r="225" spans="1:10" x14ac:dyDescent="0.25">
      <c r="A225" t="s">
        <v>823</v>
      </c>
      <c r="B225" t="s">
        <v>875</v>
      </c>
      <c r="C225" t="s">
        <v>278</v>
      </c>
      <c r="D225" s="1">
        <v>42891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</row>
    <row r="226" spans="1:10" x14ac:dyDescent="0.25">
      <c r="A226" t="s">
        <v>120</v>
      </c>
      <c r="B226" t="s">
        <v>876</v>
      </c>
      <c r="C226" t="s">
        <v>279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35094</v>
      </c>
      <c r="J226" s="1">
        <v>0</v>
      </c>
    </row>
    <row r="227" spans="1:10" x14ac:dyDescent="0.25">
      <c r="A227" t="s">
        <v>495</v>
      </c>
      <c r="B227" t="s">
        <v>875</v>
      </c>
      <c r="C227" t="s">
        <v>280</v>
      </c>
      <c r="D227" s="1"/>
      <c r="E227" s="1"/>
      <c r="F227" s="1"/>
      <c r="G227" s="1"/>
      <c r="H227" s="1"/>
      <c r="I227" s="1"/>
      <c r="J227" s="1"/>
    </row>
    <row r="228" spans="1:10" x14ac:dyDescent="0.25">
      <c r="A228" t="s">
        <v>791</v>
      </c>
      <c r="B228" t="s">
        <v>875</v>
      </c>
      <c r="C228" t="s">
        <v>281</v>
      </c>
      <c r="D228" s="1"/>
      <c r="E228" s="1"/>
      <c r="F228" s="1"/>
      <c r="G228" s="1"/>
      <c r="H228" s="1"/>
      <c r="I228" s="1"/>
      <c r="J228" s="1"/>
    </row>
    <row r="229" spans="1:10" x14ac:dyDescent="0.25">
      <c r="A229" t="s">
        <v>801</v>
      </c>
      <c r="B229" t="s">
        <v>875</v>
      </c>
      <c r="C229" t="s">
        <v>282</v>
      </c>
      <c r="D229" s="1">
        <v>18020</v>
      </c>
      <c r="E229" s="1">
        <v>138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</row>
    <row r="230" spans="1:10" x14ac:dyDescent="0.25">
      <c r="A230" t="s">
        <v>795</v>
      </c>
      <c r="B230" t="s">
        <v>875</v>
      </c>
      <c r="C230" t="s">
        <v>283</v>
      </c>
      <c r="D230" s="1">
        <v>164661</v>
      </c>
      <c r="E230" s="1">
        <v>39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</row>
    <row r="231" spans="1:10" x14ac:dyDescent="0.25">
      <c r="A231" t="s">
        <v>811</v>
      </c>
      <c r="B231" t="s">
        <v>875</v>
      </c>
      <c r="C231" t="s">
        <v>284</v>
      </c>
      <c r="D231" s="1"/>
      <c r="E231" s="1"/>
      <c r="F231" s="1"/>
      <c r="G231" s="1"/>
      <c r="H231" s="1"/>
      <c r="I231" s="1"/>
      <c r="J231" s="1"/>
    </row>
    <row r="232" spans="1:10" x14ac:dyDescent="0.25">
      <c r="A232" t="s">
        <v>120</v>
      </c>
      <c r="B232" t="s">
        <v>875</v>
      </c>
      <c r="C232" t="s">
        <v>285</v>
      </c>
      <c r="D232" s="1">
        <v>26220</v>
      </c>
      <c r="E232" s="1">
        <v>157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</row>
    <row r="233" spans="1:10" x14ac:dyDescent="0.25">
      <c r="A233" t="s">
        <v>101</v>
      </c>
      <c r="B233" t="s">
        <v>875</v>
      </c>
      <c r="C233" t="s">
        <v>286</v>
      </c>
      <c r="D233" s="1">
        <v>22298</v>
      </c>
      <c r="E233" s="1">
        <v>201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</row>
    <row r="234" spans="1:10" x14ac:dyDescent="0.25">
      <c r="A234" t="s">
        <v>226</v>
      </c>
      <c r="B234" t="s">
        <v>875</v>
      </c>
      <c r="C234" t="s">
        <v>287</v>
      </c>
      <c r="D234" s="1">
        <v>12532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</row>
    <row r="235" spans="1:10" x14ac:dyDescent="0.25">
      <c r="A235" t="s">
        <v>120</v>
      </c>
      <c r="B235" t="s">
        <v>877</v>
      </c>
      <c r="C235" t="s">
        <v>288</v>
      </c>
      <c r="D235" s="1">
        <v>4259</v>
      </c>
      <c r="E235" s="1">
        <v>2</v>
      </c>
      <c r="F235" s="1">
        <v>0</v>
      </c>
      <c r="G235" s="1">
        <v>36665</v>
      </c>
      <c r="H235" s="1">
        <v>46</v>
      </c>
      <c r="I235" s="1">
        <v>0</v>
      </c>
      <c r="J235" s="1">
        <v>0</v>
      </c>
    </row>
    <row r="236" spans="1:10" x14ac:dyDescent="0.25">
      <c r="A236" t="s">
        <v>826</v>
      </c>
      <c r="B236" t="s">
        <v>877</v>
      </c>
      <c r="C236" t="s">
        <v>289</v>
      </c>
      <c r="D236" s="1"/>
      <c r="E236" s="1"/>
      <c r="F236" s="1"/>
      <c r="G236" s="1"/>
      <c r="H236" s="1"/>
      <c r="I236" s="1"/>
      <c r="J236" s="1"/>
    </row>
    <row r="237" spans="1:10" x14ac:dyDescent="0.25">
      <c r="A237" t="s">
        <v>791</v>
      </c>
      <c r="B237" t="s">
        <v>877</v>
      </c>
      <c r="C237" t="s">
        <v>290</v>
      </c>
      <c r="D237" s="1"/>
      <c r="E237" s="1"/>
      <c r="F237" s="1"/>
      <c r="G237" s="1"/>
      <c r="H237" s="1"/>
      <c r="I237" s="1"/>
      <c r="J237" s="1"/>
    </row>
    <row r="238" spans="1:10" x14ac:dyDescent="0.25">
      <c r="A238" t="s">
        <v>826</v>
      </c>
      <c r="B238" t="s">
        <v>877</v>
      </c>
      <c r="C238" t="s">
        <v>291</v>
      </c>
      <c r="D238" s="1"/>
      <c r="E238" s="1"/>
      <c r="F238" s="1"/>
      <c r="G238" s="1"/>
      <c r="H238" s="1"/>
      <c r="I238" s="1"/>
      <c r="J238" s="1"/>
    </row>
    <row r="239" spans="1:10" x14ac:dyDescent="0.25">
      <c r="A239" t="s">
        <v>226</v>
      </c>
      <c r="B239" t="s">
        <v>877</v>
      </c>
      <c r="C239" t="s">
        <v>292</v>
      </c>
      <c r="D239" s="1">
        <v>820</v>
      </c>
      <c r="E239" s="1">
        <v>2</v>
      </c>
      <c r="F239" s="1">
        <v>0</v>
      </c>
      <c r="G239" s="1">
        <v>9697</v>
      </c>
      <c r="H239" s="1">
        <v>69</v>
      </c>
      <c r="I239" s="1">
        <v>0</v>
      </c>
      <c r="J239" s="1">
        <v>0</v>
      </c>
    </row>
    <row r="240" spans="1:10" x14ac:dyDescent="0.25">
      <c r="A240" t="s">
        <v>495</v>
      </c>
      <c r="B240" t="s">
        <v>877</v>
      </c>
      <c r="C240" t="s">
        <v>293</v>
      </c>
      <c r="D240" s="1">
        <v>4278</v>
      </c>
      <c r="E240" s="1">
        <v>39</v>
      </c>
      <c r="F240" s="1">
        <v>0</v>
      </c>
      <c r="G240" s="1">
        <v>5240</v>
      </c>
      <c r="H240" s="1">
        <v>3</v>
      </c>
      <c r="I240" s="1">
        <v>0</v>
      </c>
      <c r="J240" s="1">
        <v>0</v>
      </c>
    </row>
    <row r="241" spans="1:10" x14ac:dyDescent="0.25">
      <c r="A241" t="s">
        <v>248</v>
      </c>
      <c r="B241" t="s">
        <v>877</v>
      </c>
      <c r="C241" t="s">
        <v>294</v>
      </c>
      <c r="D241" s="1">
        <v>1375</v>
      </c>
      <c r="E241" s="1">
        <v>0</v>
      </c>
      <c r="F241" s="1">
        <v>0</v>
      </c>
      <c r="G241" s="1">
        <v>9359</v>
      </c>
      <c r="H241" s="1">
        <v>0</v>
      </c>
      <c r="I241" s="1">
        <v>0</v>
      </c>
      <c r="J241" s="1">
        <v>0</v>
      </c>
    </row>
    <row r="242" spans="1:10" x14ac:dyDescent="0.25">
      <c r="A242" t="s">
        <v>865</v>
      </c>
      <c r="B242" t="s">
        <v>877</v>
      </c>
      <c r="C242" t="s">
        <v>295</v>
      </c>
      <c r="D242" s="1">
        <v>929</v>
      </c>
      <c r="E242" s="1">
        <v>6</v>
      </c>
      <c r="F242" s="1">
        <v>0</v>
      </c>
      <c r="G242" s="1">
        <v>15251</v>
      </c>
      <c r="H242" s="1">
        <v>50</v>
      </c>
      <c r="I242" s="1">
        <v>0</v>
      </c>
      <c r="J242" s="1">
        <v>0</v>
      </c>
    </row>
    <row r="243" spans="1:10" x14ac:dyDescent="0.25">
      <c r="A243" t="s">
        <v>831</v>
      </c>
      <c r="B243" t="s">
        <v>877</v>
      </c>
      <c r="C243" t="s">
        <v>296</v>
      </c>
      <c r="D243" s="1">
        <v>905</v>
      </c>
      <c r="E243" s="1">
        <v>0</v>
      </c>
      <c r="F243" s="1">
        <v>0</v>
      </c>
      <c r="G243" s="1">
        <v>14987</v>
      </c>
      <c r="H243" s="1">
        <v>4</v>
      </c>
      <c r="I243" s="1">
        <v>0</v>
      </c>
      <c r="J243" s="1">
        <v>0</v>
      </c>
    </row>
    <row r="244" spans="1:10" x14ac:dyDescent="0.25">
      <c r="A244" t="s">
        <v>818</v>
      </c>
      <c r="B244" t="s">
        <v>877</v>
      </c>
      <c r="C244" t="s">
        <v>297</v>
      </c>
      <c r="D244" s="1">
        <v>3863</v>
      </c>
      <c r="E244" s="1">
        <v>0</v>
      </c>
      <c r="F244" s="1">
        <v>0</v>
      </c>
      <c r="G244" s="1">
        <v>9562</v>
      </c>
      <c r="H244" s="1">
        <v>54</v>
      </c>
      <c r="I244" s="1">
        <v>0</v>
      </c>
      <c r="J244" s="1">
        <v>0</v>
      </c>
    </row>
    <row r="245" spans="1:10" x14ac:dyDescent="0.25">
      <c r="A245" t="s">
        <v>811</v>
      </c>
      <c r="B245" t="s">
        <v>877</v>
      </c>
      <c r="C245" t="s">
        <v>298</v>
      </c>
      <c r="D245" s="1"/>
      <c r="E245" s="1"/>
      <c r="F245" s="1"/>
      <c r="G245" s="1"/>
      <c r="H245" s="1"/>
      <c r="I245" s="1"/>
      <c r="J245" s="1"/>
    </row>
    <row r="246" spans="1:10" x14ac:dyDescent="0.25">
      <c r="A246" t="s">
        <v>72</v>
      </c>
      <c r="B246" t="s">
        <v>877</v>
      </c>
      <c r="C246" t="s">
        <v>299</v>
      </c>
      <c r="D246" s="1">
        <v>1945</v>
      </c>
      <c r="E246" s="1"/>
      <c r="F246" s="1">
        <v>0</v>
      </c>
      <c r="G246" s="1">
        <v>10790</v>
      </c>
      <c r="H246" s="1">
        <v>19</v>
      </c>
      <c r="I246" s="1">
        <v>0</v>
      </c>
      <c r="J246" s="1">
        <v>0</v>
      </c>
    </row>
    <row r="247" spans="1:10" x14ac:dyDescent="0.25">
      <c r="A247" t="s">
        <v>67</v>
      </c>
      <c r="B247" t="s">
        <v>877</v>
      </c>
      <c r="C247" t="s">
        <v>300</v>
      </c>
      <c r="D247" s="1">
        <v>2529</v>
      </c>
      <c r="E247" s="1">
        <v>0</v>
      </c>
      <c r="F247" s="1">
        <v>0</v>
      </c>
      <c r="G247" s="1">
        <v>5405</v>
      </c>
      <c r="H247" s="1">
        <v>0</v>
      </c>
      <c r="I247" s="1">
        <v>0</v>
      </c>
      <c r="J247" s="1">
        <v>0</v>
      </c>
    </row>
    <row r="248" spans="1:10" x14ac:dyDescent="0.25">
      <c r="A248" t="s">
        <v>798</v>
      </c>
      <c r="B248" t="s">
        <v>877</v>
      </c>
      <c r="C248" t="s">
        <v>301</v>
      </c>
      <c r="D248" s="1">
        <v>2684</v>
      </c>
      <c r="E248" s="1">
        <v>26</v>
      </c>
      <c r="F248" s="1">
        <v>0</v>
      </c>
      <c r="G248" s="1">
        <v>14882</v>
      </c>
      <c r="H248" s="1">
        <v>105</v>
      </c>
      <c r="I248" s="1">
        <v>0</v>
      </c>
      <c r="J248" s="1">
        <v>0</v>
      </c>
    </row>
    <row r="249" spans="1:10" x14ac:dyDescent="0.25">
      <c r="A249" t="s">
        <v>824</v>
      </c>
      <c r="B249" t="s">
        <v>877</v>
      </c>
      <c r="C249" t="s">
        <v>302</v>
      </c>
      <c r="D249" s="1">
        <v>8312</v>
      </c>
      <c r="E249" s="1">
        <v>15</v>
      </c>
      <c r="F249" s="1">
        <v>0</v>
      </c>
      <c r="G249" s="1">
        <v>27645</v>
      </c>
      <c r="H249" s="1">
        <v>29</v>
      </c>
      <c r="I249" s="1">
        <v>0</v>
      </c>
      <c r="J249" s="1">
        <v>0</v>
      </c>
    </row>
    <row r="250" spans="1:10" x14ac:dyDescent="0.25">
      <c r="A250" t="s">
        <v>788</v>
      </c>
      <c r="B250" t="s">
        <v>877</v>
      </c>
      <c r="C250" t="s">
        <v>303</v>
      </c>
      <c r="D250" s="1">
        <v>1797</v>
      </c>
      <c r="E250" s="1">
        <v>6</v>
      </c>
      <c r="F250" s="1">
        <v>0</v>
      </c>
      <c r="G250" s="1">
        <v>13561</v>
      </c>
      <c r="H250" s="1">
        <v>64</v>
      </c>
      <c r="I250" s="1">
        <v>0</v>
      </c>
      <c r="J250" s="1">
        <v>0</v>
      </c>
    </row>
    <row r="251" spans="1:10" x14ac:dyDescent="0.25">
      <c r="A251" t="s">
        <v>120</v>
      </c>
      <c r="B251" t="s">
        <v>877</v>
      </c>
      <c r="C251" t="s">
        <v>304</v>
      </c>
      <c r="D251" s="1">
        <v>1902</v>
      </c>
      <c r="E251" s="1">
        <v>0</v>
      </c>
      <c r="F251" s="1">
        <v>0</v>
      </c>
      <c r="G251" s="1">
        <v>18595</v>
      </c>
      <c r="H251" s="1">
        <v>41</v>
      </c>
      <c r="I251" s="1">
        <v>0</v>
      </c>
      <c r="J251" s="1">
        <v>0</v>
      </c>
    </row>
    <row r="252" spans="1:10" x14ac:dyDescent="0.25">
      <c r="A252" t="s">
        <v>229</v>
      </c>
      <c r="B252" t="s">
        <v>877</v>
      </c>
      <c r="C252" t="s">
        <v>306</v>
      </c>
      <c r="D252" s="1">
        <v>2980</v>
      </c>
      <c r="E252" s="1">
        <v>0</v>
      </c>
      <c r="F252" s="1">
        <v>0</v>
      </c>
      <c r="G252" s="1">
        <v>4936</v>
      </c>
      <c r="H252" s="1">
        <v>59</v>
      </c>
      <c r="I252" s="1">
        <v>0</v>
      </c>
      <c r="J252" s="1">
        <v>0</v>
      </c>
    </row>
    <row r="253" spans="1:10" x14ac:dyDescent="0.25">
      <c r="A253" t="s">
        <v>512</v>
      </c>
      <c r="B253" t="s">
        <v>877</v>
      </c>
      <c r="C253" t="s">
        <v>307</v>
      </c>
      <c r="D253" s="1">
        <v>518</v>
      </c>
      <c r="E253" s="1">
        <v>9</v>
      </c>
      <c r="F253" s="1">
        <v>0</v>
      </c>
      <c r="G253" s="1">
        <v>5959</v>
      </c>
      <c r="H253" s="1">
        <v>42</v>
      </c>
      <c r="I253" s="1">
        <v>0</v>
      </c>
      <c r="J253" s="1">
        <v>0</v>
      </c>
    </row>
    <row r="254" spans="1:10" x14ac:dyDescent="0.25">
      <c r="A254" t="s">
        <v>791</v>
      </c>
      <c r="B254" t="s">
        <v>877</v>
      </c>
      <c r="C254" t="s">
        <v>308</v>
      </c>
      <c r="D254" s="1"/>
      <c r="E254" s="1"/>
      <c r="F254" s="1"/>
      <c r="G254" s="1"/>
      <c r="H254" s="1"/>
      <c r="I254" s="1"/>
      <c r="J254" s="1"/>
    </row>
    <row r="255" spans="1:10" x14ac:dyDescent="0.25">
      <c r="A255" t="s">
        <v>841</v>
      </c>
      <c r="B255" t="s">
        <v>877</v>
      </c>
      <c r="C255" t="s">
        <v>309</v>
      </c>
      <c r="D255" s="1">
        <v>4282</v>
      </c>
      <c r="E255" s="1">
        <v>3</v>
      </c>
      <c r="F255" s="1">
        <v>0</v>
      </c>
      <c r="G255" s="1">
        <v>35969</v>
      </c>
      <c r="H255" s="1">
        <v>21</v>
      </c>
      <c r="I255" s="1">
        <v>0</v>
      </c>
      <c r="J255" s="1">
        <v>0</v>
      </c>
    </row>
    <row r="256" spans="1:10" x14ac:dyDescent="0.25">
      <c r="A256" t="s">
        <v>831</v>
      </c>
      <c r="B256" t="s">
        <v>877</v>
      </c>
      <c r="C256" t="s">
        <v>310</v>
      </c>
      <c r="D256" s="1">
        <v>310</v>
      </c>
      <c r="E256" s="1">
        <v>0</v>
      </c>
      <c r="F256" s="1">
        <v>0</v>
      </c>
      <c r="G256" s="1">
        <v>1985</v>
      </c>
      <c r="H256" s="1">
        <v>0</v>
      </c>
      <c r="I256" s="1">
        <v>0</v>
      </c>
      <c r="J256" s="1">
        <v>0</v>
      </c>
    </row>
    <row r="257" spans="1:10" x14ac:dyDescent="0.25">
      <c r="A257" t="s">
        <v>864</v>
      </c>
      <c r="B257" t="s">
        <v>877</v>
      </c>
      <c r="C257" t="s">
        <v>311</v>
      </c>
      <c r="D257" s="1">
        <v>1227</v>
      </c>
      <c r="E257" s="1">
        <v>0</v>
      </c>
      <c r="F257" s="1">
        <v>0</v>
      </c>
      <c r="G257" s="1">
        <v>6747</v>
      </c>
      <c r="H257" s="1">
        <v>0</v>
      </c>
      <c r="I257" s="1">
        <v>0</v>
      </c>
      <c r="J257" s="1">
        <v>0</v>
      </c>
    </row>
    <row r="258" spans="1:10" x14ac:dyDescent="0.25">
      <c r="A258" t="s">
        <v>838</v>
      </c>
      <c r="B258" t="s">
        <v>877</v>
      </c>
      <c r="C258" t="s">
        <v>312</v>
      </c>
      <c r="D258" s="1">
        <v>10223</v>
      </c>
      <c r="E258" s="1">
        <v>9</v>
      </c>
      <c r="F258" s="1">
        <v>0</v>
      </c>
      <c r="G258" s="1">
        <v>889</v>
      </c>
      <c r="H258" s="1">
        <v>0</v>
      </c>
      <c r="I258" s="1">
        <v>0</v>
      </c>
      <c r="J258" s="1">
        <v>0</v>
      </c>
    </row>
    <row r="259" spans="1:10" x14ac:dyDescent="0.25">
      <c r="A259" t="s">
        <v>794</v>
      </c>
      <c r="B259" t="s">
        <v>877</v>
      </c>
      <c r="C259" t="s">
        <v>313</v>
      </c>
      <c r="D259" s="1">
        <v>3610</v>
      </c>
      <c r="E259" s="1">
        <v>0</v>
      </c>
      <c r="F259" s="1">
        <v>0</v>
      </c>
      <c r="G259" s="1">
        <v>7314</v>
      </c>
      <c r="H259" s="1">
        <v>0</v>
      </c>
      <c r="I259" s="1">
        <v>0</v>
      </c>
      <c r="J259" s="1">
        <v>0</v>
      </c>
    </row>
    <row r="260" spans="1:10" x14ac:dyDescent="0.25">
      <c r="A260" t="s">
        <v>830</v>
      </c>
      <c r="B260" t="s">
        <v>877</v>
      </c>
      <c r="C260" t="s">
        <v>314</v>
      </c>
      <c r="D260" s="1">
        <v>801</v>
      </c>
      <c r="E260" s="1">
        <v>147</v>
      </c>
      <c r="F260" s="1">
        <v>0</v>
      </c>
      <c r="G260" s="1">
        <v>846</v>
      </c>
      <c r="H260" s="1">
        <v>41</v>
      </c>
      <c r="I260" s="1">
        <v>0</v>
      </c>
      <c r="J260" s="1">
        <v>0</v>
      </c>
    </row>
    <row r="261" spans="1:10" x14ac:dyDescent="0.25">
      <c r="A261" t="s">
        <v>844</v>
      </c>
      <c r="B261" t="s">
        <v>877</v>
      </c>
      <c r="C261" t="s">
        <v>315</v>
      </c>
      <c r="D261" s="1">
        <v>735</v>
      </c>
      <c r="E261" s="1">
        <v>0</v>
      </c>
      <c r="F261" s="1">
        <v>0</v>
      </c>
      <c r="G261" s="1">
        <v>3946</v>
      </c>
      <c r="H261" s="1">
        <v>0</v>
      </c>
      <c r="I261" s="1">
        <v>0</v>
      </c>
      <c r="J261" s="1">
        <v>0</v>
      </c>
    </row>
    <row r="262" spans="1:10" x14ac:dyDescent="0.25">
      <c r="A262" t="s">
        <v>836</v>
      </c>
      <c r="B262" t="s">
        <v>877</v>
      </c>
      <c r="C262" t="s">
        <v>316</v>
      </c>
      <c r="D262" s="1">
        <v>1407</v>
      </c>
      <c r="E262" s="1">
        <v>0</v>
      </c>
      <c r="F262" s="1">
        <v>0</v>
      </c>
      <c r="G262" s="1">
        <v>5235</v>
      </c>
      <c r="H262" s="1">
        <v>18</v>
      </c>
      <c r="I262" s="1">
        <v>0</v>
      </c>
      <c r="J262" s="1">
        <v>0</v>
      </c>
    </row>
    <row r="263" spans="1:10" x14ac:dyDescent="0.25">
      <c r="A263" t="s">
        <v>845</v>
      </c>
      <c r="B263" t="s">
        <v>877</v>
      </c>
      <c r="C263" t="s">
        <v>317</v>
      </c>
      <c r="D263" s="1">
        <v>7267</v>
      </c>
      <c r="E263" s="1">
        <v>2</v>
      </c>
      <c r="F263" s="1">
        <v>0</v>
      </c>
      <c r="G263" s="1">
        <v>4184</v>
      </c>
      <c r="H263" s="1">
        <v>27</v>
      </c>
      <c r="I263" s="1">
        <v>0</v>
      </c>
      <c r="J263" s="1">
        <v>0</v>
      </c>
    </row>
    <row r="264" spans="1:10" x14ac:dyDescent="0.25">
      <c r="A264" t="s">
        <v>846</v>
      </c>
      <c r="B264" t="s">
        <v>877</v>
      </c>
      <c r="C264" t="s">
        <v>318</v>
      </c>
      <c r="D264" s="1">
        <v>1288</v>
      </c>
      <c r="E264" s="1">
        <v>13</v>
      </c>
      <c r="F264" s="1">
        <v>0</v>
      </c>
      <c r="G264" s="1">
        <v>3336</v>
      </c>
      <c r="H264" s="1">
        <v>6</v>
      </c>
      <c r="I264" s="1">
        <v>0</v>
      </c>
      <c r="J264" s="1">
        <v>0</v>
      </c>
    </row>
    <row r="265" spans="1:10" x14ac:dyDescent="0.25">
      <c r="A265" t="s">
        <v>804</v>
      </c>
      <c r="B265" t="s">
        <v>877</v>
      </c>
      <c r="C265" t="s">
        <v>319</v>
      </c>
      <c r="D265" s="1">
        <v>5282</v>
      </c>
      <c r="E265" s="1">
        <v>0</v>
      </c>
      <c r="F265" s="1">
        <v>0</v>
      </c>
      <c r="G265" s="1">
        <v>10836</v>
      </c>
      <c r="H265" s="1">
        <v>8</v>
      </c>
      <c r="I265" s="1">
        <v>0</v>
      </c>
      <c r="J265" s="1">
        <v>0</v>
      </c>
    </row>
    <row r="266" spans="1:10" x14ac:dyDescent="0.25">
      <c r="A266" t="s">
        <v>809</v>
      </c>
      <c r="B266" t="s">
        <v>877</v>
      </c>
      <c r="C266" t="s">
        <v>320</v>
      </c>
      <c r="D266" s="1">
        <v>11176</v>
      </c>
      <c r="E266" s="1">
        <v>0</v>
      </c>
      <c r="F266" s="1">
        <v>0</v>
      </c>
      <c r="G266" s="1">
        <v>7575</v>
      </c>
      <c r="H266" s="1">
        <v>6</v>
      </c>
      <c r="I266" s="1">
        <v>0</v>
      </c>
      <c r="J266" s="1">
        <v>0</v>
      </c>
    </row>
    <row r="267" spans="1:10" x14ac:dyDescent="0.25">
      <c r="A267" t="s">
        <v>801</v>
      </c>
      <c r="B267" t="s">
        <v>877</v>
      </c>
      <c r="C267" t="s">
        <v>321</v>
      </c>
      <c r="D267" s="1">
        <v>7127</v>
      </c>
      <c r="E267" s="1">
        <v>37</v>
      </c>
      <c r="F267" s="1">
        <v>0</v>
      </c>
      <c r="G267" s="1">
        <v>17508</v>
      </c>
      <c r="H267" s="1">
        <v>290</v>
      </c>
      <c r="I267" s="1">
        <v>0</v>
      </c>
      <c r="J267" s="1">
        <v>0</v>
      </c>
    </row>
    <row r="268" spans="1:10" x14ac:dyDescent="0.25">
      <c r="A268" t="s">
        <v>138</v>
      </c>
      <c r="B268" t="s">
        <v>877</v>
      </c>
      <c r="C268" t="s">
        <v>322</v>
      </c>
      <c r="D268" s="1">
        <v>10097</v>
      </c>
      <c r="E268" s="1">
        <v>35</v>
      </c>
      <c r="F268" s="1">
        <v>0</v>
      </c>
      <c r="G268" s="1">
        <v>66882</v>
      </c>
      <c r="H268" s="1">
        <v>389</v>
      </c>
      <c r="I268" s="1">
        <v>0</v>
      </c>
      <c r="J268" s="1">
        <v>0</v>
      </c>
    </row>
    <row r="269" spans="1:10" x14ac:dyDescent="0.25">
      <c r="A269" t="s">
        <v>83</v>
      </c>
      <c r="B269" t="s">
        <v>877</v>
      </c>
      <c r="C269" t="s">
        <v>323</v>
      </c>
      <c r="D269" s="1">
        <v>13876</v>
      </c>
      <c r="E269" s="1">
        <v>49</v>
      </c>
      <c r="F269" s="1">
        <v>0</v>
      </c>
      <c r="G269" s="1">
        <v>8232</v>
      </c>
      <c r="H269" s="1">
        <v>55</v>
      </c>
      <c r="I269" s="1">
        <v>0</v>
      </c>
      <c r="J269" s="1">
        <v>0</v>
      </c>
    </row>
    <row r="270" spans="1:10" x14ac:dyDescent="0.25">
      <c r="A270" t="s">
        <v>825</v>
      </c>
      <c r="B270" t="s">
        <v>877</v>
      </c>
      <c r="C270" t="s">
        <v>324</v>
      </c>
      <c r="D270" s="1">
        <v>2880</v>
      </c>
      <c r="E270" s="1">
        <v>23</v>
      </c>
      <c r="F270" s="1">
        <v>0</v>
      </c>
      <c r="G270" s="1">
        <v>8763</v>
      </c>
      <c r="H270" s="1">
        <v>143</v>
      </c>
      <c r="I270" s="1">
        <v>0</v>
      </c>
      <c r="J270" s="1">
        <v>0</v>
      </c>
    </row>
    <row r="271" spans="1:10" x14ac:dyDescent="0.25">
      <c r="A271" t="s">
        <v>248</v>
      </c>
      <c r="B271" t="s">
        <v>877</v>
      </c>
      <c r="C271" t="s">
        <v>325</v>
      </c>
      <c r="D271" s="1">
        <v>975</v>
      </c>
      <c r="E271" s="1">
        <v>0</v>
      </c>
      <c r="F271" s="1">
        <v>0</v>
      </c>
      <c r="G271" s="1">
        <v>3032</v>
      </c>
      <c r="H271" s="1">
        <v>0</v>
      </c>
      <c r="I271" s="1">
        <v>0</v>
      </c>
      <c r="J271" s="1">
        <v>0</v>
      </c>
    </row>
    <row r="272" spans="1:10" x14ac:dyDescent="0.25">
      <c r="A272" t="s">
        <v>83</v>
      </c>
      <c r="B272" t="s">
        <v>877</v>
      </c>
      <c r="C272" t="s">
        <v>326</v>
      </c>
      <c r="D272" s="1"/>
      <c r="E272" s="1"/>
      <c r="F272" s="1"/>
      <c r="G272" s="1"/>
      <c r="H272" s="1"/>
      <c r="I272" s="1"/>
      <c r="J272" s="1"/>
    </row>
    <row r="273" spans="1:10" x14ac:dyDescent="0.25">
      <c r="A273" t="s">
        <v>795</v>
      </c>
      <c r="B273" t="s">
        <v>877</v>
      </c>
      <c r="C273" t="s">
        <v>327</v>
      </c>
      <c r="D273" s="1">
        <v>199</v>
      </c>
      <c r="E273" s="1">
        <v>0</v>
      </c>
      <c r="F273" s="1">
        <v>0</v>
      </c>
      <c r="G273" s="1">
        <v>1018</v>
      </c>
      <c r="H273" s="1">
        <v>43</v>
      </c>
      <c r="I273" s="1">
        <v>0</v>
      </c>
      <c r="J273" s="1">
        <v>0</v>
      </c>
    </row>
    <row r="274" spans="1:10" x14ac:dyDescent="0.25">
      <c r="A274" t="s">
        <v>76</v>
      </c>
      <c r="B274" t="s">
        <v>877</v>
      </c>
      <c r="C274" t="s">
        <v>329</v>
      </c>
      <c r="D274" s="1">
        <v>3995</v>
      </c>
      <c r="E274" s="1">
        <v>35</v>
      </c>
      <c r="F274" s="1">
        <v>0</v>
      </c>
      <c r="G274" s="1">
        <v>22701</v>
      </c>
      <c r="H274" s="1">
        <v>490</v>
      </c>
      <c r="I274" s="1">
        <v>0</v>
      </c>
      <c r="J274" s="1">
        <v>0</v>
      </c>
    </row>
    <row r="275" spans="1:10" x14ac:dyDescent="0.25">
      <c r="A275" t="s">
        <v>809</v>
      </c>
      <c r="B275" t="s">
        <v>877</v>
      </c>
      <c r="C275" t="s">
        <v>330</v>
      </c>
      <c r="D275" s="1">
        <v>6098</v>
      </c>
      <c r="E275" s="1">
        <v>601</v>
      </c>
      <c r="F275" s="1">
        <v>0</v>
      </c>
      <c r="G275" s="1">
        <v>26249</v>
      </c>
      <c r="H275" s="1">
        <v>501</v>
      </c>
      <c r="I275" s="1">
        <v>0</v>
      </c>
      <c r="J275" s="1">
        <v>0</v>
      </c>
    </row>
    <row r="276" spans="1:10" x14ac:dyDescent="0.25">
      <c r="A276" t="s">
        <v>839</v>
      </c>
      <c r="B276" t="s">
        <v>877</v>
      </c>
      <c r="C276" t="s">
        <v>331</v>
      </c>
      <c r="D276" s="1">
        <v>760</v>
      </c>
      <c r="E276" s="1">
        <v>2</v>
      </c>
      <c r="F276" s="1">
        <v>0</v>
      </c>
      <c r="G276" s="1">
        <v>3926</v>
      </c>
      <c r="H276" s="1">
        <v>29</v>
      </c>
      <c r="I276" s="1">
        <v>0</v>
      </c>
      <c r="J276" s="1">
        <v>0</v>
      </c>
    </row>
    <row r="277" spans="1:10" x14ac:dyDescent="0.25">
      <c r="A277" t="s">
        <v>248</v>
      </c>
      <c r="B277" t="s">
        <v>877</v>
      </c>
      <c r="C277" t="s">
        <v>332</v>
      </c>
      <c r="D277" s="1">
        <v>1731</v>
      </c>
      <c r="E277" s="1">
        <v>0</v>
      </c>
      <c r="F277" s="1">
        <v>0</v>
      </c>
      <c r="G277" s="1">
        <v>1888</v>
      </c>
      <c r="H277" s="1">
        <v>20</v>
      </c>
      <c r="I277" s="1">
        <v>0</v>
      </c>
      <c r="J277" s="1">
        <v>0</v>
      </c>
    </row>
    <row r="278" spans="1:10" x14ac:dyDescent="0.25">
      <c r="A278" t="s">
        <v>862</v>
      </c>
      <c r="B278" t="s">
        <v>877</v>
      </c>
      <c r="C278" t="s">
        <v>333</v>
      </c>
      <c r="D278" s="1">
        <v>305</v>
      </c>
      <c r="E278" s="1">
        <v>0</v>
      </c>
      <c r="F278" s="1">
        <v>0</v>
      </c>
      <c r="G278" s="1">
        <v>2950</v>
      </c>
      <c r="H278" s="1">
        <v>0</v>
      </c>
      <c r="I278" s="1">
        <v>0</v>
      </c>
      <c r="J278" s="1">
        <v>0</v>
      </c>
    </row>
    <row r="279" spans="1:10" x14ac:dyDescent="0.25">
      <c r="A279" t="s">
        <v>857</v>
      </c>
      <c r="B279" t="s">
        <v>877</v>
      </c>
      <c r="C279" t="s">
        <v>334</v>
      </c>
      <c r="D279" s="1">
        <v>3266</v>
      </c>
      <c r="E279" s="1">
        <v>0</v>
      </c>
      <c r="F279" s="1">
        <v>0</v>
      </c>
      <c r="G279" s="1">
        <v>1576</v>
      </c>
      <c r="H279" s="1">
        <v>0</v>
      </c>
      <c r="I279" s="1">
        <v>0</v>
      </c>
      <c r="J279" s="1">
        <v>0</v>
      </c>
    </row>
    <row r="280" spans="1:10" x14ac:dyDescent="0.25">
      <c r="A280" t="s">
        <v>265</v>
      </c>
      <c r="B280" t="s">
        <v>877</v>
      </c>
      <c r="C280" t="s">
        <v>335</v>
      </c>
      <c r="D280" s="1">
        <v>2869</v>
      </c>
      <c r="E280" s="1">
        <v>0</v>
      </c>
      <c r="F280" s="1">
        <v>0</v>
      </c>
      <c r="G280" s="1">
        <v>8635</v>
      </c>
      <c r="H280" s="1">
        <v>11</v>
      </c>
      <c r="I280" s="1">
        <v>0</v>
      </c>
      <c r="J280" s="1">
        <v>0</v>
      </c>
    </row>
    <row r="281" spans="1:10" x14ac:dyDescent="0.25">
      <c r="A281" t="s">
        <v>855</v>
      </c>
      <c r="B281" t="s">
        <v>877</v>
      </c>
      <c r="C281" t="s">
        <v>336</v>
      </c>
      <c r="D281" s="1">
        <v>2489</v>
      </c>
      <c r="E281" s="1">
        <v>23</v>
      </c>
      <c r="F281" s="1">
        <v>0</v>
      </c>
      <c r="G281" s="1">
        <v>8048</v>
      </c>
      <c r="H281" s="1">
        <v>17</v>
      </c>
      <c r="I281" s="1">
        <v>0</v>
      </c>
      <c r="J281" s="1">
        <v>0</v>
      </c>
    </row>
    <row r="282" spans="1:10" x14ac:dyDescent="0.25">
      <c r="A282" t="s">
        <v>868</v>
      </c>
      <c r="B282" t="s">
        <v>877</v>
      </c>
      <c r="C282" t="s">
        <v>337</v>
      </c>
      <c r="D282" s="1"/>
      <c r="E282" s="1"/>
      <c r="F282" s="1"/>
      <c r="G282" s="1"/>
      <c r="H282" s="1"/>
      <c r="I282" s="1"/>
      <c r="J282" s="1"/>
    </row>
    <row r="283" spans="1:10" x14ac:dyDescent="0.25">
      <c r="A283" t="s">
        <v>852</v>
      </c>
      <c r="B283" t="s">
        <v>877</v>
      </c>
      <c r="C283" t="s">
        <v>338</v>
      </c>
      <c r="D283" s="1">
        <v>701</v>
      </c>
      <c r="E283" s="1">
        <v>0</v>
      </c>
      <c r="F283" s="1">
        <v>0</v>
      </c>
      <c r="G283" s="1">
        <v>6981</v>
      </c>
      <c r="H283" s="1">
        <v>15</v>
      </c>
      <c r="I283" s="1">
        <v>0</v>
      </c>
      <c r="J283" s="1">
        <v>0</v>
      </c>
    </row>
    <row r="284" spans="1:10" x14ac:dyDescent="0.25">
      <c r="A284" t="s">
        <v>860</v>
      </c>
      <c r="B284" t="s">
        <v>877</v>
      </c>
      <c r="C284" t="s">
        <v>339</v>
      </c>
      <c r="D284" s="1">
        <v>3716</v>
      </c>
      <c r="E284" s="1">
        <v>0</v>
      </c>
      <c r="F284" s="1">
        <v>0</v>
      </c>
      <c r="G284" s="1">
        <v>3844</v>
      </c>
      <c r="H284" s="1">
        <v>77</v>
      </c>
      <c r="I284" s="1">
        <v>0</v>
      </c>
      <c r="J284" s="1">
        <v>0</v>
      </c>
    </row>
    <row r="285" spans="1:10" x14ac:dyDescent="0.25">
      <c r="A285" t="s">
        <v>861</v>
      </c>
      <c r="B285" t="s">
        <v>877</v>
      </c>
      <c r="C285" t="s">
        <v>340</v>
      </c>
      <c r="D285" s="1">
        <v>753</v>
      </c>
      <c r="E285" s="1">
        <v>0</v>
      </c>
      <c r="F285" s="1">
        <v>0</v>
      </c>
      <c r="G285" s="1">
        <v>1722</v>
      </c>
      <c r="H285" s="1">
        <v>1</v>
      </c>
      <c r="I285" s="1">
        <v>0</v>
      </c>
      <c r="J285" s="1">
        <v>0</v>
      </c>
    </row>
    <row r="286" spans="1:10" x14ac:dyDescent="0.25">
      <c r="A286" t="s">
        <v>834</v>
      </c>
      <c r="B286" t="s">
        <v>877</v>
      </c>
      <c r="C286" t="s">
        <v>341</v>
      </c>
      <c r="D286" s="1">
        <v>1037</v>
      </c>
      <c r="E286" s="1">
        <v>0</v>
      </c>
      <c r="F286" s="1">
        <v>0</v>
      </c>
      <c r="G286" s="1">
        <v>7673</v>
      </c>
      <c r="H286" s="1">
        <v>2</v>
      </c>
      <c r="I286" s="1">
        <v>0</v>
      </c>
      <c r="J286" s="1">
        <v>0</v>
      </c>
    </row>
    <row r="287" spans="1:10" x14ac:dyDescent="0.25">
      <c r="A287" t="s">
        <v>850</v>
      </c>
      <c r="B287" t="s">
        <v>877</v>
      </c>
      <c r="C287" t="s">
        <v>342</v>
      </c>
      <c r="D287" s="1">
        <v>1100</v>
      </c>
      <c r="E287" s="1">
        <v>16</v>
      </c>
      <c r="F287" s="1">
        <v>0</v>
      </c>
      <c r="G287" s="1">
        <v>1455</v>
      </c>
      <c r="H287" s="1">
        <v>2</v>
      </c>
      <c r="I287" s="1">
        <v>0</v>
      </c>
      <c r="J287" s="1">
        <v>0</v>
      </c>
    </row>
    <row r="288" spans="1:10" x14ac:dyDescent="0.25">
      <c r="A288" t="s">
        <v>801</v>
      </c>
      <c r="B288" t="s">
        <v>877</v>
      </c>
      <c r="C288" t="s">
        <v>343</v>
      </c>
      <c r="D288" s="1">
        <v>890</v>
      </c>
      <c r="E288" s="1">
        <v>0</v>
      </c>
      <c r="F288" s="1">
        <v>0</v>
      </c>
      <c r="G288" s="1">
        <v>2587</v>
      </c>
      <c r="H288" s="1">
        <v>1</v>
      </c>
      <c r="I288" s="1">
        <v>0</v>
      </c>
      <c r="J288" s="1">
        <v>0</v>
      </c>
    </row>
    <row r="289" spans="1:10" x14ac:dyDescent="0.25">
      <c r="A289" t="s">
        <v>138</v>
      </c>
      <c r="B289" t="s">
        <v>877</v>
      </c>
      <c r="C289" t="s">
        <v>344</v>
      </c>
      <c r="D289" s="1">
        <v>4700</v>
      </c>
      <c r="E289" s="1">
        <v>0</v>
      </c>
      <c r="F289" s="1">
        <v>0</v>
      </c>
      <c r="G289" s="1">
        <v>25380</v>
      </c>
      <c r="H289" s="1">
        <v>128</v>
      </c>
      <c r="I289" s="1">
        <v>0</v>
      </c>
      <c r="J289" s="1">
        <v>0</v>
      </c>
    </row>
    <row r="290" spans="1:10" x14ac:dyDescent="0.25">
      <c r="A290" t="s">
        <v>868</v>
      </c>
      <c r="B290" t="s">
        <v>877</v>
      </c>
      <c r="C290" t="s">
        <v>345</v>
      </c>
      <c r="D290" s="1"/>
      <c r="E290" s="1"/>
      <c r="F290" s="1"/>
      <c r="G290" s="1"/>
      <c r="H290" s="1"/>
      <c r="I290" s="1"/>
      <c r="J290" s="1"/>
    </row>
    <row r="291" spans="1:10" x14ac:dyDescent="0.25">
      <c r="A291" t="s">
        <v>69</v>
      </c>
      <c r="B291" t="s">
        <v>877</v>
      </c>
      <c r="C291" t="s">
        <v>346</v>
      </c>
      <c r="D291" s="1">
        <v>5381</v>
      </c>
      <c r="E291" s="1">
        <v>9</v>
      </c>
      <c r="F291" s="1">
        <v>0</v>
      </c>
      <c r="G291" s="1">
        <v>41368</v>
      </c>
      <c r="H291" s="1">
        <v>939</v>
      </c>
      <c r="I291" s="1">
        <v>0</v>
      </c>
      <c r="J291" s="1">
        <v>0</v>
      </c>
    </row>
    <row r="292" spans="1:10" x14ac:dyDescent="0.25">
      <c r="A292" t="s">
        <v>83</v>
      </c>
      <c r="B292" t="s">
        <v>877</v>
      </c>
      <c r="C292" t="s">
        <v>347</v>
      </c>
      <c r="D292" s="1">
        <v>26</v>
      </c>
      <c r="E292" s="1">
        <v>0</v>
      </c>
      <c r="F292" s="1">
        <v>0</v>
      </c>
      <c r="G292" s="1">
        <v>16</v>
      </c>
      <c r="H292" s="1">
        <v>0</v>
      </c>
      <c r="I292" s="1">
        <v>0</v>
      </c>
      <c r="J292" s="1">
        <v>0</v>
      </c>
    </row>
    <row r="293" spans="1:10" x14ac:dyDescent="0.25">
      <c r="A293" t="s">
        <v>101</v>
      </c>
      <c r="B293" t="s">
        <v>877</v>
      </c>
      <c r="C293" t="s">
        <v>348</v>
      </c>
      <c r="D293" s="1">
        <v>2290</v>
      </c>
      <c r="E293" s="1">
        <v>22</v>
      </c>
      <c r="F293" s="1">
        <v>0</v>
      </c>
      <c r="G293" s="1">
        <v>13996</v>
      </c>
      <c r="H293" s="1">
        <v>10</v>
      </c>
      <c r="I293" s="1">
        <v>0</v>
      </c>
      <c r="J293" s="1">
        <v>0</v>
      </c>
    </row>
    <row r="294" spans="1:10" x14ac:dyDescent="0.25">
      <c r="A294" t="s">
        <v>797</v>
      </c>
      <c r="B294" t="s">
        <v>877</v>
      </c>
      <c r="C294" t="s">
        <v>349</v>
      </c>
      <c r="D294" s="1">
        <v>548</v>
      </c>
      <c r="E294" s="1">
        <v>0</v>
      </c>
      <c r="F294" s="1">
        <v>0</v>
      </c>
      <c r="G294" s="1">
        <v>6354</v>
      </c>
      <c r="H294" s="1">
        <v>0</v>
      </c>
      <c r="I294" s="1">
        <v>0</v>
      </c>
      <c r="J294" s="1">
        <v>0</v>
      </c>
    </row>
    <row r="295" spans="1:10" x14ac:dyDescent="0.25">
      <c r="A295" t="s">
        <v>811</v>
      </c>
      <c r="B295" t="s">
        <v>877</v>
      </c>
      <c r="C295" t="s">
        <v>350</v>
      </c>
      <c r="D295" s="1"/>
      <c r="E295" s="1"/>
      <c r="F295" s="1"/>
      <c r="G295" s="1"/>
      <c r="H295" s="1"/>
      <c r="I295" s="1"/>
      <c r="J295" s="1"/>
    </row>
    <row r="296" spans="1:10" x14ac:dyDescent="0.25">
      <c r="A296" t="s">
        <v>837</v>
      </c>
      <c r="B296" t="s">
        <v>877</v>
      </c>
      <c r="C296" t="s">
        <v>351</v>
      </c>
      <c r="D296" s="1">
        <v>1513</v>
      </c>
      <c r="E296" s="1">
        <v>26</v>
      </c>
      <c r="F296" s="1">
        <v>0</v>
      </c>
      <c r="G296" s="1">
        <v>6241</v>
      </c>
      <c r="H296" s="1">
        <v>45</v>
      </c>
      <c r="I296" s="1">
        <v>0</v>
      </c>
      <c r="J296" s="1">
        <v>0</v>
      </c>
    </row>
    <row r="297" spans="1:10" x14ac:dyDescent="0.25">
      <c r="A297" t="s">
        <v>824</v>
      </c>
      <c r="B297" t="s">
        <v>877</v>
      </c>
      <c r="C297" t="s">
        <v>352</v>
      </c>
      <c r="D297" s="1">
        <v>2042</v>
      </c>
      <c r="E297" s="1">
        <v>0</v>
      </c>
      <c r="F297" s="1">
        <v>0</v>
      </c>
      <c r="G297" s="1">
        <v>8354</v>
      </c>
      <c r="H297" s="1">
        <v>1</v>
      </c>
      <c r="I297" s="1">
        <v>0</v>
      </c>
      <c r="J297" s="1">
        <v>0</v>
      </c>
    </row>
    <row r="298" spans="1:10" x14ac:dyDescent="0.25">
      <c r="A298" t="s">
        <v>829</v>
      </c>
      <c r="B298" t="s">
        <v>877</v>
      </c>
      <c r="C298" t="s">
        <v>353</v>
      </c>
      <c r="D298" s="1">
        <v>9931</v>
      </c>
      <c r="E298" s="1">
        <v>3</v>
      </c>
      <c r="F298" s="1">
        <v>0</v>
      </c>
      <c r="G298" s="1">
        <v>7625</v>
      </c>
      <c r="H298" s="1">
        <v>14</v>
      </c>
      <c r="I298" s="1">
        <v>0</v>
      </c>
      <c r="J298" s="1">
        <v>0</v>
      </c>
    </row>
    <row r="299" spans="1:10" x14ac:dyDescent="0.25">
      <c r="A299" t="s">
        <v>832</v>
      </c>
      <c r="B299" t="s">
        <v>877</v>
      </c>
      <c r="C299" t="s">
        <v>354</v>
      </c>
      <c r="D299" s="1">
        <v>1242</v>
      </c>
      <c r="E299" s="1">
        <v>0</v>
      </c>
      <c r="F299" s="1">
        <v>0</v>
      </c>
      <c r="G299" s="1">
        <v>1819</v>
      </c>
      <c r="H299" s="1">
        <v>4</v>
      </c>
      <c r="I299" s="1">
        <v>0</v>
      </c>
      <c r="J299" s="1">
        <v>0</v>
      </c>
    </row>
    <row r="300" spans="1:10" x14ac:dyDescent="0.25">
      <c r="A300" t="s">
        <v>833</v>
      </c>
      <c r="B300" t="s">
        <v>877</v>
      </c>
      <c r="C300" t="s">
        <v>355</v>
      </c>
      <c r="D300" s="1">
        <v>1527</v>
      </c>
      <c r="E300" s="1">
        <v>0</v>
      </c>
      <c r="F300" s="1">
        <v>0</v>
      </c>
      <c r="G300" s="1">
        <v>3059</v>
      </c>
      <c r="H300" s="1">
        <v>0</v>
      </c>
      <c r="I300" s="1">
        <v>0</v>
      </c>
      <c r="J300" s="1">
        <v>0</v>
      </c>
    </row>
    <row r="301" spans="1:10" x14ac:dyDescent="0.25">
      <c r="A301" t="s">
        <v>840</v>
      </c>
      <c r="B301" t="s">
        <v>877</v>
      </c>
      <c r="C301" t="s">
        <v>356</v>
      </c>
      <c r="D301" s="1">
        <v>1597</v>
      </c>
      <c r="E301" s="1">
        <v>1</v>
      </c>
      <c r="F301" s="1">
        <v>0</v>
      </c>
      <c r="G301" s="1">
        <v>9323</v>
      </c>
      <c r="H301" s="1">
        <v>115</v>
      </c>
      <c r="I301" s="1">
        <v>0</v>
      </c>
      <c r="J301" s="1">
        <v>0</v>
      </c>
    </row>
    <row r="302" spans="1:10" x14ac:dyDescent="0.25">
      <c r="A302" t="s">
        <v>843</v>
      </c>
      <c r="B302" t="s">
        <v>877</v>
      </c>
      <c r="C302" t="s">
        <v>357</v>
      </c>
      <c r="D302" s="1">
        <v>1143</v>
      </c>
      <c r="E302" s="1">
        <v>26</v>
      </c>
      <c r="F302" s="1">
        <v>0</v>
      </c>
      <c r="G302" s="1">
        <v>12091</v>
      </c>
      <c r="H302" s="1">
        <v>32</v>
      </c>
      <c r="I302" s="1">
        <v>0</v>
      </c>
      <c r="J302" s="1">
        <v>0</v>
      </c>
    </row>
    <row r="303" spans="1:10" x14ac:dyDescent="0.25">
      <c r="A303" t="s">
        <v>791</v>
      </c>
      <c r="B303" t="s">
        <v>877</v>
      </c>
      <c r="C303" t="s">
        <v>358</v>
      </c>
      <c r="D303" s="1"/>
      <c r="E303" s="1"/>
      <c r="F303" s="1"/>
      <c r="G303" s="1"/>
      <c r="H303" s="1"/>
      <c r="I303" s="1"/>
      <c r="J303" s="1"/>
    </row>
    <row r="304" spans="1:10" x14ac:dyDescent="0.25">
      <c r="A304" t="s">
        <v>842</v>
      </c>
      <c r="B304" t="s">
        <v>877</v>
      </c>
      <c r="C304" t="s">
        <v>359</v>
      </c>
      <c r="D304" s="1">
        <v>3031</v>
      </c>
      <c r="E304" s="1">
        <v>0</v>
      </c>
      <c r="F304" s="1">
        <v>0</v>
      </c>
      <c r="G304" s="1">
        <v>11344</v>
      </c>
      <c r="H304" s="1">
        <v>1</v>
      </c>
      <c r="I304" s="1">
        <v>0</v>
      </c>
      <c r="J304" s="1">
        <v>0</v>
      </c>
    </row>
    <row r="305" spans="1:10" x14ac:dyDescent="0.25">
      <c r="A305" t="s">
        <v>835</v>
      </c>
      <c r="B305" t="s">
        <v>877</v>
      </c>
      <c r="C305" t="s">
        <v>360</v>
      </c>
      <c r="D305" s="1">
        <v>1050</v>
      </c>
      <c r="E305" s="1">
        <v>0</v>
      </c>
      <c r="F305" s="1">
        <v>0</v>
      </c>
      <c r="G305" s="1">
        <v>6756</v>
      </c>
      <c r="H305" s="1">
        <v>17</v>
      </c>
      <c r="I305" s="1">
        <v>0</v>
      </c>
      <c r="J305" s="1">
        <v>0</v>
      </c>
    </row>
    <row r="306" spans="1:10" x14ac:dyDescent="0.25">
      <c r="A306" t="s">
        <v>826</v>
      </c>
      <c r="B306" t="s">
        <v>877</v>
      </c>
      <c r="C306" t="s">
        <v>361</v>
      </c>
      <c r="D306" s="1"/>
      <c r="E306" s="1"/>
      <c r="F306" s="1"/>
      <c r="G306" s="1"/>
      <c r="H306" s="1"/>
      <c r="I306" s="1"/>
      <c r="J306" s="1"/>
    </row>
    <row r="307" spans="1:10" x14ac:dyDescent="0.25">
      <c r="A307" t="s">
        <v>67</v>
      </c>
      <c r="B307" t="s">
        <v>877</v>
      </c>
      <c r="C307" t="s">
        <v>362</v>
      </c>
      <c r="D307" s="1">
        <v>9999</v>
      </c>
      <c r="E307" s="1">
        <v>0</v>
      </c>
      <c r="F307" s="1">
        <v>0</v>
      </c>
      <c r="G307" s="1">
        <v>34289</v>
      </c>
      <c r="H307" s="1">
        <v>9</v>
      </c>
      <c r="I307" s="1">
        <v>0</v>
      </c>
      <c r="J307" s="1">
        <v>0</v>
      </c>
    </row>
    <row r="308" spans="1:10" x14ac:dyDescent="0.25">
      <c r="A308" t="s">
        <v>831</v>
      </c>
      <c r="B308" t="s">
        <v>877</v>
      </c>
      <c r="C308" t="s">
        <v>363</v>
      </c>
      <c r="D308" s="1">
        <v>276</v>
      </c>
      <c r="E308" s="1">
        <v>0</v>
      </c>
      <c r="F308" s="1">
        <v>0</v>
      </c>
      <c r="G308" s="1">
        <v>2906</v>
      </c>
      <c r="H308" s="1">
        <v>2</v>
      </c>
      <c r="I308" s="1">
        <v>0</v>
      </c>
      <c r="J308" s="1">
        <v>0</v>
      </c>
    </row>
    <row r="309" spans="1:10" x14ac:dyDescent="0.25">
      <c r="A309" t="s">
        <v>248</v>
      </c>
      <c r="B309" t="s">
        <v>877</v>
      </c>
      <c r="C309" t="s">
        <v>364</v>
      </c>
      <c r="D309" s="1">
        <v>824</v>
      </c>
      <c r="E309" s="1">
        <v>0</v>
      </c>
      <c r="F309" s="1">
        <v>0</v>
      </c>
      <c r="G309" s="1">
        <v>7349</v>
      </c>
      <c r="H309" s="1">
        <v>0</v>
      </c>
      <c r="I309" s="1">
        <v>0</v>
      </c>
      <c r="J309" s="1">
        <v>0</v>
      </c>
    </row>
    <row r="310" spans="1:10" x14ac:dyDescent="0.25">
      <c r="A310" t="s">
        <v>791</v>
      </c>
      <c r="B310" t="s">
        <v>877</v>
      </c>
      <c r="C310" t="s">
        <v>365</v>
      </c>
      <c r="D310" s="1"/>
      <c r="E310" s="1"/>
      <c r="F310" s="1"/>
      <c r="G310" s="1"/>
      <c r="H310" s="1"/>
      <c r="I310" s="1"/>
      <c r="J310" s="1"/>
    </row>
    <row r="311" spans="1:10" x14ac:dyDescent="0.25">
      <c r="A311" t="s">
        <v>797</v>
      </c>
      <c r="B311" t="s">
        <v>877</v>
      </c>
      <c r="C311" t="s">
        <v>366</v>
      </c>
      <c r="D311" s="1">
        <v>1732</v>
      </c>
      <c r="E311" s="1">
        <v>12</v>
      </c>
      <c r="F311" s="1">
        <v>0</v>
      </c>
      <c r="G311" s="1">
        <v>3776</v>
      </c>
      <c r="H311" s="1">
        <v>56</v>
      </c>
      <c r="I311" s="1">
        <v>0</v>
      </c>
      <c r="J311" s="1">
        <v>0</v>
      </c>
    </row>
    <row r="312" spans="1:10" x14ac:dyDescent="0.25">
      <c r="A312" t="s">
        <v>120</v>
      </c>
      <c r="B312" t="s">
        <v>877</v>
      </c>
      <c r="C312" t="s">
        <v>367</v>
      </c>
      <c r="D312" s="1">
        <v>3717</v>
      </c>
      <c r="E312" s="1">
        <v>24</v>
      </c>
      <c r="F312" s="1">
        <v>0</v>
      </c>
      <c r="G312" s="1">
        <v>20077</v>
      </c>
      <c r="H312" s="1">
        <v>291</v>
      </c>
      <c r="I312" s="1">
        <v>0</v>
      </c>
      <c r="J312" s="1">
        <v>0</v>
      </c>
    </row>
    <row r="313" spans="1:10" x14ac:dyDescent="0.25">
      <c r="A313" t="s">
        <v>231</v>
      </c>
      <c r="B313" t="s">
        <v>877</v>
      </c>
      <c r="C313" t="s">
        <v>368</v>
      </c>
      <c r="D313" s="1"/>
      <c r="E313" s="1"/>
      <c r="F313" s="1"/>
      <c r="G313" s="1"/>
      <c r="H313" s="1"/>
      <c r="I313" s="1"/>
      <c r="J313" s="1"/>
    </row>
    <row r="314" spans="1:10" x14ac:dyDescent="0.25">
      <c r="A314" t="s">
        <v>809</v>
      </c>
      <c r="B314" t="s">
        <v>877</v>
      </c>
      <c r="C314" t="s">
        <v>369</v>
      </c>
      <c r="D314" s="1"/>
      <c r="E314" s="1"/>
      <c r="F314" s="1"/>
      <c r="G314" s="1"/>
      <c r="H314" s="1"/>
      <c r="I314" s="1"/>
      <c r="J314" s="1"/>
    </row>
    <row r="315" spans="1:10" x14ac:dyDescent="0.25">
      <c r="A315" t="s">
        <v>848</v>
      </c>
      <c r="B315" t="s">
        <v>877</v>
      </c>
      <c r="C315" t="s">
        <v>370</v>
      </c>
      <c r="D315" s="1">
        <v>1166</v>
      </c>
      <c r="E315" s="1">
        <v>47</v>
      </c>
      <c r="F315" s="1">
        <v>0</v>
      </c>
      <c r="G315" s="1">
        <v>8118</v>
      </c>
      <c r="H315" s="1">
        <v>7</v>
      </c>
      <c r="I315" s="1">
        <v>0</v>
      </c>
      <c r="J315" s="1">
        <v>0</v>
      </c>
    </row>
    <row r="316" spans="1:10" x14ac:dyDescent="0.25">
      <c r="A316" t="s">
        <v>226</v>
      </c>
      <c r="B316" t="s">
        <v>877</v>
      </c>
      <c r="C316" t="s">
        <v>371</v>
      </c>
      <c r="D316" s="1">
        <v>1713</v>
      </c>
      <c r="E316" s="1">
        <v>192</v>
      </c>
      <c r="F316" s="1">
        <v>0</v>
      </c>
      <c r="G316" s="1">
        <v>20307</v>
      </c>
      <c r="H316" s="1">
        <v>52</v>
      </c>
      <c r="I316" s="1">
        <v>0</v>
      </c>
      <c r="J316" s="1">
        <v>0</v>
      </c>
    </row>
    <row r="317" spans="1:10" x14ac:dyDescent="0.25">
      <c r="A317" t="s">
        <v>797</v>
      </c>
      <c r="B317" t="s">
        <v>877</v>
      </c>
      <c r="C317" t="s">
        <v>372</v>
      </c>
      <c r="D317" s="1">
        <v>778</v>
      </c>
      <c r="E317" s="1">
        <v>10</v>
      </c>
      <c r="F317" s="1">
        <v>0</v>
      </c>
      <c r="G317" s="1">
        <v>6078</v>
      </c>
      <c r="H317" s="1">
        <v>150</v>
      </c>
      <c r="I317" s="1">
        <v>0</v>
      </c>
      <c r="J317" s="1">
        <v>0</v>
      </c>
    </row>
    <row r="318" spans="1:10" x14ac:dyDescent="0.25">
      <c r="A318" t="s">
        <v>791</v>
      </c>
      <c r="B318" t="s">
        <v>877</v>
      </c>
      <c r="C318" t="s">
        <v>373</v>
      </c>
      <c r="D318" s="1"/>
      <c r="E318" s="1"/>
      <c r="F318" s="1"/>
      <c r="G318" s="1"/>
      <c r="H318" s="1"/>
      <c r="I318" s="1"/>
      <c r="J318" s="1"/>
    </row>
    <row r="319" spans="1:10" x14ac:dyDescent="0.25">
      <c r="A319" t="s">
        <v>826</v>
      </c>
      <c r="B319" t="s">
        <v>877</v>
      </c>
      <c r="C319" t="s">
        <v>374</v>
      </c>
      <c r="D319" s="1"/>
      <c r="E319" s="1"/>
      <c r="F319" s="1"/>
      <c r="G319" s="1"/>
      <c r="H319" s="1"/>
      <c r="I319" s="1"/>
      <c r="J319" s="1"/>
    </row>
    <row r="320" spans="1:10" x14ac:dyDescent="0.25">
      <c r="A320" t="s">
        <v>512</v>
      </c>
      <c r="B320" t="s">
        <v>877</v>
      </c>
      <c r="C320" t="s">
        <v>375</v>
      </c>
      <c r="D320" s="1">
        <v>2673</v>
      </c>
      <c r="E320" s="1">
        <v>0</v>
      </c>
      <c r="F320" s="1">
        <v>0</v>
      </c>
      <c r="G320" s="1">
        <v>10452</v>
      </c>
      <c r="H320" s="1">
        <v>73</v>
      </c>
      <c r="I320" s="1">
        <v>0</v>
      </c>
      <c r="J320" s="1">
        <v>0</v>
      </c>
    </row>
    <row r="321" spans="1:10" x14ac:dyDescent="0.25">
      <c r="A321" t="s">
        <v>817</v>
      </c>
      <c r="B321" t="s">
        <v>877</v>
      </c>
      <c r="C321" t="s">
        <v>376</v>
      </c>
      <c r="D321" s="1">
        <v>2939</v>
      </c>
      <c r="E321" s="1">
        <v>15</v>
      </c>
      <c r="F321" s="1">
        <v>0</v>
      </c>
      <c r="G321" s="1">
        <v>3541</v>
      </c>
      <c r="H321" s="1">
        <v>24</v>
      </c>
      <c r="I321" s="1">
        <v>0</v>
      </c>
      <c r="J321" s="1">
        <v>0</v>
      </c>
    </row>
    <row r="322" spans="1:10" x14ac:dyDescent="0.25">
      <c r="A322" t="s">
        <v>83</v>
      </c>
      <c r="B322" t="s">
        <v>877</v>
      </c>
      <c r="C322" t="s">
        <v>377</v>
      </c>
      <c r="D322" s="1">
        <v>3588</v>
      </c>
      <c r="E322" s="1">
        <v>264</v>
      </c>
      <c r="F322" s="1">
        <v>0</v>
      </c>
      <c r="G322" s="1">
        <v>18363</v>
      </c>
      <c r="H322" s="1">
        <v>172</v>
      </c>
      <c r="I322" s="1">
        <v>0</v>
      </c>
      <c r="J322" s="1">
        <v>0</v>
      </c>
    </row>
    <row r="323" spans="1:10" x14ac:dyDescent="0.25">
      <c r="A323" t="s">
        <v>795</v>
      </c>
      <c r="B323" t="s">
        <v>877</v>
      </c>
      <c r="C323" t="s">
        <v>378</v>
      </c>
      <c r="D323" s="1">
        <v>8475</v>
      </c>
      <c r="E323" s="1">
        <v>7</v>
      </c>
      <c r="F323" s="1">
        <v>0</v>
      </c>
      <c r="G323" s="1">
        <v>9471</v>
      </c>
      <c r="H323" s="1">
        <v>6</v>
      </c>
      <c r="I323" s="1">
        <v>0</v>
      </c>
      <c r="J323" s="1">
        <v>0</v>
      </c>
    </row>
    <row r="324" spans="1:10" x14ac:dyDescent="0.25">
      <c r="A324" t="s">
        <v>858</v>
      </c>
      <c r="B324" t="s">
        <v>877</v>
      </c>
      <c r="C324" t="s">
        <v>379</v>
      </c>
      <c r="D324" s="1">
        <v>1132</v>
      </c>
      <c r="E324" s="1">
        <v>1</v>
      </c>
      <c r="F324" s="1">
        <v>0</v>
      </c>
      <c r="G324" s="1">
        <v>3004</v>
      </c>
      <c r="H324" s="1">
        <v>5</v>
      </c>
      <c r="I324" s="1">
        <v>0</v>
      </c>
      <c r="J324" s="1">
        <v>0</v>
      </c>
    </row>
    <row r="325" spans="1:10" x14ac:dyDescent="0.25">
      <c r="A325" t="s">
        <v>848</v>
      </c>
      <c r="B325" t="s">
        <v>877</v>
      </c>
      <c r="C325" t="s">
        <v>380</v>
      </c>
      <c r="D325" s="1">
        <v>1512</v>
      </c>
      <c r="E325" s="1">
        <v>0</v>
      </c>
      <c r="F325" s="1">
        <v>0</v>
      </c>
      <c r="G325" s="1">
        <v>13129</v>
      </c>
      <c r="H325" s="1">
        <v>13</v>
      </c>
      <c r="I325" s="1">
        <v>0</v>
      </c>
      <c r="J325" s="1">
        <v>0</v>
      </c>
    </row>
    <row r="326" spans="1:10" x14ac:dyDescent="0.25">
      <c r="A326" t="s">
        <v>863</v>
      </c>
      <c r="B326" t="s">
        <v>877</v>
      </c>
      <c r="C326" t="s">
        <v>381</v>
      </c>
      <c r="D326" s="1">
        <v>4260</v>
      </c>
      <c r="E326" s="1">
        <v>0</v>
      </c>
      <c r="F326" s="1">
        <v>0</v>
      </c>
      <c r="G326" s="1">
        <v>9683</v>
      </c>
      <c r="H326" s="1">
        <v>0</v>
      </c>
      <c r="I326" s="1">
        <v>0</v>
      </c>
      <c r="J326" s="1">
        <v>0</v>
      </c>
    </row>
    <row r="327" spans="1:10" x14ac:dyDescent="0.25">
      <c r="A327" t="s">
        <v>854</v>
      </c>
      <c r="B327" t="s">
        <v>877</v>
      </c>
      <c r="C327" t="s">
        <v>382</v>
      </c>
      <c r="D327" s="1">
        <v>7082</v>
      </c>
      <c r="E327" s="1">
        <v>139</v>
      </c>
      <c r="F327" s="1">
        <v>0</v>
      </c>
      <c r="G327" s="1">
        <v>6860</v>
      </c>
      <c r="H327" s="1">
        <v>34</v>
      </c>
      <c r="I327" s="1">
        <v>0</v>
      </c>
      <c r="J327" s="1">
        <v>0</v>
      </c>
    </row>
    <row r="328" spans="1:10" x14ac:dyDescent="0.25">
      <c r="A328" t="s">
        <v>853</v>
      </c>
      <c r="B328" t="s">
        <v>877</v>
      </c>
      <c r="C328" t="s">
        <v>383</v>
      </c>
      <c r="D328" s="1">
        <v>4235</v>
      </c>
      <c r="E328" s="1">
        <v>51</v>
      </c>
      <c r="F328" s="1">
        <v>0</v>
      </c>
      <c r="G328" s="1">
        <v>25200</v>
      </c>
      <c r="H328" s="1">
        <v>470</v>
      </c>
      <c r="I328" s="1">
        <v>0</v>
      </c>
      <c r="J328" s="1">
        <v>0</v>
      </c>
    </row>
    <row r="329" spans="1:10" x14ac:dyDescent="0.25">
      <c r="A329" t="s">
        <v>851</v>
      </c>
      <c r="B329" t="s">
        <v>877</v>
      </c>
      <c r="C329" t="s">
        <v>384</v>
      </c>
      <c r="D329" s="1">
        <v>2456</v>
      </c>
      <c r="E329" s="1">
        <v>7</v>
      </c>
      <c r="F329" s="1">
        <v>0</v>
      </c>
      <c r="G329" s="1">
        <v>175</v>
      </c>
      <c r="H329" s="1">
        <v>0</v>
      </c>
      <c r="I329" s="1">
        <v>0</v>
      </c>
      <c r="J329" s="1">
        <v>0</v>
      </c>
    </row>
    <row r="330" spans="1:10" x14ac:dyDescent="0.25">
      <c r="A330" t="s">
        <v>856</v>
      </c>
      <c r="B330" t="s">
        <v>877</v>
      </c>
      <c r="C330" t="s">
        <v>385</v>
      </c>
      <c r="D330" s="1">
        <v>2870</v>
      </c>
      <c r="E330" s="1">
        <v>12</v>
      </c>
      <c r="F330" s="1">
        <v>0</v>
      </c>
      <c r="G330" s="1">
        <v>7227</v>
      </c>
      <c r="H330" s="1">
        <v>32</v>
      </c>
      <c r="I330" s="1">
        <v>0</v>
      </c>
      <c r="J330" s="1">
        <v>0</v>
      </c>
    </row>
    <row r="331" spans="1:10" x14ac:dyDescent="0.25">
      <c r="A331" t="s">
        <v>847</v>
      </c>
      <c r="B331" t="s">
        <v>877</v>
      </c>
      <c r="C331" t="s">
        <v>386</v>
      </c>
      <c r="D331" s="1">
        <v>935</v>
      </c>
      <c r="E331" s="1">
        <v>0</v>
      </c>
      <c r="F331" s="1">
        <v>0</v>
      </c>
      <c r="G331" s="1">
        <v>4676</v>
      </c>
      <c r="H331" s="1">
        <v>0</v>
      </c>
      <c r="I331" s="1">
        <v>0</v>
      </c>
      <c r="J331" s="1">
        <v>0</v>
      </c>
    </row>
    <row r="332" spans="1:10" x14ac:dyDescent="0.25">
      <c r="A332" t="s">
        <v>849</v>
      </c>
      <c r="B332" t="s">
        <v>877</v>
      </c>
      <c r="C332" t="s">
        <v>387</v>
      </c>
      <c r="D332" s="1">
        <v>3017</v>
      </c>
      <c r="E332" s="1">
        <v>2</v>
      </c>
      <c r="F332" s="1">
        <v>0</v>
      </c>
      <c r="G332" s="1">
        <v>7486</v>
      </c>
      <c r="H332" s="1">
        <v>25</v>
      </c>
      <c r="I332" s="1">
        <v>0</v>
      </c>
      <c r="J332" s="1">
        <v>0</v>
      </c>
    </row>
    <row r="333" spans="1:10" x14ac:dyDescent="0.25">
      <c r="A333" t="s">
        <v>794</v>
      </c>
      <c r="B333" t="s">
        <v>874</v>
      </c>
      <c r="C333" t="s">
        <v>388</v>
      </c>
      <c r="D333" s="1">
        <v>196927</v>
      </c>
      <c r="E333" s="1">
        <v>100</v>
      </c>
      <c r="F333" s="1">
        <v>0</v>
      </c>
      <c r="G333" s="1">
        <v>0</v>
      </c>
      <c r="H333" s="1">
        <v>0</v>
      </c>
      <c r="I333" s="1">
        <v>90791</v>
      </c>
      <c r="J333" s="1">
        <v>24349</v>
      </c>
    </row>
    <row r="334" spans="1:10" x14ac:dyDescent="0.25">
      <c r="A334" t="s">
        <v>805</v>
      </c>
      <c r="C334" t="s">
        <v>389</v>
      </c>
      <c r="D334" s="1"/>
      <c r="E334" s="1"/>
      <c r="F334" s="1"/>
      <c r="G334" s="1"/>
      <c r="H334" s="1"/>
      <c r="I334" s="1"/>
      <c r="J334" s="1"/>
    </row>
    <row r="335" spans="1:10" x14ac:dyDescent="0.25">
      <c r="A335" t="s">
        <v>10</v>
      </c>
      <c r="B335" t="s">
        <v>874</v>
      </c>
      <c r="C335" t="s">
        <v>390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</row>
    <row r="336" spans="1:10" x14ac:dyDescent="0.25">
      <c r="A336" t="s">
        <v>226</v>
      </c>
      <c r="B336" t="s">
        <v>874</v>
      </c>
      <c r="C336" t="s">
        <v>391</v>
      </c>
      <c r="D336" s="1">
        <v>133361</v>
      </c>
      <c r="E336" s="1">
        <v>999</v>
      </c>
      <c r="F336" s="1">
        <v>0</v>
      </c>
      <c r="G336" s="1">
        <v>0</v>
      </c>
      <c r="H336" s="1">
        <v>0</v>
      </c>
      <c r="I336" s="1">
        <v>28718</v>
      </c>
      <c r="J336" s="1">
        <v>22094</v>
      </c>
    </row>
    <row r="337" spans="1:10" x14ac:dyDescent="0.25">
      <c r="A337" t="s">
        <v>798</v>
      </c>
      <c r="B337" t="s">
        <v>874</v>
      </c>
      <c r="C337" t="s">
        <v>392</v>
      </c>
      <c r="D337" s="1">
        <v>141097</v>
      </c>
      <c r="E337" s="1">
        <v>1112</v>
      </c>
      <c r="F337" s="1">
        <v>0</v>
      </c>
      <c r="G337" s="1">
        <v>0</v>
      </c>
      <c r="H337" s="1">
        <v>0</v>
      </c>
      <c r="I337" s="1">
        <v>53326</v>
      </c>
      <c r="J337" s="1">
        <v>51974</v>
      </c>
    </row>
    <row r="338" spans="1:10" x14ac:dyDescent="0.25">
      <c r="A338" t="s">
        <v>10</v>
      </c>
      <c r="B338" t="s">
        <v>874</v>
      </c>
      <c r="C338" t="s">
        <v>393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</row>
    <row r="339" spans="1:10" x14ac:dyDescent="0.25">
      <c r="A339" t="s">
        <v>10</v>
      </c>
      <c r="B339" t="s">
        <v>874</v>
      </c>
      <c r="C339" t="s">
        <v>394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</row>
    <row r="340" spans="1:10" x14ac:dyDescent="0.25">
      <c r="A340" s="27" t="s">
        <v>10</v>
      </c>
      <c r="B340" s="27" t="s">
        <v>874</v>
      </c>
      <c r="C340" s="27" t="s">
        <v>778</v>
      </c>
      <c r="D340" s="32"/>
      <c r="E340" s="32"/>
      <c r="F340" s="32"/>
      <c r="G340" s="32"/>
      <c r="H340" s="32"/>
      <c r="I340" s="32"/>
      <c r="J340" s="32"/>
    </row>
    <row r="341" spans="1:10" x14ac:dyDescent="0.25">
      <c r="A341" t="s">
        <v>69</v>
      </c>
      <c r="B341" t="s">
        <v>874</v>
      </c>
      <c r="C341" t="s">
        <v>395</v>
      </c>
      <c r="D341" s="1">
        <v>170280</v>
      </c>
      <c r="E341" s="1">
        <v>670</v>
      </c>
      <c r="F341" s="1">
        <v>0</v>
      </c>
      <c r="G341" s="1">
        <v>0</v>
      </c>
      <c r="H341" s="1">
        <v>0</v>
      </c>
      <c r="I341" s="1">
        <v>68518</v>
      </c>
      <c r="J341" s="1">
        <v>27560</v>
      </c>
    </row>
    <row r="342" spans="1:10" x14ac:dyDescent="0.25">
      <c r="A342" t="s">
        <v>796</v>
      </c>
      <c r="B342" t="s">
        <v>874</v>
      </c>
      <c r="C342" t="s">
        <v>396</v>
      </c>
      <c r="D342" s="1"/>
      <c r="E342" s="1"/>
      <c r="F342" s="1"/>
      <c r="G342" s="1"/>
      <c r="H342" s="1"/>
      <c r="I342" s="1"/>
      <c r="J342" s="1"/>
    </row>
    <row r="343" spans="1:10" x14ac:dyDescent="0.25">
      <c r="A343" t="s">
        <v>512</v>
      </c>
      <c r="B343" t="s">
        <v>874</v>
      </c>
      <c r="C343" t="s">
        <v>397</v>
      </c>
      <c r="D343" s="1">
        <v>105164</v>
      </c>
      <c r="E343" s="1">
        <v>557</v>
      </c>
      <c r="F343" s="1">
        <v>0</v>
      </c>
      <c r="G343" s="1">
        <v>0</v>
      </c>
      <c r="H343" s="1">
        <v>0</v>
      </c>
      <c r="I343" s="1">
        <v>30523</v>
      </c>
      <c r="J343" s="1">
        <v>18632</v>
      </c>
    </row>
    <row r="344" spans="1:10" x14ac:dyDescent="0.25">
      <c r="A344" t="s">
        <v>805</v>
      </c>
      <c r="C344" t="s">
        <v>398</v>
      </c>
      <c r="D344" s="1"/>
      <c r="E344" s="1"/>
      <c r="F344" s="1"/>
      <c r="G344" s="1"/>
      <c r="H344" s="1"/>
      <c r="I344" s="1"/>
      <c r="J344" s="1"/>
    </row>
    <row r="345" spans="1:10" x14ac:dyDescent="0.25">
      <c r="A345" t="s">
        <v>10</v>
      </c>
      <c r="B345" t="s">
        <v>874</v>
      </c>
      <c r="C345" t="s">
        <v>399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</row>
    <row r="346" spans="1:10" x14ac:dyDescent="0.25">
      <c r="A346" t="s">
        <v>811</v>
      </c>
      <c r="B346" t="s">
        <v>874</v>
      </c>
      <c r="C346" t="s">
        <v>400</v>
      </c>
      <c r="D346" s="1"/>
      <c r="E346" s="1"/>
      <c r="F346" s="1"/>
      <c r="G346" s="1"/>
      <c r="H346" s="1"/>
      <c r="I346" s="1"/>
      <c r="J346" s="1"/>
    </row>
    <row r="347" spans="1:10" x14ac:dyDescent="0.25">
      <c r="A347" t="s">
        <v>10</v>
      </c>
      <c r="B347" t="s">
        <v>874</v>
      </c>
      <c r="C347" t="s">
        <v>401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</row>
    <row r="348" spans="1:10" x14ac:dyDescent="0.25">
      <c r="A348" t="s">
        <v>795</v>
      </c>
      <c r="B348" t="s">
        <v>874</v>
      </c>
      <c r="C348" t="s">
        <v>402</v>
      </c>
      <c r="D348" s="1"/>
      <c r="E348" s="1"/>
      <c r="F348" s="1"/>
      <c r="G348" s="1"/>
      <c r="H348" s="1"/>
      <c r="I348" s="1"/>
      <c r="J348" s="1"/>
    </row>
    <row r="349" spans="1:10" x14ac:dyDescent="0.25">
      <c r="A349" t="s">
        <v>10</v>
      </c>
      <c r="B349" t="s">
        <v>874</v>
      </c>
      <c r="C349" t="s">
        <v>403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</row>
    <row r="350" spans="1:10" x14ac:dyDescent="0.25">
      <c r="A350" t="s">
        <v>797</v>
      </c>
      <c r="B350" t="s">
        <v>874</v>
      </c>
      <c r="C350" t="s">
        <v>404</v>
      </c>
      <c r="D350" s="1">
        <v>34440</v>
      </c>
      <c r="E350" s="1">
        <v>455</v>
      </c>
      <c r="F350" s="1">
        <v>0</v>
      </c>
      <c r="G350" s="1">
        <v>0</v>
      </c>
      <c r="H350" s="1">
        <v>0</v>
      </c>
      <c r="I350" s="1">
        <v>24294</v>
      </c>
      <c r="J350" s="1">
        <v>9653</v>
      </c>
    </row>
    <row r="351" spans="1:10" x14ac:dyDescent="0.25">
      <c r="A351" t="s">
        <v>83</v>
      </c>
      <c r="B351" t="s">
        <v>874</v>
      </c>
      <c r="C351" t="s">
        <v>405</v>
      </c>
      <c r="D351" s="1"/>
      <c r="E351" s="1"/>
      <c r="F351" s="1"/>
      <c r="G351" s="1"/>
      <c r="H351" s="1"/>
      <c r="I351" s="1"/>
      <c r="J351" s="1"/>
    </row>
    <row r="352" spans="1:10" x14ac:dyDescent="0.25">
      <c r="A352" t="s">
        <v>248</v>
      </c>
      <c r="B352" t="s">
        <v>874</v>
      </c>
      <c r="C352" t="s">
        <v>406</v>
      </c>
      <c r="D352" s="1">
        <v>52383</v>
      </c>
      <c r="E352" s="1">
        <v>887</v>
      </c>
      <c r="F352" s="1">
        <v>0</v>
      </c>
      <c r="G352" s="1">
        <v>0</v>
      </c>
      <c r="H352" s="1">
        <v>0</v>
      </c>
      <c r="I352" s="1">
        <v>99021</v>
      </c>
      <c r="J352" s="1">
        <v>7693</v>
      </c>
    </row>
    <row r="353" spans="1:10" x14ac:dyDescent="0.25">
      <c r="A353" s="27" t="s">
        <v>10</v>
      </c>
      <c r="B353" s="27" t="s">
        <v>874</v>
      </c>
      <c r="C353" s="27" t="s">
        <v>779</v>
      </c>
      <c r="D353" s="32"/>
      <c r="E353" s="32"/>
      <c r="F353" s="32"/>
      <c r="G353" s="32"/>
      <c r="H353" s="32"/>
      <c r="I353" s="32"/>
      <c r="J353" s="32"/>
    </row>
    <row r="354" spans="1:10" x14ac:dyDescent="0.25">
      <c r="A354" t="s">
        <v>848</v>
      </c>
      <c r="B354" t="s">
        <v>874</v>
      </c>
      <c r="C354" t="s">
        <v>407</v>
      </c>
      <c r="D354" s="1">
        <v>21199</v>
      </c>
      <c r="E354" s="1">
        <v>151</v>
      </c>
      <c r="F354" s="1">
        <v>0</v>
      </c>
      <c r="G354" s="1">
        <v>0</v>
      </c>
      <c r="H354" s="1">
        <v>0</v>
      </c>
      <c r="I354" s="1">
        <v>3113</v>
      </c>
      <c r="J354" s="1">
        <v>2817</v>
      </c>
    </row>
    <row r="355" spans="1:10" x14ac:dyDescent="0.25">
      <c r="A355" t="s">
        <v>801</v>
      </c>
      <c r="B355" t="s">
        <v>874</v>
      </c>
      <c r="C355" t="s">
        <v>408</v>
      </c>
      <c r="D355" s="1">
        <v>68619</v>
      </c>
      <c r="E355" s="1">
        <v>372</v>
      </c>
      <c r="F355" s="1">
        <v>0</v>
      </c>
      <c r="G355" s="1">
        <v>0</v>
      </c>
      <c r="H355" s="1">
        <v>0</v>
      </c>
      <c r="I355" s="1">
        <v>78946</v>
      </c>
      <c r="J355" s="1">
        <v>18596</v>
      </c>
    </row>
    <row r="356" spans="1:10" x14ac:dyDescent="0.25">
      <c r="A356" t="s">
        <v>811</v>
      </c>
      <c r="B356" t="s">
        <v>874</v>
      </c>
      <c r="C356" t="s">
        <v>409</v>
      </c>
      <c r="D356" s="1"/>
      <c r="E356" s="1"/>
      <c r="F356" s="1"/>
      <c r="G356" s="1"/>
      <c r="H356" s="1"/>
      <c r="I356" s="1"/>
      <c r="J356" s="1"/>
    </row>
    <row r="357" spans="1:10" x14ac:dyDescent="0.25">
      <c r="A357" t="s">
        <v>83</v>
      </c>
      <c r="B357" t="s">
        <v>874</v>
      </c>
      <c r="C357" t="s">
        <v>410</v>
      </c>
      <c r="D357" s="1">
        <v>6261</v>
      </c>
      <c r="E357" s="1">
        <v>27</v>
      </c>
      <c r="F357" s="1">
        <v>0</v>
      </c>
      <c r="G357" s="1">
        <v>0</v>
      </c>
      <c r="H357" s="1">
        <v>0</v>
      </c>
      <c r="I357" s="1">
        <v>19985</v>
      </c>
      <c r="J357" s="1">
        <v>1344</v>
      </c>
    </row>
    <row r="358" spans="1:10" x14ac:dyDescent="0.25">
      <c r="A358" t="s">
        <v>120</v>
      </c>
      <c r="B358" t="s">
        <v>874</v>
      </c>
      <c r="C358" t="s">
        <v>411</v>
      </c>
      <c r="D358" s="1">
        <v>56510</v>
      </c>
      <c r="E358" s="1">
        <v>46</v>
      </c>
      <c r="F358" s="1">
        <v>0</v>
      </c>
      <c r="G358" s="1">
        <v>0</v>
      </c>
      <c r="H358" s="1">
        <v>0</v>
      </c>
      <c r="I358" s="1">
        <v>37683</v>
      </c>
      <c r="J358" s="1">
        <v>19943</v>
      </c>
    </row>
    <row r="359" spans="1:10" x14ac:dyDescent="0.25">
      <c r="A359" t="s">
        <v>134</v>
      </c>
      <c r="B359" t="s">
        <v>874</v>
      </c>
      <c r="C359" t="s">
        <v>412</v>
      </c>
      <c r="D359" s="1">
        <v>14229</v>
      </c>
      <c r="E359" s="1">
        <v>25</v>
      </c>
      <c r="F359" s="1">
        <v>0</v>
      </c>
      <c r="G359" s="1">
        <v>0</v>
      </c>
      <c r="H359" s="1">
        <v>0</v>
      </c>
      <c r="I359" s="1">
        <v>10428</v>
      </c>
      <c r="J359" s="1">
        <v>2867</v>
      </c>
    </row>
    <row r="360" spans="1:10" x14ac:dyDescent="0.25">
      <c r="A360" t="s">
        <v>120</v>
      </c>
      <c r="B360" t="s">
        <v>874</v>
      </c>
      <c r="C360" t="s">
        <v>413</v>
      </c>
      <c r="D360" s="1">
        <v>35610</v>
      </c>
      <c r="E360" s="1">
        <v>86</v>
      </c>
      <c r="F360" s="1">
        <v>0</v>
      </c>
      <c r="G360" s="1">
        <v>0</v>
      </c>
      <c r="H360" s="1">
        <v>0</v>
      </c>
      <c r="I360" s="1">
        <v>14684</v>
      </c>
      <c r="J360" s="1">
        <v>5079</v>
      </c>
    </row>
    <row r="361" spans="1:10" x14ac:dyDescent="0.25">
      <c r="A361" t="s">
        <v>138</v>
      </c>
      <c r="B361" t="s">
        <v>874</v>
      </c>
      <c r="C361" t="s">
        <v>414</v>
      </c>
      <c r="D361" s="1">
        <v>51319</v>
      </c>
      <c r="E361" s="1">
        <v>149</v>
      </c>
      <c r="F361" s="1">
        <v>0</v>
      </c>
      <c r="G361" s="1">
        <v>0</v>
      </c>
      <c r="H361" s="1">
        <v>0</v>
      </c>
      <c r="I361" s="1">
        <v>65029</v>
      </c>
      <c r="J361" s="1">
        <v>12457</v>
      </c>
    </row>
    <row r="362" spans="1:10" x14ac:dyDescent="0.25">
      <c r="A362" t="s">
        <v>796</v>
      </c>
      <c r="B362" t="s">
        <v>874</v>
      </c>
      <c r="C362" t="s">
        <v>415</v>
      </c>
      <c r="D362" s="1">
        <v>30111</v>
      </c>
      <c r="E362" s="1">
        <v>526</v>
      </c>
      <c r="F362" s="1">
        <v>0</v>
      </c>
      <c r="G362" s="1">
        <v>0</v>
      </c>
      <c r="H362" s="1">
        <v>0</v>
      </c>
      <c r="I362" s="1">
        <v>28287</v>
      </c>
      <c r="J362" s="1">
        <v>8439</v>
      </c>
    </row>
    <row r="363" spans="1:10" x14ac:dyDescent="0.25">
      <c r="A363" t="s">
        <v>226</v>
      </c>
      <c r="B363" t="s">
        <v>874</v>
      </c>
      <c r="C363" t="s">
        <v>416</v>
      </c>
      <c r="D363" s="1">
        <v>13108</v>
      </c>
      <c r="E363" s="1">
        <v>5</v>
      </c>
      <c r="F363" s="1">
        <v>0</v>
      </c>
      <c r="G363" s="1">
        <v>0</v>
      </c>
      <c r="H363" s="1">
        <v>0</v>
      </c>
      <c r="I363" s="1">
        <v>55724</v>
      </c>
      <c r="J363" s="1">
        <v>2552</v>
      </c>
    </row>
    <row r="364" spans="1:10" x14ac:dyDescent="0.25">
      <c r="A364" t="s">
        <v>138</v>
      </c>
      <c r="B364" t="s">
        <v>874</v>
      </c>
      <c r="C364" t="s">
        <v>417</v>
      </c>
      <c r="D364" s="1">
        <v>75775</v>
      </c>
      <c r="E364" s="1">
        <v>600</v>
      </c>
      <c r="F364" s="1">
        <v>0</v>
      </c>
      <c r="G364" s="1">
        <v>0</v>
      </c>
      <c r="H364" s="1">
        <v>0</v>
      </c>
      <c r="I364" s="1">
        <v>72988</v>
      </c>
      <c r="J364" s="1">
        <v>27704</v>
      </c>
    </row>
    <row r="365" spans="1:10" x14ac:dyDescent="0.25">
      <c r="A365" t="s">
        <v>138</v>
      </c>
      <c r="B365" t="s">
        <v>874</v>
      </c>
      <c r="C365" t="s">
        <v>418</v>
      </c>
      <c r="D365" s="1">
        <v>60220</v>
      </c>
      <c r="E365" s="1">
        <v>462</v>
      </c>
      <c r="F365" s="1">
        <v>0</v>
      </c>
      <c r="G365" s="1">
        <v>0</v>
      </c>
      <c r="H365" s="1">
        <v>0</v>
      </c>
      <c r="I365" s="1">
        <v>68335</v>
      </c>
      <c r="J365" s="1">
        <v>13403</v>
      </c>
    </row>
    <row r="366" spans="1:10" x14ac:dyDescent="0.25">
      <c r="A366" t="s">
        <v>796</v>
      </c>
      <c r="B366" t="s">
        <v>874</v>
      </c>
      <c r="C366" t="s">
        <v>419</v>
      </c>
      <c r="D366" s="1">
        <v>78988</v>
      </c>
      <c r="E366" s="1">
        <v>773</v>
      </c>
      <c r="F366" s="1">
        <v>0</v>
      </c>
      <c r="G366" s="1">
        <v>0</v>
      </c>
      <c r="H366" s="1">
        <v>0</v>
      </c>
      <c r="I366" s="1">
        <v>184944</v>
      </c>
      <c r="J366" s="1">
        <v>19543</v>
      </c>
    </row>
    <row r="367" spans="1:10" x14ac:dyDescent="0.25">
      <c r="A367" t="s">
        <v>831</v>
      </c>
      <c r="B367" t="s">
        <v>874</v>
      </c>
      <c r="C367" t="s">
        <v>420</v>
      </c>
      <c r="D367" s="1">
        <v>36597</v>
      </c>
      <c r="E367" s="1">
        <v>132</v>
      </c>
      <c r="F367" s="1">
        <v>0</v>
      </c>
      <c r="G367" s="1">
        <v>0</v>
      </c>
      <c r="H367" s="1">
        <v>0</v>
      </c>
      <c r="I367" s="1">
        <v>38798</v>
      </c>
      <c r="J367" s="1">
        <v>20215</v>
      </c>
    </row>
    <row r="368" spans="1:10" x14ac:dyDescent="0.25">
      <c r="A368" t="s">
        <v>69</v>
      </c>
      <c r="B368" t="s">
        <v>874</v>
      </c>
      <c r="C368" t="s">
        <v>421</v>
      </c>
      <c r="D368" s="1">
        <v>57816</v>
      </c>
      <c r="E368" s="1">
        <v>295</v>
      </c>
      <c r="F368" s="1">
        <v>0</v>
      </c>
      <c r="G368" s="1">
        <v>0</v>
      </c>
      <c r="H368" s="1">
        <v>0</v>
      </c>
      <c r="I368" s="1">
        <v>33251</v>
      </c>
      <c r="J368" s="1">
        <v>14681</v>
      </c>
    </row>
    <row r="369" spans="1:10" x14ac:dyDescent="0.25">
      <c r="A369" t="s">
        <v>146</v>
      </c>
      <c r="B369" t="s">
        <v>874</v>
      </c>
      <c r="C369" t="s">
        <v>422</v>
      </c>
      <c r="D369" s="1">
        <v>51860</v>
      </c>
      <c r="E369" s="1">
        <v>499</v>
      </c>
      <c r="F369" s="1">
        <v>0</v>
      </c>
      <c r="G369" s="1">
        <v>0</v>
      </c>
      <c r="H369" s="1">
        <v>0</v>
      </c>
      <c r="I369" s="1">
        <v>49283</v>
      </c>
      <c r="J369" s="1">
        <v>23127</v>
      </c>
    </row>
    <row r="370" spans="1:10" x14ac:dyDescent="0.25">
      <c r="A370" t="s">
        <v>146</v>
      </c>
      <c r="B370" t="s">
        <v>874</v>
      </c>
      <c r="C370" t="s">
        <v>423</v>
      </c>
      <c r="D370" s="1">
        <v>35334</v>
      </c>
      <c r="E370" s="1">
        <v>23</v>
      </c>
      <c r="F370" s="1">
        <v>0</v>
      </c>
      <c r="G370" s="1">
        <v>0</v>
      </c>
      <c r="H370" s="1">
        <v>0</v>
      </c>
      <c r="I370" s="1">
        <v>12414</v>
      </c>
      <c r="J370" s="1">
        <v>13533</v>
      </c>
    </row>
    <row r="371" spans="1:10" x14ac:dyDescent="0.25">
      <c r="A371" t="s">
        <v>76</v>
      </c>
      <c r="B371" t="s">
        <v>874</v>
      </c>
      <c r="C371" t="s">
        <v>424</v>
      </c>
      <c r="D371" s="1">
        <v>84480</v>
      </c>
      <c r="E371" s="1">
        <v>41</v>
      </c>
      <c r="F371" s="1">
        <v>0</v>
      </c>
      <c r="G371" s="1">
        <v>0</v>
      </c>
      <c r="H371" s="1">
        <v>0</v>
      </c>
      <c r="I371" s="1">
        <v>117704</v>
      </c>
      <c r="J371" s="1">
        <v>19727</v>
      </c>
    </row>
    <row r="372" spans="1:10" x14ac:dyDescent="0.25">
      <c r="A372" t="s">
        <v>795</v>
      </c>
      <c r="B372" t="s">
        <v>874</v>
      </c>
      <c r="C372" t="s">
        <v>425</v>
      </c>
      <c r="D372" s="1">
        <v>158647</v>
      </c>
      <c r="E372" s="1">
        <v>63</v>
      </c>
      <c r="F372" s="1">
        <v>0</v>
      </c>
      <c r="G372" s="1">
        <v>0</v>
      </c>
      <c r="H372" s="1">
        <v>0</v>
      </c>
      <c r="I372" s="1">
        <v>95571</v>
      </c>
      <c r="J372" s="1">
        <v>45147</v>
      </c>
    </row>
    <row r="373" spans="1:10" x14ac:dyDescent="0.25">
      <c r="A373" t="s">
        <v>824</v>
      </c>
      <c r="B373" t="s">
        <v>874</v>
      </c>
      <c r="C373" t="s">
        <v>426</v>
      </c>
      <c r="D373" s="1">
        <v>44978</v>
      </c>
      <c r="E373" s="1">
        <v>138</v>
      </c>
      <c r="F373" s="1">
        <v>0</v>
      </c>
      <c r="G373" s="1">
        <v>0</v>
      </c>
      <c r="H373" s="1">
        <v>0</v>
      </c>
      <c r="I373" s="1">
        <v>43717</v>
      </c>
      <c r="J373" s="1">
        <v>18259</v>
      </c>
    </row>
    <row r="374" spans="1:10" x14ac:dyDescent="0.25">
      <c r="A374" t="s">
        <v>788</v>
      </c>
      <c r="B374" t="s">
        <v>874</v>
      </c>
      <c r="C374" t="s">
        <v>427</v>
      </c>
      <c r="D374" s="1">
        <v>132483</v>
      </c>
      <c r="E374" s="1">
        <v>261</v>
      </c>
      <c r="F374" s="1">
        <v>0</v>
      </c>
      <c r="G374" s="1">
        <v>0</v>
      </c>
      <c r="H374" s="1">
        <v>0</v>
      </c>
      <c r="I374" s="1">
        <v>129592</v>
      </c>
      <c r="J374" s="1">
        <v>36137</v>
      </c>
    </row>
    <row r="375" spans="1:10" x14ac:dyDescent="0.25">
      <c r="A375" t="s">
        <v>226</v>
      </c>
      <c r="B375" t="s">
        <v>874</v>
      </c>
      <c r="C375" t="s">
        <v>428</v>
      </c>
      <c r="D375" s="1">
        <v>21359</v>
      </c>
      <c r="E375" s="1">
        <v>5</v>
      </c>
      <c r="F375" s="1">
        <v>0</v>
      </c>
      <c r="G375" s="1">
        <v>0</v>
      </c>
      <c r="H375" s="1">
        <v>0</v>
      </c>
      <c r="I375" s="1">
        <v>20456</v>
      </c>
      <c r="J375" s="1">
        <v>3896</v>
      </c>
    </row>
    <row r="376" spans="1:10" x14ac:dyDescent="0.25">
      <c r="A376" t="s">
        <v>791</v>
      </c>
      <c r="B376" t="s">
        <v>874</v>
      </c>
      <c r="C376" t="s">
        <v>429</v>
      </c>
      <c r="D376" s="1"/>
      <c r="E376" s="1"/>
      <c r="F376" s="1"/>
      <c r="G376" s="1"/>
      <c r="H376" s="1"/>
      <c r="I376" s="1"/>
      <c r="J376" s="1"/>
    </row>
    <row r="377" spans="1:10" x14ac:dyDescent="0.25">
      <c r="A377" t="s">
        <v>788</v>
      </c>
      <c r="B377" t="s">
        <v>874</v>
      </c>
      <c r="C377" t="s">
        <v>430</v>
      </c>
      <c r="D377" s="1">
        <v>35229</v>
      </c>
      <c r="E377" s="1">
        <v>80</v>
      </c>
      <c r="F377" s="1">
        <v>0</v>
      </c>
      <c r="G377" s="1">
        <v>0</v>
      </c>
      <c r="H377" s="1">
        <v>0</v>
      </c>
      <c r="I377" s="1">
        <v>19220</v>
      </c>
      <c r="J377" s="1">
        <v>9100</v>
      </c>
    </row>
    <row r="378" spans="1:10" x14ac:dyDescent="0.25">
      <c r="A378" t="s">
        <v>10</v>
      </c>
      <c r="B378" t="s">
        <v>874</v>
      </c>
      <c r="C378" t="s">
        <v>431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</row>
    <row r="379" spans="1:10" x14ac:dyDescent="0.25">
      <c r="A379" t="s">
        <v>69</v>
      </c>
      <c r="B379" t="s">
        <v>874</v>
      </c>
      <c r="C379" t="s">
        <v>432</v>
      </c>
      <c r="D379" s="1">
        <v>62695</v>
      </c>
      <c r="E379" s="1">
        <v>63</v>
      </c>
      <c r="F379" s="1">
        <v>0</v>
      </c>
      <c r="G379" s="1">
        <v>0</v>
      </c>
      <c r="H379" s="1">
        <v>0</v>
      </c>
      <c r="I379" s="1">
        <v>81116</v>
      </c>
      <c r="J379" s="1">
        <v>18006</v>
      </c>
    </row>
    <row r="380" spans="1:10" x14ac:dyDescent="0.25">
      <c r="A380" t="s">
        <v>226</v>
      </c>
      <c r="B380" t="s">
        <v>874</v>
      </c>
      <c r="C380" t="s">
        <v>433</v>
      </c>
      <c r="D380" s="1">
        <v>63680</v>
      </c>
      <c r="E380" s="1">
        <v>115</v>
      </c>
      <c r="F380" s="1">
        <v>0</v>
      </c>
      <c r="G380" s="1">
        <v>0</v>
      </c>
      <c r="H380" s="1">
        <v>0</v>
      </c>
      <c r="I380" s="1">
        <v>67290</v>
      </c>
      <c r="J380" s="1">
        <v>14809</v>
      </c>
    </row>
    <row r="381" spans="1:10" x14ac:dyDescent="0.25">
      <c r="A381" t="s">
        <v>864</v>
      </c>
      <c r="B381" t="s">
        <v>874</v>
      </c>
      <c r="C381" t="s">
        <v>434</v>
      </c>
      <c r="D381" s="1">
        <v>27738</v>
      </c>
      <c r="E381" s="1">
        <v>313</v>
      </c>
      <c r="F381" s="1">
        <v>0</v>
      </c>
      <c r="G381" s="1">
        <v>0</v>
      </c>
      <c r="H381" s="1">
        <v>0</v>
      </c>
      <c r="I381" s="1">
        <v>17607</v>
      </c>
      <c r="J381" s="1">
        <v>12648</v>
      </c>
    </row>
    <row r="382" spans="1:10" x14ac:dyDescent="0.25">
      <c r="A382" t="s">
        <v>809</v>
      </c>
      <c r="B382" t="s">
        <v>874</v>
      </c>
      <c r="C382" t="s">
        <v>435</v>
      </c>
      <c r="D382" s="1">
        <v>88399</v>
      </c>
      <c r="E382" s="1">
        <v>215</v>
      </c>
      <c r="F382" s="1">
        <v>0</v>
      </c>
      <c r="G382" s="1">
        <v>0</v>
      </c>
      <c r="H382" s="1">
        <v>0</v>
      </c>
      <c r="I382" s="1">
        <v>117998</v>
      </c>
      <c r="J382" s="1">
        <v>14658</v>
      </c>
    </row>
    <row r="383" spans="1:10" x14ac:dyDescent="0.25">
      <c r="A383" t="s">
        <v>138</v>
      </c>
      <c r="B383" t="s">
        <v>874</v>
      </c>
      <c r="C383" t="s">
        <v>436</v>
      </c>
      <c r="D383" s="1">
        <v>107571</v>
      </c>
      <c r="E383" s="1">
        <v>1185</v>
      </c>
      <c r="F383" s="1">
        <v>0</v>
      </c>
      <c r="G383" s="1">
        <v>0</v>
      </c>
      <c r="H383" s="1">
        <v>0</v>
      </c>
      <c r="I383" s="1">
        <v>83722</v>
      </c>
      <c r="J383" s="1">
        <v>25678</v>
      </c>
    </row>
    <row r="384" spans="1:10" x14ac:dyDescent="0.25">
      <c r="A384" t="s">
        <v>229</v>
      </c>
      <c r="B384" t="s">
        <v>874</v>
      </c>
      <c r="C384" t="s">
        <v>437</v>
      </c>
      <c r="D384" s="1">
        <v>54855</v>
      </c>
      <c r="E384" s="1">
        <v>348</v>
      </c>
      <c r="F384" s="1">
        <v>0</v>
      </c>
      <c r="G384" s="1">
        <v>0</v>
      </c>
      <c r="H384" s="1">
        <v>0</v>
      </c>
      <c r="I384" s="1">
        <v>98151</v>
      </c>
      <c r="J384" s="1">
        <v>14710</v>
      </c>
    </row>
    <row r="385" spans="1:10" x14ac:dyDescent="0.25">
      <c r="A385" t="s">
        <v>801</v>
      </c>
      <c r="B385" t="s">
        <v>874</v>
      </c>
      <c r="C385" t="s">
        <v>438</v>
      </c>
      <c r="D385" s="1">
        <v>90567</v>
      </c>
      <c r="E385" s="1">
        <v>51</v>
      </c>
      <c r="F385" s="1">
        <v>0</v>
      </c>
      <c r="G385" s="1">
        <v>0</v>
      </c>
      <c r="H385" s="1">
        <v>0</v>
      </c>
      <c r="I385" s="1">
        <v>239261</v>
      </c>
      <c r="J385" s="1">
        <v>29903</v>
      </c>
    </row>
    <row r="386" spans="1:10" x14ac:dyDescent="0.25">
      <c r="A386" s="27" t="s">
        <v>10</v>
      </c>
      <c r="B386" s="27" t="s">
        <v>874</v>
      </c>
      <c r="C386" s="27" t="s">
        <v>780</v>
      </c>
      <c r="D386" s="32"/>
      <c r="E386" s="32"/>
      <c r="F386" s="32"/>
      <c r="G386" s="32"/>
      <c r="H386" s="32"/>
      <c r="I386" s="32"/>
      <c r="J386" s="32"/>
    </row>
    <row r="387" spans="1:10" x14ac:dyDescent="0.25">
      <c r="A387" t="s">
        <v>69</v>
      </c>
      <c r="B387" t="s">
        <v>874</v>
      </c>
      <c r="C387" t="s">
        <v>439</v>
      </c>
      <c r="D387" s="1">
        <v>171553</v>
      </c>
      <c r="E387" s="1">
        <v>4459</v>
      </c>
      <c r="F387" s="1">
        <v>0</v>
      </c>
      <c r="G387" s="1">
        <v>0</v>
      </c>
      <c r="H387" s="1">
        <v>0</v>
      </c>
      <c r="I387" s="1">
        <v>100245</v>
      </c>
      <c r="J387" s="1">
        <v>38422</v>
      </c>
    </row>
    <row r="388" spans="1:10" x14ac:dyDescent="0.25">
      <c r="A388" t="s">
        <v>83</v>
      </c>
      <c r="B388" t="s">
        <v>874</v>
      </c>
      <c r="C388" t="s">
        <v>440</v>
      </c>
      <c r="D388" s="1">
        <v>8776</v>
      </c>
      <c r="E388" s="1">
        <v>24</v>
      </c>
      <c r="F388" s="1">
        <v>0</v>
      </c>
      <c r="G388" s="1">
        <v>0</v>
      </c>
      <c r="H388" s="1">
        <v>0</v>
      </c>
      <c r="I388" s="1">
        <v>18939</v>
      </c>
      <c r="J388" s="1">
        <v>1743</v>
      </c>
    </row>
    <row r="389" spans="1:10" x14ac:dyDescent="0.25">
      <c r="A389" t="s">
        <v>809</v>
      </c>
      <c r="B389" t="s">
        <v>874</v>
      </c>
      <c r="C389" t="s">
        <v>441</v>
      </c>
      <c r="D389" s="1">
        <v>39039</v>
      </c>
      <c r="E389" s="1">
        <v>796</v>
      </c>
      <c r="F389" s="1">
        <v>0</v>
      </c>
      <c r="G389" s="1">
        <v>0</v>
      </c>
      <c r="H389" s="1">
        <v>0</v>
      </c>
      <c r="I389" s="1">
        <v>29516</v>
      </c>
      <c r="J389" s="1">
        <v>6135</v>
      </c>
    </row>
    <row r="390" spans="1:10" x14ac:dyDescent="0.25">
      <c r="A390" t="s">
        <v>794</v>
      </c>
      <c r="B390" t="s">
        <v>874</v>
      </c>
      <c r="C390" t="s">
        <v>442</v>
      </c>
      <c r="D390" s="1">
        <v>89707</v>
      </c>
      <c r="E390" s="1">
        <v>324</v>
      </c>
      <c r="F390" s="1">
        <v>0</v>
      </c>
      <c r="G390" s="1">
        <v>0</v>
      </c>
      <c r="H390" s="1">
        <v>0</v>
      </c>
      <c r="I390" s="1">
        <v>77361</v>
      </c>
      <c r="J390" s="1">
        <v>35316</v>
      </c>
    </row>
    <row r="391" spans="1:10" x14ac:dyDescent="0.25">
      <c r="A391" t="s">
        <v>796</v>
      </c>
      <c r="B391" t="s">
        <v>874</v>
      </c>
      <c r="C391" t="s">
        <v>443</v>
      </c>
      <c r="D391" s="1">
        <v>131078</v>
      </c>
      <c r="E391" s="1">
        <v>266</v>
      </c>
      <c r="F391" s="1">
        <v>0</v>
      </c>
      <c r="G391" s="1">
        <v>0</v>
      </c>
      <c r="H391" s="1">
        <v>0</v>
      </c>
      <c r="I391" s="1">
        <v>118219</v>
      </c>
      <c r="J391" s="1">
        <v>24169</v>
      </c>
    </row>
    <row r="392" spans="1:10" x14ac:dyDescent="0.25">
      <c r="A392" t="s">
        <v>794</v>
      </c>
      <c r="B392" t="s">
        <v>874</v>
      </c>
      <c r="C392" t="s">
        <v>444</v>
      </c>
      <c r="D392" s="1">
        <v>154943</v>
      </c>
      <c r="E392" s="1">
        <v>984</v>
      </c>
      <c r="F392" s="1">
        <v>0</v>
      </c>
      <c r="G392" s="1">
        <v>0</v>
      </c>
      <c r="H392" s="1">
        <v>0</v>
      </c>
      <c r="I392" s="1">
        <v>64020</v>
      </c>
      <c r="J392" s="1">
        <v>55577</v>
      </c>
    </row>
    <row r="393" spans="1:10" x14ac:dyDescent="0.25">
      <c r="A393" t="s">
        <v>811</v>
      </c>
      <c r="B393" t="s">
        <v>874</v>
      </c>
      <c r="C393" t="s">
        <v>445</v>
      </c>
      <c r="D393" s="1"/>
      <c r="E393" s="1"/>
      <c r="F393" s="1"/>
      <c r="G393" s="1"/>
      <c r="H393" s="1"/>
      <c r="I393" s="1"/>
      <c r="J393" s="1"/>
    </row>
    <row r="394" spans="1:10" x14ac:dyDescent="0.25">
      <c r="A394" t="s">
        <v>848</v>
      </c>
      <c r="B394" t="s">
        <v>874</v>
      </c>
      <c r="C394" t="s">
        <v>446</v>
      </c>
      <c r="D394" s="1">
        <v>29362</v>
      </c>
      <c r="E394" s="1">
        <v>56</v>
      </c>
      <c r="F394" s="1">
        <v>0</v>
      </c>
      <c r="G394" s="1">
        <v>0</v>
      </c>
      <c r="H394" s="1">
        <v>0</v>
      </c>
      <c r="I394" s="1">
        <v>9197</v>
      </c>
      <c r="J394" s="1">
        <v>4621</v>
      </c>
    </row>
    <row r="395" spans="1:10" x14ac:dyDescent="0.25">
      <c r="A395" t="s">
        <v>134</v>
      </c>
      <c r="B395" t="s">
        <v>874</v>
      </c>
      <c r="C395" t="s">
        <v>447</v>
      </c>
      <c r="D395" s="1">
        <v>167960</v>
      </c>
      <c r="E395" s="1">
        <v>155</v>
      </c>
      <c r="F395" s="1">
        <v>0</v>
      </c>
      <c r="G395" s="1">
        <v>0</v>
      </c>
      <c r="H395" s="1">
        <v>0</v>
      </c>
      <c r="I395" s="1">
        <v>44203</v>
      </c>
      <c r="J395" s="1">
        <v>24938</v>
      </c>
    </row>
    <row r="396" spans="1:10" x14ac:dyDescent="0.25">
      <c r="A396" t="s">
        <v>76</v>
      </c>
      <c r="B396" t="s">
        <v>874</v>
      </c>
      <c r="C396" t="s">
        <v>448</v>
      </c>
      <c r="D396" s="1">
        <v>139590</v>
      </c>
      <c r="E396" s="1">
        <v>306</v>
      </c>
      <c r="F396" s="1">
        <v>0</v>
      </c>
      <c r="G396" s="1">
        <v>0</v>
      </c>
      <c r="H396" s="1">
        <v>0</v>
      </c>
      <c r="I396" s="1">
        <v>100425</v>
      </c>
      <c r="J396" s="1">
        <v>15899</v>
      </c>
    </row>
    <row r="397" spans="1:10" x14ac:dyDescent="0.25">
      <c r="A397" t="s">
        <v>801</v>
      </c>
      <c r="B397" t="s">
        <v>874</v>
      </c>
      <c r="C397" t="s">
        <v>449</v>
      </c>
      <c r="D397" s="1">
        <v>107337</v>
      </c>
      <c r="E397" s="1">
        <v>178</v>
      </c>
      <c r="F397" s="1">
        <v>0</v>
      </c>
      <c r="G397" s="1">
        <v>0</v>
      </c>
      <c r="H397" s="1">
        <v>0</v>
      </c>
      <c r="I397" s="1">
        <v>161921</v>
      </c>
      <c r="J397" s="1">
        <v>25451</v>
      </c>
    </row>
    <row r="398" spans="1:10" x14ac:dyDescent="0.25">
      <c r="A398" t="s">
        <v>788</v>
      </c>
      <c r="B398" t="s">
        <v>874</v>
      </c>
      <c r="C398" t="s">
        <v>450</v>
      </c>
      <c r="D398" s="1">
        <v>39953</v>
      </c>
      <c r="E398" s="1">
        <v>584</v>
      </c>
      <c r="F398" s="1">
        <v>0</v>
      </c>
      <c r="G398" s="1">
        <v>0</v>
      </c>
      <c r="H398" s="1">
        <v>0</v>
      </c>
      <c r="I398" s="1">
        <v>28129</v>
      </c>
      <c r="J398" s="1">
        <v>9386</v>
      </c>
    </row>
    <row r="399" spans="1:10" x14ac:dyDescent="0.25">
      <c r="A399" t="s">
        <v>795</v>
      </c>
      <c r="B399" t="s">
        <v>874</v>
      </c>
      <c r="C399" t="s">
        <v>451</v>
      </c>
      <c r="D399" s="1">
        <v>174396</v>
      </c>
      <c r="E399" s="1">
        <v>3793</v>
      </c>
      <c r="F399" s="1">
        <v>0</v>
      </c>
      <c r="G399" s="1">
        <v>0</v>
      </c>
      <c r="H399" s="1">
        <v>0</v>
      </c>
      <c r="I399" s="1">
        <v>89393</v>
      </c>
      <c r="J399" s="1">
        <v>74312</v>
      </c>
    </row>
    <row r="400" spans="1:10" x14ac:dyDescent="0.25">
      <c r="A400" t="s">
        <v>825</v>
      </c>
      <c r="B400" t="s">
        <v>874</v>
      </c>
      <c r="C400" t="s">
        <v>452</v>
      </c>
      <c r="D400" s="1">
        <v>12814</v>
      </c>
      <c r="E400" s="1">
        <v>31</v>
      </c>
      <c r="F400" s="1">
        <v>0</v>
      </c>
      <c r="G400" s="1">
        <v>0</v>
      </c>
      <c r="H400" s="1">
        <v>0</v>
      </c>
      <c r="I400" s="1">
        <v>14044</v>
      </c>
      <c r="J400" s="1">
        <v>2917</v>
      </c>
    </row>
    <row r="401" spans="1:10" x14ac:dyDescent="0.25">
      <c r="A401" t="s">
        <v>101</v>
      </c>
      <c r="B401" t="s">
        <v>874</v>
      </c>
      <c r="C401" t="s">
        <v>453</v>
      </c>
      <c r="D401" s="1">
        <v>60190</v>
      </c>
      <c r="E401" s="1">
        <v>234</v>
      </c>
      <c r="F401" s="1">
        <v>0</v>
      </c>
      <c r="G401" s="1">
        <v>0</v>
      </c>
      <c r="H401" s="1">
        <v>0</v>
      </c>
      <c r="I401" s="1">
        <v>48110</v>
      </c>
      <c r="J401" s="1">
        <v>12318</v>
      </c>
    </row>
    <row r="402" spans="1:10" x14ac:dyDescent="0.25">
      <c r="A402" t="s">
        <v>265</v>
      </c>
      <c r="B402" t="s">
        <v>874</v>
      </c>
      <c r="C402" t="s">
        <v>454</v>
      </c>
      <c r="D402" s="1">
        <v>80583</v>
      </c>
      <c r="E402" s="1">
        <v>20</v>
      </c>
      <c r="F402" s="1">
        <v>0</v>
      </c>
      <c r="G402" s="1">
        <v>0</v>
      </c>
      <c r="H402" s="1">
        <v>0</v>
      </c>
      <c r="I402" s="1">
        <v>120191</v>
      </c>
      <c r="J402" s="1">
        <v>7472</v>
      </c>
    </row>
    <row r="403" spans="1:10" x14ac:dyDescent="0.25">
      <c r="A403" t="s">
        <v>248</v>
      </c>
      <c r="B403" t="s">
        <v>874</v>
      </c>
      <c r="C403" t="s">
        <v>455</v>
      </c>
      <c r="D403" s="1">
        <v>21782</v>
      </c>
      <c r="E403" s="1">
        <v>449</v>
      </c>
      <c r="F403" s="1">
        <v>0</v>
      </c>
      <c r="G403" s="1">
        <v>0</v>
      </c>
      <c r="H403" s="1">
        <v>0</v>
      </c>
      <c r="I403" s="1">
        <v>77688</v>
      </c>
      <c r="J403" s="1">
        <v>4638</v>
      </c>
    </row>
    <row r="404" spans="1:10" x14ac:dyDescent="0.25">
      <c r="A404" t="s">
        <v>76</v>
      </c>
      <c r="B404" t="s">
        <v>874</v>
      </c>
      <c r="C404" t="s">
        <v>456</v>
      </c>
      <c r="D404" s="1">
        <v>104996</v>
      </c>
      <c r="E404" s="1">
        <v>199</v>
      </c>
      <c r="F404" s="1">
        <v>0</v>
      </c>
      <c r="G404" s="1">
        <v>0</v>
      </c>
      <c r="H404" s="1">
        <v>0</v>
      </c>
      <c r="I404" s="1">
        <v>301739</v>
      </c>
      <c r="J404" s="1">
        <v>14492</v>
      </c>
    </row>
    <row r="405" spans="1:10" x14ac:dyDescent="0.25">
      <c r="A405" t="s">
        <v>76</v>
      </c>
      <c r="B405" t="s">
        <v>874</v>
      </c>
      <c r="C405" t="s">
        <v>457</v>
      </c>
      <c r="D405" s="1">
        <v>62234</v>
      </c>
      <c r="E405" s="1">
        <v>398</v>
      </c>
      <c r="F405" s="1">
        <v>0</v>
      </c>
      <c r="G405" s="1">
        <v>0</v>
      </c>
      <c r="H405" s="1">
        <v>0</v>
      </c>
      <c r="I405" s="1">
        <v>33639</v>
      </c>
      <c r="J405" s="1">
        <v>18539</v>
      </c>
    </row>
    <row r="406" spans="1:10" x14ac:dyDescent="0.25">
      <c r="A406" t="s">
        <v>146</v>
      </c>
      <c r="B406" t="s">
        <v>874</v>
      </c>
      <c r="C406" t="s">
        <v>458</v>
      </c>
      <c r="D406" s="1">
        <v>31913</v>
      </c>
      <c r="E406" s="1">
        <v>2823</v>
      </c>
      <c r="F406" s="1">
        <v>0</v>
      </c>
      <c r="G406" s="1">
        <v>0</v>
      </c>
      <c r="H406" s="1">
        <v>0</v>
      </c>
      <c r="I406" s="1">
        <v>63150</v>
      </c>
      <c r="J406" s="1">
        <v>9423</v>
      </c>
    </row>
    <row r="407" spans="1:10" x14ac:dyDescent="0.25">
      <c r="A407" t="s">
        <v>83</v>
      </c>
      <c r="B407" t="s">
        <v>874</v>
      </c>
      <c r="C407" t="s">
        <v>459</v>
      </c>
      <c r="D407" s="1">
        <v>11747</v>
      </c>
      <c r="E407" s="1">
        <v>65</v>
      </c>
      <c r="F407" s="1">
        <v>0</v>
      </c>
      <c r="G407" s="1">
        <v>0</v>
      </c>
      <c r="H407" s="1">
        <v>0</v>
      </c>
      <c r="I407" s="1">
        <v>12428</v>
      </c>
      <c r="J407" s="1">
        <v>2705</v>
      </c>
    </row>
    <row r="408" spans="1:10" x14ac:dyDescent="0.25">
      <c r="A408" t="s">
        <v>248</v>
      </c>
      <c r="B408" t="s">
        <v>874</v>
      </c>
      <c r="C408" t="s">
        <v>460</v>
      </c>
      <c r="D408" s="1">
        <v>100458</v>
      </c>
      <c r="E408" s="1">
        <v>983</v>
      </c>
      <c r="F408" s="1">
        <v>0</v>
      </c>
      <c r="G408" s="1">
        <v>0</v>
      </c>
      <c r="H408" s="1">
        <v>0</v>
      </c>
      <c r="I408" s="1">
        <v>334789</v>
      </c>
      <c r="J408" s="1">
        <v>42119</v>
      </c>
    </row>
    <row r="409" spans="1:10" x14ac:dyDescent="0.25">
      <c r="A409" t="s">
        <v>248</v>
      </c>
      <c r="B409" t="s">
        <v>874</v>
      </c>
      <c r="C409" t="s">
        <v>461</v>
      </c>
      <c r="D409" s="1">
        <v>102372</v>
      </c>
      <c r="E409" s="1">
        <v>184</v>
      </c>
      <c r="F409" s="1">
        <v>0</v>
      </c>
      <c r="G409" s="1">
        <v>0</v>
      </c>
      <c r="H409" s="1">
        <v>0</v>
      </c>
      <c r="I409" s="1">
        <v>135902</v>
      </c>
      <c r="J409" s="1">
        <v>17370</v>
      </c>
    </row>
    <row r="410" spans="1:10" x14ac:dyDescent="0.25">
      <c r="A410" t="s">
        <v>226</v>
      </c>
      <c r="B410" t="s">
        <v>874</v>
      </c>
      <c r="C410" t="s">
        <v>462</v>
      </c>
      <c r="D410" s="1">
        <v>22845</v>
      </c>
      <c r="E410" s="1">
        <v>48</v>
      </c>
      <c r="F410" s="1">
        <v>0</v>
      </c>
      <c r="G410" s="1">
        <v>0</v>
      </c>
      <c r="H410" s="1">
        <v>0</v>
      </c>
      <c r="I410" s="1">
        <v>2225</v>
      </c>
      <c r="J410" s="1">
        <v>2109</v>
      </c>
    </row>
    <row r="411" spans="1:10" x14ac:dyDescent="0.25">
      <c r="A411" t="s">
        <v>826</v>
      </c>
      <c r="B411" t="s">
        <v>874</v>
      </c>
      <c r="C411" t="s">
        <v>463</v>
      </c>
      <c r="D411" s="1"/>
      <c r="E411" s="1"/>
      <c r="F411" s="1"/>
      <c r="G411" s="1"/>
      <c r="H411" s="1"/>
      <c r="I411" s="1"/>
      <c r="J411" s="1"/>
    </row>
    <row r="412" spans="1:10" x14ac:dyDescent="0.25">
      <c r="A412" t="s">
        <v>248</v>
      </c>
      <c r="B412" t="s">
        <v>874</v>
      </c>
      <c r="C412" t="s">
        <v>464</v>
      </c>
      <c r="D412" s="1"/>
      <c r="E412" s="1"/>
      <c r="F412" s="1"/>
      <c r="G412" s="1"/>
      <c r="H412" s="1"/>
      <c r="I412" s="1"/>
      <c r="J412" s="1"/>
    </row>
    <row r="413" spans="1:10" x14ac:dyDescent="0.25">
      <c r="A413" t="s">
        <v>101</v>
      </c>
      <c r="B413" t="s">
        <v>874</v>
      </c>
      <c r="C413" t="s">
        <v>465</v>
      </c>
      <c r="D413" s="1">
        <v>33766</v>
      </c>
      <c r="E413" s="1">
        <v>7</v>
      </c>
      <c r="F413" s="1">
        <v>0</v>
      </c>
      <c r="G413" s="1">
        <v>0</v>
      </c>
      <c r="H413" s="1">
        <v>0</v>
      </c>
      <c r="I413" s="1">
        <v>77422</v>
      </c>
      <c r="J413" s="1">
        <v>10056</v>
      </c>
    </row>
    <row r="414" spans="1:10" x14ac:dyDescent="0.25">
      <c r="A414" t="s">
        <v>865</v>
      </c>
      <c r="B414" t="s">
        <v>874</v>
      </c>
      <c r="C414" t="s">
        <v>466</v>
      </c>
      <c r="D414" s="1">
        <v>86323</v>
      </c>
      <c r="E414" s="1">
        <v>91</v>
      </c>
      <c r="F414" s="1">
        <v>0</v>
      </c>
      <c r="G414" s="1">
        <v>0</v>
      </c>
      <c r="H414" s="1">
        <v>0</v>
      </c>
      <c r="I414" s="1">
        <v>35049</v>
      </c>
      <c r="J414" s="1">
        <v>12165</v>
      </c>
    </row>
    <row r="415" spans="1:10" x14ac:dyDescent="0.25">
      <c r="A415" t="s">
        <v>512</v>
      </c>
      <c r="B415" t="s">
        <v>874</v>
      </c>
      <c r="C415" t="s">
        <v>467</v>
      </c>
      <c r="D415" s="1">
        <v>40459</v>
      </c>
      <c r="E415" s="1">
        <v>87</v>
      </c>
      <c r="F415" s="1">
        <v>0</v>
      </c>
      <c r="G415" s="1">
        <v>0</v>
      </c>
      <c r="H415" s="1">
        <v>0</v>
      </c>
      <c r="I415" s="1">
        <v>26196</v>
      </c>
      <c r="J415" s="1">
        <v>12410</v>
      </c>
    </row>
    <row r="416" spans="1:10" x14ac:dyDescent="0.25">
      <c r="A416" s="27" t="s">
        <v>10</v>
      </c>
      <c r="B416" s="27" t="s">
        <v>874</v>
      </c>
      <c r="C416" s="27" t="s">
        <v>781</v>
      </c>
      <c r="D416" s="32"/>
      <c r="E416" s="32"/>
      <c r="F416" s="32"/>
      <c r="G416" s="32"/>
      <c r="H416" s="32"/>
      <c r="I416" s="32"/>
      <c r="J416" s="32"/>
    </row>
    <row r="417" spans="1:10" x14ac:dyDescent="0.25">
      <c r="A417" t="s">
        <v>868</v>
      </c>
      <c r="B417" t="s">
        <v>874</v>
      </c>
      <c r="C417" t="s">
        <v>468</v>
      </c>
      <c r="D417" s="1"/>
      <c r="E417" s="1"/>
      <c r="F417" s="1"/>
      <c r="G417" s="1"/>
      <c r="H417" s="1"/>
      <c r="I417" s="1"/>
      <c r="J417" s="1"/>
    </row>
    <row r="418" spans="1:10" x14ac:dyDescent="0.25">
      <c r="A418" t="s">
        <v>817</v>
      </c>
      <c r="B418" t="s">
        <v>874</v>
      </c>
      <c r="C418" t="s">
        <v>469</v>
      </c>
      <c r="D418" s="1">
        <v>276823</v>
      </c>
      <c r="E418" s="1">
        <v>336</v>
      </c>
      <c r="F418" s="1">
        <v>0</v>
      </c>
      <c r="G418" s="1">
        <v>0</v>
      </c>
      <c r="H418" s="1">
        <v>0</v>
      </c>
      <c r="I418" s="1">
        <v>48818</v>
      </c>
      <c r="J418" s="1">
        <v>2742</v>
      </c>
    </row>
    <row r="419" spans="1:10" x14ac:dyDescent="0.25">
      <c r="A419" t="s">
        <v>791</v>
      </c>
      <c r="B419" t="s">
        <v>874</v>
      </c>
      <c r="C419" t="s">
        <v>470</v>
      </c>
      <c r="D419" s="1"/>
      <c r="E419" s="1"/>
      <c r="F419" s="1"/>
      <c r="G419" s="1"/>
      <c r="H419" s="1"/>
      <c r="I419" s="1"/>
      <c r="J419" s="1"/>
    </row>
    <row r="420" spans="1:10" x14ac:dyDescent="0.25">
      <c r="A420" t="s">
        <v>788</v>
      </c>
      <c r="B420" t="s">
        <v>874</v>
      </c>
      <c r="C420" t="s">
        <v>471</v>
      </c>
      <c r="D420" s="1">
        <v>57179</v>
      </c>
      <c r="E420" s="1">
        <v>311</v>
      </c>
      <c r="F420" s="1">
        <v>0</v>
      </c>
      <c r="G420" s="1">
        <v>0</v>
      </c>
      <c r="H420" s="1">
        <v>0</v>
      </c>
      <c r="I420" s="1">
        <v>16498</v>
      </c>
      <c r="J420" s="1">
        <v>10698</v>
      </c>
    </row>
    <row r="421" spans="1:10" x14ac:dyDescent="0.25">
      <c r="A421" t="s">
        <v>795</v>
      </c>
      <c r="B421" t="s">
        <v>874</v>
      </c>
      <c r="C421" t="s">
        <v>472</v>
      </c>
      <c r="D421" s="1">
        <v>50862</v>
      </c>
      <c r="E421" s="1">
        <v>1147</v>
      </c>
      <c r="F421" s="1">
        <v>0</v>
      </c>
      <c r="G421" s="1">
        <v>0</v>
      </c>
      <c r="H421" s="1">
        <v>0</v>
      </c>
      <c r="I421" s="1">
        <v>29750</v>
      </c>
      <c r="J421" s="1">
        <v>12911</v>
      </c>
    </row>
    <row r="422" spans="1:10" x14ac:dyDescent="0.25">
      <c r="A422" t="s">
        <v>788</v>
      </c>
      <c r="B422" t="s">
        <v>874</v>
      </c>
      <c r="C422" t="s">
        <v>473</v>
      </c>
      <c r="D422" s="1">
        <v>92520</v>
      </c>
      <c r="E422" s="1">
        <v>2091</v>
      </c>
      <c r="F422" s="1">
        <v>0</v>
      </c>
      <c r="G422" s="1">
        <v>0</v>
      </c>
      <c r="H422" s="1">
        <v>0</v>
      </c>
      <c r="I422" s="1">
        <v>37652</v>
      </c>
      <c r="J422" s="1">
        <v>27963</v>
      </c>
    </row>
    <row r="423" spans="1:10" x14ac:dyDescent="0.25">
      <c r="A423" t="s">
        <v>817</v>
      </c>
      <c r="B423" t="s">
        <v>874</v>
      </c>
      <c r="C423" t="s">
        <v>474</v>
      </c>
      <c r="D423" s="1">
        <v>78283</v>
      </c>
      <c r="E423" s="1">
        <v>360</v>
      </c>
      <c r="F423" s="1">
        <v>0</v>
      </c>
      <c r="G423" s="1">
        <v>0</v>
      </c>
      <c r="H423" s="1">
        <v>0</v>
      </c>
      <c r="I423" s="1">
        <v>393023</v>
      </c>
      <c r="J423" s="1">
        <v>44032</v>
      </c>
    </row>
    <row r="424" spans="1:10" x14ac:dyDescent="0.25">
      <c r="A424" t="s">
        <v>512</v>
      </c>
      <c r="B424" t="s">
        <v>874</v>
      </c>
      <c r="C424" t="s">
        <v>475</v>
      </c>
      <c r="D424" s="1">
        <v>18604</v>
      </c>
      <c r="E424" s="1">
        <v>61</v>
      </c>
      <c r="F424" s="1">
        <v>0</v>
      </c>
      <c r="G424" s="1">
        <v>0</v>
      </c>
      <c r="H424" s="1">
        <v>0</v>
      </c>
      <c r="I424" s="1">
        <v>26352</v>
      </c>
      <c r="J424" s="1">
        <v>3534</v>
      </c>
    </row>
    <row r="425" spans="1:10" x14ac:dyDescent="0.25">
      <c r="A425" t="s">
        <v>146</v>
      </c>
      <c r="B425" t="s">
        <v>874</v>
      </c>
      <c r="C425" t="s">
        <v>476</v>
      </c>
      <c r="D425" s="1">
        <v>76929</v>
      </c>
      <c r="E425" s="1">
        <v>81</v>
      </c>
      <c r="F425" s="1">
        <v>0</v>
      </c>
      <c r="G425" s="1">
        <v>0</v>
      </c>
      <c r="H425" s="1">
        <v>0</v>
      </c>
      <c r="I425" s="1">
        <v>30614</v>
      </c>
      <c r="J425" s="1">
        <v>17738</v>
      </c>
    </row>
    <row r="426" spans="1:10" x14ac:dyDescent="0.25">
      <c r="A426" t="s">
        <v>76</v>
      </c>
      <c r="B426" t="s">
        <v>874</v>
      </c>
      <c r="C426" t="s">
        <v>477</v>
      </c>
      <c r="D426" s="1">
        <v>94853</v>
      </c>
      <c r="E426" s="1">
        <v>1119</v>
      </c>
      <c r="F426" s="1">
        <v>0</v>
      </c>
      <c r="G426" s="1">
        <v>0</v>
      </c>
      <c r="H426" s="1">
        <v>0</v>
      </c>
      <c r="I426" s="1">
        <v>75457</v>
      </c>
      <c r="J426" s="1">
        <v>32131</v>
      </c>
    </row>
    <row r="427" spans="1:10" x14ac:dyDescent="0.25">
      <c r="A427" t="s">
        <v>76</v>
      </c>
      <c r="B427" t="s">
        <v>874</v>
      </c>
      <c r="C427" t="s">
        <v>478</v>
      </c>
      <c r="D427" s="1">
        <v>93664</v>
      </c>
      <c r="E427" s="1">
        <v>691</v>
      </c>
      <c r="F427" s="1">
        <v>0</v>
      </c>
      <c r="G427" s="1">
        <v>0</v>
      </c>
      <c r="H427" s="1">
        <v>0</v>
      </c>
      <c r="I427" s="1">
        <v>37222</v>
      </c>
      <c r="J427" s="1">
        <v>25128</v>
      </c>
    </row>
    <row r="428" spans="1:10" x14ac:dyDescent="0.25">
      <c r="A428" t="s">
        <v>823</v>
      </c>
      <c r="B428" t="s">
        <v>874</v>
      </c>
      <c r="C428" t="s">
        <v>479</v>
      </c>
      <c r="D428" s="1">
        <v>67822</v>
      </c>
      <c r="E428" s="1">
        <v>202</v>
      </c>
      <c r="F428" s="1">
        <v>0</v>
      </c>
      <c r="G428" s="1">
        <v>0</v>
      </c>
      <c r="H428" s="1">
        <v>0</v>
      </c>
      <c r="I428" s="1">
        <v>20032</v>
      </c>
      <c r="J428" s="1">
        <v>13418</v>
      </c>
    </row>
    <row r="429" spans="1:10" x14ac:dyDescent="0.25">
      <c r="A429" t="s">
        <v>83</v>
      </c>
      <c r="B429" t="s">
        <v>874</v>
      </c>
      <c r="C429" t="s">
        <v>480</v>
      </c>
      <c r="D429" s="1">
        <v>34787</v>
      </c>
      <c r="E429" s="1">
        <v>93</v>
      </c>
      <c r="F429" s="1">
        <v>0</v>
      </c>
      <c r="G429" s="1">
        <v>0</v>
      </c>
      <c r="H429" s="1">
        <v>0</v>
      </c>
      <c r="I429" s="1">
        <v>31716</v>
      </c>
      <c r="J429" s="1">
        <v>13652</v>
      </c>
    </row>
    <row r="430" spans="1:10" x14ac:dyDescent="0.25">
      <c r="A430" t="s">
        <v>512</v>
      </c>
      <c r="B430" t="s">
        <v>874</v>
      </c>
      <c r="C430" t="s">
        <v>481</v>
      </c>
      <c r="D430" s="1">
        <v>35587</v>
      </c>
      <c r="E430" s="1">
        <v>251</v>
      </c>
      <c r="F430" s="1">
        <v>0</v>
      </c>
      <c r="G430" s="1">
        <v>0</v>
      </c>
      <c r="H430" s="1">
        <v>0</v>
      </c>
      <c r="I430" s="1">
        <v>5026</v>
      </c>
      <c r="J430" s="1">
        <v>7024</v>
      </c>
    </row>
    <row r="431" spans="1:10" x14ac:dyDescent="0.25">
      <c r="A431" t="s">
        <v>824</v>
      </c>
      <c r="B431" t="s">
        <v>874</v>
      </c>
      <c r="C431" t="s">
        <v>482</v>
      </c>
      <c r="D431" s="1">
        <v>15335</v>
      </c>
      <c r="E431" s="1">
        <v>399</v>
      </c>
      <c r="F431" s="1">
        <v>0</v>
      </c>
      <c r="G431" s="1">
        <v>0</v>
      </c>
      <c r="H431" s="1">
        <v>0</v>
      </c>
      <c r="I431" s="1">
        <v>9071</v>
      </c>
      <c r="J431" s="1">
        <v>4603</v>
      </c>
    </row>
    <row r="432" spans="1:10" x14ac:dyDescent="0.25">
      <c r="A432" t="s">
        <v>72</v>
      </c>
      <c r="B432" t="s">
        <v>874</v>
      </c>
      <c r="C432" t="s">
        <v>483</v>
      </c>
      <c r="D432" s="1">
        <v>52255</v>
      </c>
      <c r="E432" s="1">
        <v>100</v>
      </c>
      <c r="F432" s="1">
        <v>0</v>
      </c>
      <c r="G432" s="1">
        <v>0</v>
      </c>
      <c r="H432" s="1">
        <v>0</v>
      </c>
      <c r="I432" s="1">
        <v>152126</v>
      </c>
      <c r="J432" s="1">
        <v>6407</v>
      </c>
    </row>
    <row r="433" spans="1:10" x14ac:dyDescent="0.25">
      <c r="A433" t="s">
        <v>801</v>
      </c>
      <c r="B433" t="s">
        <v>874</v>
      </c>
      <c r="C433" t="s">
        <v>484</v>
      </c>
      <c r="D433" s="1">
        <v>57391</v>
      </c>
      <c r="E433" s="1">
        <v>25</v>
      </c>
      <c r="F433" s="1">
        <v>0</v>
      </c>
      <c r="G433" s="1">
        <v>0</v>
      </c>
      <c r="H433" s="1">
        <v>0</v>
      </c>
      <c r="I433" s="1">
        <v>165600</v>
      </c>
      <c r="J433" s="1">
        <v>23927</v>
      </c>
    </row>
    <row r="434" spans="1:10" x14ac:dyDescent="0.25">
      <c r="A434" t="s">
        <v>818</v>
      </c>
      <c r="B434" t="s">
        <v>874</v>
      </c>
      <c r="C434" t="s">
        <v>485</v>
      </c>
      <c r="D434" s="1">
        <v>44287</v>
      </c>
      <c r="E434" s="1">
        <v>22</v>
      </c>
      <c r="F434" s="1">
        <v>0</v>
      </c>
      <c r="G434" s="1">
        <v>0</v>
      </c>
      <c r="H434" s="1">
        <v>0</v>
      </c>
      <c r="I434" s="1">
        <v>28551</v>
      </c>
      <c r="J434" s="1">
        <v>10720</v>
      </c>
    </row>
    <row r="435" spans="1:10" x14ac:dyDescent="0.25">
      <c r="A435" t="s">
        <v>797</v>
      </c>
      <c r="B435" t="s">
        <v>874</v>
      </c>
      <c r="C435" t="s">
        <v>486</v>
      </c>
      <c r="D435" s="1">
        <v>79375</v>
      </c>
      <c r="E435" s="1">
        <v>80</v>
      </c>
      <c r="F435" s="1">
        <v>0</v>
      </c>
      <c r="G435" s="1">
        <v>0</v>
      </c>
      <c r="H435" s="1">
        <v>0</v>
      </c>
      <c r="I435" s="1">
        <v>19724</v>
      </c>
      <c r="J435" s="1">
        <v>9749</v>
      </c>
    </row>
    <row r="436" spans="1:10" x14ac:dyDescent="0.25">
      <c r="A436" t="s">
        <v>804</v>
      </c>
      <c r="B436" t="s">
        <v>874</v>
      </c>
      <c r="C436" t="s">
        <v>487</v>
      </c>
      <c r="D436" s="1">
        <v>59195</v>
      </c>
      <c r="E436" s="1">
        <v>23</v>
      </c>
      <c r="F436" s="1">
        <v>0</v>
      </c>
      <c r="G436" s="1">
        <v>0</v>
      </c>
      <c r="H436" s="1">
        <v>0</v>
      </c>
      <c r="I436" s="1">
        <v>31421</v>
      </c>
      <c r="J436" s="1">
        <v>17626</v>
      </c>
    </row>
    <row r="437" spans="1:10" x14ac:dyDescent="0.25">
      <c r="A437" t="s">
        <v>226</v>
      </c>
      <c r="B437" t="s">
        <v>874</v>
      </c>
      <c r="C437" t="s">
        <v>488</v>
      </c>
      <c r="D437" s="1">
        <v>64390</v>
      </c>
      <c r="E437" s="1">
        <v>296</v>
      </c>
      <c r="F437" s="1">
        <v>0</v>
      </c>
      <c r="G437" s="1">
        <v>0</v>
      </c>
      <c r="H437" s="1">
        <v>0</v>
      </c>
      <c r="I437" s="1">
        <v>31347</v>
      </c>
      <c r="J437" s="1">
        <v>15135</v>
      </c>
    </row>
    <row r="438" spans="1:10" x14ac:dyDescent="0.25">
      <c r="A438" t="s">
        <v>265</v>
      </c>
      <c r="B438" t="s">
        <v>874</v>
      </c>
      <c r="C438" t="s">
        <v>489</v>
      </c>
      <c r="D438" s="1">
        <v>37126</v>
      </c>
      <c r="E438" s="1">
        <v>88</v>
      </c>
      <c r="F438" s="1">
        <v>0</v>
      </c>
      <c r="G438" s="1">
        <v>0</v>
      </c>
      <c r="H438" s="1">
        <v>0</v>
      </c>
      <c r="I438" s="1">
        <v>46994</v>
      </c>
      <c r="J438" s="1">
        <v>5419</v>
      </c>
    </row>
    <row r="439" spans="1:10" x14ac:dyDescent="0.25">
      <c r="A439" t="s">
        <v>10</v>
      </c>
      <c r="B439" t="s">
        <v>874</v>
      </c>
      <c r="C439" t="s">
        <v>490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</row>
    <row r="440" spans="1:10" x14ac:dyDescent="0.25">
      <c r="A440" t="s">
        <v>801</v>
      </c>
      <c r="B440" t="s">
        <v>874</v>
      </c>
      <c r="C440" t="s">
        <v>491</v>
      </c>
      <c r="D440" s="1">
        <v>51692</v>
      </c>
      <c r="E440" s="1">
        <v>1415</v>
      </c>
      <c r="F440" s="1">
        <v>0</v>
      </c>
      <c r="G440" s="1">
        <v>0</v>
      </c>
      <c r="H440" s="1">
        <v>0</v>
      </c>
      <c r="I440" s="1">
        <v>66461</v>
      </c>
      <c r="J440" s="1">
        <v>23809</v>
      </c>
    </row>
    <row r="441" spans="1:10" x14ac:dyDescent="0.25">
      <c r="A441" t="s">
        <v>818</v>
      </c>
      <c r="B441" t="s">
        <v>874</v>
      </c>
      <c r="C441" t="s">
        <v>492</v>
      </c>
      <c r="D441" s="1">
        <v>26233</v>
      </c>
      <c r="E441" s="1">
        <v>96</v>
      </c>
      <c r="F441" s="1">
        <v>0</v>
      </c>
      <c r="G441" s="1">
        <v>0</v>
      </c>
      <c r="H441" s="1">
        <v>0</v>
      </c>
      <c r="I441" s="1">
        <v>32888</v>
      </c>
      <c r="J441" s="1">
        <v>6331</v>
      </c>
    </row>
    <row r="442" spans="1:10" x14ac:dyDescent="0.25">
      <c r="A442" t="s">
        <v>791</v>
      </c>
      <c r="B442" t="s">
        <v>874</v>
      </c>
      <c r="C442" t="s">
        <v>493</v>
      </c>
      <c r="D442" s="1"/>
      <c r="E442" s="1"/>
      <c r="F442" s="1"/>
      <c r="G442" s="1"/>
      <c r="H442" s="1"/>
      <c r="I442" s="1"/>
      <c r="J442" s="1"/>
    </row>
    <row r="443" spans="1:10" x14ac:dyDescent="0.25">
      <c r="A443" t="s">
        <v>138</v>
      </c>
      <c r="B443" t="s">
        <v>874</v>
      </c>
      <c r="C443" t="s">
        <v>494</v>
      </c>
      <c r="D443" s="1">
        <v>21836</v>
      </c>
      <c r="E443" s="1">
        <v>22</v>
      </c>
      <c r="F443" s="1">
        <v>0</v>
      </c>
      <c r="G443" s="1">
        <v>0</v>
      </c>
      <c r="H443" s="1">
        <v>0</v>
      </c>
      <c r="I443" s="1">
        <v>52937</v>
      </c>
      <c r="J443" s="1">
        <v>4679</v>
      </c>
    </row>
    <row r="444" spans="1:10" x14ac:dyDescent="0.25">
      <c r="A444" t="s">
        <v>495</v>
      </c>
      <c r="B444" t="s">
        <v>874</v>
      </c>
      <c r="C444" t="s">
        <v>496</v>
      </c>
      <c r="D444" s="1">
        <v>256095</v>
      </c>
      <c r="E444" s="1">
        <v>748</v>
      </c>
      <c r="F444" s="1">
        <v>0</v>
      </c>
      <c r="G444" s="1">
        <v>0</v>
      </c>
      <c r="H444" s="1">
        <v>0</v>
      </c>
      <c r="I444" s="1">
        <v>68402</v>
      </c>
      <c r="J444" s="1">
        <v>69448</v>
      </c>
    </row>
    <row r="445" spans="1:10" x14ac:dyDescent="0.25">
      <c r="A445" t="s">
        <v>791</v>
      </c>
      <c r="B445" t="s">
        <v>874</v>
      </c>
      <c r="C445" t="s">
        <v>497</v>
      </c>
      <c r="D445" s="1"/>
      <c r="E445" s="1"/>
      <c r="F445" s="1"/>
      <c r="G445" s="1"/>
      <c r="H445" s="1"/>
      <c r="I445" s="1"/>
      <c r="J445" s="1"/>
    </row>
    <row r="446" spans="1:10" x14ac:dyDescent="0.25">
      <c r="A446" s="27" t="s">
        <v>10</v>
      </c>
      <c r="B446" s="27" t="s">
        <v>874</v>
      </c>
      <c r="C446" s="27" t="s">
        <v>782</v>
      </c>
      <c r="D446" s="32"/>
      <c r="E446" s="32"/>
      <c r="F446" s="32"/>
      <c r="G446" s="32"/>
      <c r="H446" s="32"/>
      <c r="I446" s="32"/>
      <c r="J446" s="32"/>
    </row>
    <row r="447" spans="1:10" x14ac:dyDescent="0.25">
      <c r="A447" s="27" t="s">
        <v>10</v>
      </c>
      <c r="B447" s="27" t="s">
        <v>874</v>
      </c>
      <c r="C447" s="27" t="s">
        <v>783</v>
      </c>
      <c r="D447" s="32"/>
      <c r="E447" s="32"/>
      <c r="F447" s="32"/>
      <c r="G447" s="32"/>
      <c r="H447" s="32"/>
      <c r="I447" s="32"/>
      <c r="J447" s="32"/>
    </row>
    <row r="448" spans="1:10" x14ac:dyDescent="0.25">
      <c r="A448" s="27" t="s">
        <v>10</v>
      </c>
      <c r="B448" s="27" t="s">
        <v>874</v>
      </c>
      <c r="C448" s="27" t="s">
        <v>784</v>
      </c>
      <c r="D448" s="32"/>
      <c r="E448" s="32"/>
      <c r="F448" s="32"/>
      <c r="G448" s="32"/>
      <c r="H448" s="32"/>
      <c r="I448" s="32"/>
      <c r="J448" s="32"/>
    </row>
    <row r="449" spans="1:10" x14ac:dyDescent="0.25">
      <c r="A449" s="27" t="s">
        <v>10</v>
      </c>
      <c r="B449" s="27" t="s">
        <v>874</v>
      </c>
      <c r="C449" s="27" t="s">
        <v>785</v>
      </c>
      <c r="D449" s="32"/>
      <c r="E449" s="32"/>
      <c r="F449" s="32"/>
      <c r="G449" s="32"/>
      <c r="H449" s="32"/>
      <c r="I449" s="32"/>
      <c r="J449" s="32"/>
    </row>
    <row r="450" spans="1:10" x14ac:dyDescent="0.25">
      <c r="A450" t="s">
        <v>10</v>
      </c>
      <c r="B450" t="s">
        <v>874</v>
      </c>
      <c r="C450" t="s">
        <v>498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</row>
    <row r="451" spans="1:10" x14ac:dyDescent="0.25">
      <c r="A451" s="27" t="s">
        <v>10</v>
      </c>
      <c r="B451" s="27" t="s">
        <v>874</v>
      </c>
      <c r="C451" s="27" t="s">
        <v>786</v>
      </c>
      <c r="D451" s="32"/>
      <c r="E451" s="32"/>
      <c r="F451" s="32"/>
      <c r="G451" s="32"/>
      <c r="H451" s="32"/>
      <c r="I451" s="32"/>
      <c r="J451" s="32"/>
    </row>
    <row r="452" spans="1:10" x14ac:dyDescent="0.25">
      <c r="A452" t="s">
        <v>10</v>
      </c>
      <c r="B452" t="s">
        <v>874</v>
      </c>
      <c r="C452" t="s">
        <v>499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</row>
    <row r="453" spans="1:10" x14ac:dyDescent="0.25">
      <c r="A453" t="s">
        <v>10</v>
      </c>
      <c r="B453" t="s">
        <v>874</v>
      </c>
      <c r="C453" t="s">
        <v>500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</row>
    <row r="454" spans="1:10" x14ac:dyDescent="0.25">
      <c r="A454" t="s">
        <v>76</v>
      </c>
      <c r="B454" t="s">
        <v>878</v>
      </c>
      <c r="C454" t="s">
        <v>501</v>
      </c>
      <c r="D454" s="1">
        <v>13009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</row>
    <row r="455" spans="1:10" x14ac:dyDescent="0.25">
      <c r="A455" t="s">
        <v>817</v>
      </c>
      <c r="B455" t="s">
        <v>878</v>
      </c>
      <c r="C455" t="s">
        <v>502</v>
      </c>
      <c r="D455" s="1"/>
      <c r="E455" s="1"/>
      <c r="F455" s="1"/>
      <c r="G455" s="1"/>
      <c r="H455" s="1"/>
      <c r="I455" s="1"/>
      <c r="J455" s="1"/>
    </row>
    <row r="456" spans="1:10" x14ac:dyDescent="0.25">
      <c r="A456" t="s">
        <v>831</v>
      </c>
      <c r="B456" t="s">
        <v>878</v>
      </c>
      <c r="C456" t="s">
        <v>503</v>
      </c>
      <c r="D456" s="1">
        <v>1526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</row>
    <row r="457" spans="1:10" x14ac:dyDescent="0.25">
      <c r="A457" t="s">
        <v>76</v>
      </c>
      <c r="B457" t="s">
        <v>878</v>
      </c>
      <c r="C457" t="s">
        <v>504</v>
      </c>
      <c r="D457" s="1">
        <v>27789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</row>
    <row r="458" spans="1:10" x14ac:dyDescent="0.25">
      <c r="A458" t="s">
        <v>817</v>
      </c>
      <c r="B458" t="s">
        <v>878</v>
      </c>
      <c r="C458" t="s">
        <v>505</v>
      </c>
      <c r="D458" s="1">
        <v>8086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</row>
    <row r="459" spans="1:10" x14ac:dyDescent="0.25">
      <c r="A459" s="9" t="s">
        <v>824</v>
      </c>
      <c r="B459" s="10" t="s">
        <v>878</v>
      </c>
      <c r="C459" s="10" t="s">
        <v>506</v>
      </c>
      <c r="D459" s="1">
        <v>5779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</row>
    <row r="460" spans="1:10" x14ac:dyDescent="0.25">
      <c r="A460" t="s">
        <v>817</v>
      </c>
      <c r="B460" t="s">
        <v>878</v>
      </c>
      <c r="C460" t="s">
        <v>507</v>
      </c>
      <c r="D460" s="1">
        <v>14354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</row>
    <row r="461" spans="1:10" x14ac:dyDescent="0.25">
      <c r="A461" t="s">
        <v>817</v>
      </c>
      <c r="B461" t="s">
        <v>878</v>
      </c>
      <c r="C461" t="s">
        <v>508</v>
      </c>
      <c r="D461" s="1"/>
      <c r="E461" s="1"/>
      <c r="F461" s="1"/>
      <c r="G461" s="1"/>
      <c r="H461" s="1"/>
      <c r="I461" s="1"/>
      <c r="J461" s="1"/>
    </row>
    <row r="462" spans="1:10" x14ac:dyDescent="0.25">
      <c r="A462" t="s">
        <v>801</v>
      </c>
      <c r="B462" t="s">
        <v>878</v>
      </c>
      <c r="C462" t="s">
        <v>509</v>
      </c>
      <c r="D462" s="1">
        <v>715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</row>
    <row r="463" spans="1:10" x14ac:dyDescent="0.25">
      <c r="A463" t="s">
        <v>801</v>
      </c>
      <c r="B463" t="s">
        <v>878</v>
      </c>
      <c r="C463" t="s">
        <v>510</v>
      </c>
      <c r="D463" s="1">
        <v>22476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</row>
    <row r="464" spans="1:10" x14ac:dyDescent="0.25">
      <c r="A464" t="s">
        <v>831</v>
      </c>
      <c r="B464" t="s">
        <v>878</v>
      </c>
      <c r="C464" t="s">
        <v>511</v>
      </c>
      <c r="D464" s="1">
        <v>3128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</row>
    <row r="465" spans="1:10" x14ac:dyDescent="0.25">
      <c r="A465" t="s">
        <v>512</v>
      </c>
      <c r="B465" t="s">
        <v>878</v>
      </c>
      <c r="C465" t="s">
        <v>513</v>
      </c>
      <c r="D465" s="1"/>
      <c r="E465" s="1"/>
      <c r="F465" s="1"/>
      <c r="G465" s="1"/>
      <c r="H465" s="1"/>
      <c r="I465" s="1"/>
      <c r="J465" s="1"/>
    </row>
    <row r="466" spans="1:10" x14ac:dyDescent="0.25">
      <c r="A466" t="s">
        <v>817</v>
      </c>
      <c r="B466" t="s">
        <v>878</v>
      </c>
      <c r="C466" t="s">
        <v>514</v>
      </c>
      <c r="D466" s="1">
        <v>7365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</row>
    <row r="467" spans="1:10" x14ac:dyDescent="0.25">
      <c r="A467" t="s">
        <v>801</v>
      </c>
      <c r="B467" t="s">
        <v>878</v>
      </c>
      <c r="C467" t="s">
        <v>515</v>
      </c>
      <c r="D467" s="1">
        <v>2912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</row>
    <row r="468" spans="1:10" x14ac:dyDescent="0.25">
      <c r="A468" t="s">
        <v>848</v>
      </c>
      <c r="B468" t="s">
        <v>878</v>
      </c>
      <c r="C468" t="s">
        <v>516</v>
      </c>
      <c r="D468" s="1">
        <v>3945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</row>
    <row r="469" spans="1:10" x14ac:dyDescent="0.25">
      <c r="A469" t="s">
        <v>797</v>
      </c>
      <c r="B469" t="s">
        <v>878</v>
      </c>
      <c r="C469" t="s">
        <v>517</v>
      </c>
      <c r="D469" s="1">
        <v>5609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</row>
    <row r="470" spans="1:10" x14ac:dyDescent="0.25">
      <c r="A470" t="s">
        <v>811</v>
      </c>
      <c r="B470" t="s">
        <v>878</v>
      </c>
      <c r="C470" t="s">
        <v>518</v>
      </c>
      <c r="D470" s="1"/>
      <c r="E470" s="1"/>
      <c r="F470" s="1"/>
      <c r="G470" s="1"/>
      <c r="H470" s="1"/>
      <c r="I470" s="1"/>
      <c r="J470" s="1"/>
    </row>
    <row r="471" spans="1:10" x14ac:dyDescent="0.25">
      <c r="A471" t="s">
        <v>226</v>
      </c>
      <c r="B471" t="s">
        <v>878</v>
      </c>
      <c r="C471" t="s">
        <v>519</v>
      </c>
      <c r="D471" s="1"/>
      <c r="E471" s="1"/>
      <c r="F471" s="1"/>
      <c r="G471" s="1"/>
      <c r="H471" s="1"/>
      <c r="I471" s="1"/>
      <c r="J471" s="1"/>
    </row>
    <row r="472" spans="1:10" x14ac:dyDescent="0.25">
      <c r="A472" t="s">
        <v>76</v>
      </c>
      <c r="B472" t="s">
        <v>878</v>
      </c>
      <c r="C472" t="s">
        <v>520</v>
      </c>
      <c r="D472" s="1">
        <v>11646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</row>
    <row r="473" spans="1:10" x14ac:dyDescent="0.25">
      <c r="A473" t="s">
        <v>831</v>
      </c>
      <c r="B473" t="s">
        <v>878</v>
      </c>
      <c r="C473" t="s">
        <v>521</v>
      </c>
      <c r="D473" s="1">
        <v>26602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</row>
    <row r="474" spans="1:10" x14ac:dyDescent="0.25">
      <c r="A474" t="s">
        <v>72</v>
      </c>
      <c r="B474" t="s">
        <v>878</v>
      </c>
      <c r="C474" t="s">
        <v>522</v>
      </c>
      <c r="D474" s="1">
        <v>3142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</row>
    <row r="475" spans="1:10" x14ac:dyDescent="0.25">
      <c r="A475" t="s">
        <v>823</v>
      </c>
      <c r="B475" t="s">
        <v>878</v>
      </c>
      <c r="C475" t="s">
        <v>523</v>
      </c>
      <c r="D475" s="1">
        <v>17621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</row>
    <row r="476" spans="1:10" x14ac:dyDescent="0.25">
      <c r="A476" t="s">
        <v>248</v>
      </c>
      <c r="B476" t="s">
        <v>878</v>
      </c>
      <c r="C476" t="s">
        <v>524</v>
      </c>
      <c r="D476" s="1">
        <v>5035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</row>
    <row r="477" spans="1:10" x14ac:dyDescent="0.25">
      <c r="A477" t="s">
        <v>231</v>
      </c>
      <c r="B477" t="s">
        <v>878</v>
      </c>
      <c r="C477" t="s">
        <v>525</v>
      </c>
      <c r="D477" s="1"/>
      <c r="E477" s="1"/>
      <c r="F477" s="1"/>
      <c r="G477" s="1"/>
      <c r="H477" s="1"/>
      <c r="I477" s="1"/>
      <c r="J477" s="1"/>
    </row>
    <row r="478" spans="1:10" x14ac:dyDescent="0.25">
      <c r="A478" t="s">
        <v>76</v>
      </c>
      <c r="B478" t="s">
        <v>878</v>
      </c>
      <c r="C478" t="s">
        <v>526</v>
      </c>
      <c r="D478" s="1">
        <v>2000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</row>
    <row r="479" spans="1:10" x14ac:dyDescent="0.25">
      <c r="A479" t="s">
        <v>804</v>
      </c>
      <c r="B479" t="s">
        <v>878</v>
      </c>
      <c r="C479" t="s">
        <v>527</v>
      </c>
      <c r="D479" s="1">
        <v>32045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</row>
    <row r="480" spans="1:10" x14ac:dyDescent="0.25">
      <c r="A480" t="s">
        <v>76</v>
      </c>
      <c r="B480" t="s">
        <v>878</v>
      </c>
      <c r="C480" t="s">
        <v>528</v>
      </c>
      <c r="D480" s="1">
        <v>1211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</row>
    <row r="481" spans="1:10" x14ac:dyDescent="0.25">
      <c r="A481" t="s">
        <v>801</v>
      </c>
      <c r="B481" t="s">
        <v>878</v>
      </c>
      <c r="C481" t="s">
        <v>529</v>
      </c>
      <c r="D481" s="1">
        <v>11057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</row>
    <row r="482" spans="1:10" x14ac:dyDescent="0.25">
      <c r="A482" t="s">
        <v>795</v>
      </c>
      <c r="B482" t="s">
        <v>878</v>
      </c>
      <c r="C482" t="s">
        <v>530</v>
      </c>
      <c r="D482" s="1">
        <v>109742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</row>
    <row r="483" spans="1:10" x14ac:dyDescent="0.25">
      <c r="A483" t="s">
        <v>848</v>
      </c>
      <c r="B483" t="s">
        <v>878</v>
      </c>
      <c r="C483" t="s">
        <v>531</v>
      </c>
      <c r="D483" s="1">
        <v>3854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</row>
    <row r="484" spans="1:10" x14ac:dyDescent="0.25">
      <c r="A484" t="s">
        <v>824</v>
      </c>
      <c r="B484" t="s">
        <v>878</v>
      </c>
      <c r="C484" t="s">
        <v>532</v>
      </c>
      <c r="D484" s="1">
        <v>11203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</row>
    <row r="485" spans="1:10" x14ac:dyDescent="0.25">
      <c r="A485" t="s">
        <v>76</v>
      </c>
      <c r="B485" t="s">
        <v>878</v>
      </c>
      <c r="C485" t="s">
        <v>533</v>
      </c>
      <c r="D485" s="1">
        <v>1705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</row>
    <row r="486" spans="1:10" x14ac:dyDescent="0.25">
      <c r="A486" t="s">
        <v>101</v>
      </c>
      <c r="B486" t="s">
        <v>878</v>
      </c>
      <c r="C486" t="s">
        <v>534</v>
      </c>
      <c r="D486" s="1">
        <v>8681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</row>
    <row r="487" spans="1:10" x14ac:dyDescent="0.25">
      <c r="A487" t="s">
        <v>797</v>
      </c>
      <c r="B487" t="s">
        <v>878</v>
      </c>
      <c r="C487" t="s">
        <v>535</v>
      </c>
      <c r="D487" s="1"/>
      <c r="E487" s="1"/>
      <c r="F487" s="1"/>
      <c r="G487" s="1"/>
      <c r="H487" s="1"/>
      <c r="I487" s="1"/>
      <c r="J487" s="1"/>
    </row>
    <row r="488" spans="1:10" x14ac:dyDescent="0.25">
      <c r="A488" t="s">
        <v>120</v>
      </c>
      <c r="B488" t="s">
        <v>878</v>
      </c>
      <c r="C488" t="s">
        <v>536</v>
      </c>
      <c r="D488" s="1">
        <v>5014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</row>
    <row r="489" spans="1:10" x14ac:dyDescent="0.25">
      <c r="A489" t="s">
        <v>817</v>
      </c>
      <c r="B489" t="s">
        <v>878</v>
      </c>
      <c r="C489" t="s">
        <v>537</v>
      </c>
      <c r="D489" s="1">
        <v>37099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</row>
    <row r="490" spans="1:10" x14ac:dyDescent="0.25">
      <c r="A490" t="s">
        <v>811</v>
      </c>
      <c r="B490" t="s">
        <v>878</v>
      </c>
      <c r="C490" t="s">
        <v>538</v>
      </c>
      <c r="D490" s="1"/>
      <c r="E490" s="1"/>
      <c r="F490" s="1"/>
      <c r="G490" s="1"/>
      <c r="H490" s="1"/>
      <c r="I490" s="1"/>
      <c r="J490" s="1"/>
    </row>
    <row r="491" spans="1:10" x14ac:dyDescent="0.25">
      <c r="A491" t="s">
        <v>817</v>
      </c>
      <c r="B491" t="s">
        <v>878</v>
      </c>
      <c r="C491" t="s">
        <v>539</v>
      </c>
      <c r="D491" s="1">
        <v>10385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</row>
    <row r="492" spans="1:10" x14ac:dyDescent="0.25">
      <c r="A492" t="s">
        <v>146</v>
      </c>
      <c r="B492" t="s">
        <v>878</v>
      </c>
      <c r="C492" t="s">
        <v>540</v>
      </c>
      <c r="D492" s="1">
        <v>14595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</row>
    <row r="493" spans="1:10" x14ac:dyDescent="0.25">
      <c r="A493" t="s">
        <v>817</v>
      </c>
      <c r="B493" t="s">
        <v>878</v>
      </c>
      <c r="C493" t="s">
        <v>541</v>
      </c>
      <c r="D493" s="1">
        <v>19703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</row>
    <row r="494" spans="1:10" x14ac:dyDescent="0.25">
      <c r="A494" t="s">
        <v>72</v>
      </c>
      <c r="B494" t="s">
        <v>878</v>
      </c>
      <c r="C494" t="s">
        <v>542</v>
      </c>
      <c r="D494" s="1">
        <v>22294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</row>
    <row r="495" spans="1:10" x14ac:dyDescent="0.25">
      <c r="A495" t="s">
        <v>795</v>
      </c>
      <c r="B495" t="s">
        <v>878</v>
      </c>
      <c r="C495" t="s">
        <v>543</v>
      </c>
      <c r="D495" s="1">
        <v>13602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</row>
    <row r="496" spans="1:10" x14ac:dyDescent="0.25">
      <c r="A496" t="s">
        <v>83</v>
      </c>
      <c r="B496" t="s">
        <v>878</v>
      </c>
      <c r="C496" t="s">
        <v>544</v>
      </c>
      <c r="D496" s="1">
        <v>955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</row>
    <row r="497" spans="1:10" x14ac:dyDescent="0.25">
      <c r="A497" t="s">
        <v>134</v>
      </c>
      <c r="B497" t="s">
        <v>878</v>
      </c>
      <c r="C497" t="s">
        <v>545</v>
      </c>
      <c r="D497" s="1">
        <v>4820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</row>
    <row r="498" spans="1:10" x14ac:dyDescent="0.25">
      <c r="A498" t="s">
        <v>76</v>
      </c>
      <c r="B498" t="s">
        <v>878</v>
      </c>
      <c r="C498" t="s">
        <v>546</v>
      </c>
      <c r="D498" s="1">
        <v>3487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</row>
    <row r="499" spans="1:10" x14ac:dyDescent="0.25">
      <c r="A499" t="s">
        <v>495</v>
      </c>
      <c r="B499" t="s">
        <v>878</v>
      </c>
      <c r="C499" t="s">
        <v>547</v>
      </c>
      <c r="D499" s="1">
        <v>21842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</row>
    <row r="500" spans="1:10" x14ac:dyDescent="0.25">
      <c r="A500" t="s">
        <v>825</v>
      </c>
      <c r="B500" t="s">
        <v>878</v>
      </c>
      <c r="C500" t="s">
        <v>548</v>
      </c>
      <c r="D500" s="1">
        <v>10007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</row>
    <row r="501" spans="1:10" x14ac:dyDescent="0.25">
      <c r="A501" t="s">
        <v>72</v>
      </c>
      <c r="B501" t="s">
        <v>878</v>
      </c>
      <c r="C501" t="s">
        <v>549</v>
      </c>
      <c r="D501" s="1">
        <v>31024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</row>
    <row r="502" spans="1:10" x14ac:dyDescent="0.25">
      <c r="A502" t="s">
        <v>134</v>
      </c>
      <c r="B502" t="s">
        <v>878</v>
      </c>
      <c r="C502" t="s">
        <v>550</v>
      </c>
      <c r="D502" s="1">
        <v>19387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</row>
    <row r="503" spans="1:10" x14ac:dyDescent="0.25">
      <c r="A503" t="s">
        <v>795</v>
      </c>
      <c r="B503" t="s">
        <v>878</v>
      </c>
      <c r="C503" t="s">
        <v>551</v>
      </c>
      <c r="D503" s="1">
        <v>5347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</row>
    <row r="504" spans="1:10" x14ac:dyDescent="0.25">
      <c r="A504" t="s">
        <v>76</v>
      </c>
      <c r="B504" t="s">
        <v>878</v>
      </c>
      <c r="C504" t="s">
        <v>552</v>
      </c>
      <c r="D504" s="1">
        <v>2045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</row>
    <row r="505" spans="1:10" x14ac:dyDescent="0.25">
      <c r="A505" t="s">
        <v>824</v>
      </c>
      <c r="B505" t="s">
        <v>878</v>
      </c>
      <c r="C505" t="s">
        <v>553</v>
      </c>
      <c r="D505" s="1">
        <v>2172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</row>
    <row r="506" spans="1:10" x14ac:dyDescent="0.25">
      <c r="A506" t="s">
        <v>512</v>
      </c>
      <c r="B506" t="s">
        <v>878</v>
      </c>
      <c r="C506" t="s">
        <v>554</v>
      </c>
      <c r="D506" s="1">
        <v>15438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</row>
    <row r="507" spans="1:10" x14ac:dyDescent="0.25">
      <c r="A507" t="s">
        <v>788</v>
      </c>
      <c r="B507" t="s">
        <v>878</v>
      </c>
      <c r="C507" t="s">
        <v>555</v>
      </c>
      <c r="D507" s="1">
        <v>77527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</row>
    <row r="508" spans="1:10" x14ac:dyDescent="0.25">
      <c r="A508" t="s">
        <v>101</v>
      </c>
      <c r="B508" t="s">
        <v>878</v>
      </c>
      <c r="C508" t="s">
        <v>556</v>
      </c>
      <c r="D508" s="1">
        <v>26271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</row>
    <row r="509" spans="1:10" x14ac:dyDescent="0.25">
      <c r="A509" t="s">
        <v>796</v>
      </c>
      <c r="B509" t="s">
        <v>878</v>
      </c>
      <c r="C509" t="s">
        <v>557</v>
      </c>
      <c r="D509" s="1"/>
      <c r="E509" s="1"/>
      <c r="F509" s="1"/>
      <c r="G509" s="1"/>
      <c r="H509" s="1"/>
      <c r="I509" s="1"/>
      <c r="J509" s="1"/>
    </row>
    <row r="510" spans="1:10" x14ac:dyDescent="0.25">
      <c r="A510" t="s">
        <v>817</v>
      </c>
      <c r="B510" t="s">
        <v>878</v>
      </c>
      <c r="C510" t="s">
        <v>558</v>
      </c>
      <c r="D510" s="1">
        <v>6636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</row>
    <row r="511" spans="1:10" x14ac:dyDescent="0.25">
      <c r="A511" t="s">
        <v>76</v>
      </c>
      <c r="B511" t="s">
        <v>878</v>
      </c>
      <c r="C511" t="s">
        <v>559</v>
      </c>
      <c r="D511" s="1">
        <v>6910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</row>
    <row r="512" spans="1:10" x14ac:dyDescent="0.25">
      <c r="A512" t="s">
        <v>801</v>
      </c>
      <c r="B512" t="s">
        <v>878</v>
      </c>
      <c r="C512" t="s">
        <v>560</v>
      </c>
      <c r="D512" s="1">
        <v>34394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</row>
    <row r="513" spans="1:10" x14ac:dyDescent="0.25">
      <c r="A513" t="s">
        <v>796</v>
      </c>
      <c r="B513" t="s">
        <v>878</v>
      </c>
      <c r="C513" t="s">
        <v>561</v>
      </c>
      <c r="D513" s="1">
        <v>10765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</row>
    <row r="514" spans="1:10" x14ac:dyDescent="0.25">
      <c r="A514" t="s">
        <v>817</v>
      </c>
      <c r="B514" t="s">
        <v>878</v>
      </c>
      <c r="C514" t="s">
        <v>562</v>
      </c>
      <c r="D514" s="1">
        <v>7636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</row>
    <row r="515" spans="1:10" x14ac:dyDescent="0.25">
      <c r="A515" t="s">
        <v>248</v>
      </c>
      <c r="B515" t="s">
        <v>878</v>
      </c>
      <c r="C515" t="s">
        <v>563</v>
      </c>
      <c r="D515" s="1"/>
      <c r="E515" s="1"/>
      <c r="F515" s="1"/>
      <c r="G515" s="1"/>
      <c r="H515" s="1"/>
      <c r="I515" s="1"/>
      <c r="J515" s="1"/>
    </row>
    <row r="516" spans="1:10" x14ac:dyDescent="0.25">
      <c r="A516" t="s">
        <v>791</v>
      </c>
      <c r="B516" t="s">
        <v>878</v>
      </c>
      <c r="C516" t="s">
        <v>564</v>
      </c>
      <c r="D516" s="1"/>
      <c r="E516" s="1"/>
      <c r="F516" s="1"/>
      <c r="G516" s="1"/>
      <c r="H516" s="1"/>
      <c r="I516" s="1"/>
      <c r="J516" s="1"/>
    </row>
    <row r="517" spans="1:10" x14ac:dyDescent="0.25">
      <c r="A517" t="s">
        <v>69</v>
      </c>
      <c r="B517" t="s">
        <v>878</v>
      </c>
      <c r="C517" t="s">
        <v>565</v>
      </c>
      <c r="D517" s="1">
        <v>17188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</row>
    <row r="518" spans="1:10" x14ac:dyDescent="0.25">
      <c r="A518" t="s">
        <v>794</v>
      </c>
      <c r="B518" t="s">
        <v>878</v>
      </c>
      <c r="C518" t="s">
        <v>566</v>
      </c>
      <c r="D518" s="1">
        <v>5789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</row>
    <row r="519" spans="1:10" x14ac:dyDescent="0.25">
      <c r="A519" t="s">
        <v>797</v>
      </c>
      <c r="B519" t="s">
        <v>878</v>
      </c>
      <c r="C519" t="s">
        <v>567</v>
      </c>
      <c r="D519" s="1">
        <v>2910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</row>
    <row r="520" spans="1:10" x14ac:dyDescent="0.25">
      <c r="A520" t="s">
        <v>826</v>
      </c>
      <c r="B520" t="s">
        <v>878</v>
      </c>
      <c r="C520" t="s">
        <v>568</v>
      </c>
      <c r="D520" s="1"/>
      <c r="E520" s="1"/>
      <c r="F520" s="1"/>
      <c r="G520" s="1"/>
      <c r="H520" s="1"/>
      <c r="I520" s="1"/>
      <c r="J520" s="1"/>
    </row>
    <row r="521" spans="1:10" x14ac:dyDescent="0.25">
      <c r="A521" t="s">
        <v>864</v>
      </c>
      <c r="B521" t="s">
        <v>878</v>
      </c>
      <c r="C521" t="s">
        <v>569</v>
      </c>
      <c r="D521" s="1">
        <v>19694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</row>
    <row r="522" spans="1:10" x14ac:dyDescent="0.25">
      <c r="A522" t="s">
        <v>826</v>
      </c>
      <c r="B522" t="s">
        <v>878</v>
      </c>
      <c r="C522" t="s">
        <v>570</v>
      </c>
      <c r="D522" s="1"/>
      <c r="E522" s="1"/>
      <c r="F522" s="1"/>
      <c r="G522" s="1"/>
      <c r="H522" s="1"/>
      <c r="I522" s="1"/>
      <c r="J522" s="1"/>
    </row>
    <row r="523" spans="1:10" x14ac:dyDescent="0.25">
      <c r="A523" t="s">
        <v>72</v>
      </c>
      <c r="B523" t="s">
        <v>878</v>
      </c>
      <c r="C523" t="s">
        <v>571</v>
      </c>
      <c r="D523" s="1">
        <v>21285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</row>
    <row r="524" spans="1:10" x14ac:dyDescent="0.25">
      <c r="A524" t="s">
        <v>801</v>
      </c>
      <c r="B524" t="s">
        <v>878</v>
      </c>
      <c r="C524" t="s">
        <v>572</v>
      </c>
      <c r="D524" s="1">
        <v>23740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</row>
    <row r="525" spans="1:10" x14ac:dyDescent="0.25">
      <c r="A525" t="s">
        <v>859</v>
      </c>
      <c r="B525" t="s">
        <v>878</v>
      </c>
      <c r="C525" t="s">
        <v>573</v>
      </c>
      <c r="D525" s="1">
        <v>7386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</row>
    <row r="526" spans="1:10" x14ac:dyDescent="0.25">
      <c r="A526" t="s">
        <v>816</v>
      </c>
      <c r="B526" t="s">
        <v>878</v>
      </c>
      <c r="C526" t="s">
        <v>574</v>
      </c>
      <c r="D526" s="1">
        <v>21671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</row>
    <row r="527" spans="1:10" x14ac:dyDescent="0.25">
      <c r="A527" t="s">
        <v>864</v>
      </c>
      <c r="B527" t="s">
        <v>878</v>
      </c>
      <c r="C527" t="s">
        <v>575</v>
      </c>
      <c r="D527" s="1">
        <v>26354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</row>
    <row r="528" spans="1:10" x14ac:dyDescent="0.25">
      <c r="A528" t="s">
        <v>146</v>
      </c>
      <c r="B528" t="s">
        <v>878</v>
      </c>
      <c r="C528" t="s">
        <v>576</v>
      </c>
      <c r="D528" s="1">
        <v>5602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</row>
    <row r="529" spans="1:10" x14ac:dyDescent="0.25">
      <c r="A529" t="s">
        <v>794</v>
      </c>
      <c r="B529" t="s">
        <v>878</v>
      </c>
      <c r="C529" t="s">
        <v>577</v>
      </c>
      <c r="D529" s="1"/>
      <c r="E529" s="1"/>
      <c r="F529" s="1"/>
      <c r="G529" s="1"/>
      <c r="H529" s="1"/>
      <c r="I529" s="1"/>
      <c r="J529" s="1"/>
    </row>
    <row r="530" spans="1:10" x14ac:dyDescent="0.25">
      <c r="A530" t="s">
        <v>146</v>
      </c>
      <c r="B530" t="s">
        <v>878</v>
      </c>
      <c r="C530" t="s">
        <v>578</v>
      </c>
      <c r="D530" s="1">
        <v>24762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</row>
    <row r="531" spans="1:10" x14ac:dyDescent="0.25">
      <c r="A531" t="s">
        <v>832</v>
      </c>
      <c r="B531" t="s">
        <v>878</v>
      </c>
      <c r="C531" t="s">
        <v>579</v>
      </c>
      <c r="D531" s="1">
        <v>7324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</row>
    <row r="532" spans="1:10" x14ac:dyDescent="0.25">
      <c r="A532" t="s">
        <v>839</v>
      </c>
      <c r="B532" t="s">
        <v>878</v>
      </c>
      <c r="C532" t="s">
        <v>580</v>
      </c>
      <c r="D532" s="1">
        <v>32005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</row>
    <row r="533" spans="1:10" x14ac:dyDescent="0.25">
      <c r="A533" t="s">
        <v>794</v>
      </c>
      <c r="B533" t="s">
        <v>878</v>
      </c>
      <c r="C533" t="s">
        <v>581</v>
      </c>
      <c r="D533" s="1">
        <v>63011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</row>
    <row r="534" spans="1:10" x14ac:dyDescent="0.25">
      <c r="A534" t="s">
        <v>794</v>
      </c>
      <c r="B534" t="s">
        <v>878</v>
      </c>
      <c r="C534" t="s">
        <v>582</v>
      </c>
      <c r="D534" s="1">
        <v>24076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</row>
    <row r="535" spans="1:10" x14ac:dyDescent="0.25">
      <c r="A535" t="s">
        <v>794</v>
      </c>
      <c r="B535" t="s">
        <v>878</v>
      </c>
      <c r="C535" t="s">
        <v>583</v>
      </c>
      <c r="D535" s="1">
        <v>12184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</row>
    <row r="536" spans="1:10" x14ac:dyDescent="0.25">
      <c r="A536" t="s">
        <v>120</v>
      </c>
      <c r="B536" t="s">
        <v>878</v>
      </c>
      <c r="C536" t="s">
        <v>584</v>
      </c>
      <c r="D536" s="1">
        <v>2027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</row>
    <row r="537" spans="1:10" x14ac:dyDescent="0.25">
      <c r="A537" t="s">
        <v>837</v>
      </c>
      <c r="B537" t="s">
        <v>878</v>
      </c>
      <c r="C537" t="s">
        <v>585</v>
      </c>
      <c r="D537" s="1">
        <v>8245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</row>
    <row r="538" spans="1:10" x14ac:dyDescent="0.25">
      <c r="A538" t="s">
        <v>859</v>
      </c>
      <c r="B538" t="s">
        <v>878</v>
      </c>
      <c r="C538" t="s">
        <v>586</v>
      </c>
      <c r="D538" s="1">
        <v>15694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</row>
    <row r="539" spans="1:10" x14ac:dyDescent="0.25">
      <c r="A539" t="s">
        <v>836</v>
      </c>
      <c r="B539" t="s">
        <v>878</v>
      </c>
      <c r="C539" t="s">
        <v>587</v>
      </c>
      <c r="D539" s="1">
        <v>26964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</row>
    <row r="540" spans="1:10" x14ac:dyDescent="0.25">
      <c r="A540" t="s">
        <v>844</v>
      </c>
      <c r="B540" t="s">
        <v>878</v>
      </c>
      <c r="C540" t="s">
        <v>588</v>
      </c>
      <c r="D540" s="1">
        <v>14989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</row>
    <row r="541" spans="1:10" x14ac:dyDescent="0.25">
      <c r="A541" t="s">
        <v>838</v>
      </c>
      <c r="B541" t="s">
        <v>878</v>
      </c>
      <c r="C541" t="s">
        <v>589</v>
      </c>
      <c r="D541" s="1">
        <v>9439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</row>
    <row r="542" spans="1:10" x14ac:dyDescent="0.25">
      <c r="A542" t="s">
        <v>833</v>
      </c>
      <c r="B542" t="s">
        <v>878</v>
      </c>
      <c r="C542" t="s">
        <v>590</v>
      </c>
      <c r="D542" s="1">
        <v>16414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</row>
    <row r="543" spans="1:10" x14ac:dyDescent="0.25">
      <c r="A543" t="s">
        <v>845</v>
      </c>
      <c r="B543" t="s">
        <v>878</v>
      </c>
      <c r="C543" t="s">
        <v>591</v>
      </c>
      <c r="D543" s="1">
        <v>1511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</row>
    <row r="544" spans="1:10" x14ac:dyDescent="0.25">
      <c r="A544" t="s">
        <v>794</v>
      </c>
      <c r="B544" t="s">
        <v>878</v>
      </c>
      <c r="C544" t="s">
        <v>592</v>
      </c>
      <c r="D544" s="1"/>
      <c r="E544" s="1"/>
      <c r="F544" s="1"/>
      <c r="G544" s="1"/>
      <c r="H544" s="1"/>
      <c r="I544" s="1"/>
      <c r="J544" s="1"/>
    </row>
    <row r="545" spans="1:10" x14ac:dyDescent="0.25">
      <c r="A545" t="s">
        <v>843</v>
      </c>
      <c r="B545" t="s">
        <v>878</v>
      </c>
      <c r="C545" t="s">
        <v>593</v>
      </c>
      <c r="D545" s="1">
        <v>2294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</row>
    <row r="546" spans="1:10" x14ac:dyDescent="0.25">
      <c r="A546" t="s">
        <v>863</v>
      </c>
      <c r="B546" t="s">
        <v>878</v>
      </c>
      <c r="C546" t="s">
        <v>594</v>
      </c>
      <c r="D546" s="1">
        <v>7019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</row>
    <row r="547" spans="1:10" x14ac:dyDescent="0.25">
      <c r="A547" t="s">
        <v>804</v>
      </c>
      <c r="B547" t="s">
        <v>878</v>
      </c>
      <c r="C547" t="s">
        <v>595</v>
      </c>
      <c r="D547" s="1">
        <v>3269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</row>
    <row r="548" spans="1:10" x14ac:dyDescent="0.25">
      <c r="A548" t="s">
        <v>795</v>
      </c>
      <c r="B548" t="s">
        <v>878</v>
      </c>
      <c r="C548" t="s">
        <v>596</v>
      </c>
      <c r="D548" s="1">
        <v>10298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</row>
    <row r="549" spans="1:10" x14ac:dyDescent="0.25">
      <c r="A549" t="s">
        <v>101</v>
      </c>
      <c r="B549" t="s">
        <v>878</v>
      </c>
      <c r="C549" t="s">
        <v>597</v>
      </c>
      <c r="D549" s="1">
        <v>17746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</row>
    <row r="550" spans="1:10" x14ac:dyDescent="0.25">
      <c r="A550" t="s">
        <v>835</v>
      </c>
      <c r="B550" t="s">
        <v>878</v>
      </c>
      <c r="C550" t="s">
        <v>598</v>
      </c>
      <c r="D550" s="1">
        <v>5245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</row>
    <row r="551" spans="1:10" x14ac:dyDescent="0.25">
      <c r="A551" t="s">
        <v>842</v>
      </c>
      <c r="B551" t="s">
        <v>878</v>
      </c>
      <c r="C551" t="s">
        <v>599</v>
      </c>
      <c r="D551" s="1">
        <v>3909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</row>
    <row r="552" spans="1:10" x14ac:dyDescent="0.25">
      <c r="A552" t="s">
        <v>226</v>
      </c>
      <c r="B552" t="s">
        <v>878</v>
      </c>
      <c r="C552" t="s">
        <v>600</v>
      </c>
      <c r="D552" s="1">
        <v>2944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</row>
    <row r="553" spans="1:10" x14ac:dyDescent="0.25">
      <c r="A553" t="s">
        <v>817</v>
      </c>
      <c r="B553" t="s">
        <v>878</v>
      </c>
      <c r="C553" t="s">
        <v>601</v>
      </c>
      <c r="D553" s="1">
        <v>16367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</row>
    <row r="554" spans="1:10" x14ac:dyDescent="0.25">
      <c r="A554" t="s">
        <v>788</v>
      </c>
      <c r="B554" t="s">
        <v>878</v>
      </c>
      <c r="C554" t="s">
        <v>602</v>
      </c>
      <c r="D554" s="1"/>
      <c r="E554" s="1"/>
      <c r="F554" s="1"/>
      <c r="G554" s="1"/>
      <c r="H554" s="1"/>
      <c r="I554" s="1"/>
      <c r="J554" s="1"/>
    </row>
    <row r="555" spans="1:10" x14ac:dyDescent="0.25">
      <c r="A555" t="s">
        <v>859</v>
      </c>
      <c r="B555" t="s">
        <v>878</v>
      </c>
      <c r="C555" t="s">
        <v>603</v>
      </c>
      <c r="D555" s="1">
        <v>6223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</row>
    <row r="556" spans="1:10" x14ac:dyDescent="0.25">
      <c r="A556" t="s">
        <v>831</v>
      </c>
      <c r="B556" t="s">
        <v>878</v>
      </c>
      <c r="C556" t="s">
        <v>604</v>
      </c>
      <c r="D556" s="1">
        <v>14321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</row>
    <row r="557" spans="1:10" x14ac:dyDescent="0.25">
      <c r="A557" t="s">
        <v>809</v>
      </c>
      <c r="B557" t="s">
        <v>878</v>
      </c>
      <c r="C557" t="s">
        <v>605</v>
      </c>
      <c r="D557" s="1">
        <v>5086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</row>
    <row r="558" spans="1:10" x14ac:dyDescent="0.25">
      <c r="A558" t="s">
        <v>817</v>
      </c>
      <c r="B558" t="s">
        <v>878</v>
      </c>
      <c r="C558" t="s">
        <v>606</v>
      </c>
      <c r="D558" s="1">
        <v>67335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</row>
    <row r="559" spans="1:10" x14ac:dyDescent="0.25">
      <c r="A559" t="s">
        <v>824</v>
      </c>
      <c r="B559" t="s">
        <v>878</v>
      </c>
      <c r="C559" t="s">
        <v>607</v>
      </c>
      <c r="D559" s="1">
        <v>6126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</row>
    <row r="560" spans="1:10" x14ac:dyDescent="0.25">
      <c r="A560" t="s">
        <v>138</v>
      </c>
      <c r="B560" t="s">
        <v>878</v>
      </c>
      <c r="C560" t="s">
        <v>608</v>
      </c>
      <c r="D560" s="1">
        <v>26846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</row>
    <row r="561" spans="1:10" x14ac:dyDescent="0.25">
      <c r="A561" t="s">
        <v>859</v>
      </c>
      <c r="B561" t="s">
        <v>878</v>
      </c>
      <c r="C561" t="s">
        <v>609</v>
      </c>
      <c r="D561" s="1">
        <v>5893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</row>
    <row r="562" spans="1:10" x14ac:dyDescent="0.25">
      <c r="A562" t="s">
        <v>817</v>
      </c>
      <c r="B562" t="s">
        <v>878</v>
      </c>
      <c r="C562" t="s">
        <v>610</v>
      </c>
      <c r="D562" s="1">
        <v>51815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</row>
    <row r="563" spans="1:10" x14ac:dyDescent="0.25">
      <c r="A563" t="s">
        <v>817</v>
      </c>
      <c r="B563" t="s">
        <v>878</v>
      </c>
      <c r="C563" t="s">
        <v>611</v>
      </c>
      <c r="D563" s="1">
        <v>10405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</row>
    <row r="564" spans="1:10" x14ac:dyDescent="0.25">
      <c r="A564" t="s">
        <v>134</v>
      </c>
      <c r="B564" t="s">
        <v>878</v>
      </c>
      <c r="C564" t="s">
        <v>612</v>
      </c>
      <c r="D564" s="1">
        <v>40216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</row>
    <row r="565" spans="1:10" x14ac:dyDescent="0.25">
      <c r="A565" t="s">
        <v>817</v>
      </c>
      <c r="B565" t="s">
        <v>878</v>
      </c>
      <c r="C565" t="s">
        <v>613</v>
      </c>
      <c r="D565" s="1">
        <v>42308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</row>
    <row r="566" spans="1:10" x14ac:dyDescent="0.25">
      <c r="A566" t="s">
        <v>817</v>
      </c>
      <c r="B566" t="s">
        <v>878</v>
      </c>
      <c r="C566" t="s">
        <v>614</v>
      </c>
      <c r="D566" s="1">
        <v>5244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</row>
    <row r="567" spans="1:10" x14ac:dyDescent="0.25">
      <c r="A567" t="s">
        <v>826</v>
      </c>
      <c r="B567" t="s">
        <v>878</v>
      </c>
      <c r="C567" t="s">
        <v>615</v>
      </c>
      <c r="D567" s="1"/>
      <c r="E567" s="1"/>
      <c r="F567" s="1"/>
      <c r="G567" s="1"/>
      <c r="H567" s="1"/>
      <c r="I567" s="1"/>
      <c r="J567" s="1"/>
    </row>
    <row r="568" spans="1:10" x14ac:dyDescent="0.25">
      <c r="A568" t="s">
        <v>101</v>
      </c>
      <c r="B568" t="s">
        <v>878</v>
      </c>
      <c r="C568" t="s">
        <v>616</v>
      </c>
      <c r="D568" s="1">
        <v>12317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</row>
    <row r="569" spans="1:10" x14ac:dyDescent="0.25">
      <c r="A569" t="s">
        <v>811</v>
      </c>
      <c r="B569" t="s">
        <v>878</v>
      </c>
      <c r="C569" t="s">
        <v>617</v>
      </c>
      <c r="D569" s="1"/>
      <c r="E569" s="1"/>
      <c r="F569" s="1"/>
      <c r="G569" s="1"/>
      <c r="H569" s="1"/>
      <c r="I569" s="1"/>
      <c r="J569" s="1"/>
    </row>
    <row r="570" spans="1:10" x14ac:dyDescent="0.25">
      <c r="A570" t="s">
        <v>101</v>
      </c>
      <c r="B570" t="s">
        <v>878</v>
      </c>
      <c r="C570" t="s">
        <v>618</v>
      </c>
      <c r="D570" s="1">
        <v>4388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</row>
    <row r="571" spans="1:10" x14ac:dyDescent="0.25">
      <c r="A571" t="s">
        <v>788</v>
      </c>
      <c r="B571" t="s">
        <v>878</v>
      </c>
      <c r="C571" t="s">
        <v>619</v>
      </c>
      <c r="D571" s="1">
        <v>18178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</row>
    <row r="572" spans="1:10" x14ac:dyDescent="0.25">
      <c r="A572" t="s">
        <v>817</v>
      </c>
      <c r="B572" t="s">
        <v>878</v>
      </c>
      <c r="C572" t="s">
        <v>620</v>
      </c>
      <c r="D572" s="1">
        <v>17671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</row>
    <row r="573" spans="1:10" x14ac:dyDescent="0.25">
      <c r="A573" t="s">
        <v>248</v>
      </c>
      <c r="B573" t="s">
        <v>878</v>
      </c>
      <c r="C573" t="s">
        <v>621</v>
      </c>
      <c r="D573" s="1">
        <v>7636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</row>
    <row r="574" spans="1:10" x14ac:dyDescent="0.25">
      <c r="A574" t="s">
        <v>831</v>
      </c>
      <c r="B574" t="s">
        <v>878</v>
      </c>
      <c r="C574" t="s">
        <v>622</v>
      </c>
      <c r="D574" s="1">
        <v>27890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</row>
    <row r="575" spans="1:10" x14ac:dyDescent="0.25">
      <c r="A575" t="s">
        <v>823</v>
      </c>
      <c r="B575" t="s">
        <v>878</v>
      </c>
      <c r="C575" t="s">
        <v>623</v>
      </c>
      <c r="D575" s="1">
        <v>9565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</row>
    <row r="576" spans="1:10" x14ac:dyDescent="0.25">
      <c r="A576" t="s">
        <v>817</v>
      </c>
      <c r="B576" t="s">
        <v>878</v>
      </c>
      <c r="C576" t="s">
        <v>624</v>
      </c>
      <c r="D576" s="1">
        <v>24429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</row>
    <row r="577" spans="1:10" x14ac:dyDescent="0.25">
      <c r="A577" t="s">
        <v>76</v>
      </c>
      <c r="B577" t="s">
        <v>878</v>
      </c>
      <c r="C577" t="s">
        <v>625</v>
      </c>
      <c r="D577" s="1">
        <v>20616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</row>
    <row r="578" spans="1:10" x14ac:dyDescent="0.25">
      <c r="A578" t="s">
        <v>69</v>
      </c>
      <c r="B578" t="s">
        <v>878</v>
      </c>
      <c r="C578" t="s">
        <v>626</v>
      </c>
      <c r="D578" s="1">
        <v>48003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</row>
    <row r="579" spans="1:10" x14ac:dyDescent="0.25">
      <c r="A579" t="s">
        <v>83</v>
      </c>
      <c r="B579" t="s">
        <v>878</v>
      </c>
      <c r="C579" t="s">
        <v>627</v>
      </c>
      <c r="D579" s="1">
        <v>7605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</row>
    <row r="580" spans="1:10" x14ac:dyDescent="0.25">
      <c r="A580" t="s">
        <v>791</v>
      </c>
      <c r="B580" t="s">
        <v>878</v>
      </c>
      <c r="C580" t="s">
        <v>628</v>
      </c>
      <c r="D580" s="1"/>
      <c r="E580" s="1"/>
      <c r="F580" s="1"/>
      <c r="G580" s="1"/>
      <c r="H580" s="1"/>
      <c r="I580" s="1"/>
      <c r="J580" s="1"/>
    </row>
    <row r="581" spans="1:10" x14ac:dyDescent="0.25">
      <c r="A581" t="s">
        <v>797</v>
      </c>
      <c r="B581" t="s">
        <v>878</v>
      </c>
      <c r="C581" t="s">
        <v>629</v>
      </c>
      <c r="D581" s="1">
        <v>926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</row>
    <row r="582" spans="1:10" x14ac:dyDescent="0.25">
      <c r="A582" t="s">
        <v>69</v>
      </c>
      <c r="B582" t="s">
        <v>878</v>
      </c>
      <c r="C582" t="s">
        <v>630</v>
      </c>
      <c r="D582" s="1">
        <v>17100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</row>
    <row r="583" spans="1:10" x14ac:dyDescent="0.25">
      <c r="A583" t="s">
        <v>69</v>
      </c>
      <c r="B583" t="s">
        <v>878</v>
      </c>
      <c r="C583" t="s">
        <v>631</v>
      </c>
      <c r="D583" s="1">
        <v>31608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</row>
    <row r="584" spans="1:10" x14ac:dyDescent="0.25">
      <c r="A584" t="s">
        <v>823</v>
      </c>
      <c r="B584" t="s">
        <v>878</v>
      </c>
      <c r="C584" t="s">
        <v>632</v>
      </c>
      <c r="D584" s="1">
        <v>6636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</row>
    <row r="585" spans="1:10" x14ac:dyDescent="0.25">
      <c r="A585" t="s">
        <v>76</v>
      </c>
      <c r="B585" t="s">
        <v>878</v>
      </c>
      <c r="C585" t="s">
        <v>633</v>
      </c>
      <c r="D585" s="1">
        <v>11392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</row>
    <row r="586" spans="1:10" x14ac:dyDescent="0.25">
      <c r="A586" t="s">
        <v>817</v>
      </c>
      <c r="B586" t="s">
        <v>878</v>
      </c>
      <c r="C586" t="s">
        <v>634</v>
      </c>
      <c r="D586" s="1"/>
      <c r="E586" s="1"/>
      <c r="F586" s="1"/>
      <c r="G586" s="1"/>
      <c r="H586" s="1"/>
      <c r="I586" s="1"/>
      <c r="J586" s="1"/>
    </row>
    <row r="587" spans="1:10" x14ac:dyDescent="0.25">
      <c r="A587" t="s">
        <v>801</v>
      </c>
      <c r="B587" t="s">
        <v>878</v>
      </c>
      <c r="C587" t="s">
        <v>635</v>
      </c>
      <c r="D587" s="1">
        <v>47153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</row>
    <row r="588" spans="1:10" x14ac:dyDescent="0.25">
      <c r="A588" t="s">
        <v>817</v>
      </c>
      <c r="B588" t="s">
        <v>878</v>
      </c>
      <c r="C588" t="s">
        <v>636</v>
      </c>
      <c r="D588" s="1">
        <v>9134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</row>
    <row r="589" spans="1:10" x14ac:dyDescent="0.25">
      <c r="A589" t="s">
        <v>824</v>
      </c>
      <c r="B589" t="s">
        <v>878</v>
      </c>
      <c r="C589" t="s">
        <v>637</v>
      </c>
      <c r="D589" s="1">
        <v>9506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</row>
    <row r="590" spans="1:10" x14ac:dyDescent="0.25">
      <c r="A590" t="s">
        <v>818</v>
      </c>
      <c r="B590" t="s">
        <v>878</v>
      </c>
      <c r="C590" t="s">
        <v>638</v>
      </c>
      <c r="D590" s="1">
        <v>24587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</row>
    <row r="591" spans="1:10" x14ac:dyDescent="0.25">
      <c r="A591" t="s">
        <v>817</v>
      </c>
      <c r="B591" t="s">
        <v>878</v>
      </c>
      <c r="C591" t="s">
        <v>639</v>
      </c>
      <c r="D591" s="1">
        <v>16879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</row>
    <row r="592" spans="1:10" x14ac:dyDescent="0.25">
      <c r="A592" t="s">
        <v>811</v>
      </c>
      <c r="B592" t="s">
        <v>878</v>
      </c>
      <c r="C592" t="s">
        <v>640</v>
      </c>
      <c r="D592" s="1"/>
      <c r="E592" s="1"/>
      <c r="F592" s="1"/>
      <c r="G592" s="1"/>
      <c r="H592" s="1"/>
      <c r="I592" s="1"/>
      <c r="J592" s="1"/>
    </row>
    <row r="593" spans="1:10" x14ac:dyDescent="0.25">
      <c r="A593" t="s">
        <v>811</v>
      </c>
      <c r="B593" t="s">
        <v>878</v>
      </c>
      <c r="C593" t="s">
        <v>641</v>
      </c>
      <c r="D593" s="1"/>
      <c r="E593" s="1"/>
      <c r="F593" s="1"/>
      <c r="G593" s="1"/>
      <c r="H593" s="1"/>
      <c r="I593" s="1"/>
      <c r="J593" s="1"/>
    </row>
    <row r="594" spans="1:10" x14ac:dyDescent="0.25">
      <c r="A594" t="s">
        <v>76</v>
      </c>
      <c r="B594" t="s">
        <v>878</v>
      </c>
      <c r="C594" t="s">
        <v>642</v>
      </c>
      <c r="D594" s="1">
        <v>6060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</row>
    <row r="595" spans="1:10" x14ac:dyDescent="0.25">
      <c r="A595" t="s">
        <v>817</v>
      </c>
      <c r="B595" t="s">
        <v>878</v>
      </c>
      <c r="C595" t="s">
        <v>643</v>
      </c>
      <c r="D595" s="1"/>
      <c r="E595" s="1"/>
      <c r="F595" s="1"/>
      <c r="G595" s="1"/>
      <c r="H595" s="1"/>
      <c r="I595" s="1"/>
      <c r="J595" s="1"/>
    </row>
    <row r="596" spans="1:10" x14ac:dyDescent="0.25">
      <c r="A596" t="s">
        <v>76</v>
      </c>
      <c r="B596" t="s">
        <v>878</v>
      </c>
      <c r="C596" t="s">
        <v>644</v>
      </c>
      <c r="D596" s="1">
        <v>6693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</row>
    <row r="597" spans="1:10" x14ac:dyDescent="0.25">
      <c r="A597" t="s">
        <v>817</v>
      </c>
      <c r="B597" t="s">
        <v>878</v>
      </c>
      <c r="C597" t="s">
        <v>645</v>
      </c>
      <c r="D597" s="1">
        <v>29694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</row>
    <row r="598" spans="1:10" x14ac:dyDescent="0.25">
      <c r="A598" t="s">
        <v>817</v>
      </c>
      <c r="B598" t="s">
        <v>878</v>
      </c>
      <c r="C598" t="s">
        <v>646</v>
      </c>
      <c r="D598" s="1">
        <v>11094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</row>
    <row r="599" spans="1:10" x14ac:dyDescent="0.25">
      <c r="A599" t="s">
        <v>226</v>
      </c>
      <c r="B599" t="s">
        <v>878</v>
      </c>
      <c r="C599" t="s">
        <v>647</v>
      </c>
      <c r="D599" s="1">
        <v>704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</row>
    <row r="600" spans="1:10" x14ac:dyDescent="0.25">
      <c r="A600" t="s">
        <v>831</v>
      </c>
      <c r="B600" t="s">
        <v>878</v>
      </c>
      <c r="C600" t="s">
        <v>648</v>
      </c>
      <c r="D600" s="1">
        <v>25072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</row>
    <row r="601" spans="1:10" x14ac:dyDescent="0.25">
      <c r="A601" t="s">
        <v>818</v>
      </c>
      <c r="B601" t="s">
        <v>878</v>
      </c>
      <c r="C601" t="s">
        <v>649</v>
      </c>
      <c r="D601" s="1">
        <v>11522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</row>
    <row r="602" spans="1:10" x14ac:dyDescent="0.25">
      <c r="A602" t="s">
        <v>817</v>
      </c>
      <c r="B602" t="s">
        <v>878</v>
      </c>
      <c r="C602" t="s">
        <v>650</v>
      </c>
      <c r="D602" s="1">
        <v>23731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</row>
    <row r="603" spans="1:10" x14ac:dyDescent="0.25">
      <c r="A603" t="s">
        <v>817</v>
      </c>
      <c r="B603" t="s">
        <v>878</v>
      </c>
      <c r="C603" t="s">
        <v>651</v>
      </c>
      <c r="D603" s="1">
        <v>11015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</row>
    <row r="604" spans="1:10" x14ac:dyDescent="0.25">
      <c r="A604" t="s">
        <v>817</v>
      </c>
      <c r="B604" t="s">
        <v>878</v>
      </c>
      <c r="C604" t="s">
        <v>652</v>
      </c>
      <c r="D604" s="1"/>
      <c r="E604" s="1"/>
      <c r="F604" s="1"/>
      <c r="G604" s="1"/>
      <c r="H604" s="1"/>
      <c r="I604" s="1"/>
      <c r="J604" s="1"/>
    </row>
    <row r="605" spans="1:10" x14ac:dyDescent="0.25">
      <c r="A605" t="s">
        <v>817</v>
      </c>
      <c r="B605" t="s">
        <v>878</v>
      </c>
      <c r="C605" t="s">
        <v>653</v>
      </c>
      <c r="D605" s="1">
        <v>37429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</row>
    <row r="606" spans="1:10" x14ac:dyDescent="0.25">
      <c r="A606" t="s">
        <v>817</v>
      </c>
      <c r="B606" t="s">
        <v>878</v>
      </c>
      <c r="C606" t="s">
        <v>654</v>
      </c>
      <c r="D606" s="1">
        <v>30836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</row>
    <row r="607" spans="1:10" x14ac:dyDescent="0.25">
      <c r="A607" t="s">
        <v>826</v>
      </c>
      <c r="B607" t="s">
        <v>878</v>
      </c>
      <c r="C607" t="s">
        <v>655</v>
      </c>
      <c r="D607" s="1"/>
      <c r="E607" s="1"/>
      <c r="F607" s="1"/>
      <c r="G607" s="1"/>
      <c r="H607" s="1"/>
      <c r="I607" s="1"/>
      <c r="J607" s="1"/>
    </row>
    <row r="608" spans="1:10" x14ac:dyDescent="0.25">
      <c r="A608" t="s">
        <v>817</v>
      </c>
      <c r="B608" t="s">
        <v>878</v>
      </c>
      <c r="C608" t="s">
        <v>656</v>
      </c>
      <c r="D608" s="1">
        <v>6891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</row>
    <row r="609" spans="1:10" x14ac:dyDescent="0.25">
      <c r="A609" t="s">
        <v>811</v>
      </c>
      <c r="B609" t="s">
        <v>878</v>
      </c>
      <c r="C609" t="s">
        <v>657</v>
      </c>
      <c r="D609" s="1"/>
      <c r="E609" s="1"/>
      <c r="F609" s="1"/>
      <c r="G609" s="1"/>
      <c r="H609" s="1"/>
      <c r="I609" s="1"/>
      <c r="J609" s="1"/>
    </row>
    <row r="610" spans="1:10" x14ac:dyDescent="0.25">
      <c r="A610" t="s">
        <v>817</v>
      </c>
      <c r="B610" t="s">
        <v>878</v>
      </c>
      <c r="C610" t="s">
        <v>658</v>
      </c>
      <c r="D610" s="1">
        <v>39734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</row>
    <row r="611" spans="1:10" x14ac:dyDescent="0.25">
      <c r="A611" t="s">
        <v>860</v>
      </c>
      <c r="B611" t="s">
        <v>878</v>
      </c>
      <c r="C611" t="s">
        <v>659</v>
      </c>
      <c r="D611" s="1">
        <v>7514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</row>
    <row r="612" spans="1:10" x14ac:dyDescent="0.25">
      <c r="A612" t="s">
        <v>248</v>
      </c>
      <c r="B612" t="s">
        <v>878</v>
      </c>
      <c r="C612" t="s">
        <v>660</v>
      </c>
      <c r="D612" s="1">
        <v>11213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</row>
    <row r="613" spans="1:10" x14ac:dyDescent="0.25">
      <c r="A613" t="s">
        <v>861</v>
      </c>
      <c r="B613" t="s">
        <v>878</v>
      </c>
      <c r="C613" t="s">
        <v>661</v>
      </c>
      <c r="D613" s="1">
        <v>7142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</row>
    <row r="614" spans="1:10" x14ac:dyDescent="0.25">
      <c r="A614" t="s">
        <v>229</v>
      </c>
      <c r="B614" t="s">
        <v>878</v>
      </c>
      <c r="C614" t="s">
        <v>662</v>
      </c>
      <c r="D614" s="1">
        <v>9167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</row>
    <row r="615" spans="1:10" x14ac:dyDescent="0.25">
      <c r="A615" t="s">
        <v>101</v>
      </c>
      <c r="B615" t="s">
        <v>878</v>
      </c>
      <c r="C615" t="s">
        <v>663</v>
      </c>
      <c r="D615" s="1">
        <v>7015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</row>
    <row r="616" spans="1:10" x14ac:dyDescent="0.25">
      <c r="A616" t="s">
        <v>69</v>
      </c>
      <c r="B616" t="s">
        <v>878</v>
      </c>
      <c r="C616" t="s">
        <v>664</v>
      </c>
      <c r="D616" s="1">
        <v>14248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</row>
    <row r="617" spans="1:10" x14ac:dyDescent="0.25">
      <c r="A617" t="s">
        <v>859</v>
      </c>
      <c r="B617" t="s">
        <v>878</v>
      </c>
      <c r="C617" t="s">
        <v>665</v>
      </c>
      <c r="D617" s="1">
        <v>10518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</row>
    <row r="618" spans="1:10" x14ac:dyDescent="0.25">
      <c r="A618" t="s">
        <v>804</v>
      </c>
      <c r="B618" t="s">
        <v>878</v>
      </c>
      <c r="C618" t="s">
        <v>666</v>
      </c>
      <c r="D618" s="1">
        <v>30899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</row>
    <row r="619" spans="1:10" x14ac:dyDescent="0.25">
      <c r="A619" t="s">
        <v>853</v>
      </c>
      <c r="B619" t="s">
        <v>878</v>
      </c>
      <c r="C619" t="s">
        <v>667</v>
      </c>
      <c r="D619" s="1">
        <v>3589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</row>
    <row r="620" spans="1:10" x14ac:dyDescent="0.25">
      <c r="A620" t="s">
        <v>862</v>
      </c>
      <c r="B620" t="s">
        <v>878</v>
      </c>
      <c r="C620" t="s">
        <v>668</v>
      </c>
      <c r="D620" s="1">
        <v>8788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</row>
    <row r="621" spans="1:10" x14ac:dyDescent="0.25">
      <c r="A621" t="s">
        <v>847</v>
      </c>
      <c r="B621" t="s">
        <v>878</v>
      </c>
      <c r="C621" t="s">
        <v>669</v>
      </c>
      <c r="D621" s="1">
        <v>2229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</row>
    <row r="622" spans="1:10" x14ac:dyDescent="0.25">
      <c r="A622" t="s">
        <v>849</v>
      </c>
      <c r="B622" t="s">
        <v>878</v>
      </c>
      <c r="C622" t="s">
        <v>670</v>
      </c>
      <c r="D622" s="1">
        <v>1717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</row>
    <row r="623" spans="1:10" x14ac:dyDescent="0.25">
      <c r="A623" t="s">
        <v>226</v>
      </c>
      <c r="B623" t="s">
        <v>878</v>
      </c>
      <c r="C623" t="s">
        <v>671</v>
      </c>
      <c r="D623" s="1">
        <v>572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</row>
    <row r="624" spans="1:10" x14ac:dyDescent="0.25">
      <c r="A624" t="s">
        <v>795</v>
      </c>
      <c r="B624" t="s">
        <v>878</v>
      </c>
      <c r="C624" t="s">
        <v>672</v>
      </c>
      <c r="D624" s="1">
        <v>34395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</row>
    <row r="625" spans="1:10" x14ac:dyDescent="0.25">
      <c r="A625" t="s">
        <v>830</v>
      </c>
      <c r="B625" t="s">
        <v>878</v>
      </c>
      <c r="C625" t="s">
        <v>673</v>
      </c>
      <c r="D625" s="1">
        <v>8042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</row>
    <row r="626" spans="1:10" x14ac:dyDescent="0.25">
      <c r="A626" t="s">
        <v>795</v>
      </c>
      <c r="B626" t="s">
        <v>878</v>
      </c>
      <c r="C626" t="s">
        <v>674</v>
      </c>
      <c r="D626" s="1">
        <v>30026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</row>
    <row r="627" spans="1:10" x14ac:dyDescent="0.25">
      <c r="A627" t="s">
        <v>854</v>
      </c>
      <c r="B627" t="s">
        <v>878</v>
      </c>
      <c r="C627" t="s">
        <v>675</v>
      </c>
      <c r="D627" s="1">
        <v>5204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</row>
    <row r="628" spans="1:10" x14ac:dyDescent="0.25">
      <c r="A628" t="s">
        <v>101</v>
      </c>
      <c r="B628" t="s">
        <v>878</v>
      </c>
      <c r="C628" t="s">
        <v>676</v>
      </c>
      <c r="D628" s="1">
        <v>19942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</row>
    <row r="629" spans="1:10" x14ac:dyDescent="0.25">
      <c r="A629" t="s">
        <v>226</v>
      </c>
      <c r="B629" t="s">
        <v>878</v>
      </c>
      <c r="C629" t="s">
        <v>677</v>
      </c>
      <c r="D629" s="1">
        <v>5113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</row>
    <row r="630" spans="1:10" x14ac:dyDescent="0.25">
      <c r="A630" t="s">
        <v>138</v>
      </c>
      <c r="B630" t="s">
        <v>878</v>
      </c>
      <c r="C630" t="s">
        <v>678</v>
      </c>
      <c r="D630" s="1"/>
      <c r="E630" s="1"/>
      <c r="F630" s="1"/>
      <c r="G630" s="1"/>
      <c r="H630" s="1"/>
      <c r="I630" s="1"/>
      <c r="J630" s="1"/>
    </row>
    <row r="631" spans="1:10" x14ac:dyDescent="0.25">
      <c r="A631" t="s">
        <v>804</v>
      </c>
      <c r="B631" t="s">
        <v>878</v>
      </c>
      <c r="C631" t="s">
        <v>679</v>
      </c>
      <c r="D631" s="1">
        <v>54188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</row>
    <row r="632" spans="1:10" x14ac:dyDescent="0.25">
      <c r="A632" t="s">
        <v>823</v>
      </c>
      <c r="B632" t="s">
        <v>878</v>
      </c>
      <c r="C632" t="s">
        <v>680</v>
      </c>
      <c r="D632" s="1">
        <v>30300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</row>
    <row r="633" spans="1:10" x14ac:dyDescent="0.25">
      <c r="A633" t="s">
        <v>809</v>
      </c>
      <c r="B633" t="s">
        <v>878</v>
      </c>
      <c r="C633" t="s">
        <v>681</v>
      </c>
      <c r="D633" s="1">
        <v>45784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</row>
    <row r="634" spans="1:10" x14ac:dyDescent="0.25">
      <c r="A634" t="s">
        <v>248</v>
      </c>
      <c r="B634" t="s">
        <v>878</v>
      </c>
      <c r="C634" t="s">
        <v>682</v>
      </c>
      <c r="D634" s="1">
        <v>17970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</row>
    <row r="635" spans="1:10" x14ac:dyDescent="0.25">
      <c r="A635" t="s">
        <v>795</v>
      </c>
      <c r="B635" t="s">
        <v>878</v>
      </c>
      <c r="C635" t="s">
        <v>683</v>
      </c>
      <c r="D635" s="1">
        <v>23996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</row>
    <row r="636" spans="1:10" x14ac:dyDescent="0.25">
      <c r="A636" t="s">
        <v>795</v>
      </c>
      <c r="B636" t="s">
        <v>878</v>
      </c>
      <c r="C636" t="s">
        <v>684</v>
      </c>
      <c r="D636" s="1">
        <v>66522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</row>
    <row r="637" spans="1:10" x14ac:dyDescent="0.25">
      <c r="A637" t="s">
        <v>795</v>
      </c>
      <c r="B637" t="s">
        <v>878</v>
      </c>
      <c r="C637" t="s">
        <v>685</v>
      </c>
      <c r="D637" s="1">
        <v>12319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</row>
    <row r="638" spans="1:10" x14ac:dyDescent="0.25">
      <c r="A638" t="s">
        <v>851</v>
      </c>
      <c r="B638" t="s">
        <v>878</v>
      </c>
      <c r="C638" t="s">
        <v>686</v>
      </c>
      <c r="D638" s="1">
        <v>3187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</row>
    <row r="639" spans="1:10" x14ac:dyDescent="0.25">
      <c r="A639" t="s">
        <v>841</v>
      </c>
      <c r="B639" t="s">
        <v>878</v>
      </c>
      <c r="C639" t="s">
        <v>687</v>
      </c>
      <c r="D639" s="1">
        <v>12121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</row>
    <row r="640" spans="1:10" x14ac:dyDescent="0.25">
      <c r="A640" t="s">
        <v>859</v>
      </c>
      <c r="B640" t="s">
        <v>878</v>
      </c>
      <c r="C640" t="s">
        <v>688</v>
      </c>
      <c r="D640" s="1">
        <v>4679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</row>
    <row r="641" spans="1:10" x14ac:dyDescent="0.25">
      <c r="A641" t="s">
        <v>248</v>
      </c>
      <c r="B641" t="s">
        <v>878</v>
      </c>
      <c r="C641" t="s">
        <v>689</v>
      </c>
      <c r="D641" s="1">
        <v>36583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</row>
    <row r="642" spans="1:10" x14ac:dyDescent="0.25">
      <c r="A642" t="s">
        <v>831</v>
      </c>
      <c r="B642" t="s">
        <v>878</v>
      </c>
      <c r="C642" t="s">
        <v>690</v>
      </c>
      <c r="D642" s="1">
        <v>11765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</row>
    <row r="643" spans="1:10" x14ac:dyDescent="0.25">
      <c r="A643" t="s">
        <v>840</v>
      </c>
      <c r="B643" t="s">
        <v>878</v>
      </c>
      <c r="C643" t="s">
        <v>691</v>
      </c>
      <c r="D643" s="1">
        <v>12601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</row>
    <row r="644" spans="1:10" x14ac:dyDescent="0.25">
      <c r="A644" t="s">
        <v>495</v>
      </c>
      <c r="B644" t="s">
        <v>878</v>
      </c>
      <c r="C644" t="s">
        <v>692</v>
      </c>
      <c r="D644" s="1">
        <v>16507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</row>
    <row r="645" spans="1:10" x14ac:dyDescent="0.25">
      <c r="A645" t="s">
        <v>824</v>
      </c>
      <c r="B645" t="s">
        <v>878</v>
      </c>
      <c r="C645" t="s">
        <v>693</v>
      </c>
      <c r="D645" s="1">
        <v>15020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</row>
    <row r="646" spans="1:10" x14ac:dyDescent="0.25">
      <c r="A646" t="s">
        <v>795</v>
      </c>
      <c r="B646" t="s">
        <v>878</v>
      </c>
      <c r="C646" t="s">
        <v>694</v>
      </c>
      <c r="D646" s="1">
        <v>4487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</row>
    <row r="647" spans="1:10" x14ac:dyDescent="0.25">
      <c r="A647" t="s">
        <v>72</v>
      </c>
      <c r="B647" t="s">
        <v>878</v>
      </c>
      <c r="C647" t="s">
        <v>695</v>
      </c>
      <c r="D647" s="1">
        <v>2405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</row>
    <row r="648" spans="1:10" x14ac:dyDescent="0.25">
      <c r="A648" t="s">
        <v>795</v>
      </c>
      <c r="B648" t="s">
        <v>878</v>
      </c>
      <c r="C648" t="s">
        <v>696</v>
      </c>
      <c r="D648" s="1">
        <v>9775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</row>
    <row r="649" spans="1:10" x14ac:dyDescent="0.25">
      <c r="A649" t="s">
        <v>831</v>
      </c>
      <c r="B649" t="s">
        <v>878</v>
      </c>
      <c r="C649" t="s">
        <v>697</v>
      </c>
      <c r="D649" s="1">
        <v>12859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</row>
    <row r="650" spans="1:10" x14ac:dyDescent="0.25">
      <c r="A650" t="s">
        <v>829</v>
      </c>
      <c r="B650" t="s">
        <v>878</v>
      </c>
      <c r="C650" t="s">
        <v>698</v>
      </c>
      <c r="D650" s="1">
        <v>21148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</row>
    <row r="651" spans="1:10" x14ac:dyDescent="0.25">
      <c r="A651" t="s">
        <v>811</v>
      </c>
      <c r="B651" t="s">
        <v>878</v>
      </c>
      <c r="C651" t="s">
        <v>699</v>
      </c>
      <c r="D651" s="1"/>
      <c r="E651" s="1"/>
      <c r="F651" s="1"/>
      <c r="G651" s="1"/>
      <c r="H651" s="1"/>
      <c r="I651" s="1"/>
      <c r="J651" s="1"/>
    </row>
    <row r="652" spans="1:10" x14ac:dyDescent="0.25">
      <c r="A652" t="s">
        <v>856</v>
      </c>
      <c r="B652" t="s">
        <v>878</v>
      </c>
      <c r="C652" t="s">
        <v>700</v>
      </c>
      <c r="D652" s="1">
        <v>21425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</row>
    <row r="653" spans="1:10" x14ac:dyDescent="0.25">
      <c r="A653" t="s">
        <v>796</v>
      </c>
      <c r="B653" t="s">
        <v>878</v>
      </c>
      <c r="C653" t="s">
        <v>701</v>
      </c>
      <c r="D653" s="1">
        <v>20183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</row>
    <row r="654" spans="1:10" x14ac:dyDescent="0.25">
      <c r="A654" t="s">
        <v>512</v>
      </c>
      <c r="B654" t="s">
        <v>878</v>
      </c>
      <c r="C654" t="s">
        <v>702</v>
      </c>
      <c r="D654" s="1"/>
      <c r="E654" s="1"/>
      <c r="F654" s="1"/>
      <c r="G654" s="1"/>
      <c r="H654" s="1"/>
      <c r="I654" s="1"/>
      <c r="J654" s="1"/>
    </row>
    <row r="655" spans="1:10" x14ac:dyDescent="0.25">
      <c r="A655" t="s">
        <v>850</v>
      </c>
      <c r="B655" t="s">
        <v>878</v>
      </c>
      <c r="C655" t="s">
        <v>703</v>
      </c>
      <c r="D655" s="1">
        <v>2615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</row>
    <row r="656" spans="1:10" x14ac:dyDescent="0.25">
      <c r="A656" t="s">
        <v>146</v>
      </c>
      <c r="B656" t="s">
        <v>878</v>
      </c>
      <c r="C656" t="s">
        <v>704</v>
      </c>
      <c r="D656" s="1">
        <v>15151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</row>
    <row r="657" spans="1:10" x14ac:dyDescent="0.25">
      <c r="A657" t="s">
        <v>846</v>
      </c>
      <c r="B657" t="s">
        <v>878</v>
      </c>
      <c r="C657" t="s">
        <v>705</v>
      </c>
      <c r="D657" s="1">
        <v>5250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</row>
    <row r="658" spans="1:10" x14ac:dyDescent="0.25">
      <c r="A658" t="s">
        <v>855</v>
      </c>
      <c r="B658" t="s">
        <v>878</v>
      </c>
      <c r="C658" t="s">
        <v>706</v>
      </c>
      <c r="D658" s="1">
        <v>5878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</row>
    <row r="659" spans="1:10" x14ac:dyDescent="0.25">
      <c r="A659" t="s">
        <v>794</v>
      </c>
      <c r="B659" t="s">
        <v>878</v>
      </c>
      <c r="C659" t="s">
        <v>707</v>
      </c>
      <c r="D659" s="1">
        <v>8186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</row>
    <row r="660" spans="1:10" x14ac:dyDescent="0.25">
      <c r="A660" t="s">
        <v>108</v>
      </c>
      <c r="B660" t="s">
        <v>878</v>
      </c>
      <c r="C660" t="s">
        <v>708</v>
      </c>
      <c r="D660" s="1"/>
      <c r="E660" s="1"/>
      <c r="F660" s="1"/>
      <c r="G660" s="1"/>
      <c r="H660" s="1"/>
      <c r="I660" s="1"/>
      <c r="J660" s="1"/>
    </row>
    <row r="661" spans="1:10" x14ac:dyDescent="0.25">
      <c r="A661" t="s">
        <v>834</v>
      </c>
      <c r="B661" t="s">
        <v>878</v>
      </c>
      <c r="C661" t="s">
        <v>709</v>
      </c>
      <c r="D661" s="1">
        <v>6961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</row>
    <row r="662" spans="1:10" x14ac:dyDescent="0.25">
      <c r="A662" t="s">
        <v>852</v>
      </c>
      <c r="B662" t="s">
        <v>878</v>
      </c>
      <c r="C662" t="s">
        <v>710</v>
      </c>
      <c r="D662" s="1">
        <v>6559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</row>
    <row r="663" spans="1:10" x14ac:dyDescent="0.25">
      <c r="A663" t="s">
        <v>824</v>
      </c>
      <c r="B663" t="s">
        <v>878</v>
      </c>
      <c r="C663" t="s">
        <v>711</v>
      </c>
      <c r="D663" s="1">
        <v>10631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</row>
    <row r="664" spans="1:10" x14ac:dyDescent="0.25">
      <c r="A664" t="s">
        <v>817</v>
      </c>
      <c r="B664" t="s">
        <v>878</v>
      </c>
      <c r="C664" t="s">
        <v>712</v>
      </c>
      <c r="D664" s="1"/>
      <c r="E664" s="1"/>
      <c r="F664" s="1"/>
      <c r="G664" s="1"/>
      <c r="H664" s="1"/>
      <c r="I664" s="1"/>
      <c r="J664" s="1"/>
    </row>
    <row r="665" spans="1:10" x14ac:dyDescent="0.25">
      <c r="A665" t="s">
        <v>857</v>
      </c>
      <c r="B665" t="s">
        <v>878</v>
      </c>
      <c r="C665" t="s">
        <v>713</v>
      </c>
      <c r="D665" s="1">
        <v>6523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</row>
    <row r="666" spans="1:10" x14ac:dyDescent="0.25">
      <c r="A666" t="s">
        <v>146</v>
      </c>
      <c r="B666" t="s">
        <v>878</v>
      </c>
      <c r="C666" t="s">
        <v>714</v>
      </c>
      <c r="D666" s="1">
        <v>26717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</row>
    <row r="667" spans="1:10" x14ac:dyDescent="0.25">
      <c r="A667" t="s">
        <v>120</v>
      </c>
      <c r="B667" t="s">
        <v>878</v>
      </c>
      <c r="C667" t="s">
        <v>715</v>
      </c>
      <c r="D667" s="1">
        <v>8357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</row>
    <row r="668" spans="1:10" x14ac:dyDescent="0.25">
      <c r="A668" t="s">
        <v>146</v>
      </c>
      <c r="B668" t="s">
        <v>878</v>
      </c>
      <c r="C668" t="s">
        <v>716</v>
      </c>
      <c r="D668" s="1">
        <v>6142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</row>
    <row r="669" spans="1:10" x14ac:dyDescent="0.25">
      <c r="A669" t="s">
        <v>795</v>
      </c>
      <c r="B669" t="s">
        <v>878</v>
      </c>
      <c r="C669" t="s">
        <v>717</v>
      </c>
      <c r="D669" s="1">
        <v>8823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</row>
    <row r="670" spans="1:10" x14ac:dyDescent="0.25">
      <c r="A670" t="s">
        <v>146</v>
      </c>
      <c r="B670" t="s">
        <v>878</v>
      </c>
      <c r="C670" t="s">
        <v>718</v>
      </c>
      <c r="D670" s="1">
        <v>19335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</row>
    <row r="671" spans="1:10" x14ac:dyDescent="0.25">
      <c r="A671" t="s">
        <v>816</v>
      </c>
      <c r="B671" t="s">
        <v>878</v>
      </c>
      <c r="C671" t="s">
        <v>719</v>
      </c>
      <c r="D671" s="1">
        <v>6163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</row>
    <row r="672" spans="1:10" x14ac:dyDescent="0.25">
      <c r="A672" t="s">
        <v>817</v>
      </c>
      <c r="B672" t="s">
        <v>878</v>
      </c>
      <c r="C672" t="s">
        <v>720</v>
      </c>
      <c r="D672" s="1">
        <v>29859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</row>
    <row r="673" spans="1:10" x14ac:dyDescent="0.25">
      <c r="A673" t="s">
        <v>864</v>
      </c>
      <c r="B673" t="s">
        <v>878</v>
      </c>
      <c r="C673" t="s">
        <v>721</v>
      </c>
      <c r="D673" s="1">
        <v>56062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</row>
    <row r="674" spans="1:10" x14ac:dyDescent="0.25">
      <c r="A674" t="s">
        <v>146</v>
      </c>
      <c r="B674" t="s">
        <v>878</v>
      </c>
      <c r="C674" t="s">
        <v>722</v>
      </c>
      <c r="D674" s="1">
        <v>7309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</row>
    <row r="675" spans="1:10" x14ac:dyDescent="0.25">
      <c r="A675" t="s">
        <v>858</v>
      </c>
      <c r="B675" t="s">
        <v>878</v>
      </c>
      <c r="C675" t="s">
        <v>723</v>
      </c>
      <c r="D675" s="1">
        <v>8291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</row>
    <row r="676" spans="1:10" x14ac:dyDescent="0.25">
      <c r="A676" t="s">
        <v>864</v>
      </c>
      <c r="B676" t="s">
        <v>878</v>
      </c>
      <c r="C676" t="s">
        <v>724</v>
      </c>
      <c r="D676" s="1">
        <v>91230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</row>
    <row r="677" spans="1:10" x14ac:dyDescent="0.25">
      <c r="A677" t="s">
        <v>794</v>
      </c>
      <c r="B677" t="s">
        <v>878</v>
      </c>
      <c r="C677" t="s">
        <v>725</v>
      </c>
      <c r="D677" s="1">
        <v>31949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</row>
    <row r="678" spans="1:10" x14ac:dyDescent="0.25">
      <c r="A678" t="s">
        <v>864</v>
      </c>
      <c r="B678" t="s">
        <v>878</v>
      </c>
      <c r="C678" t="s">
        <v>726</v>
      </c>
      <c r="D678" s="1">
        <v>39858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</row>
    <row r="679" spans="1:10" x14ac:dyDescent="0.25">
      <c r="A679" t="s">
        <v>824</v>
      </c>
      <c r="B679" t="s">
        <v>878</v>
      </c>
      <c r="C679" t="s">
        <v>727</v>
      </c>
      <c r="D679" s="1">
        <v>6588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</row>
    <row r="680" spans="1:10" x14ac:dyDescent="0.25">
      <c r="A680" t="s">
        <v>134</v>
      </c>
      <c r="B680" t="s">
        <v>878</v>
      </c>
      <c r="C680" t="s">
        <v>728</v>
      </c>
      <c r="D680" s="1">
        <v>2268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</row>
    <row r="681" spans="1:10" x14ac:dyDescent="0.25">
      <c r="A681" t="s">
        <v>138</v>
      </c>
      <c r="B681" t="s">
        <v>878</v>
      </c>
      <c r="C681" t="s">
        <v>729</v>
      </c>
      <c r="D681" s="1">
        <v>30266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</row>
    <row r="682" spans="1:10" x14ac:dyDescent="0.25">
      <c r="A682" t="s">
        <v>788</v>
      </c>
      <c r="B682" t="s">
        <v>878</v>
      </c>
      <c r="C682" t="s">
        <v>730</v>
      </c>
      <c r="D682" s="1">
        <v>2069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</row>
    <row r="683" spans="1:10" x14ac:dyDescent="0.25">
      <c r="A683" t="s">
        <v>831</v>
      </c>
      <c r="B683" t="s">
        <v>878</v>
      </c>
      <c r="C683" t="s">
        <v>731</v>
      </c>
      <c r="D683" s="1">
        <v>2220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</row>
    <row r="684" spans="1:10" x14ac:dyDescent="0.25">
      <c r="A684" t="s">
        <v>138</v>
      </c>
      <c r="B684" t="s">
        <v>878</v>
      </c>
      <c r="C684" t="s">
        <v>732</v>
      </c>
      <c r="D684" s="1"/>
      <c r="E684" s="1"/>
      <c r="F684" s="1"/>
      <c r="G684" s="1"/>
      <c r="H684" s="1"/>
      <c r="I684" s="1"/>
      <c r="J684" s="1"/>
    </row>
    <row r="685" spans="1:10" x14ac:dyDescent="0.25">
      <c r="A685" t="s">
        <v>809</v>
      </c>
      <c r="B685" t="s">
        <v>878</v>
      </c>
      <c r="C685" t="s">
        <v>733</v>
      </c>
      <c r="D685" s="1">
        <v>23429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</row>
    <row r="686" spans="1:10" x14ac:dyDescent="0.25">
      <c r="A686" t="s">
        <v>868</v>
      </c>
      <c r="B686" t="s">
        <v>878</v>
      </c>
      <c r="C686" t="s">
        <v>734</v>
      </c>
      <c r="D686" s="1"/>
      <c r="E686" s="1"/>
      <c r="F686" s="1"/>
      <c r="G686" s="1"/>
      <c r="H686" s="1"/>
      <c r="I686" s="1"/>
      <c r="J686" s="1"/>
    </row>
    <row r="687" spans="1:10" x14ac:dyDescent="0.25">
      <c r="A687" t="s">
        <v>817</v>
      </c>
      <c r="B687" t="s">
        <v>878</v>
      </c>
      <c r="C687" t="s">
        <v>735</v>
      </c>
      <c r="D687" s="1">
        <v>8198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</row>
    <row r="688" spans="1:10" x14ac:dyDescent="0.25">
      <c r="A688" t="s">
        <v>801</v>
      </c>
      <c r="B688" t="s">
        <v>878</v>
      </c>
      <c r="C688" t="s">
        <v>736</v>
      </c>
      <c r="D688" s="1">
        <v>1424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</row>
    <row r="689" spans="1:10" x14ac:dyDescent="0.25">
      <c r="A689" t="s">
        <v>138</v>
      </c>
      <c r="B689" t="s">
        <v>878</v>
      </c>
      <c r="C689" t="s">
        <v>737</v>
      </c>
      <c r="D689" s="1">
        <v>11783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</row>
    <row r="690" spans="1:10" x14ac:dyDescent="0.25">
      <c r="A690" t="s">
        <v>138</v>
      </c>
      <c r="B690" t="s">
        <v>878</v>
      </c>
      <c r="C690" t="s">
        <v>738</v>
      </c>
      <c r="D690" s="1">
        <v>10305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</row>
    <row r="691" spans="1:10" x14ac:dyDescent="0.25">
      <c r="A691" t="s">
        <v>248</v>
      </c>
      <c r="B691" t="s">
        <v>878</v>
      </c>
      <c r="C691" t="s">
        <v>739</v>
      </c>
      <c r="D691" s="1">
        <v>16253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</row>
    <row r="692" spans="1:10" x14ac:dyDescent="0.25">
      <c r="A692" t="s">
        <v>138</v>
      </c>
      <c r="B692" t="s">
        <v>878</v>
      </c>
      <c r="C692" t="s">
        <v>740</v>
      </c>
      <c r="D692" s="1">
        <v>5992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</row>
    <row r="693" spans="1:10" x14ac:dyDescent="0.25">
      <c r="A693" t="s">
        <v>134</v>
      </c>
      <c r="B693" t="s">
        <v>878</v>
      </c>
      <c r="C693" t="s">
        <v>741</v>
      </c>
      <c r="D693" s="1">
        <v>6287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</row>
    <row r="694" spans="1:10" x14ac:dyDescent="0.25">
      <c r="A694" t="s">
        <v>231</v>
      </c>
      <c r="B694" t="s">
        <v>878</v>
      </c>
      <c r="C694" t="s">
        <v>742</v>
      </c>
      <c r="D694" s="1"/>
      <c r="E694" s="1"/>
      <c r="F694" s="1"/>
      <c r="G694" s="1"/>
      <c r="H694" s="1"/>
      <c r="I694" s="1"/>
      <c r="J694" s="1"/>
    </row>
    <row r="695" spans="1:10" x14ac:dyDescent="0.25">
      <c r="A695" t="s">
        <v>83</v>
      </c>
      <c r="B695" t="s">
        <v>878</v>
      </c>
      <c r="C695" t="s">
        <v>743</v>
      </c>
      <c r="D695" s="1">
        <v>2523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</row>
    <row r="696" spans="1:10" x14ac:dyDescent="0.25">
      <c r="A696" t="s">
        <v>826</v>
      </c>
      <c r="B696" t="s">
        <v>878</v>
      </c>
      <c r="C696" t="s">
        <v>744</v>
      </c>
      <c r="D696" s="1"/>
      <c r="E696" s="1"/>
      <c r="F696" s="1"/>
      <c r="G696" s="1"/>
      <c r="H696" s="1"/>
      <c r="I696" s="1"/>
      <c r="J696" s="1"/>
    </row>
    <row r="697" spans="1:10" x14ac:dyDescent="0.25">
      <c r="A697" t="s">
        <v>811</v>
      </c>
      <c r="B697" t="s">
        <v>878</v>
      </c>
      <c r="C697" t="s">
        <v>745</v>
      </c>
      <c r="D697" s="1"/>
      <c r="E697" s="1"/>
      <c r="F697" s="1"/>
      <c r="G697" s="1"/>
      <c r="H697" s="1"/>
      <c r="I697" s="1"/>
      <c r="J697" s="1"/>
    </row>
    <row r="698" spans="1:10" x14ac:dyDescent="0.25">
      <c r="A698" t="s">
        <v>248</v>
      </c>
      <c r="B698" t="s">
        <v>878</v>
      </c>
      <c r="C698" t="s">
        <v>746</v>
      </c>
      <c r="D698" s="1">
        <v>99096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</row>
    <row r="699" spans="1:10" x14ac:dyDescent="0.25">
      <c r="A699" s="9" t="s">
        <v>801</v>
      </c>
      <c r="B699" t="s">
        <v>879</v>
      </c>
      <c r="C699" t="s">
        <v>747</v>
      </c>
      <c r="D699" s="1">
        <v>4881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</row>
    <row r="700" spans="1:10" x14ac:dyDescent="0.25">
      <c r="A700" s="9" t="s">
        <v>809</v>
      </c>
      <c r="B700" t="s">
        <v>879</v>
      </c>
      <c r="C700" t="s">
        <v>748</v>
      </c>
      <c r="D700" s="1">
        <v>19530</v>
      </c>
      <c r="E700" s="1">
        <v>342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</row>
    <row r="701" spans="1:10" x14ac:dyDescent="0.25">
      <c r="A701" s="9" t="s">
        <v>823</v>
      </c>
      <c r="B701" t="s">
        <v>879</v>
      </c>
      <c r="C701" t="s">
        <v>749</v>
      </c>
      <c r="D701" s="1">
        <v>35180</v>
      </c>
      <c r="E701" s="1">
        <v>40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</row>
    <row r="702" spans="1:10" x14ac:dyDescent="0.25">
      <c r="A702" t="s">
        <v>226</v>
      </c>
      <c r="B702" t="s">
        <v>879</v>
      </c>
      <c r="C702" t="s">
        <v>750</v>
      </c>
      <c r="D702" s="1">
        <v>3046</v>
      </c>
      <c r="E702" s="1">
        <v>45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</row>
    <row r="703" spans="1:10" x14ac:dyDescent="0.25">
      <c r="A703" t="s">
        <v>811</v>
      </c>
      <c r="B703" t="s">
        <v>879</v>
      </c>
      <c r="C703" t="s">
        <v>751</v>
      </c>
      <c r="D703" s="1"/>
      <c r="E703" s="1"/>
      <c r="F703" s="1"/>
      <c r="G703" s="1"/>
      <c r="H703" s="1"/>
      <c r="I703" s="1"/>
      <c r="J703" s="1"/>
    </row>
    <row r="704" spans="1:10" x14ac:dyDescent="0.25">
      <c r="A704" t="s">
        <v>797</v>
      </c>
      <c r="B704" t="s">
        <v>879</v>
      </c>
      <c r="C704" t="s">
        <v>752</v>
      </c>
      <c r="D704" s="1">
        <v>29310</v>
      </c>
      <c r="E704" s="1">
        <v>35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</row>
    <row r="705" spans="1:10" x14ac:dyDescent="0.25">
      <c r="A705" t="s">
        <v>69</v>
      </c>
      <c r="B705" t="s">
        <v>879</v>
      </c>
      <c r="C705" t="s">
        <v>753</v>
      </c>
      <c r="D705" s="1">
        <v>50130</v>
      </c>
      <c r="E705" s="1">
        <v>18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</row>
    <row r="706" spans="1:10" x14ac:dyDescent="0.25">
      <c r="A706" t="s">
        <v>824</v>
      </c>
      <c r="B706" t="s">
        <v>879</v>
      </c>
      <c r="C706" t="s">
        <v>754</v>
      </c>
      <c r="D706" s="1">
        <v>11924</v>
      </c>
      <c r="E706" s="1">
        <v>20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</row>
    <row r="707" spans="1:10" x14ac:dyDescent="0.25">
      <c r="A707" t="s">
        <v>817</v>
      </c>
      <c r="B707" t="s">
        <v>879</v>
      </c>
      <c r="C707" t="s">
        <v>755</v>
      </c>
      <c r="D707" s="1">
        <v>57146</v>
      </c>
      <c r="E707" s="1">
        <v>101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</row>
    <row r="708" spans="1:10" x14ac:dyDescent="0.25">
      <c r="A708" t="s">
        <v>794</v>
      </c>
      <c r="B708" t="s">
        <v>879</v>
      </c>
      <c r="C708" t="s">
        <v>756</v>
      </c>
      <c r="D708" s="1">
        <v>43963</v>
      </c>
      <c r="E708" s="1">
        <v>203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</row>
    <row r="709" spans="1:10" x14ac:dyDescent="0.25">
      <c r="A709" t="s">
        <v>120</v>
      </c>
      <c r="B709" t="s">
        <v>879</v>
      </c>
      <c r="C709" t="s">
        <v>757</v>
      </c>
      <c r="D709" s="1"/>
      <c r="E709" s="1"/>
      <c r="F709" s="1"/>
      <c r="G709" s="1"/>
      <c r="H709" s="1"/>
      <c r="I709" s="1"/>
      <c r="J709" s="1"/>
    </row>
    <row r="710" spans="1:10" x14ac:dyDescent="0.25">
      <c r="A710" t="s">
        <v>788</v>
      </c>
      <c r="B710" t="s">
        <v>879</v>
      </c>
      <c r="C710" t="s">
        <v>758</v>
      </c>
      <c r="D710" s="1">
        <v>24876</v>
      </c>
      <c r="E710" s="1">
        <v>1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</row>
    <row r="711" spans="1:10" x14ac:dyDescent="0.25">
      <c r="A711" t="s">
        <v>146</v>
      </c>
      <c r="B711" t="s">
        <v>879</v>
      </c>
      <c r="C711" t="s">
        <v>759</v>
      </c>
      <c r="D711" s="1">
        <v>79846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</row>
    <row r="712" spans="1:10" x14ac:dyDescent="0.25">
      <c r="A712" t="s">
        <v>795</v>
      </c>
      <c r="B712" t="s">
        <v>879</v>
      </c>
      <c r="C712" t="s">
        <v>760</v>
      </c>
      <c r="D712" s="1">
        <v>57089</v>
      </c>
      <c r="E712" s="1">
        <v>90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</row>
    <row r="713" spans="1:10" x14ac:dyDescent="0.25">
      <c r="A713" t="s">
        <v>248</v>
      </c>
      <c r="B713" t="s">
        <v>879</v>
      </c>
      <c r="C713" t="s">
        <v>761</v>
      </c>
      <c r="D713" s="1">
        <v>27845</v>
      </c>
      <c r="E713" s="1">
        <v>6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</row>
    <row r="714" spans="1:10" x14ac:dyDescent="0.25">
      <c r="A714" t="s">
        <v>796</v>
      </c>
      <c r="B714" t="s">
        <v>879</v>
      </c>
      <c r="C714" t="s">
        <v>762</v>
      </c>
      <c r="D714" s="1">
        <v>5554</v>
      </c>
      <c r="E714" s="1">
        <v>10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</row>
    <row r="715" spans="1:10" x14ac:dyDescent="0.25">
      <c r="A715" t="s">
        <v>138</v>
      </c>
      <c r="B715" t="s">
        <v>879</v>
      </c>
      <c r="C715" t="s">
        <v>763</v>
      </c>
      <c r="D715" s="1">
        <v>30269</v>
      </c>
      <c r="E715" s="1">
        <v>59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</row>
    <row r="716" spans="1:10" x14ac:dyDescent="0.25">
      <c r="A716" t="s">
        <v>265</v>
      </c>
      <c r="B716" t="s">
        <v>879</v>
      </c>
      <c r="C716" t="s">
        <v>764</v>
      </c>
      <c r="D716" s="1">
        <v>8508</v>
      </c>
      <c r="E716" s="1">
        <v>2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</row>
    <row r="717" spans="1:10" x14ac:dyDescent="0.25">
      <c r="A717" t="s">
        <v>823</v>
      </c>
      <c r="B717" t="s">
        <v>879</v>
      </c>
      <c r="C717" t="s">
        <v>765</v>
      </c>
      <c r="D717" s="1">
        <v>31234</v>
      </c>
      <c r="E717" s="1">
        <v>555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</row>
    <row r="718" spans="1:10" x14ac:dyDescent="0.25">
      <c r="A718" t="s">
        <v>83</v>
      </c>
      <c r="B718" t="s">
        <v>879</v>
      </c>
      <c r="C718" t="s">
        <v>766</v>
      </c>
      <c r="D718" s="1">
        <v>7307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</row>
    <row r="719" spans="1:10" x14ac:dyDescent="0.25">
      <c r="A719" t="s">
        <v>864</v>
      </c>
      <c r="B719" t="s">
        <v>879</v>
      </c>
      <c r="C719" t="s">
        <v>767</v>
      </c>
      <c r="D719" s="1">
        <v>20701</v>
      </c>
      <c r="E719" s="1">
        <v>36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</row>
    <row r="720" spans="1:10" x14ac:dyDescent="0.25">
      <c r="A720" t="s">
        <v>76</v>
      </c>
      <c r="B720" t="s">
        <v>879</v>
      </c>
      <c r="C720" t="s">
        <v>768</v>
      </c>
      <c r="D720" s="1">
        <v>38397</v>
      </c>
      <c r="E720" s="1">
        <v>218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</row>
    <row r="721" spans="1:10" x14ac:dyDescent="0.25">
      <c r="A721" s="53" t="s">
        <v>101</v>
      </c>
      <c r="B721" s="55" t="s">
        <v>879</v>
      </c>
      <c r="C721" s="55" t="s">
        <v>769</v>
      </c>
      <c r="D721" s="60">
        <v>22646</v>
      </c>
      <c r="E721" s="60">
        <v>19</v>
      </c>
      <c r="F721" s="60">
        <v>0</v>
      </c>
      <c r="G721" s="60">
        <v>0</v>
      </c>
      <c r="H721" s="60">
        <v>0</v>
      </c>
      <c r="I721" s="60">
        <v>0</v>
      </c>
      <c r="J721" s="60">
        <v>0</v>
      </c>
    </row>
    <row r="722" spans="1:10" x14ac:dyDescent="0.25">
      <c r="A722" s="53" t="s">
        <v>831</v>
      </c>
      <c r="B722" s="55" t="s">
        <v>879</v>
      </c>
      <c r="C722" s="55" t="s">
        <v>770</v>
      </c>
      <c r="D722" s="60">
        <v>3755</v>
      </c>
      <c r="E722" s="60">
        <v>375</v>
      </c>
      <c r="F722" s="60">
        <v>0</v>
      </c>
      <c r="G722" s="60">
        <v>0</v>
      </c>
      <c r="H722" s="60">
        <v>0</v>
      </c>
      <c r="I722" s="60">
        <v>0</v>
      </c>
      <c r="J722" s="60">
        <v>0</v>
      </c>
    </row>
    <row r="723" spans="1:10" x14ac:dyDescent="0.25">
      <c r="A723" s="53" t="s">
        <v>512</v>
      </c>
      <c r="B723" s="55" t="s">
        <v>879</v>
      </c>
      <c r="C723" s="55" t="s">
        <v>771</v>
      </c>
      <c r="D723" s="60">
        <v>10082</v>
      </c>
      <c r="E723" s="60">
        <v>1</v>
      </c>
      <c r="F723" s="60">
        <v>0</v>
      </c>
      <c r="G723" s="60">
        <v>0</v>
      </c>
      <c r="H723" s="60">
        <v>0</v>
      </c>
      <c r="I723" s="60">
        <v>0</v>
      </c>
      <c r="J723" s="60">
        <v>0</v>
      </c>
    </row>
    <row r="724" spans="1:10" x14ac:dyDescent="0.25">
      <c r="A724" s="53" t="s">
        <v>848</v>
      </c>
      <c r="B724" s="55" t="s">
        <v>879</v>
      </c>
      <c r="C724" s="55" t="s">
        <v>772</v>
      </c>
      <c r="D724" s="60">
        <v>5376</v>
      </c>
      <c r="E724" s="60">
        <v>6</v>
      </c>
      <c r="F724" s="60">
        <v>0</v>
      </c>
      <c r="G724" s="60">
        <v>0</v>
      </c>
      <c r="H724" s="60">
        <v>0</v>
      </c>
      <c r="I724" s="60">
        <v>0</v>
      </c>
      <c r="J724" s="60">
        <v>0</v>
      </c>
    </row>
    <row r="725" spans="1:10" x14ac:dyDescent="0.25">
      <c r="A725" s="53" t="s">
        <v>796</v>
      </c>
      <c r="B725" s="55" t="s">
        <v>879</v>
      </c>
      <c r="C725" s="55" t="s">
        <v>773</v>
      </c>
      <c r="D725" s="60">
        <v>14334</v>
      </c>
      <c r="E725" s="60">
        <v>10</v>
      </c>
      <c r="F725" s="60">
        <v>0</v>
      </c>
      <c r="G725" s="60">
        <v>0</v>
      </c>
      <c r="H725" s="60">
        <v>0</v>
      </c>
      <c r="I725" s="60">
        <v>0</v>
      </c>
      <c r="J725" s="60">
        <v>0</v>
      </c>
    </row>
    <row r="726" spans="1:10" x14ac:dyDescent="0.25">
      <c r="A726" s="53" t="s">
        <v>826</v>
      </c>
      <c r="B726" s="55" t="s">
        <v>879</v>
      </c>
      <c r="C726" s="55" t="s">
        <v>774</v>
      </c>
      <c r="D726" s="60"/>
      <c r="E726" s="60"/>
      <c r="F726" s="60"/>
      <c r="G726" s="60"/>
      <c r="H726" s="60"/>
      <c r="I726" s="60"/>
      <c r="J726" s="60"/>
    </row>
    <row r="727" spans="1:10" x14ac:dyDescent="0.25">
      <c r="A727" s="53" t="s">
        <v>805</v>
      </c>
      <c r="B727" s="55" t="s">
        <v>877</v>
      </c>
      <c r="C727" s="55" t="s">
        <v>775</v>
      </c>
      <c r="D727" s="60"/>
      <c r="E727" s="60"/>
      <c r="F727" s="60"/>
      <c r="G727" s="60"/>
      <c r="H727" s="60"/>
      <c r="I727" s="60"/>
      <c r="J727" s="60"/>
    </row>
    <row r="728" spans="1:10" x14ac:dyDescent="0.25">
      <c r="A728" s="53" t="s">
        <v>805</v>
      </c>
      <c r="B728" s="55" t="s">
        <v>877</v>
      </c>
      <c r="C728" s="55" t="s">
        <v>776</v>
      </c>
      <c r="D728" s="60"/>
      <c r="E728" s="60"/>
      <c r="F728" s="60"/>
      <c r="G728" s="60"/>
      <c r="H728" s="60"/>
      <c r="I728" s="60"/>
      <c r="J728" s="60"/>
    </row>
    <row r="729" spans="1:10" x14ac:dyDescent="0.25">
      <c r="A729" s="54" t="s">
        <v>805</v>
      </c>
      <c r="B729" s="56" t="s">
        <v>877</v>
      </c>
      <c r="C729" s="56" t="s">
        <v>777</v>
      </c>
      <c r="D729" s="61"/>
      <c r="E729" s="61"/>
      <c r="F729" s="61"/>
      <c r="G729" s="61"/>
      <c r="H729" s="61"/>
      <c r="I729" s="61"/>
      <c r="J729" s="61"/>
    </row>
  </sheetData>
  <sheetProtection formatCells="0" formatColumns="0" sort="0" autoFilter="0" pivotTables="0"/>
  <phoneticPr fontId="2" type="noConversion"/>
  <conditionalFormatting sqref="A709:C709">
    <cfRule type="expression" dxfId="45" priority="7">
      <formula>A709&lt;&gt;N709</formula>
    </cfRule>
  </conditionalFormatting>
  <conditionalFormatting sqref="C704">
    <cfRule type="expression" dxfId="44" priority="14">
      <formula>C704&lt;&gt;N704</formula>
    </cfRule>
  </conditionalFormatting>
  <conditionalFormatting sqref="C706">
    <cfRule type="expression" dxfId="43" priority="13">
      <formula>C706&lt;&gt;N706</formula>
    </cfRule>
  </conditionalFormatting>
  <conditionalFormatting sqref="C709:C710">
    <cfRule type="expression" dxfId="42" priority="4">
      <formula>C709&lt;&gt;#REF!</formula>
    </cfRule>
  </conditionalFormatting>
  <conditionalFormatting sqref="C712">
    <cfRule type="expression" dxfId="41" priority="3">
      <formula>C712&lt;&gt;#REF!</formula>
    </cfRule>
  </conditionalFormatting>
  <conditionalFormatting sqref="C721:J729">
    <cfRule type="expression" dxfId="40" priority="1">
      <formula>C721&lt;&gt;N721</formula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40511E81-2052-4E0C-AE86-074E41DA790C}">
            <xm:f>A710&lt;&gt;'202210 OCTUBRE'!#REF!</xm:f>
            <x14:dxf>
              <fill>
                <patternFill>
                  <bgColor theme="7" tint="0.39994506668294322"/>
                </patternFill>
              </fill>
            </x14:dxf>
          </x14:cfRule>
          <xm:sqref>A710:J720</xm:sqref>
        </x14:conditionalFormatting>
        <x14:conditionalFormatting xmlns:xm="http://schemas.microsoft.com/office/excel/2006/main">
          <x14:cfRule type="expression" priority="2" id="{48BF0B28-5BC8-4735-8696-985A334D1228}">
            <xm:f>A721&lt;&gt;'202212 DICIEMBRE'!#REF!</xm:f>
            <x14:dxf>
              <fill>
                <patternFill>
                  <bgColor theme="7" tint="0.39994506668294322"/>
                </patternFill>
              </fill>
            </x14:dxf>
          </x14:cfRule>
          <xm:sqref>A721:J729</xm:sqref>
        </x14:conditionalFormatting>
        <x14:conditionalFormatting xmlns:xm="http://schemas.microsoft.com/office/excel/2006/main">
          <x14:cfRule type="expression" priority="12" id="{D8581CC6-D2B1-4F0A-9B17-D3DF3DDDF9F8}">
            <xm:f>C706&lt;&gt;'202209 SEPTIEMBRE'!#REF!</xm:f>
            <x14:dxf>
              <fill>
                <patternFill>
                  <bgColor theme="7" tint="0.39994506668294322"/>
                </patternFill>
              </fill>
            </x14:dxf>
          </x14:cfRule>
          <xm:sqref>C706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4E39C-F440-4ECB-BE26-2F33BBC63A68}">
  <sheetPr>
    <tabColor theme="7"/>
  </sheetPr>
  <dimension ref="A1:T729"/>
  <sheetViews>
    <sheetView topLeftCell="A334" zoomScale="90" zoomScaleNormal="90" workbookViewId="0">
      <selection activeCell="C335" sqref="C335"/>
    </sheetView>
  </sheetViews>
  <sheetFormatPr baseColWidth="10" defaultColWidth="11.42578125" defaultRowHeight="15" customHeight="1" x14ac:dyDescent="0.25"/>
  <cols>
    <col min="1" max="1" width="12" bestFit="1" customWidth="1"/>
    <col min="2" max="2" width="9.140625" bestFit="1" customWidth="1"/>
    <col min="3" max="3" width="14" bestFit="1" customWidth="1"/>
    <col min="4" max="4" width="12.42578125" bestFit="1" customWidth="1"/>
    <col min="5" max="5" width="12.5703125" bestFit="1" customWidth="1"/>
    <col min="6" max="6" width="9" bestFit="1" customWidth="1"/>
    <col min="7" max="7" width="15.85546875" bestFit="1" customWidth="1"/>
    <col min="8" max="8" width="16" bestFit="1" customWidth="1"/>
    <col min="9" max="10" width="10.140625" bestFit="1" customWidth="1"/>
    <col min="11" max="11" width="7.7109375" customWidth="1"/>
    <col min="12" max="12" width="11.42578125" bestFit="1" customWidth="1"/>
    <col min="13" max="13" width="6.7109375" bestFit="1" customWidth="1"/>
    <col min="14" max="14" width="17.28515625" bestFit="1" customWidth="1"/>
    <col min="15" max="15" width="9.85546875" bestFit="1" customWidth="1"/>
    <col min="16" max="16" width="10.140625" bestFit="1" customWidth="1"/>
    <col min="17" max="17" width="6.42578125" bestFit="1" customWidth="1"/>
    <col min="18" max="18" width="13.28515625" bestFit="1" customWidth="1"/>
    <col min="19" max="19" width="13.5703125" bestFit="1" customWidth="1"/>
    <col min="20" max="20" width="7.7109375" bestFit="1" customWidth="1"/>
    <col min="21" max="21" width="13.5703125" bestFit="1" customWidth="1"/>
    <col min="22" max="22" width="10.140625" bestFit="1" customWidth="1"/>
    <col min="23" max="23" width="17" bestFit="1" customWidth="1"/>
    <col min="24" max="24" width="17.140625" bestFit="1" customWidth="1"/>
    <col min="25" max="25" width="11.28515625" bestFit="1" customWidth="1"/>
  </cols>
  <sheetData>
    <row r="1" spans="1:20" x14ac:dyDescent="0.25">
      <c r="A1" t="s">
        <v>0</v>
      </c>
      <c r="B1" t="s">
        <v>869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L1" t="s">
        <v>880</v>
      </c>
      <c r="M1" t="s">
        <v>869</v>
      </c>
      <c r="N1" t="s">
        <v>881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</row>
    <row r="2" spans="1:20" x14ac:dyDescent="0.25">
      <c r="A2" t="s">
        <v>76</v>
      </c>
      <c r="B2" t="s">
        <v>870</v>
      </c>
      <c r="C2" t="s">
        <v>11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45943</v>
      </c>
      <c r="J2" s="1">
        <v>0</v>
      </c>
      <c r="K2" s="1"/>
      <c r="L2" t="s">
        <v>76</v>
      </c>
      <c r="M2" t="s">
        <v>870</v>
      </c>
      <c r="N2" t="s">
        <v>11</v>
      </c>
      <c r="O2">
        <v>0</v>
      </c>
      <c r="P2">
        <v>0</v>
      </c>
      <c r="Q2">
        <v>0</v>
      </c>
      <c r="R2">
        <v>0</v>
      </c>
      <c r="S2">
        <v>0</v>
      </c>
      <c r="T2">
        <v>45943</v>
      </c>
    </row>
    <row r="3" spans="1:20" x14ac:dyDescent="0.25">
      <c r="A3" t="s">
        <v>69</v>
      </c>
      <c r="B3" t="s">
        <v>870</v>
      </c>
      <c r="C3" t="s">
        <v>12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100146</v>
      </c>
      <c r="J3" s="1">
        <v>0</v>
      </c>
      <c r="K3" s="1"/>
      <c r="L3" t="s">
        <v>69</v>
      </c>
      <c r="M3" t="s">
        <v>870</v>
      </c>
      <c r="N3" t="s">
        <v>12</v>
      </c>
      <c r="O3">
        <v>0</v>
      </c>
      <c r="P3">
        <v>0</v>
      </c>
      <c r="Q3">
        <v>0</v>
      </c>
      <c r="R3">
        <v>0</v>
      </c>
      <c r="S3">
        <v>0</v>
      </c>
      <c r="T3">
        <v>100146</v>
      </c>
    </row>
    <row r="4" spans="1:20" x14ac:dyDescent="0.25">
      <c r="A4" t="s">
        <v>76</v>
      </c>
      <c r="B4" t="s">
        <v>870</v>
      </c>
      <c r="C4" t="s">
        <v>13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9842</v>
      </c>
      <c r="J4" s="1">
        <v>0</v>
      </c>
      <c r="K4" s="1"/>
      <c r="L4" t="s">
        <v>76</v>
      </c>
      <c r="M4" t="s">
        <v>870</v>
      </c>
      <c r="N4" t="s">
        <v>13</v>
      </c>
      <c r="O4">
        <v>0</v>
      </c>
      <c r="P4">
        <v>0</v>
      </c>
      <c r="Q4">
        <v>0</v>
      </c>
      <c r="R4">
        <v>0</v>
      </c>
      <c r="S4">
        <v>0</v>
      </c>
      <c r="T4">
        <v>9842</v>
      </c>
    </row>
    <row r="5" spans="1:20" x14ac:dyDescent="0.25">
      <c r="A5" t="s">
        <v>801</v>
      </c>
      <c r="B5" t="s">
        <v>870</v>
      </c>
      <c r="C5" t="s">
        <v>14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3617</v>
      </c>
      <c r="J5" s="1">
        <v>0</v>
      </c>
      <c r="K5" s="1"/>
      <c r="L5" t="s">
        <v>801</v>
      </c>
      <c r="M5" t="s">
        <v>870</v>
      </c>
      <c r="N5" t="s">
        <v>14</v>
      </c>
      <c r="O5">
        <v>0</v>
      </c>
      <c r="P5">
        <v>0</v>
      </c>
      <c r="Q5">
        <v>0</v>
      </c>
      <c r="R5">
        <v>0</v>
      </c>
      <c r="S5">
        <v>0</v>
      </c>
      <c r="T5">
        <v>3617</v>
      </c>
    </row>
    <row r="6" spans="1:20" x14ac:dyDescent="0.25">
      <c r="A6" t="s">
        <v>826</v>
      </c>
      <c r="B6" t="s">
        <v>870</v>
      </c>
      <c r="C6" t="s">
        <v>15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7938</v>
      </c>
      <c r="J6" s="1">
        <v>0</v>
      </c>
      <c r="K6" s="1"/>
      <c r="L6" t="s">
        <v>826</v>
      </c>
      <c r="M6" t="s">
        <v>870</v>
      </c>
      <c r="N6" t="s">
        <v>15</v>
      </c>
      <c r="O6">
        <v>0</v>
      </c>
      <c r="P6">
        <v>0</v>
      </c>
      <c r="Q6">
        <v>0</v>
      </c>
      <c r="R6">
        <v>0</v>
      </c>
      <c r="S6">
        <v>0</v>
      </c>
      <c r="T6">
        <v>7938</v>
      </c>
    </row>
    <row r="7" spans="1:20" x14ac:dyDescent="0.25">
      <c r="A7" t="s">
        <v>796</v>
      </c>
      <c r="B7" t="s">
        <v>870</v>
      </c>
      <c r="C7" t="s">
        <v>16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1556</v>
      </c>
      <c r="J7" s="1">
        <v>0</v>
      </c>
      <c r="K7" s="1"/>
      <c r="L7" t="s">
        <v>796</v>
      </c>
      <c r="M7" t="s">
        <v>870</v>
      </c>
      <c r="N7" t="s">
        <v>16</v>
      </c>
      <c r="O7">
        <v>0</v>
      </c>
      <c r="P7">
        <v>0</v>
      </c>
      <c r="Q7">
        <v>0</v>
      </c>
      <c r="R7">
        <v>0</v>
      </c>
      <c r="S7">
        <v>0</v>
      </c>
      <c r="T7">
        <v>1556</v>
      </c>
    </row>
    <row r="8" spans="1:20" x14ac:dyDescent="0.25">
      <c r="A8" t="s">
        <v>83</v>
      </c>
      <c r="B8" t="s">
        <v>870</v>
      </c>
      <c r="C8" t="s">
        <v>17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837</v>
      </c>
      <c r="J8" s="1">
        <v>0</v>
      </c>
      <c r="K8" s="1"/>
      <c r="L8" t="s">
        <v>83</v>
      </c>
      <c r="M8" t="s">
        <v>870</v>
      </c>
      <c r="N8" t="s">
        <v>17</v>
      </c>
      <c r="O8">
        <v>0</v>
      </c>
      <c r="P8">
        <v>0</v>
      </c>
      <c r="Q8">
        <v>0</v>
      </c>
      <c r="R8">
        <v>0</v>
      </c>
      <c r="S8">
        <v>0</v>
      </c>
      <c r="T8">
        <v>837</v>
      </c>
    </row>
    <row r="9" spans="1:20" x14ac:dyDescent="0.25">
      <c r="A9" t="s">
        <v>803</v>
      </c>
      <c r="B9" t="s">
        <v>870</v>
      </c>
      <c r="C9" t="s">
        <v>18</v>
      </c>
      <c r="D9" s="1"/>
      <c r="E9" s="1"/>
      <c r="F9" s="1"/>
      <c r="G9" s="1"/>
      <c r="H9" s="1"/>
      <c r="I9" s="1"/>
      <c r="J9" s="1"/>
      <c r="K9" s="1"/>
      <c r="L9" t="s">
        <v>76</v>
      </c>
      <c r="M9" t="s">
        <v>870</v>
      </c>
      <c r="N9" t="s">
        <v>19</v>
      </c>
      <c r="O9">
        <v>0</v>
      </c>
      <c r="P9">
        <v>0</v>
      </c>
      <c r="Q9">
        <v>0</v>
      </c>
      <c r="R9">
        <v>0</v>
      </c>
      <c r="S9">
        <v>0</v>
      </c>
      <c r="T9">
        <v>24228</v>
      </c>
    </row>
    <row r="10" spans="1:20" x14ac:dyDescent="0.25">
      <c r="A10" t="s">
        <v>76</v>
      </c>
      <c r="B10" t="s">
        <v>870</v>
      </c>
      <c r="C10" t="s">
        <v>19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24228</v>
      </c>
      <c r="J10" s="1">
        <v>0</v>
      </c>
      <c r="K10" s="1"/>
      <c r="L10" t="s">
        <v>83</v>
      </c>
      <c r="M10" t="s">
        <v>870</v>
      </c>
      <c r="N10" t="s">
        <v>20</v>
      </c>
      <c r="O10">
        <v>0</v>
      </c>
      <c r="P10">
        <v>0</v>
      </c>
      <c r="Q10">
        <v>0</v>
      </c>
      <c r="R10">
        <v>0</v>
      </c>
      <c r="S10">
        <v>0</v>
      </c>
      <c r="T10">
        <v>800</v>
      </c>
    </row>
    <row r="11" spans="1:20" x14ac:dyDescent="0.25">
      <c r="A11" t="s">
        <v>83</v>
      </c>
      <c r="B11" t="s">
        <v>870</v>
      </c>
      <c r="C11" t="s">
        <v>20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800</v>
      </c>
      <c r="J11" s="1">
        <v>0</v>
      </c>
      <c r="K11" s="1"/>
      <c r="L11" t="s">
        <v>248</v>
      </c>
      <c r="M11" t="s">
        <v>870</v>
      </c>
      <c r="N11" t="s">
        <v>21</v>
      </c>
      <c r="O11">
        <v>0</v>
      </c>
      <c r="P11">
        <v>0</v>
      </c>
      <c r="Q11">
        <v>0</v>
      </c>
      <c r="R11">
        <v>0</v>
      </c>
      <c r="S11">
        <v>0</v>
      </c>
      <c r="T11">
        <v>5158</v>
      </c>
    </row>
    <row r="12" spans="1:20" x14ac:dyDescent="0.25">
      <c r="A12" t="s">
        <v>248</v>
      </c>
      <c r="B12" t="s">
        <v>870</v>
      </c>
      <c r="C12" t="s">
        <v>21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5158</v>
      </c>
      <c r="J12" s="1">
        <v>0</v>
      </c>
      <c r="K12" s="1"/>
      <c r="L12" t="s">
        <v>83</v>
      </c>
      <c r="M12" t="s">
        <v>870</v>
      </c>
      <c r="N12" t="s">
        <v>22</v>
      </c>
      <c r="O12">
        <v>0</v>
      </c>
      <c r="P12">
        <v>0</v>
      </c>
      <c r="Q12">
        <v>0</v>
      </c>
      <c r="R12">
        <v>0</v>
      </c>
      <c r="S12">
        <v>0</v>
      </c>
      <c r="T12">
        <v>2646</v>
      </c>
    </row>
    <row r="13" spans="1:20" x14ac:dyDescent="0.25">
      <c r="A13" t="s">
        <v>83</v>
      </c>
      <c r="B13" t="s">
        <v>870</v>
      </c>
      <c r="C13" t="s">
        <v>22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2646</v>
      </c>
      <c r="J13" s="1">
        <v>0</v>
      </c>
      <c r="K13" s="1"/>
      <c r="L13" t="s">
        <v>801</v>
      </c>
      <c r="M13" t="s">
        <v>870</v>
      </c>
      <c r="N13" t="s">
        <v>23</v>
      </c>
      <c r="O13">
        <v>0</v>
      </c>
      <c r="P13">
        <v>0</v>
      </c>
      <c r="Q13">
        <v>0</v>
      </c>
      <c r="R13">
        <v>0</v>
      </c>
      <c r="S13">
        <v>0</v>
      </c>
      <c r="T13">
        <v>1137</v>
      </c>
    </row>
    <row r="14" spans="1:20" x14ac:dyDescent="0.25">
      <c r="A14" t="s">
        <v>801</v>
      </c>
      <c r="B14" t="s">
        <v>870</v>
      </c>
      <c r="C14" t="s">
        <v>23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1137</v>
      </c>
      <c r="J14" s="1">
        <v>0</v>
      </c>
      <c r="K14" s="1"/>
      <c r="L14" t="s">
        <v>69</v>
      </c>
      <c r="M14" t="s">
        <v>870</v>
      </c>
      <c r="N14" t="s">
        <v>24</v>
      </c>
      <c r="O14">
        <v>0</v>
      </c>
      <c r="P14">
        <v>0</v>
      </c>
      <c r="Q14">
        <v>0</v>
      </c>
      <c r="R14">
        <v>0</v>
      </c>
      <c r="S14">
        <v>0</v>
      </c>
      <c r="T14">
        <v>3968</v>
      </c>
    </row>
    <row r="15" spans="1:20" x14ac:dyDescent="0.25">
      <c r="A15" t="s">
        <v>69</v>
      </c>
      <c r="B15" t="s">
        <v>870</v>
      </c>
      <c r="C15" t="s">
        <v>24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3968</v>
      </c>
      <c r="J15" s="1">
        <v>0</v>
      </c>
      <c r="K15" s="1"/>
      <c r="L15" t="s">
        <v>804</v>
      </c>
      <c r="M15" t="s">
        <v>870</v>
      </c>
      <c r="N15" t="s">
        <v>25</v>
      </c>
      <c r="O15">
        <v>0</v>
      </c>
      <c r="P15">
        <v>0</v>
      </c>
      <c r="Q15">
        <v>0</v>
      </c>
      <c r="R15">
        <v>0</v>
      </c>
      <c r="S15">
        <v>0</v>
      </c>
      <c r="T15">
        <v>2529</v>
      </c>
    </row>
    <row r="16" spans="1:20" x14ac:dyDescent="0.25">
      <c r="A16" t="s">
        <v>804</v>
      </c>
      <c r="B16" t="s">
        <v>870</v>
      </c>
      <c r="C16" t="s">
        <v>25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2529</v>
      </c>
      <c r="J16" s="1">
        <v>0</v>
      </c>
      <c r="K16" s="1"/>
      <c r="L16" t="s">
        <v>788</v>
      </c>
      <c r="M16" t="s">
        <v>871</v>
      </c>
      <c r="N16" t="s">
        <v>26</v>
      </c>
    </row>
    <row r="17" spans="1:20" x14ac:dyDescent="0.25">
      <c r="A17" t="s">
        <v>788</v>
      </c>
      <c r="B17" t="s">
        <v>871</v>
      </c>
      <c r="C17" t="s">
        <v>26</v>
      </c>
      <c r="D17" s="1"/>
      <c r="E17" s="1"/>
      <c r="F17" s="1"/>
      <c r="G17" s="1"/>
      <c r="H17" s="1"/>
      <c r="I17" s="1"/>
      <c r="J17" s="1"/>
      <c r="K17" s="1"/>
      <c r="L17" t="s">
        <v>805</v>
      </c>
      <c r="N17" t="s">
        <v>27</v>
      </c>
    </row>
    <row r="18" spans="1:20" x14ac:dyDescent="0.25">
      <c r="A18" t="s">
        <v>805</v>
      </c>
      <c r="C18" t="s">
        <v>27</v>
      </c>
      <c r="D18" s="1"/>
      <c r="E18" s="1"/>
      <c r="F18" s="1"/>
      <c r="G18" s="1"/>
      <c r="H18" s="1"/>
      <c r="I18" s="1"/>
      <c r="J18" s="1"/>
      <c r="K18" s="1"/>
      <c r="L18" t="s">
        <v>805</v>
      </c>
      <c r="M18" t="s">
        <v>872</v>
      </c>
      <c r="N18" t="s">
        <v>28</v>
      </c>
    </row>
    <row r="19" spans="1:20" x14ac:dyDescent="0.25">
      <c r="A19" t="s">
        <v>805</v>
      </c>
      <c r="B19" t="s">
        <v>872</v>
      </c>
      <c r="C19" t="s">
        <v>28</v>
      </c>
      <c r="D19" s="1"/>
      <c r="E19" s="1"/>
      <c r="F19" s="1"/>
      <c r="G19" s="1"/>
      <c r="H19" s="1"/>
      <c r="I19" s="1"/>
      <c r="J19" s="1"/>
      <c r="K19" s="1"/>
      <c r="L19" t="s">
        <v>805</v>
      </c>
      <c r="N19" t="s">
        <v>30</v>
      </c>
    </row>
    <row r="20" spans="1:20" x14ac:dyDescent="0.25">
      <c r="A20" t="s">
        <v>806</v>
      </c>
      <c r="B20" t="s">
        <v>872</v>
      </c>
      <c r="C20" t="s">
        <v>29</v>
      </c>
      <c r="D20" s="1"/>
      <c r="E20" s="1"/>
      <c r="F20" s="1"/>
      <c r="G20" s="1"/>
      <c r="H20" s="1"/>
      <c r="I20" s="1"/>
      <c r="J20" s="1"/>
      <c r="K20" s="1"/>
      <c r="L20" t="s">
        <v>829</v>
      </c>
      <c r="M20" t="s">
        <v>872</v>
      </c>
      <c r="N20" t="s">
        <v>32</v>
      </c>
      <c r="O20">
        <v>24953</v>
      </c>
      <c r="P20">
        <v>15</v>
      </c>
      <c r="Q20">
        <v>0</v>
      </c>
      <c r="R20">
        <v>0</v>
      </c>
      <c r="S20">
        <v>0</v>
      </c>
      <c r="T20">
        <v>19408</v>
      </c>
    </row>
    <row r="21" spans="1:20" x14ac:dyDescent="0.25">
      <c r="A21" t="s">
        <v>805</v>
      </c>
      <c r="C21" t="s">
        <v>30</v>
      </c>
      <c r="D21" s="1"/>
      <c r="E21" s="1"/>
      <c r="F21" s="1"/>
      <c r="G21" s="1"/>
      <c r="H21" s="1"/>
      <c r="I21" s="1"/>
      <c r="J21" s="1"/>
      <c r="K21" s="1"/>
      <c r="L21" t="s">
        <v>830</v>
      </c>
      <c r="M21" t="s">
        <v>872</v>
      </c>
      <c r="N21" t="s">
        <v>34</v>
      </c>
      <c r="O21">
        <v>11833</v>
      </c>
      <c r="P21">
        <v>59</v>
      </c>
      <c r="Q21">
        <v>0</v>
      </c>
      <c r="R21">
        <v>0</v>
      </c>
      <c r="S21">
        <v>0</v>
      </c>
      <c r="T21">
        <v>7694</v>
      </c>
    </row>
    <row r="22" spans="1:20" x14ac:dyDescent="0.25">
      <c r="A22" t="s">
        <v>829</v>
      </c>
      <c r="B22" t="s">
        <v>872</v>
      </c>
      <c r="C22" t="s">
        <v>32</v>
      </c>
      <c r="D22" s="1">
        <v>24953</v>
      </c>
      <c r="E22" s="1">
        <v>15</v>
      </c>
      <c r="F22" s="1">
        <v>0</v>
      </c>
      <c r="G22" s="1">
        <v>0</v>
      </c>
      <c r="H22" s="1">
        <v>0</v>
      </c>
      <c r="I22" s="1">
        <v>19408</v>
      </c>
      <c r="J22" s="1">
        <v>4179</v>
      </c>
      <c r="K22" s="1"/>
      <c r="L22" t="s">
        <v>831</v>
      </c>
      <c r="M22" t="s">
        <v>872</v>
      </c>
      <c r="N22" t="s">
        <v>35</v>
      </c>
      <c r="O22">
        <v>13779</v>
      </c>
      <c r="P22">
        <v>1</v>
      </c>
      <c r="Q22">
        <v>0</v>
      </c>
      <c r="R22">
        <v>0</v>
      </c>
      <c r="S22">
        <v>0</v>
      </c>
      <c r="T22">
        <v>4916</v>
      </c>
    </row>
    <row r="23" spans="1:20" x14ac:dyDescent="0.25">
      <c r="A23" t="s">
        <v>830</v>
      </c>
      <c r="B23" t="s">
        <v>872</v>
      </c>
      <c r="C23" t="s">
        <v>34</v>
      </c>
      <c r="D23" s="1">
        <v>11833</v>
      </c>
      <c r="E23" s="1">
        <v>59</v>
      </c>
      <c r="F23" s="1">
        <v>0</v>
      </c>
      <c r="G23" s="1">
        <v>0</v>
      </c>
      <c r="H23" s="1">
        <v>0</v>
      </c>
      <c r="I23" s="1">
        <v>7694</v>
      </c>
      <c r="J23" s="1">
        <v>4869</v>
      </c>
      <c r="K23" s="1"/>
      <c r="L23" t="s">
        <v>832</v>
      </c>
      <c r="M23" t="s">
        <v>872</v>
      </c>
      <c r="N23" t="s">
        <v>37</v>
      </c>
      <c r="O23">
        <v>13557</v>
      </c>
      <c r="P23">
        <v>42</v>
      </c>
      <c r="Q23">
        <v>0</v>
      </c>
      <c r="R23">
        <v>0</v>
      </c>
      <c r="S23">
        <v>0</v>
      </c>
      <c r="T23">
        <v>9150</v>
      </c>
    </row>
    <row r="24" spans="1:20" x14ac:dyDescent="0.25">
      <c r="A24" t="s">
        <v>831</v>
      </c>
      <c r="B24" t="s">
        <v>872</v>
      </c>
      <c r="C24" t="s">
        <v>35</v>
      </c>
      <c r="D24" s="1">
        <v>13779</v>
      </c>
      <c r="E24" s="1">
        <v>1</v>
      </c>
      <c r="F24" s="1">
        <v>0</v>
      </c>
      <c r="G24" s="1">
        <v>0</v>
      </c>
      <c r="H24" s="1">
        <v>0</v>
      </c>
      <c r="I24" s="1">
        <v>4916</v>
      </c>
      <c r="J24" s="1">
        <v>1640</v>
      </c>
      <c r="K24" s="1"/>
      <c r="L24" t="s">
        <v>833</v>
      </c>
      <c r="M24" t="s">
        <v>872</v>
      </c>
      <c r="N24" t="s">
        <v>39</v>
      </c>
      <c r="O24">
        <v>7234</v>
      </c>
      <c r="P24">
        <v>9</v>
      </c>
      <c r="Q24">
        <v>0</v>
      </c>
      <c r="R24">
        <v>0</v>
      </c>
      <c r="S24">
        <v>0</v>
      </c>
      <c r="T24">
        <v>15947</v>
      </c>
    </row>
    <row r="25" spans="1:20" x14ac:dyDescent="0.25">
      <c r="A25" t="s">
        <v>832</v>
      </c>
      <c r="B25" t="s">
        <v>872</v>
      </c>
      <c r="C25" t="s">
        <v>37</v>
      </c>
      <c r="D25" s="1">
        <v>13557</v>
      </c>
      <c r="E25" s="1">
        <v>42</v>
      </c>
      <c r="F25" s="1">
        <v>0</v>
      </c>
      <c r="G25" s="1">
        <v>0</v>
      </c>
      <c r="H25" s="1">
        <v>0</v>
      </c>
      <c r="I25" s="1">
        <v>9150</v>
      </c>
      <c r="J25" s="1">
        <v>2880</v>
      </c>
      <c r="K25" s="1"/>
      <c r="L25" t="s">
        <v>834</v>
      </c>
      <c r="M25" t="s">
        <v>872</v>
      </c>
      <c r="N25" t="s">
        <v>41</v>
      </c>
      <c r="O25">
        <v>28032</v>
      </c>
      <c r="P25">
        <v>152</v>
      </c>
      <c r="Q25">
        <v>0</v>
      </c>
      <c r="R25">
        <v>0</v>
      </c>
      <c r="S25">
        <v>0</v>
      </c>
      <c r="T25">
        <v>7799</v>
      </c>
    </row>
    <row r="26" spans="1:20" x14ac:dyDescent="0.25">
      <c r="A26" t="s">
        <v>833</v>
      </c>
      <c r="B26" t="s">
        <v>872</v>
      </c>
      <c r="C26" t="s">
        <v>39</v>
      </c>
      <c r="D26" s="1">
        <v>7234</v>
      </c>
      <c r="E26" s="1">
        <v>9</v>
      </c>
      <c r="F26" s="1">
        <v>0</v>
      </c>
      <c r="G26" s="1">
        <v>0</v>
      </c>
      <c r="H26" s="1">
        <v>0</v>
      </c>
      <c r="I26" s="1">
        <v>15947</v>
      </c>
      <c r="J26" s="1">
        <v>3532</v>
      </c>
      <c r="K26" s="1"/>
      <c r="L26" t="s">
        <v>835</v>
      </c>
      <c r="M26" t="s">
        <v>872</v>
      </c>
      <c r="N26" t="s">
        <v>42</v>
      </c>
      <c r="O26">
        <v>10647</v>
      </c>
      <c r="P26">
        <v>62</v>
      </c>
      <c r="Q26">
        <v>0</v>
      </c>
      <c r="R26">
        <v>0</v>
      </c>
      <c r="S26">
        <v>0</v>
      </c>
      <c r="T26">
        <v>5643</v>
      </c>
    </row>
    <row r="27" spans="1:20" x14ac:dyDescent="0.25">
      <c r="A27" t="s">
        <v>834</v>
      </c>
      <c r="B27" t="s">
        <v>872</v>
      </c>
      <c r="C27" t="s">
        <v>41</v>
      </c>
      <c r="D27" s="1">
        <v>28032</v>
      </c>
      <c r="E27" s="1">
        <v>152</v>
      </c>
      <c r="F27" s="1">
        <v>0</v>
      </c>
      <c r="G27" s="1">
        <v>0</v>
      </c>
      <c r="H27" s="1">
        <v>0</v>
      </c>
      <c r="I27" s="1">
        <v>7799</v>
      </c>
      <c r="J27" s="1">
        <v>6659</v>
      </c>
      <c r="K27" s="1"/>
      <c r="L27" t="s">
        <v>836</v>
      </c>
      <c r="M27" t="s">
        <v>872</v>
      </c>
      <c r="N27" t="s">
        <v>44</v>
      </c>
      <c r="O27">
        <v>31012</v>
      </c>
      <c r="P27">
        <v>53</v>
      </c>
      <c r="Q27">
        <v>0</v>
      </c>
      <c r="R27">
        <v>0</v>
      </c>
      <c r="S27">
        <v>0</v>
      </c>
      <c r="T27">
        <v>14998</v>
      </c>
    </row>
    <row r="28" spans="1:20" x14ac:dyDescent="0.25">
      <c r="A28" t="s">
        <v>835</v>
      </c>
      <c r="B28" t="s">
        <v>872</v>
      </c>
      <c r="C28" t="s">
        <v>42</v>
      </c>
      <c r="D28" s="1">
        <v>10647</v>
      </c>
      <c r="E28" s="1">
        <v>62</v>
      </c>
      <c r="F28" s="1">
        <v>0</v>
      </c>
      <c r="G28" s="1">
        <v>0</v>
      </c>
      <c r="H28" s="1">
        <v>0</v>
      </c>
      <c r="I28" s="1">
        <v>5643</v>
      </c>
      <c r="J28" s="1">
        <v>2501</v>
      </c>
      <c r="K28" s="1"/>
      <c r="L28" t="s">
        <v>837</v>
      </c>
      <c r="M28" t="s">
        <v>872</v>
      </c>
      <c r="N28" t="s">
        <v>46</v>
      </c>
      <c r="O28">
        <v>13949</v>
      </c>
      <c r="P28">
        <v>0</v>
      </c>
      <c r="Q28">
        <v>0</v>
      </c>
      <c r="R28">
        <v>0</v>
      </c>
      <c r="S28">
        <v>0</v>
      </c>
      <c r="T28">
        <v>12602</v>
      </c>
    </row>
    <row r="29" spans="1:20" x14ac:dyDescent="0.25">
      <c r="A29" t="s">
        <v>836</v>
      </c>
      <c r="B29" t="s">
        <v>872</v>
      </c>
      <c r="C29" t="s">
        <v>44</v>
      </c>
      <c r="D29" s="1">
        <v>31012</v>
      </c>
      <c r="E29" s="1">
        <v>53</v>
      </c>
      <c r="F29" s="1">
        <v>0</v>
      </c>
      <c r="G29" s="1">
        <v>0</v>
      </c>
      <c r="H29" s="1">
        <v>0</v>
      </c>
      <c r="I29" s="1">
        <v>14998</v>
      </c>
      <c r="J29" s="1">
        <v>8404</v>
      </c>
      <c r="K29" s="1"/>
      <c r="L29" t="s">
        <v>838</v>
      </c>
      <c r="M29" t="s">
        <v>872</v>
      </c>
      <c r="N29" t="s">
        <v>48</v>
      </c>
      <c r="O29">
        <v>27201</v>
      </c>
      <c r="P29">
        <v>27</v>
      </c>
      <c r="Q29">
        <v>0</v>
      </c>
      <c r="R29">
        <v>0</v>
      </c>
      <c r="S29">
        <v>0</v>
      </c>
      <c r="T29">
        <v>18281</v>
      </c>
    </row>
    <row r="30" spans="1:20" x14ac:dyDescent="0.25">
      <c r="A30" t="s">
        <v>837</v>
      </c>
      <c r="B30" t="s">
        <v>872</v>
      </c>
      <c r="C30" t="s">
        <v>46</v>
      </c>
      <c r="D30" s="1">
        <v>13949</v>
      </c>
      <c r="E30" s="1">
        <v>0</v>
      </c>
      <c r="F30" s="1">
        <v>0</v>
      </c>
      <c r="G30" s="1">
        <v>0</v>
      </c>
      <c r="H30" s="1">
        <v>0</v>
      </c>
      <c r="I30" s="1">
        <v>12602</v>
      </c>
      <c r="J30" s="1">
        <v>2718</v>
      </c>
      <c r="K30" s="1"/>
      <c r="L30" t="s">
        <v>839</v>
      </c>
      <c r="M30" t="s">
        <v>872</v>
      </c>
      <c r="N30" t="s">
        <v>49</v>
      </c>
      <c r="O30">
        <v>18693</v>
      </c>
      <c r="P30">
        <v>9</v>
      </c>
      <c r="Q30">
        <v>0</v>
      </c>
      <c r="R30">
        <v>0</v>
      </c>
      <c r="S30">
        <v>0</v>
      </c>
      <c r="T30">
        <v>10895</v>
      </c>
    </row>
    <row r="31" spans="1:20" x14ac:dyDescent="0.25">
      <c r="A31" t="s">
        <v>838</v>
      </c>
      <c r="B31" t="s">
        <v>872</v>
      </c>
      <c r="C31" t="s">
        <v>48</v>
      </c>
      <c r="D31" s="1">
        <v>27201</v>
      </c>
      <c r="E31" s="1">
        <v>27</v>
      </c>
      <c r="F31" s="1">
        <v>0</v>
      </c>
      <c r="G31" s="1">
        <v>0</v>
      </c>
      <c r="H31" s="1">
        <v>0</v>
      </c>
      <c r="I31" s="1">
        <v>18281</v>
      </c>
      <c r="J31" s="1">
        <v>8658</v>
      </c>
      <c r="K31" s="1"/>
      <c r="L31" t="s">
        <v>840</v>
      </c>
      <c r="M31" t="s">
        <v>872</v>
      </c>
      <c r="N31" t="s">
        <v>51</v>
      </c>
      <c r="O31">
        <v>8160</v>
      </c>
      <c r="P31">
        <v>19</v>
      </c>
      <c r="Q31">
        <v>0</v>
      </c>
      <c r="R31">
        <v>0</v>
      </c>
      <c r="S31">
        <v>0</v>
      </c>
      <c r="T31">
        <v>1867</v>
      </c>
    </row>
    <row r="32" spans="1:20" x14ac:dyDescent="0.25">
      <c r="A32" t="s">
        <v>839</v>
      </c>
      <c r="B32" t="s">
        <v>872</v>
      </c>
      <c r="C32" t="s">
        <v>49</v>
      </c>
      <c r="D32" s="1">
        <v>18693</v>
      </c>
      <c r="E32" s="1">
        <v>9</v>
      </c>
      <c r="F32" s="1">
        <v>0</v>
      </c>
      <c r="G32" s="1">
        <v>0</v>
      </c>
      <c r="H32" s="1">
        <v>0</v>
      </c>
      <c r="I32" s="1">
        <v>10895</v>
      </c>
      <c r="J32" s="1">
        <v>8151</v>
      </c>
      <c r="K32" s="1"/>
      <c r="L32" t="s">
        <v>841</v>
      </c>
      <c r="M32" t="s">
        <v>872</v>
      </c>
      <c r="N32" t="s">
        <v>53</v>
      </c>
      <c r="O32">
        <v>23347</v>
      </c>
      <c r="P32">
        <v>0</v>
      </c>
      <c r="Q32">
        <v>0</v>
      </c>
      <c r="R32">
        <v>0</v>
      </c>
      <c r="S32">
        <v>0</v>
      </c>
      <c r="T32">
        <v>11293</v>
      </c>
    </row>
    <row r="33" spans="1:20" x14ac:dyDescent="0.25">
      <c r="A33" t="s">
        <v>840</v>
      </c>
      <c r="B33" t="s">
        <v>872</v>
      </c>
      <c r="C33" t="s">
        <v>51</v>
      </c>
      <c r="D33" s="1">
        <v>8160</v>
      </c>
      <c r="E33" s="1">
        <v>19</v>
      </c>
      <c r="F33" s="1">
        <v>0</v>
      </c>
      <c r="G33" s="1">
        <v>0</v>
      </c>
      <c r="H33" s="1">
        <v>0</v>
      </c>
      <c r="I33" s="1">
        <v>1867</v>
      </c>
      <c r="J33" s="1">
        <v>2343</v>
      </c>
      <c r="K33" s="1"/>
      <c r="L33" t="s">
        <v>842</v>
      </c>
      <c r="M33" t="s">
        <v>872</v>
      </c>
      <c r="N33" t="s">
        <v>55</v>
      </c>
      <c r="O33">
        <v>21777</v>
      </c>
      <c r="P33">
        <v>377</v>
      </c>
      <c r="Q33">
        <v>0</v>
      </c>
      <c r="R33">
        <v>0</v>
      </c>
      <c r="S33">
        <v>0</v>
      </c>
      <c r="T33">
        <v>18239</v>
      </c>
    </row>
    <row r="34" spans="1:20" x14ac:dyDescent="0.25">
      <c r="A34" t="s">
        <v>841</v>
      </c>
      <c r="B34" t="s">
        <v>872</v>
      </c>
      <c r="C34" t="s">
        <v>53</v>
      </c>
      <c r="D34" s="1">
        <v>23347</v>
      </c>
      <c r="E34" s="1">
        <v>0</v>
      </c>
      <c r="F34" s="1">
        <v>0</v>
      </c>
      <c r="G34" s="1">
        <v>0</v>
      </c>
      <c r="H34" s="1">
        <v>0</v>
      </c>
      <c r="I34" s="1">
        <v>11293</v>
      </c>
      <c r="J34" s="1">
        <v>10739</v>
      </c>
      <c r="K34" s="1"/>
      <c r="L34" t="s">
        <v>788</v>
      </c>
      <c r="M34" t="s">
        <v>872</v>
      </c>
      <c r="N34" t="s">
        <v>56</v>
      </c>
      <c r="O34">
        <v>76284</v>
      </c>
      <c r="P34">
        <v>181</v>
      </c>
      <c r="Q34">
        <v>0</v>
      </c>
      <c r="R34">
        <v>0</v>
      </c>
      <c r="S34">
        <v>0</v>
      </c>
      <c r="T34">
        <v>17619</v>
      </c>
    </row>
    <row r="35" spans="1:20" x14ac:dyDescent="0.25">
      <c r="A35" t="s">
        <v>842</v>
      </c>
      <c r="B35" t="s">
        <v>872</v>
      </c>
      <c r="C35" t="s">
        <v>55</v>
      </c>
      <c r="D35" s="1">
        <v>21777</v>
      </c>
      <c r="E35" s="1">
        <v>377</v>
      </c>
      <c r="F35" s="1">
        <v>0</v>
      </c>
      <c r="G35" s="1">
        <v>0</v>
      </c>
      <c r="H35" s="1">
        <v>0</v>
      </c>
      <c r="I35" s="1">
        <v>18239</v>
      </c>
      <c r="J35" s="1">
        <v>6432</v>
      </c>
      <c r="K35" s="1"/>
      <c r="L35" t="s">
        <v>495</v>
      </c>
      <c r="M35" t="s">
        <v>872</v>
      </c>
      <c r="N35" t="s">
        <v>57</v>
      </c>
      <c r="O35">
        <v>23097</v>
      </c>
      <c r="P35">
        <v>0</v>
      </c>
      <c r="Q35">
        <v>0</v>
      </c>
      <c r="R35">
        <v>0</v>
      </c>
      <c r="S35">
        <v>0</v>
      </c>
      <c r="T35">
        <v>4683</v>
      </c>
    </row>
    <row r="36" spans="1:20" x14ac:dyDescent="0.25">
      <c r="A36" t="s">
        <v>788</v>
      </c>
      <c r="B36" t="s">
        <v>872</v>
      </c>
      <c r="C36" t="s">
        <v>56</v>
      </c>
      <c r="D36" s="1">
        <v>76284</v>
      </c>
      <c r="E36" s="1">
        <v>181</v>
      </c>
      <c r="F36" s="1">
        <v>0</v>
      </c>
      <c r="G36" s="1">
        <v>0</v>
      </c>
      <c r="H36" s="1">
        <v>0</v>
      </c>
      <c r="I36" s="1">
        <v>17619</v>
      </c>
      <c r="J36" s="1">
        <v>21178</v>
      </c>
      <c r="K36" s="1"/>
      <c r="L36" t="s">
        <v>248</v>
      </c>
      <c r="M36" t="s">
        <v>872</v>
      </c>
      <c r="N36" t="s">
        <v>58</v>
      </c>
      <c r="O36">
        <v>30906</v>
      </c>
      <c r="P36">
        <v>418</v>
      </c>
      <c r="Q36">
        <v>0</v>
      </c>
      <c r="R36">
        <v>0</v>
      </c>
      <c r="S36">
        <v>0</v>
      </c>
      <c r="T36">
        <v>24391</v>
      </c>
    </row>
    <row r="37" spans="1:20" x14ac:dyDescent="0.25">
      <c r="A37" t="s">
        <v>495</v>
      </c>
      <c r="B37" t="s">
        <v>872</v>
      </c>
      <c r="C37" t="s">
        <v>57</v>
      </c>
      <c r="D37" s="1">
        <v>23097</v>
      </c>
      <c r="E37" s="1">
        <v>0</v>
      </c>
      <c r="F37" s="1">
        <v>0</v>
      </c>
      <c r="G37" s="1">
        <v>0</v>
      </c>
      <c r="H37" s="1">
        <v>0</v>
      </c>
      <c r="I37" s="1">
        <v>4683</v>
      </c>
      <c r="J37" s="1">
        <v>1018</v>
      </c>
      <c r="K37" s="1"/>
      <c r="L37" t="s">
        <v>843</v>
      </c>
      <c r="M37" t="s">
        <v>872</v>
      </c>
      <c r="N37" t="s">
        <v>60</v>
      </c>
      <c r="O37">
        <v>9509</v>
      </c>
      <c r="P37">
        <v>0</v>
      </c>
      <c r="Q37">
        <v>0</v>
      </c>
      <c r="R37">
        <v>0</v>
      </c>
      <c r="S37">
        <v>0</v>
      </c>
      <c r="T37">
        <v>9885</v>
      </c>
    </row>
    <row r="38" spans="1:20" x14ac:dyDescent="0.25">
      <c r="A38" t="s">
        <v>248</v>
      </c>
      <c r="B38" t="s">
        <v>872</v>
      </c>
      <c r="C38" t="s">
        <v>58</v>
      </c>
      <c r="D38" s="1">
        <v>30906</v>
      </c>
      <c r="E38" s="1">
        <v>418</v>
      </c>
      <c r="F38" s="1">
        <v>0</v>
      </c>
      <c r="G38" s="1">
        <v>0</v>
      </c>
      <c r="H38" s="1">
        <v>0</v>
      </c>
      <c r="I38" s="1">
        <v>24391</v>
      </c>
      <c r="J38" s="1">
        <v>4911</v>
      </c>
      <c r="K38" s="1"/>
      <c r="L38" t="s">
        <v>844</v>
      </c>
      <c r="M38" t="s">
        <v>872</v>
      </c>
      <c r="N38" t="s">
        <v>62</v>
      </c>
      <c r="O38">
        <v>14222</v>
      </c>
      <c r="P38">
        <v>17</v>
      </c>
      <c r="Q38">
        <v>0</v>
      </c>
      <c r="R38">
        <v>0</v>
      </c>
      <c r="S38">
        <v>0</v>
      </c>
      <c r="T38">
        <v>8602</v>
      </c>
    </row>
    <row r="39" spans="1:20" x14ac:dyDescent="0.25">
      <c r="A39" t="s">
        <v>843</v>
      </c>
      <c r="B39" t="s">
        <v>872</v>
      </c>
      <c r="C39" t="s">
        <v>60</v>
      </c>
      <c r="D39" s="1">
        <v>9509</v>
      </c>
      <c r="E39" s="1">
        <v>0</v>
      </c>
      <c r="F39" s="1">
        <v>0</v>
      </c>
      <c r="G39" s="1">
        <v>0</v>
      </c>
      <c r="H39" s="1">
        <v>0</v>
      </c>
      <c r="I39" s="1">
        <v>9885</v>
      </c>
      <c r="J39" s="1">
        <v>2958</v>
      </c>
      <c r="K39" s="1"/>
      <c r="L39" t="s">
        <v>845</v>
      </c>
      <c r="M39" t="s">
        <v>872</v>
      </c>
      <c r="N39" t="s">
        <v>63</v>
      </c>
      <c r="O39">
        <v>40874</v>
      </c>
      <c r="P39">
        <v>183</v>
      </c>
      <c r="Q39">
        <v>0</v>
      </c>
      <c r="R39">
        <v>0</v>
      </c>
      <c r="S39">
        <v>0</v>
      </c>
      <c r="T39">
        <v>22029</v>
      </c>
    </row>
    <row r="40" spans="1:20" x14ac:dyDescent="0.25">
      <c r="A40" t="s">
        <v>844</v>
      </c>
      <c r="B40" t="s">
        <v>872</v>
      </c>
      <c r="C40" t="s">
        <v>62</v>
      </c>
      <c r="D40" s="1">
        <v>14222</v>
      </c>
      <c r="E40" s="1">
        <v>17</v>
      </c>
      <c r="F40" s="1">
        <v>0</v>
      </c>
      <c r="G40" s="1">
        <v>0</v>
      </c>
      <c r="H40" s="1">
        <v>0</v>
      </c>
      <c r="I40" s="1">
        <v>8602</v>
      </c>
      <c r="J40" s="1">
        <v>4027</v>
      </c>
      <c r="K40" s="1"/>
      <c r="L40" t="s">
        <v>846</v>
      </c>
      <c r="M40" t="s">
        <v>872</v>
      </c>
      <c r="N40" t="s">
        <v>64</v>
      </c>
      <c r="O40">
        <v>10415</v>
      </c>
      <c r="P40">
        <v>0</v>
      </c>
      <c r="Q40">
        <v>0</v>
      </c>
      <c r="R40">
        <v>0</v>
      </c>
      <c r="S40">
        <v>0</v>
      </c>
      <c r="T40">
        <v>17372</v>
      </c>
    </row>
    <row r="41" spans="1:20" x14ac:dyDescent="0.25">
      <c r="A41" t="s">
        <v>845</v>
      </c>
      <c r="B41" t="s">
        <v>872</v>
      </c>
      <c r="C41" t="s">
        <v>63</v>
      </c>
      <c r="D41" s="1">
        <v>40874</v>
      </c>
      <c r="E41" s="1">
        <v>183</v>
      </c>
      <c r="F41" s="1">
        <v>0</v>
      </c>
      <c r="G41" s="1">
        <v>0</v>
      </c>
      <c r="H41" s="1">
        <v>0</v>
      </c>
      <c r="I41" s="1">
        <v>22029</v>
      </c>
      <c r="J41" s="1">
        <v>6926</v>
      </c>
      <c r="K41" s="1"/>
      <c r="L41" t="s">
        <v>788</v>
      </c>
      <c r="M41" t="s">
        <v>872</v>
      </c>
      <c r="N41" t="s">
        <v>65</v>
      </c>
      <c r="O41">
        <v>24541</v>
      </c>
      <c r="P41">
        <v>126</v>
      </c>
      <c r="Q41">
        <v>0</v>
      </c>
      <c r="R41">
        <v>0</v>
      </c>
      <c r="S41">
        <v>0</v>
      </c>
      <c r="T41">
        <v>23478</v>
      </c>
    </row>
    <row r="42" spans="1:20" x14ac:dyDescent="0.25">
      <c r="A42" t="s">
        <v>846</v>
      </c>
      <c r="B42" t="s">
        <v>872</v>
      </c>
      <c r="C42" s="10" t="s">
        <v>64</v>
      </c>
      <c r="D42" s="1">
        <v>10415</v>
      </c>
      <c r="E42" s="1">
        <v>0</v>
      </c>
      <c r="F42" s="1">
        <v>0</v>
      </c>
      <c r="G42" s="1">
        <v>0</v>
      </c>
      <c r="H42" s="1">
        <v>0</v>
      </c>
      <c r="I42" s="1">
        <v>17372</v>
      </c>
      <c r="J42" s="1">
        <v>2867</v>
      </c>
      <c r="K42" s="1"/>
      <c r="L42" t="s">
        <v>76</v>
      </c>
      <c r="M42" t="s">
        <v>872</v>
      </c>
      <c r="N42" t="s">
        <v>66</v>
      </c>
      <c r="O42">
        <v>16491</v>
      </c>
      <c r="P42">
        <v>80</v>
      </c>
      <c r="Q42">
        <v>0</v>
      </c>
      <c r="R42">
        <v>0</v>
      </c>
      <c r="S42">
        <v>0</v>
      </c>
      <c r="T42">
        <v>1893</v>
      </c>
    </row>
    <row r="43" spans="1:20" x14ac:dyDescent="0.25">
      <c r="A43" t="s">
        <v>788</v>
      </c>
      <c r="B43" t="s">
        <v>872</v>
      </c>
      <c r="C43" t="s">
        <v>65</v>
      </c>
      <c r="D43" s="1">
        <v>24541</v>
      </c>
      <c r="E43" s="1">
        <v>126</v>
      </c>
      <c r="F43" s="1">
        <v>0</v>
      </c>
      <c r="G43" s="1">
        <v>0</v>
      </c>
      <c r="H43" s="1">
        <v>0</v>
      </c>
      <c r="I43" s="1">
        <v>23478</v>
      </c>
      <c r="J43" s="1">
        <v>7892</v>
      </c>
      <c r="K43" s="1"/>
      <c r="L43" t="s">
        <v>67</v>
      </c>
      <c r="M43" t="s">
        <v>872</v>
      </c>
      <c r="N43" t="s">
        <v>68</v>
      </c>
      <c r="O43">
        <v>22528</v>
      </c>
      <c r="P43">
        <v>381</v>
      </c>
      <c r="Q43">
        <v>0</v>
      </c>
      <c r="R43">
        <v>0</v>
      </c>
      <c r="S43">
        <v>0</v>
      </c>
      <c r="T43">
        <v>20686</v>
      </c>
    </row>
    <row r="44" spans="1:20" x14ac:dyDescent="0.25">
      <c r="A44" t="s">
        <v>76</v>
      </c>
      <c r="B44" t="s">
        <v>872</v>
      </c>
      <c r="C44" t="s">
        <v>66</v>
      </c>
      <c r="D44" s="1">
        <v>16491</v>
      </c>
      <c r="E44" s="1">
        <v>80</v>
      </c>
      <c r="F44" s="1">
        <v>0</v>
      </c>
      <c r="G44" s="1">
        <v>0</v>
      </c>
      <c r="H44" s="1">
        <v>0</v>
      </c>
      <c r="I44" s="1">
        <v>1893</v>
      </c>
      <c r="J44" s="1">
        <v>4074</v>
      </c>
      <c r="K44" s="1"/>
      <c r="L44" t="s">
        <v>76</v>
      </c>
      <c r="M44" t="s">
        <v>872</v>
      </c>
      <c r="N44" t="s">
        <v>70</v>
      </c>
      <c r="O44">
        <v>128155</v>
      </c>
      <c r="P44">
        <v>674</v>
      </c>
      <c r="Q44">
        <v>0</v>
      </c>
      <c r="R44">
        <v>0</v>
      </c>
      <c r="S44">
        <v>0</v>
      </c>
      <c r="T44">
        <v>94816</v>
      </c>
    </row>
    <row r="45" spans="1:20" x14ac:dyDescent="0.25">
      <c r="A45" t="s">
        <v>67</v>
      </c>
      <c r="B45" t="s">
        <v>872</v>
      </c>
      <c r="C45" t="s">
        <v>68</v>
      </c>
      <c r="D45" s="1">
        <v>22528</v>
      </c>
      <c r="E45" s="1">
        <v>381</v>
      </c>
      <c r="F45" s="1">
        <v>0</v>
      </c>
      <c r="G45" s="1">
        <v>0</v>
      </c>
      <c r="H45" s="1">
        <v>0</v>
      </c>
      <c r="I45" s="1">
        <v>20686</v>
      </c>
      <c r="J45" s="1">
        <v>2675</v>
      </c>
      <c r="K45" s="1"/>
      <c r="L45" t="s">
        <v>803</v>
      </c>
      <c r="M45" t="s">
        <v>872</v>
      </c>
      <c r="N45" t="s">
        <v>71</v>
      </c>
    </row>
    <row r="46" spans="1:20" x14ac:dyDescent="0.25">
      <c r="A46" t="s">
        <v>76</v>
      </c>
      <c r="B46" t="s">
        <v>872</v>
      </c>
      <c r="C46" t="s">
        <v>70</v>
      </c>
      <c r="D46" s="1">
        <v>128155</v>
      </c>
      <c r="E46" s="1">
        <v>674</v>
      </c>
      <c r="F46" s="1">
        <v>0</v>
      </c>
      <c r="G46" s="1">
        <v>0</v>
      </c>
      <c r="H46" s="1">
        <v>0</v>
      </c>
      <c r="I46" s="1">
        <v>94816</v>
      </c>
      <c r="J46" s="1">
        <v>27001</v>
      </c>
      <c r="K46" s="1"/>
      <c r="L46" t="s">
        <v>72</v>
      </c>
      <c r="M46" t="s">
        <v>872</v>
      </c>
      <c r="N46" t="s">
        <v>73</v>
      </c>
      <c r="O46">
        <v>21215</v>
      </c>
      <c r="P46">
        <v>104</v>
      </c>
      <c r="Q46">
        <v>0</v>
      </c>
      <c r="R46">
        <v>0</v>
      </c>
      <c r="S46">
        <v>0</v>
      </c>
      <c r="T46">
        <v>12696</v>
      </c>
    </row>
    <row r="47" spans="1:20" x14ac:dyDescent="0.25">
      <c r="A47" t="s">
        <v>803</v>
      </c>
      <c r="B47" t="s">
        <v>872</v>
      </c>
      <c r="C47" t="s">
        <v>71</v>
      </c>
      <c r="D47" s="1"/>
      <c r="E47" s="1"/>
      <c r="F47" s="1"/>
      <c r="G47" s="1"/>
      <c r="H47" s="1"/>
      <c r="I47" s="1"/>
      <c r="J47" s="1"/>
      <c r="K47" s="1"/>
      <c r="L47" t="s">
        <v>809</v>
      </c>
      <c r="M47" t="s">
        <v>872</v>
      </c>
      <c r="N47" t="s">
        <v>74</v>
      </c>
      <c r="O47">
        <v>59634</v>
      </c>
      <c r="P47">
        <v>579</v>
      </c>
      <c r="Q47">
        <v>0</v>
      </c>
      <c r="R47">
        <v>0</v>
      </c>
      <c r="S47">
        <v>0</v>
      </c>
      <c r="T47">
        <v>29033</v>
      </c>
    </row>
    <row r="48" spans="1:20" x14ac:dyDescent="0.25">
      <c r="A48" t="s">
        <v>72</v>
      </c>
      <c r="B48" t="s">
        <v>872</v>
      </c>
      <c r="C48" t="s">
        <v>73</v>
      </c>
      <c r="D48" s="1">
        <v>21215</v>
      </c>
      <c r="E48" s="1">
        <v>104</v>
      </c>
      <c r="F48" s="1">
        <v>0</v>
      </c>
      <c r="G48" s="1">
        <v>0</v>
      </c>
      <c r="H48" s="1">
        <v>0</v>
      </c>
      <c r="I48" s="1">
        <v>12696</v>
      </c>
      <c r="J48" s="1">
        <v>3427</v>
      </c>
      <c r="K48" s="1"/>
      <c r="L48" t="s">
        <v>146</v>
      </c>
      <c r="M48" t="s">
        <v>872</v>
      </c>
      <c r="N48" t="s">
        <v>75</v>
      </c>
      <c r="O48">
        <v>28874</v>
      </c>
      <c r="P48">
        <v>152</v>
      </c>
      <c r="Q48">
        <v>0</v>
      </c>
      <c r="R48">
        <v>0</v>
      </c>
      <c r="S48">
        <v>0</v>
      </c>
      <c r="T48">
        <v>16611</v>
      </c>
    </row>
    <row r="49" spans="1:20" x14ac:dyDescent="0.25">
      <c r="A49" t="s">
        <v>809</v>
      </c>
      <c r="B49" t="s">
        <v>872</v>
      </c>
      <c r="C49" t="s">
        <v>74</v>
      </c>
      <c r="D49" s="1">
        <v>59634</v>
      </c>
      <c r="E49" s="1">
        <v>579</v>
      </c>
      <c r="F49" s="1">
        <v>0</v>
      </c>
      <c r="G49" s="1">
        <v>0</v>
      </c>
      <c r="H49" s="1">
        <v>0</v>
      </c>
      <c r="I49" s="1">
        <v>29033</v>
      </c>
      <c r="J49" s="1">
        <v>8653</v>
      </c>
      <c r="K49" s="1"/>
      <c r="L49" t="s">
        <v>76</v>
      </c>
      <c r="M49" t="s">
        <v>872</v>
      </c>
      <c r="N49" t="s">
        <v>77</v>
      </c>
      <c r="O49">
        <v>46386</v>
      </c>
      <c r="P49">
        <v>210</v>
      </c>
      <c r="Q49">
        <v>0</v>
      </c>
      <c r="R49">
        <v>0</v>
      </c>
      <c r="S49">
        <v>0</v>
      </c>
      <c r="T49">
        <v>14483</v>
      </c>
    </row>
    <row r="50" spans="1:20" x14ac:dyDescent="0.25">
      <c r="A50" t="s">
        <v>146</v>
      </c>
      <c r="B50" t="s">
        <v>872</v>
      </c>
      <c r="C50" t="s">
        <v>75</v>
      </c>
      <c r="D50" s="1">
        <v>28874</v>
      </c>
      <c r="E50" s="1">
        <v>152</v>
      </c>
      <c r="F50" s="1">
        <v>0</v>
      </c>
      <c r="G50" s="1">
        <v>0</v>
      </c>
      <c r="H50" s="1">
        <v>0</v>
      </c>
      <c r="I50" s="1">
        <v>16611</v>
      </c>
      <c r="J50" s="1">
        <v>16887</v>
      </c>
      <c r="K50" s="1"/>
      <c r="L50" t="s">
        <v>801</v>
      </c>
      <c r="M50" t="s">
        <v>872</v>
      </c>
      <c r="N50" t="s">
        <v>78</v>
      </c>
      <c r="O50">
        <v>43433</v>
      </c>
      <c r="P50">
        <v>28</v>
      </c>
      <c r="Q50">
        <v>0</v>
      </c>
      <c r="R50">
        <v>0</v>
      </c>
      <c r="S50">
        <v>0</v>
      </c>
      <c r="T50">
        <v>67149</v>
      </c>
    </row>
    <row r="51" spans="1:20" x14ac:dyDescent="0.25">
      <c r="A51" t="s">
        <v>76</v>
      </c>
      <c r="B51" t="s">
        <v>872</v>
      </c>
      <c r="C51" t="s">
        <v>77</v>
      </c>
      <c r="D51" s="1">
        <v>46386</v>
      </c>
      <c r="E51" s="1">
        <v>210</v>
      </c>
      <c r="F51" s="1">
        <v>0</v>
      </c>
      <c r="G51" s="1">
        <v>0</v>
      </c>
      <c r="H51" s="1">
        <v>0</v>
      </c>
      <c r="I51" s="1">
        <v>14483</v>
      </c>
      <c r="J51" s="1">
        <v>13293</v>
      </c>
      <c r="K51" s="1"/>
      <c r="L51" t="s">
        <v>847</v>
      </c>
      <c r="M51" t="s">
        <v>872</v>
      </c>
      <c r="N51" t="s">
        <v>79</v>
      </c>
      <c r="O51">
        <v>11863</v>
      </c>
      <c r="P51">
        <v>0</v>
      </c>
      <c r="Q51">
        <v>0</v>
      </c>
      <c r="R51">
        <v>0</v>
      </c>
      <c r="S51">
        <v>0</v>
      </c>
      <c r="T51">
        <v>2451</v>
      </c>
    </row>
    <row r="52" spans="1:20" x14ac:dyDescent="0.25">
      <c r="A52" t="s">
        <v>801</v>
      </c>
      <c r="B52" t="s">
        <v>872</v>
      </c>
      <c r="C52" t="s">
        <v>78</v>
      </c>
      <c r="D52" s="1">
        <v>43433</v>
      </c>
      <c r="E52" s="1">
        <v>28</v>
      </c>
      <c r="F52" s="1">
        <v>0</v>
      </c>
      <c r="G52" s="1">
        <v>0</v>
      </c>
      <c r="H52" s="1">
        <v>0</v>
      </c>
      <c r="I52" s="1">
        <v>67149</v>
      </c>
      <c r="J52" s="1">
        <v>11865</v>
      </c>
      <c r="K52" s="1"/>
      <c r="L52" t="s">
        <v>226</v>
      </c>
      <c r="M52" t="s">
        <v>872</v>
      </c>
      <c r="N52" t="s">
        <v>80</v>
      </c>
      <c r="O52">
        <v>8417</v>
      </c>
      <c r="P52">
        <v>7</v>
      </c>
      <c r="Q52">
        <v>0</v>
      </c>
      <c r="R52">
        <v>0</v>
      </c>
      <c r="S52">
        <v>0</v>
      </c>
      <c r="T52">
        <v>4852</v>
      </c>
    </row>
    <row r="53" spans="1:20" x14ac:dyDescent="0.25">
      <c r="A53" t="s">
        <v>847</v>
      </c>
      <c r="B53" t="s">
        <v>872</v>
      </c>
      <c r="C53" t="s">
        <v>79</v>
      </c>
      <c r="D53" s="1">
        <v>11863</v>
      </c>
      <c r="E53" s="1">
        <v>0</v>
      </c>
      <c r="F53" s="1">
        <v>0</v>
      </c>
      <c r="G53" s="1">
        <v>0</v>
      </c>
      <c r="H53" s="1">
        <v>0</v>
      </c>
      <c r="I53" s="1">
        <v>2451</v>
      </c>
      <c r="J53" s="1">
        <v>2084</v>
      </c>
      <c r="K53" s="1"/>
      <c r="L53" t="s">
        <v>826</v>
      </c>
      <c r="M53" t="s">
        <v>872</v>
      </c>
      <c r="N53" t="s">
        <v>81</v>
      </c>
      <c r="O53">
        <v>15858</v>
      </c>
      <c r="P53">
        <v>0</v>
      </c>
      <c r="Q53">
        <v>0</v>
      </c>
      <c r="R53">
        <v>0</v>
      </c>
      <c r="S53">
        <v>0</v>
      </c>
      <c r="T53">
        <v>4287</v>
      </c>
    </row>
    <row r="54" spans="1:20" x14ac:dyDescent="0.25">
      <c r="A54" t="s">
        <v>226</v>
      </c>
      <c r="B54" t="s">
        <v>872</v>
      </c>
      <c r="C54" t="s">
        <v>80</v>
      </c>
      <c r="D54" s="1">
        <v>8417</v>
      </c>
      <c r="E54" s="1">
        <v>7</v>
      </c>
      <c r="F54" s="1">
        <v>0</v>
      </c>
      <c r="G54" s="1">
        <v>0</v>
      </c>
      <c r="H54" s="1">
        <v>0</v>
      </c>
      <c r="I54" s="1">
        <v>4852</v>
      </c>
      <c r="J54" s="1">
        <v>2342</v>
      </c>
      <c r="K54" s="1"/>
      <c r="L54" t="s">
        <v>76</v>
      </c>
      <c r="M54" t="s">
        <v>872</v>
      </c>
      <c r="N54" t="s">
        <v>82</v>
      </c>
      <c r="O54">
        <v>69731</v>
      </c>
      <c r="P54">
        <v>632</v>
      </c>
      <c r="Q54">
        <v>0</v>
      </c>
      <c r="R54">
        <v>0</v>
      </c>
      <c r="S54">
        <v>0</v>
      </c>
      <c r="T54">
        <v>9860</v>
      </c>
    </row>
    <row r="55" spans="1:20" x14ac:dyDescent="0.25">
      <c r="A55" t="s">
        <v>826</v>
      </c>
      <c r="B55" t="s">
        <v>872</v>
      </c>
      <c r="C55" t="s">
        <v>81</v>
      </c>
      <c r="D55" s="1">
        <v>15858</v>
      </c>
      <c r="E55" s="1">
        <v>0</v>
      </c>
      <c r="F55" s="1">
        <v>0</v>
      </c>
      <c r="G55" s="1">
        <v>0</v>
      </c>
      <c r="H55" s="1">
        <v>0</v>
      </c>
      <c r="I55" s="1">
        <v>4287</v>
      </c>
      <c r="J55" s="1">
        <v>3158</v>
      </c>
      <c r="K55" s="1"/>
      <c r="L55" t="s">
        <v>83</v>
      </c>
      <c r="M55" t="s">
        <v>872</v>
      </c>
      <c r="N55" t="s">
        <v>84</v>
      </c>
      <c r="O55">
        <v>31071</v>
      </c>
      <c r="P55">
        <v>14</v>
      </c>
      <c r="Q55">
        <v>0</v>
      </c>
      <c r="R55">
        <v>0</v>
      </c>
      <c r="S55">
        <v>0</v>
      </c>
      <c r="T55">
        <v>24367</v>
      </c>
    </row>
    <row r="56" spans="1:20" x14ac:dyDescent="0.25">
      <c r="A56" t="s">
        <v>76</v>
      </c>
      <c r="B56" t="s">
        <v>872</v>
      </c>
      <c r="C56" t="s">
        <v>82</v>
      </c>
      <c r="D56" s="1">
        <v>69731</v>
      </c>
      <c r="E56" s="1">
        <v>632</v>
      </c>
      <c r="F56" s="1">
        <v>0</v>
      </c>
      <c r="G56" s="1">
        <v>0</v>
      </c>
      <c r="H56" s="1">
        <v>0</v>
      </c>
      <c r="I56" s="1">
        <v>9860</v>
      </c>
      <c r="J56" s="1">
        <v>7127</v>
      </c>
      <c r="K56" s="1"/>
      <c r="L56" t="s">
        <v>809</v>
      </c>
      <c r="M56" t="s">
        <v>872</v>
      </c>
      <c r="N56" t="s">
        <v>85</v>
      </c>
      <c r="O56">
        <v>9413</v>
      </c>
      <c r="P56">
        <v>20</v>
      </c>
      <c r="Q56">
        <v>0</v>
      </c>
      <c r="R56">
        <v>0</v>
      </c>
      <c r="S56">
        <v>0</v>
      </c>
      <c r="T56">
        <v>2877</v>
      </c>
    </row>
    <row r="57" spans="1:20" x14ac:dyDescent="0.25">
      <c r="A57" t="s">
        <v>83</v>
      </c>
      <c r="B57" t="s">
        <v>872</v>
      </c>
      <c r="C57" t="s">
        <v>84</v>
      </c>
      <c r="D57" s="1">
        <v>31071</v>
      </c>
      <c r="E57" s="1">
        <v>14</v>
      </c>
      <c r="F57" s="1">
        <v>0</v>
      </c>
      <c r="G57" s="1">
        <v>0</v>
      </c>
      <c r="H57" s="1">
        <v>0</v>
      </c>
      <c r="I57" s="1">
        <v>24367</v>
      </c>
      <c r="J57" s="1">
        <v>21492</v>
      </c>
      <c r="K57" s="1"/>
      <c r="L57" t="s">
        <v>811</v>
      </c>
      <c r="M57" t="s">
        <v>872</v>
      </c>
      <c r="N57" t="s">
        <v>86</v>
      </c>
      <c r="O57">
        <v>78294</v>
      </c>
      <c r="P57">
        <v>20193</v>
      </c>
      <c r="Q57">
        <v>0</v>
      </c>
      <c r="R57">
        <v>0</v>
      </c>
      <c r="S57">
        <v>0</v>
      </c>
      <c r="T57">
        <v>14518</v>
      </c>
    </row>
    <row r="58" spans="1:20" x14ac:dyDescent="0.25">
      <c r="A58" t="s">
        <v>809</v>
      </c>
      <c r="B58" t="s">
        <v>872</v>
      </c>
      <c r="C58" t="s">
        <v>85</v>
      </c>
      <c r="D58" s="1">
        <v>9413</v>
      </c>
      <c r="E58" s="1">
        <v>20</v>
      </c>
      <c r="F58" s="1">
        <v>0</v>
      </c>
      <c r="G58" s="1">
        <v>0</v>
      </c>
      <c r="H58" s="1">
        <v>0</v>
      </c>
      <c r="I58" s="1">
        <v>2877</v>
      </c>
      <c r="J58" s="1">
        <v>794</v>
      </c>
      <c r="K58" s="1"/>
      <c r="L58" t="s">
        <v>811</v>
      </c>
      <c r="M58" t="s">
        <v>872</v>
      </c>
      <c r="N58" t="s">
        <v>87</v>
      </c>
      <c r="O58">
        <v>36697</v>
      </c>
      <c r="P58">
        <v>2251</v>
      </c>
      <c r="Q58">
        <v>0</v>
      </c>
      <c r="R58">
        <v>0</v>
      </c>
      <c r="S58">
        <v>0</v>
      </c>
      <c r="T58">
        <v>13678</v>
      </c>
    </row>
    <row r="59" spans="1:20" x14ac:dyDescent="0.25">
      <c r="A59" t="s">
        <v>811</v>
      </c>
      <c r="B59" t="s">
        <v>872</v>
      </c>
      <c r="C59" t="s">
        <v>86</v>
      </c>
      <c r="D59" s="1">
        <v>78294</v>
      </c>
      <c r="E59" s="1">
        <v>20193</v>
      </c>
      <c r="F59" s="1">
        <v>0</v>
      </c>
      <c r="G59" s="1">
        <v>0</v>
      </c>
      <c r="H59" s="1">
        <v>0</v>
      </c>
      <c r="I59" s="1">
        <v>14518</v>
      </c>
      <c r="J59" s="1">
        <v>47140</v>
      </c>
      <c r="K59" s="1"/>
      <c r="L59" t="s">
        <v>791</v>
      </c>
      <c r="M59" t="s">
        <v>872</v>
      </c>
      <c r="N59" t="s">
        <v>88</v>
      </c>
      <c r="O59">
        <v>23966</v>
      </c>
      <c r="P59">
        <v>521</v>
      </c>
      <c r="Q59">
        <v>0</v>
      </c>
      <c r="R59">
        <v>0</v>
      </c>
      <c r="S59">
        <v>0</v>
      </c>
      <c r="T59">
        <v>5872</v>
      </c>
    </row>
    <row r="60" spans="1:20" x14ac:dyDescent="0.25">
      <c r="A60" t="s">
        <v>811</v>
      </c>
      <c r="B60" t="s">
        <v>872</v>
      </c>
      <c r="C60" t="s">
        <v>87</v>
      </c>
      <c r="D60" s="1">
        <v>36697</v>
      </c>
      <c r="E60" s="1">
        <v>2251</v>
      </c>
      <c r="F60" s="1">
        <v>0</v>
      </c>
      <c r="G60" s="1">
        <v>0</v>
      </c>
      <c r="H60" s="1">
        <v>0</v>
      </c>
      <c r="I60" s="1">
        <v>13678</v>
      </c>
      <c r="J60" s="1">
        <v>7296</v>
      </c>
      <c r="K60" s="1"/>
      <c r="L60" t="s">
        <v>809</v>
      </c>
      <c r="M60" t="s">
        <v>872</v>
      </c>
      <c r="N60" t="s">
        <v>89</v>
      </c>
      <c r="O60">
        <v>4625</v>
      </c>
      <c r="P60">
        <v>48</v>
      </c>
      <c r="Q60">
        <v>0</v>
      </c>
      <c r="R60">
        <v>0</v>
      </c>
      <c r="S60">
        <v>0</v>
      </c>
      <c r="T60">
        <v>7021</v>
      </c>
    </row>
    <row r="61" spans="1:20" x14ac:dyDescent="0.25">
      <c r="A61" t="s">
        <v>791</v>
      </c>
      <c r="B61" t="s">
        <v>872</v>
      </c>
      <c r="C61" t="s">
        <v>88</v>
      </c>
      <c r="D61" s="1">
        <v>23966</v>
      </c>
      <c r="E61" s="1">
        <v>521</v>
      </c>
      <c r="F61" s="1">
        <v>0</v>
      </c>
      <c r="G61" s="1">
        <v>0</v>
      </c>
      <c r="H61" s="1">
        <v>0</v>
      </c>
      <c r="I61" s="1">
        <v>5872</v>
      </c>
      <c r="J61" s="1">
        <v>8989</v>
      </c>
      <c r="K61" s="1"/>
      <c r="L61" t="s">
        <v>848</v>
      </c>
      <c r="M61" t="s">
        <v>872</v>
      </c>
      <c r="N61" t="s">
        <v>90</v>
      </c>
      <c r="O61">
        <v>41655</v>
      </c>
      <c r="P61">
        <v>139</v>
      </c>
      <c r="Q61">
        <v>0</v>
      </c>
      <c r="R61">
        <v>0</v>
      </c>
      <c r="S61">
        <v>0</v>
      </c>
      <c r="T61">
        <v>7131</v>
      </c>
    </row>
    <row r="62" spans="1:20" x14ac:dyDescent="0.25">
      <c r="A62" t="s">
        <v>809</v>
      </c>
      <c r="B62" t="s">
        <v>872</v>
      </c>
      <c r="C62" t="s">
        <v>89</v>
      </c>
      <c r="D62" s="1">
        <v>4625</v>
      </c>
      <c r="E62" s="1">
        <v>48</v>
      </c>
      <c r="F62" s="1">
        <v>0</v>
      </c>
      <c r="G62" s="1">
        <v>0</v>
      </c>
      <c r="H62" s="1">
        <v>0</v>
      </c>
      <c r="I62" s="1">
        <v>7021</v>
      </c>
      <c r="J62" s="1">
        <v>279</v>
      </c>
      <c r="K62" s="1"/>
      <c r="L62" t="s">
        <v>248</v>
      </c>
      <c r="M62" t="s">
        <v>872</v>
      </c>
      <c r="N62" t="s">
        <v>91</v>
      </c>
      <c r="O62">
        <v>255435</v>
      </c>
      <c r="P62">
        <v>5206</v>
      </c>
      <c r="Q62">
        <v>0</v>
      </c>
      <c r="R62">
        <v>0</v>
      </c>
      <c r="S62">
        <v>0</v>
      </c>
      <c r="T62">
        <v>89226</v>
      </c>
    </row>
    <row r="63" spans="1:20" x14ac:dyDescent="0.25">
      <c r="A63" t="s">
        <v>848</v>
      </c>
      <c r="B63" t="s">
        <v>872</v>
      </c>
      <c r="C63" t="s">
        <v>90</v>
      </c>
      <c r="D63" s="1">
        <v>41655</v>
      </c>
      <c r="E63" s="1">
        <v>139</v>
      </c>
      <c r="F63" s="1">
        <v>0</v>
      </c>
      <c r="G63" s="1">
        <v>0</v>
      </c>
      <c r="H63" s="1">
        <v>0</v>
      </c>
      <c r="I63" s="1">
        <v>7131</v>
      </c>
      <c r="J63" s="1">
        <v>21173</v>
      </c>
      <c r="K63" s="1"/>
      <c r="L63" t="s">
        <v>826</v>
      </c>
      <c r="M63" t="s">
        <v>872</v>
      </c>
      <c r="N63" t="s">
        <v>92</v>
      </c>
      <c r="O63">
        <v>47341</v>
      </c>
      <c r="P63">
        <v>1988</v>
      </c>
      <c r="Q63">
        <v>0</v>
      </c>
      <c r="R63">
        <v>0</v>
      </c>
      <c r="S63">
        <v>0</v>
      </c>
      <c r="T63">
        <v>7515</v>
      </c>
    </row>
    <row r="64" spans="1:20" x14ac:dyDescent="0.25">
      <c r="A64" t="s">
        <v>248</v>
      </c>
      <c r="B64" t="s">
        <v>872</v>
      </c>
      <c r="C64" t="s">
        <v>91</v>
      </c>
      <c r="D64" s="1">
        <v>255435</v>
      </c>
      <c r="E64" s="1">
        <v>5205</v>
      </c>
      <c r="F64" s="1">
        <v>0</v>
      </c>
      <c r="G64" s="1">
        <v>0</v>
      </c>
      <c r="H64" s="1">
        <v>0</v>
      </c>
      <c r="I64" s="1">
        <v>89226</v>
      </c>
      <c r="J64" s="1">
        <v>121058</v>
      </c>
      <c r="K64" s="1"/>
      <c r="L64" t="s">
        <v>849</v>
      </c>
      <c r="M64" t="s">
        <v>872</v>
      </c>
      <c r="N64" t="s">
        <v>93</v>
      </c>
    </row>
    <row r="65" spans="1:20" x14ac:dyDescent="0.25">
      <c r="A65" t="s">
        <v>826</v>
      </c>
      <c r="B65" t="s">
        <v>872</v>
      </c>
      <c r="C65" t="s">
        <v>92</v>
      </c>
      <c r="D65" s="1">
        <v>47341</v>
      </c>
      <c r="E65" s="1">
        <v>1988</v>
      </c>
      <c r="F65" s="1">
        <v>0</v>
      </c>
      <c r="G65" s="1">
        <v>0</v>
      </c>
      <c r="H65" s="1">
        <v>0</v>
      </c>
      <c r="I65" s="1">
        <v>7515</v>
      </c>
      <c r="J65" s="1">
        <v>7146</v>
      </c>
      <c r="K65" s="1"/>
      <c r="L65" t="s">
        <v>791</v>
      </c>
      <c r="M65" t="s">
        <v>872</v>
      </c>
      <c r="N65" t="s">
        <v>94</v>
      </c>
      <c r="O65">
        <v>15677</v>
      </c>
      <c r="P65">
        <v>134</v>
      </c>
      <c r="Q65">
        <v>0</v>
      </c>
      <c r="R65">
        <v>0</v>
      </c>
      <c r="S65">
        <v>0</v>
      </c>
      <c r="T65">
        <v>7022</v>
      </c>
    </row>
    <row r="66" spans="1:20" x14ac:dyDescent="0.25">
      <c r="A66" t="s">
        <v>849</v>
      </c>
      <c r="B66" t="s">
        <v>872</v>
      </c>
      <c r="C66" t="s">
        <v>93</v>
      </c>
      <c r="D66" s="1"/>
      <c r="E66" s="1"/>
      <c r="F66" s="1"/>
      <c r="G66" s="1"/>
      <c r="H66" s="1"/>
      <c r="I66" s="1"/>
      <c r="J66" s="1"/>
      <c r="K66" s="1"/>
      <c r="L66" t="s">
        <v>848</v>
      </c>
      <c r="M66" t="s">
        <v>872</v>
      </c>
      <c r="N66" t="s">
        <v>95</v>
      </c>
      <c r="O66">
        <v>4368</v>
      </c>
      <c r="P66">
        <v>130</v>
      </c>
      <c r="Q66">
        <v>0</v>
      </c>
      <c r="R66">
        <v>0</v>
      </c>
      <c r="S66">
        <v>0</v>
      </c>
      <c r="T66">
        <v>1664</v>
      </c>
    </row>
    <row r="67" spans="1:20" x14ac:dyDescent="0.25">
      <c r="A67" t="s">
        <v>791</v>
      </c>
      <c r="B67" t="s">
        <v>872</v>
      </c>
      <c r="C67" t="s">
        <v>94</v>
      </c>
      <c r="D67" s="1">
        <v>15677</v>
      </c>
      <c r="E67" s="1">
        <v>134</v>
      </c>
      <c r="F67" s="1">
        <v>0</v>
      </c>
      <c r="G67" s="1">
        <v>0</v>
      </c>
      <c r="H67" s="1">
        <v>0</v>
      </c>
      <c r="I67" s="1">
        <v>7022</v>
      </c>
      <c r="J67" s="1">
        <v>1490</v>
      </c>
      <c r="K67" s="1"/>
      <c r="L67" t="s">
        <v>826</v>
      </c>
      <c r="M67" t="s">
        <v>872</v>
      </c>
      <c r="N67" t="s">
        <v>96</v>
      </c>
      <c r="O67">
        <v>11183</v>
      </c>
      <c r="P67">
        <v>121</v>
      </c>
      <c r="Q67">
        <v>0</v>
      </c>
      <c r="R67">
        <v>0</v>
      </c>
      <c r="S67">
        <v>0</v>
      </c>
      <c r="T67">
        <v>2041</v>
      </c>
    </row>
    <row r="68" spans="1:20" x14ac:dyDescent="0.25">
      <c r="A68" t="s">
        <v>848</v>
      </c>
      <c r="B68" t="s">
        <v>872</v>
      </c>
      <c r="C68" t="s">
        <v>95</v>
      </c>
      <c r="D68" s="1">
        <v>4368</v>
      </c>
      <c r="E68" s="1">
        <v>130</v>
      </c>
      <c r="F68" s="1">
        <v>0</v>
      </c>
      <c r="G68" s="1">
        <v>0</v>
      </c>
      <c r="H68" s="1">
        <v>0</v>
      </c>
      <c r="I68" s="1">
        <v>1664</v>
      </c>
      <c r="J68" s="1">
        <v>697</v>
      </c>
      <c r="K68" s="1"/>
      <c r="L68" t="s">
        <v>850</v>
      </c>
      <c r="M68" t="s">
        <v>872</v>
      </c>
      <c r="N68" t="s">
        <v>98</v>
      </c>
      <c r="O68">
        <v>11904</v>
      </c>
      <c r="P68">
        <v>22</v>
      </c>
      <c r="Q68">
        <v>0</v>
      </c>
      <c r="R68">
        <v>0</v>
      </c>
      <c r="S68">
        <v>0</v>
      </c>
      <c r="T68">
        <v>8082</v>
      </c>
    </row>
    <row r="69" spans="1:20" x14ac:dyDescent="0.25">
      <c r="A69" t="s">
        <v>826</v>
      </c>
      <c r="B69" t="s">
        <v>872</v>
      </c>
      <c r="C69" t="s">
        <v>96</v>
      </c>
      <c r="D69" s="1">
        <v>11183</v>
      </c>
      <c r="E69" s="1">
        <v>121</v>
      </c>
      <c r="F69" s="1">
        <v>0</v>
      </c>
      <c r="G69" s="1">
        <v>0</v>
      </c>
      <c r="H69" s="1">
        <v>0</v>
      </c>
      <c r="I69" s="1">
        <v>2041</v>
      </c>
      <c r="J69" s="1">
        <v>2304</v>
      </c>
      <c r="K69" s="1"/>
      <c r="L69" t="s">
        <v>851</v>
      </c>
      <c r="M69" t="s">
        <v>872</v>
      </c>
      <c r="N69" t="s">
        <v>100</v>
      </c>
      <c r="O69">
        <v>8043</v>
      </c>
      <c r="P69">
        <v>288</v>
      </c>
      <c r="Q69">
        <v>0</v>
      </c>
      <c r="R69">
        <v>0</v>
      </c>
      <c r="S69">
        <v>0</v>
      </c>
      <c r="T69">
        <v>5456</v>
      </c>
    </row>
    <row r="70" spans="1:20" x14ac:dyDescent="0.25">
      <c r="A70" t="s">
        <v>850</v>
      </c>
      <c r="B70" t="s">
        <v>872</v>
      </c>
      <c r="C70" t="s">
        <v>98</v>
      </c>
      <c r="D70" s="1">
        <v>11904</v>
      </c>
      <c r="E70" s="1">
        <v>22</v>
      </c>
      <c r="F70" s="1">
        <v>0</v>
      </c>
      <c r="G70" s="1">
        <v>0</v>
      </c>
      <c r="H70" s="1">
        <v>0</v>
      </c>
      <c r="I70" s="1">
        <v>8082</v>
      </c>
      <c r="J70" s="1">
        <v>3521</v>
      </c>
      <c r="K70" s="1"/>
      <c r="L70" t="s">
        <v>101</v>
      </c>
      <c r="M70" t="s">
        <v>872</v>
      </c>
      <c r="N70" t="s">
        <v>102</v>
      </c>
      <c r="O70">
        <v>46842</v>
      </c>
      <c r="P70">
        <v>2</v>
      </c>
      <c r="Q70">
        <v>0</v>
      </c>
      <c r="R70">
        <v>0</v>
      </c>
      <c r="S70">
        <v>0</v>
      </c>
      <c r="T70">
        <v>53502</v>
      </c>
    </row>
    <row r="71" spans="1:20" x14ac:dyDescent="0.25">
      <c r="A71" t="s">
        <v>851</v>
      </c>
      <c r="B71" t="s">
        <v>872</v>
      </c>
      <c r="C71" t="s">
        <v>100</v>
      </c>
      <c r="D71" s="1">
        <v>8043</v>
      </c>
      <c r="E71" s="1">
        <v>288</v>
      </c>
      <c r="F71" s="1">
        <v>0</v>
      </c>
      <c r="G71" s="1">
        <v>0</v>
      </c>
      <c r="H71" s="1">
        <v>0</v>
      </c>
      <c r="I71" s="1">
        <v>5456</v>
      </c>
      <c r="J71" s="1">
        <v>2201</v>
      </c>
      <c r="K71" s="1"/>
      <c r="L71" t="s">
        <v>512</v>
      </c>
      <c r="M71" t="s">
        <v>872</v>
      </c>
      <c r="N71" t="s">
        <v>103</v>
      </c>
      <c r="O71">
        <v>22762</v>
      </c>
      <c r="P71">
        <v>0</v>
      </c>
      <c r="Q71">
        <v>0</v>
      </c>
      <c r="R71">
        <v>0</v>
      </c>
      <c r="S71">
        <v>0</v>
      </c>
      <c r="T71">
        <v>1115</v>
      </c>
    </row>
    <row r="72" spans="1:20" x14ac:dyDescent="0.25">
      <c r="A72" t="s">
        <v>101</v>
      </c>
      <c r="B72" t="s">
        <v>872</v>
      </c>
      <c r="C72" t="s">
        <v>102</v>
      </c>
      <c r="D72" s="1">
        <v>46842</v>
      </c>
      <c r="E72" s="1">
        <v>2</v>
      </c>
      <c r="F72" s="1">
        <v>0</v>
      </c>
      <c r="G72" s="1">
        <v>0</v>
      </c>
      <c r="H72" s="1">
        <v>0</v>
      </c>
      <c r="I72" s="1">
        <v>53502</v>
      </c>
      <c r="J72" s="1">
        <v>7269</v>
      </c>
      <c r="K72" s="1"/>
      <c r="L72" t="s">
        <v>852</v>
      </c>
      <c r="M72" t="s">
        <v>872</v>
      </c>
      <c r="N72" t="s">
        <v>105</v>
      </c>
      <c r="O72">
        <v>14420</v>
      </c>
      <c r="P72">
        <v>110</v>
      </c>
      <c r="Q72">
        <v>0</v>
      </c>
      <c r="R72">
        <v>0</v>
      </c>
      <c r="S72">
        <v>0</v>
      </c>
      <c r="T72">
        <v>8723</v>
      </c>
    </row>
    <row r="73" spans="1:20" x14ac:dyDescent="0.25">
      <c r="A73" t="s">
        <v>512</v>
      </c>
      <c r="B73" t="s">
        <v>872</v>
      </c>
      <c r="C73" t="s">
        <v>103</v>
      </c>
      <c r="D73" s="1">
        <v>22762</v>
      </c>
      <c r="E73" s="1">
        <v>0</v>
      </c>
      <c r="F73" s="1">
        <v>0</v>
      </c>
      <c r="G73" s="1">
        <v>0</v>
      </c>
      <c r="H73" s="1">
        <v>0</v>
      </c>
      <c r="I73" s="1">
        <v>1115</v>
      </c>
      <c r="J73" s="1">
        <v>4217</v>
      </c>
      <c r="K73" s="1"/>
      <c r="L73" t="s">
        <v>853</v>
      </c>
      <c r="M73" t="s">
        <v>872</v>
      </c>
      <c r="N73" t="s">
        <v>107</v>
      </c>
      <c r="O73">
        <v>41085</v>
      </c>
      <c r="P73">
        <v>255</v>
      </c>
      <c r="Q73">
        <v>0</v>
      </c>
      <c r="R73">
        <v>0</v>
      </c>
      <c r="S73">
        <v>0</v>
      </c>
      <c r="T73">
        <v>32611</v>
      </c>
    </row>
    <row r="74" spans="1:20" x14ac:dyDescent="0.25">
      <c r="A74" t="s">
        <v>852</v>
      </c>
      <c r="B74" t="s">
        <v>872</v>
      </c>
      <c r="C74" t="s">
        <v>105</v>
      </c>
      <c r="D74" s="1">
        <v>14420</v>
      </c>
      <c r="E74" s="1">
        <v>110</v>
      </c>
      <c r="F74" s="1">
        <v>0</v>
      </c>
      <c r="G74" s="1">
        <v>0</v>
      </c>
      <c r="H74" s="1">
        <v>0</v>
      </c>
      <c r="I74" s="1">
        <v>8723</v>
      </c>
      <c r="J74" s="1">
        <v>4814</v>
      </c>
      <c r="K74" s="1"/>
      <c r="L74" t="s">
        <v>854</v>
      </c>
      <c r="M74" t="s">
        <v>872</v>
      </c>
      <c r="N74" t="s">
        <v>109</v>
      </c>
      <c r="O74">
        <v>21836</v>
      </c>
      <c r="P74">
        <v>1234</v>
      </c>
      <c r="Q74">
        <v>0</v>
      </c>
      <c r="R74">
        <v>0</v>
      </c>
      <c r="S74">
        <v>0</v>
      </c>
      <c r="T74">
        <v>20682</v>
      </c>
    </row>
    <row r="75" spans="1:20" x14ac:dyDescent="0.25">
      <c r="A75" t="s">
        <v>853</v>
      </c>
      <c r="B75" t="s">
        <v>872</v>
      </c>
      <c r="C75" t="s">
        <v>107</v>
      </c>
      <c r="D75" s="1">
        <v>41085</v>
      </c>
      <c r="E75" s="1">
        <v>255</v>
      </c>
      <c r="F75" s="1">
        <v>0</v>
      </c>
      <c r="G75" s="1">
        <v>0</v>
      </c>
      <c r="H75" s="1">
        <v>0</v>
      </c>
      <c r="I75" s="1">
        <v>32611</v>
      </c>
      <c r="J75" s="1">
        <v>9305</v>
      </c>
      <c r="K75" s="1"/>
      <c r="L75" t="s">
        <v>855</v>
      </c>
      <c r="M75" t="s">
        <v>872</v>
      </c>
      <c r="N75" t="s">
        <v>111</v>
      </c>
      <c r="O75">
        <v>12285</v>
      </c>
      <c r="P75">
        <v>167</v>
      </c>
      <c r="Q75">
        <v>0</v>
      </c>
      <c r="R75">
        <v>0</v>
      </c>
      <c r="S75">
        <v>0</v>
      </c>
      <c r="T75">
        <v>14118</v>
      </c>
    </row>
    <row r="76" spans="1:20" x14ac:dyDescent="0.25">
      <c r="A76" t="s">
        <v>854</v>
      </c>
      <c r="B76" t="s">
        <v>872</v>
      </c>
      <c r="C76" t="s">
        <v>109</v>
      </c>
      <c r="D76" s="1">
        <v>21836</v>
      </c>
      <c r="E76" s="1">
        <v>1234</v>
      </c>
      <c r="F76" s="1">
        <v>0</v>
      </c>
      <c r="G76" s="1">
        <v>0</v>
      </c>
      <c r="H76" s="1">
        <v>0</v>
      </c>
      <c r="I76" s="1">
        <v>20682</v>
      </c>
      <c r="J76" s="1">
        <v>6233</v>
      </c>
      <c r="K76" s="1"/>
      <c r="L76" t="s">
        <v>101</v>
      </c>
      <c r="M76" t="s">
        <v>872</v>
      </c>
      <c r="N76" t="s">
        <v>112</v>
      </c>
      <c r="O76">
        <v>36868</v>
      </c>
      <c r="P76">
        <v>9</v>
      </c>
      <c r="Q76">
        <v>0</v>
      </c>
      <c r="R76">
        <v>0</v>
      </c>
      <c r="S76">
        <v>0</v>
      </c>
      <c r="T76">
        <v>83884</v>
      </c>
    </row>
    <row r="77" spans="1:20" x14ac:dyDescent="0.25">
      <c r="A77" t="s">
        <v>855</v>
      </c>
      <c r="B77" t="s">
        <v>872</v>
      </c>
      <c r="C77" t="s">
        <v>111</v>
      </c>
      <c r="D77" s="1">
        <v>12285</v>
      </c>
      <c r="E77" s="1">
        <v>167</v>
      </c>
      <c r="F77" s="1">
        <v>0</v>
      </c>
      <c r="G77" s="1">
        <v>0</v>
      </c>
      <c r="H77" s="1">
        <v>0</v>
      </c>
      <c r="I77" s="1">
        <v>14118</v>
      </c>
      <c r="J77" s="1">
        <v>4086</v>
      </c>
      <c r="K77" s="1"/>
      <c r="L77" t="s">
        <v>856</v>
      </c>
      <c r="M77" t="s">
        <v>872</v>
      </c>
      <c r="N77" t="s">
        <v>114</v>
      </c>
      <c r="O77">
        <v>13882</v>
      </c>
      <c r="P77">
        <v>407</v>
      </c>
      <c r="Q77">
        <v>0</v>
      </c>
      <c r="R77">
        <v>0</v>
      </c>
      <c r="S77">
        <v>0</v>
      </c>
      <c r="T77">
        <v>22155</v>
      </c>
    </row>
    <row r="78" spans="1:20" x14ac:dyDescent="0.25">
      <c r="A78" t="s">
        <v>101</v>
      </c>
      <c r="B78" t="s">
        <v>872</v>
      </c>
      <c r="C78" t="s">
        <v>112</v>
      </c>
      <c r="D78" s="1">
        <v>36868</v>
      </c>
      <c r="E78" s="1">
        <v>9</v>
      </c>
      <c r="F78" s="1">
        <v>0</v>
      </c>
      <c r="G78" s="1">
        <v>0</v>
      </c>
      <c r="H78" s="1">
        <v>0</v>
      </c>
      <c r="I78" s="1">
        <v>83884</v>
      </c>
      <c r="J78" s="1">
        <v>3513</v>
      </c>
      <c r="K78" s="1"/>
      <c r="L78" t="s">
        <v>857</v>
      </c>
      <c r="M78" t="s">
        <v>872</v>
      </c>
      <c r="N78" t="s">
        <v>116</v>
      </c>
      <c r="O78">
        <v>17955</v>
      </c>
      <c r="P78">
        <v>279</v>
      </c>
      <c r="Q78">
        <v>0</v>
      </c>
      <c r="R78">
        <v>0</v>
      </c>
      <c r="S78">
        <v>0</v>
      </c>
      <c r="T78">
        <v>3819</v>
      </c>
    </row>
    <row r="79" spans="1:20" x14ac:dyDescent="0.25">
      <c r="A79" t="s">
        <v>856</v>
      </c>
      <c r="B79" t="s">
        <v>872</v>
      </c>
      <c r="C79" t="s">
        <v>114</v>
      </c>
      <c r="D79" s="1">
        <v>13882</v>
      </c>
      <c r="E79" s="1">
        <v>407</v>
      </c>
      <c r="F79" s="1">
        <v>0</v>
      </c>
      <c r="G79" s="1">
        <v>0</v>
      </c>
      <c r="H79" s="1">
        <v>0</v>
      </c>
      <c r="I79" s="1">
        <v>22155</v>
      </c>
      <c r="J79" s="1">
        <v>9846</v>
      </c>
      <c r="K79" s="1"/>
      <c r="L79" t="s">
        <v>823</v>
      </c>
      <c r="M79" t="s">
        <v>872</v>
      </c>
      <c r="N79" t="s">
        <v>117</v>
      </c>
      <c r="O79">
        <v>23285</v>
      </c>
      <c r="P79">
        <v>27</v>
      </c>
      <c r="Q79">
        <v>0</v>
      </c>
      <c r="R79">
        <v>0</v>
      </c>
      <c r="S79">
        <v>0</v>
      </c>
      <c r="T79">
        <v>7067</v>
      </c>
    </row>
    <row r="80" spans="1:20" x14ac:dyDescent="0.25">
      <c r="A80" t="s">
        <v>857</v>
      </c>
      <c r="B80" t="s">
        <v>872</v>
      </c>
      <c r="C80" t="s">
        <v>116</v>
      </c>
      <c r="D80" s="1">
        <v>17955</v>
      </c>
      <c r="E80" s="1">
        <v>279</v>
      </c>
      <c r="F80" s="1">
        <v>0</v>
      </c>
      <c r="G80" s="1">
        <v>0</v>
      </c>
      <c r="H80" s="1">
        <v>0</v>
      </c>
      <c r="I80" s="1">
        <v>3819</v>
      </c>
      <c r="J80" s="1">
        <v>5471</v>
      </c>
      <c r="K80" s="1"/>
      <c r="L80" t="s">
        <v>858</v>
      </c>
      <c r="M80" t="s">
        <v>872</v>
      </c>
      <c r="N80" t="s">
        <v>119</v>
      </c>
      <c r="O80">
        <v>18724</v>
      </c>
      <c r="P80">
        <v>240</v>
      </c>
      <c r="Q80">
        <v>0</v>
      </c>
      <c r="R80">
        <v>0</v>
      </c>
      <c r="S80">
        <v>0</v>
      </c>
      <c r="T80">
        <v>9200</v>
      </c>
    </row>
    <row r="81" spans="1:20" x14ac:dyDescent="0.25">
      <c r="A81" t="s">
        <v>823</v>
      </c>
      <c r="B81" t="s">
        <v>872</v>
      </c>
      <c r="C81" t="s">
        <v>117</v>
      </c>
      <c r="D81" s="1">
        <v>23285</v>
      </c>
      <c r="E81" s="1">
        <v>27</v>
      </c>
      <c r="F81" s="1">
        <v>0</v>
      </c>
      <c r="G81" s="1">
        <v>0</v>
      </c>
      <c r="H81" s="1">
        <v>0</v>
      </c>
      <c r="I81" s="1">
        <v>7067</v>
      </c>
      <c r="J81" s="1">
        <v>5030</v>
      </c>
      <c r="K81" s="1"/>
      <c r="L81" t="s">
        <v>859</v>
      </c>
      <c r="M81" t="s">
        <v>872</v>
      </c>
      <c r="N81" t="s">
        <v>121</v>
      </c>
      <c r="O81">
        <v>21642</v>
      </c>
      <c r="P81">
        <v>18</v>
      </c>
      <c r="Q81">
        <v>0</v>
      </c>
      <c r="R81">
        <v>0</v>
      </c>
      <c r="S81">
        <v>0</v>
      </c>
      <c r="T81">
        <v>12387</v>
      </c>
    </row>
    <row r="82" spans="1:20" x14ac:dyDescent="0.25">
      <c r="A82" t="s">
        <v>858</v>
      </c>
      <c r="B82" t="s">
        <v>872</v>
      </c>
      <c r="C82" t="s">
        <v>119</v>
      </c>
      <c r="D82" s="1">
        <v>18724</v>
      </c>
      <c r="E82" s="1">
        <v>240</v>
      </c>
      <c r="F82" s="1">
        <v>0</v>
      </c>
      <c r="G82" s="1">
        <v>0</v>
      </c>
      <c r="H82" s="1">
        <v>0</v>
      </c>
      <c r="I82" s="1">
        <v>9200</v>
      </c>
      <c r="J82" s="1">
        <v>6672</v>
      </c>
      <c r="K82" s="1"/>
      <c r="L82" t="s">
        <v>860</v>
      </c>
      <c r="M82" t="s">
        <v>872</v>
      </c>
      <c r="N82" t="s">
        <v>122</v>
      </c>
      <c r="O82">
        <v>18546</v>
      </c>
      <c r="P82">
        <v>41</v>
      </c>
      <c r="Q82">
        <v>0</v>
      </c>
      <c r="R82">
        <v>0</v>
      </c>
      <c r="S82">
        <v>0</v>
      </c>
      <c r="T82">
        <v>8602</v>
      </c>
    </row>
    <row r="83" spans="1:20" x14ac:dyDescent="0.25">
      <c r="A83" t="s">
        <v>859</v>
      </c>
      <c r="B83" t="s">
        <v>872</v>
      </c>
      <c r="C83" t="s">
        <v>121</v>
      </c>
      <c r="D83" s="1">
        <v>21642</v>
      </c>
      <c r="E83" s="1">
        <v>18</v>
      </c>
      <c r="F83" s="1">
        <v>0</v>
      </c>
      <c r="G83" s="1">
        <v>0</v>
      </c>
      <c r="H83" s="1">
        <v>0</v>
      </c>
      <c r="I83" s="1">
        <v>12387</v>
      </c>
      <c r="J83" s="1">
        <v>2940</v>
      </c>
      <c r="K83" s="1"/>
      <c r="L83" t="s">
        <v>861</v>
      </c>
      <c r="M83" t="s">
        <v>872</v>
      </c>
      <c r="N83" t="s">
        <v>124</v>
      </c>
      <c r="O83">
        <v>19126</v>
      </c>
      <c r="P83">
        <v>0</v>
      </c>
      <c r="Q83">
        <v>0</v>
      </c>
      <c r="R83">
        <v>0</v>
      </c>
      <c r="S83">
        <v>0</v>
      </c>
      <c r="T83">
        <v>9834</v>
      </c>
    </row>
    <row r="84" spans="1:20" x14ac:dyDescent="0.25">
      <c r="A84" t="s">
        <v>860</v>
      </c>
      <c r="B84" t="s">
        <v>872</v>
      </c>
      <c r="C84" t="s">
        <v>122</v>
      </c>
      <c r="D84" s="1">
        <v>18546</v>
      </c>
      <c r="E84" s="1">
        <v>41</v>
      </c>
      <c r="F84" s="1">
        <v>0</v>
      </c>
      <c r="G84" s="1">
        <v>0</v>
      </c>
      <c r="H84" s="1">
        <v>0</v>
      </c>
      <c r="I84" s="1">
        <v>8602</v>
      </c>
      <c r="J84" s="1">
        <v>4929</v>
      </c>
      <c r="K84" s="1"/>
      <c r="L84" t="s">
        <v>823</v>
      </c>
      <c r="M84" t="s">
        <v>872</v>
      </c>
      <c r="N84" t="s">
        <v>125</v>
      </c>
      <c r="O84">
        <v>73103</v>
      </c>
      <c r="P84">
        <v>1</v>
      </c>
      <c r="Q84">
        <v>0</v>
      </c>
      <c r="R84">
        <v>0</v>
      </c>
      <c r="S84">
        <v>0</v>
      </c>
      <c r="T84">
        <v>3186</v>
      </c>
    </row>
    <row r="85" spans="1:20" x14ac:dyDescent="0.25">
      <c r="A85" t="s">
        <v>861</v>
      </c>
      <c r="B85" t="s">
        <v>872</v>
      </c>
      <c r="C85" t="s">
        <v>124</v>
      </c>
      <c r="D85" s="1">
        <v>19126</v>
      </c>
      <c r="E85" s="1">
        <v>0</v>
      </c>
      <c r="F85" s="1">
        <v>0</v>
      </c>
      <c r="G85" s="1">
        <v>0</v>
      </c>
      <c r="H85" s="1">
        <v>0</v>
      </c>
      <c r="I85" s="1">
        <v>9834</v>
      </c>
      <c r="J85" s="1">
        <v>4431</v>
      </c>
      <c r="K85" s="1"/>
      <c r="L85" t="s">
        <v>248</v>
      </c>
      <c r="M85" t="s">
        <v>872</v>
      </c>
      <c r="N85" t="s">
        <v>126</v>
      </c>
      <c r="O85">
        <v>24866</v>
      </c>
      <c r="P85">
        <v>18</v>
      </c>
      <c r="Q85">
        <v>0</v>
      </c>
      <c r="R85">
        <v>0</v>
      </c>
      <c r="S85">
        <v>0</v>
      </c>
      <c r="T85">
        <v>42930</v>
      </c>
    </row>
    <row r="86" spans="1:20" x14ac:dyDescent="0.25">
      <c r="A86" t="s">
        <v>823</v>
      </c>
      <c r="B86" t="s">
        <v>872</v>
      </c>
      <c r="C86" t="s">
        <v>125</v>
      </c>
      <c r="D86" s="1">
        <v>73103</v>
      </c>
      <c r="E86" s="1">
        <v>1</v>
      </c>
      <c r="F86" s="1">
        <v>0</v>
      </c>
      <c r="G86" s="1">
        <v>0</v>
      </c>
      <c r="H86" s="1">
        <v>0</v>
      </c>
      <c r="I86" s="1">
        <v>3186</v>
      </c>
      <c r="J86" s="1">
        <v>5237</v>
      </c>
      <c r="K86" s="1"/>
      <c r="L86" t="s">
        <v>862</v>
      </c>
      <c r="M86" t="s">
        <v>872</v>
      </c>
      <c r="N86" t="s">
        <v>127</v>
      </c>
      <c r="O86">
        <v>8760</v>
      </c>
      <c r="P86">
        <v>94</v>
      </c>
      <c r="Q86">
        <v>0</v>
      </c>
      <c r="R86">
        <v>0</v>
      </c>
      <c r="S86">
        <v>0</v>
      </c>
      <c r="T86">
        <v>5514</v>
      </c>
    </row>
    <row r="87" spans="1:20" x14ac:dyDescent="0.25">
      <c r="A87" t="s">
        <v>248</v>
      </c>
      <c r="B87" t="s">
        <v>872</v>
      </c>
      <c r="C87" t="s">
        <v>126</v>
      </c>
      <c r="D87" s="1">
        <v>24866</v>
      </c>
      <c r="E87" s="1">
        <v>18</v>
      </c>
      <c r="F87" s="1">
        <v>0</v>
      </c>
      <c r="G87" s="1">
        <v>0</v>
      </c>
      <c r="H87" s="1">
        <v>0</v>
      </c>
      <c r="I87" s="1">
        <v>42930</v>
      </c>
      <c r="J87" s="1">
        <v>4952</v>
      </c>
      <c r="K87" s="1"/>
      <c r="L87" t="s">
        <v>863</v>
      </c>
      <c r="M87" t="s">
        <v>872</v>
      </c>
      <c r="N87" t="s">
        <v>129</v>
      </c>
      <c r="O87">
        <v>25855</v>
      </c>
      <c r="P87">
        <v>394</v>
      </c>
      <c r="Q87">
        <v>0</v>
      </c>
      <c r="R87">
        <v>0</v>
      </c>
      <c r="S87">
        <v>0</v>
      </c>
      <c r="T87">
        <v>8329</v>
      </c>
    </row>
    <row r="88" spans="1:20" x14ac:dyDescent="0.25">
      <c r="A88" t="s">
        <v>862</v>
      </c>
      <c r="B88" t="s">
        <v>872</v>
      </c>
      <c r="C88" t="s">
        <v>127</v>
      </c>
      <c r="D88" s="1">
        <v>8760</v>
      </c>
      <c r="E88" s="1">
        <v>94</v>
      </c>
      <c r="F88" s="1">
        <v>0</v>
      </c>
      <c r="G88" s="1">
        <v>0</v>
      </c>
      <c r="H88" s="1">
        <v>0</v>
      </c>
      <c r="I88" s="1">
        <v>5514</v>
      </c>
      <c r="J88" s="1">
        <v>2896</v>
      </c>
      <c r="K88" s="1"/>
      <c r="L88" t="s">
        <v>794</v>
      </c>
      <c r="M88" t="s">
        <v>872</v>
      </c>
      <c r="N88" t="s">
        <v>130</v>
      </c>
      <c r="O88">
        <v>48677</v>
      </c>
      <c r="P88">
        <v>132</v>
      </c>
      <c r="Q88">
        <v>0</v>
      </c>
      <c r="R88">
        <v>0</v>
      </c>
      <c r="S88">
        <v>0</v>
      </c>
      <c r="T88">
        <v>5620</v>
      </c>
    </row>
    <row r="89" spans="1:20" x14ac:dyDescent="0.25">
      <c r="A89" t="s">
        <v>863</v>
      </c>
      <c r="B89" t="s">
        <v>872</v>
      </c>
      <c r="C89" t="s">
        <v>129</v>
      </c>
      <c r="D89" s="1">
        <v>25855</v>
      </c>
      <c r="E89" s="1">
        <v>394</v>
      </c>
      <c r="F89" s="1">
        <v>0</v>
      </c>
      <c r="G89" s="1">
        <v>0</v>
      </c>
      <c r="H89" s="1">
        <v>0</v>
      </c>
      <c r="I89" s="1">
        <v>8329</v>
      </c>
      <c r="J89" s="1">
        <v>6407</v>
      </c>
      <c r="K89" s="1"/>
      <c r="L89" t="s">
        <v>864</v>
      </c>
      <c r="M89" t="s">
        <v>872</v>
      </c>
      <c r="N89" t="s">
        <v>132</v>
      </c>
      <c r="O89">
        <v>46013</v>
      </c>
      <c r="P89">
        <v>75</v>
      </c>
      <c r="Q89">
        <v>0</v>
      </c>
      <c r="R89">
        <v>0</v>
      </c>
      <c r="S89">
        <v>0</v>
      </c>
      <c r="T89">
        <v>40985</v>
      </c>
    </row>
    <row r="90" spans="1:20" x14ac:dyDescent="0.25">
      <c r="A90" t="s">
        <v>794</v>
      </c>
      <c r="B90" t="s">
        <v>872</v>
      </c>
      <c r="C90" t="s">
        <v>130</v>
      </c>
      <c r="D90" s="1">
        <v>48677</v>
      </c>
      <c r="E90" s="1">
        <v>132</v>
      </c>
      <c r="F90" s="1">
        <v>0</v>
      </c>
      <c r="G90" s="1">
        <v>0</v>
      </c>
      <c r="H90" s="1">
        <v>0</v>
      </c>
      <c r="I90" s="1">
        <v>5620</v>
      </c>
      <c r="J90" s="1">
        <v>5101</v>
      </c>
      <c r="K90" s="1"/>
      <c r="L90" t="s">
        <v>512</v>
      </c>
      <c r="M90" t="s">
        <v>872</v>
      </c>
      <c r="N90" t="s">
        <v>133</v>
      </c>
      <c r="O90">
        <v>13181</v>
      </c>
      <c r="P90">
        <v>700</v>
      </c>
      <c r="Q90">
        <v>0</v>
      </c>
      <c r="R90">
        <v>0</v>
      </c>
      <c r="S90">
        <v>0</v>
      </c>
      <c r="T90">
        <v>4318</v>
      </c>
    </row>
    <row r="91" spans="1:20" x14ac:dyDescent="0.25">
      <c r="A91" t="s">
        <v>864</v>
      </c>
      <c r="B91" t="s">
        <v>872</v>
      </c>
      <c r="C91" t="s">
        <v>132</v>
      </c>
      <c r="D91" s="1">
        <v>46013</v>
      </c>
      <c r="E91" s="1">
        <v>75</v>
      </c>
      <c r="F91" s="1">
        <v>0</v>
      </c>
      <c r="G91" s="1">
        <v>0</v>
      </c>
      <c r="H91" s="1">
        <v>0</v>
      </c>
      <c r="I91" s="1">
        <v>40985</v>
      </c>
      <c r="J91" s="1">
        <v>23400</v>
      </c>
      <c r="K91" s="1"/>
      <c r="L91" t="s">
        <v>134</v>
      </c>
      <c r="M91" t="s">
        <v>872</v>
      </c>
      <c r="N91" t="s">
        <v>135</v>
      </c>
      <c r="O91">
        <v>32033</v>
      </c>
      <c r="P91">
        <v>10</v>
      </c>
      <c r="Q91">
        <v>0</v>
      </c>
      <c r="R91">
        <v>0</v>
      </c>
      <c r="S91">
        <v>0</v>
      </c>
      <c r="T91">
        <v>44415</v>
      </c>
    </row>
    <row r="92" spans="1:20" x14ac:dyDescent="0.25">
      <c r="A92" t="s">
        <v>512</v>
      </c>
      <c r="B92" t="s">
        <v>872</v>
      </c>
      <c r="C92" t="s">
        <v>133</v>
      </c>
      <c r="D92" s="1">
        <v>13181</v>
      </c>
      <c r="E92" s="1">
        <v>700</v>
      </c>
      <c r="F92" s="1">
        <v>0</v>
      </c>
      <c r="G92" s="1">
        <v>0</v>
      </c>
      <c r="H92" s="1">
        <v>0</v>
      </c>
      <c r="I92" s="1">
        <v>4318</v>
      </c>
      <c r="J92" s="1">
        <v>2723</v>
      </c>
      <c r="K92" s="1"/>
      <c r="L92" t="s">
        <v>795</v>
      </c>
      <c r="M92" t="s">
        <v>872</v>
      </c>
      <c r="N92" t="s">
        <v>136</v>
      </c>
      <c r="O92">
        <v>16777</v>
      </c>
      <c r="P92">
        <v>339</v>
      </c>
      <c r="Q92">
        <v>0</v>
      </c>
      <c r="R92">
        <v>0</v>
      </c>
      <c r="S92">
        <v>0</v>
      </c>
      <c r="T92">
        <v>15956</v>
      </c>
    </row>
    <row r="93" spans="1:20" x14ac:dyDescent="0.25">
      <c r="A93" t="s">
        <v>134</v>
      </c>
      <c r="B93" t="s">
        <v>872</v>
      </c>
      <c r="C93" t="s">
        <v>135</v>
      </c>
      <c r="D93" s="1">
        <v>32033</v>
      </c>
      <c r="E93" s="1">
        <v>10</v>
      </c>
      <c r="F93" s="1">
        <v>0</v>
      </c>
      <c r="G93" s="1">
        <v>0</v>
      </c>
      <c r="H93" s="1">
        <v>0</v>
      </c>
      <c r="I93" s="1">
        <v>44415</v>
      </c>
      <c r="J93" s="1">
        <v>9403</v>
      </c>
      <c r="K93" s="1"/>
      <c r="L93" t="s">
        <v>120</v>
      </c>
      <c r="M93" t="s">
        <v>872</v>
      </c>
      <c r="N93" t="s">
        <v>137</v>
      </c>
      <c r="O93">
        <v>52871</v>
      </c>
      <c r="P93">
        <v>95</v>
      </c>
      <c r="Q93">
        <v>0</v>
      </c>
      <c r="R93">
        <v>0</v>
      </c>
      <c r="S93">
        <v>0</v>
      </c>
      <c r="T93">
        <v>26776</v>
      </c>
    </row>
    <row r="94" spans="1:20" x14ac:dyDescent="0.25">
      <c r="A94" t="s">
        <v>795</v>
      </c>
      <c r="B94" t="s">
        <v>872</v>
      </c>
      <c r="C94" t="s">
        <v>136</v>
      </c>
      <c r="D94" s="1">
        <v>16777</v>
      </c>
      <c r="E94" s="1">
        <v>339</v>
      </c>
      <c r="F94" s="1">
        <v>0</v>
      </c>
      <c r="G94" s="1">
        <v>0</v>
      </c>
      <c r="H94" s="1">
        <v>0</v>
      </c>
      <c r="I94" s="1">
        <v>15956</v>
      </c>
      <c r="J94" s="1">
        <v>4353</v>
      </c>
      <c r="K94" s="1"/>
      <c r="L94" t="s">
        <v>138</v>
      </c>
      <c r="M94" t="s">
        <v>872</v>
      </c>
      <c r="N94" t="s">
        <v>139</v>
      </c>
      <c r="O94">
        <v>40436</v>
      </c>
      <c r="P94">
        <v>28</v>
      </c>
      <c r="Q94">
        <v>0</v>
      </c>
      <c r="R94">
        <v>0</v>
      </c>
      <c r="S94">
        <v>0</v>
      </c>
      <c r="T94">
        <v>40372</v>
      </c>
    </row>
    <row r="95" spans="1:20" x14ac:dyDescent="0.25">
      <c r="A95" t="s">
        <v>120</v>
      </c>
      <c r="B95" t="s">
        <v>872</v>
      </c>
      <c r="C95" t="s">
        <v>137</v>
      </c>
      <c r="D95" s="1">
        <v>52871</v>
      </c>
      <c r="E95" s="1">
        <v>95</v>
      </c>
      <c r="F95" s="1">
        <v>0</v>
      </c>
      <c r="G95" s="1">
        <v>0</v>
      </c>
      <c r="H95" s="1">
        <v>0</v>
      </c>
      <c r="I95" s="1">
        <v>26776</v>
      </c>
      <c r="J95" s="1">
        <v>3935</v>
      </c>
      <c r="K95" s="1"/>
      <c r="L95" t="s">
        <v>868</v>
      </c>
      <c r="M95" t="s">
        <v>872</v>
      </c>
      <c r="N95" t="s">
        <v>141</v>
      </c>
      <c r="O95">
        <v>3096</v>
      </c>
      <c r="P95">
        <v>0</v>
      </c>
      <c r="Q95">
        <v>0</v>
      </c>
      <c r="R95">
        <v>0</v>
      </c>
      <c r="S95">
        <v>0</v>
      </c>
      <c r="T95">
        <v>1903</v>
      </c>
    </row>
    <row r="96" spans="1:20" x14ac:dyDescent="0.25">
      <c r="A96" t="s">
        <v>138</v>
      </c>
      <c r="B96" t="s">
        <v>872</v>
      </c>
      <c r="C96" t="s">
        <v>139</v>
      </c>
      <c r="D96" s="1">
        <v>40436</v>
      </c>
      <c r="E96" s="1">
        <v>28</v>
      </c>
      <c r="F96" s="1">
        <v>0</v>
      </c>
      <c r="G96" s="1">
        <v>0</v>
      </c>
      <c r="H96" s="1">
        <v>0</v>
      </c>
      <c r="I96" s="1">
        <v>40372</v>
      </c>
      <c r="J96" s="1">
        <v>7358</v>
      </c>
      <c r="K96" s="1"/>
      <c r="L96" t="s">
        <v>67</v>
      </c>
      <c r="M96" t="s">
        <v>872</v>
      </c>
      <c r="N96" t="s">
        <v>142</v>
      </c>
      <c r="O96">
        <v>32698</v>
      </c>
      <c r="P96">
        <v>58</v>
      </c>
      <c r="Q96">
        <v>0</v>
      </c>
      <c r="R96">
        <v>0</v>
      </c>
      <c r="S96">
        <v>0</v>
      </c>
      <c r="T96">
        <v>8441</v>
      </c>
    </row>
    <row r="97" spans="1:20" x14ac:dyDescent="0.25">
      <c r="A97" t="s">
        <v>868</v>
      </c>
      <c r="B97" t="s">
        <v>872</v>
      </c>
      <c r="C97" t="s">
        <v>141</v>
      </c>
      <c r="D97" s="1">
        <v>3096</v>
      </c>
      <c r="E97" s="1">
        <v>0</v>
      </c>
      <c r="F97" s="1">
        <v>0</v>
      </c>
      <c r="G97" s="1">
        <v>0</v>
      </c>
      <c r="H97" s="1">
        <v>0</v>
      </c>
      <c r="I97" s="1">
        <v>1903</v>
      </c>
      <c r="J97" s="1">
        <v>235</v>
      </c>
      <c r="K97" s="1"/>
      <c r="L97" t="s">
        <v>823</v>
      </c>
      <c r="M97" t="s">
        <v>872</v>
      </c>
      <c r="N97" t="s">
        <v>143</v>
      </c>
      <c r="O97">
        <v>22590</v>
      </c>
      <c r="P97">
        <v>0</v>
      </c>
      <c r="Q97">
        <v>0</v>
      </c>
      <c r="R97">
        <v>0</v>
      </c>
      <c r="S97">
        <v>0</v>
      </c>
      <c r="T97">
        <v>1054</v>
      </c>
    </row>
    <row r="98" spans="1:20" x14ac:dyDescent="0.25">
      <c r="A98" t="s">
        <v>67</v>
      </c>
      <c r="B98" t="s">
        <v>872</v>
      </c>
      <c r="C98" t="s">
        <v>142</v>
      </c>
      <c r="D98" s="1">
        <v>32698</v>
      </c>
      <c r="E98" s="1">
        <v>58</v>
      </c>
      <c r="F98" s="1">
        <v>0</v>
      </c>
      <c r="G98" s="1">
        <v>0</v>
      </c>
      <c r="H98" s="1">
        <v>0</v>
      </c>
      <c r="I98" s="1">
        <v>8441</v>
      </c>
      <c r="J98" s="1">
        <v>1989</v>
      </c>
      <c r="K98" s="1"/>
      <c r="L98" t="s">
        <v>848</v>
      </c>
      <c r="M98" t="s">
        <v>872</v>
      </c>
      <c r="N98" t="s">
        <v>144</v>
      </c>
      <c r="O98">
        <v>10215</v>
      </c>
      <c r="P98">
        <v>437</v>
      </c>
      <c r="Q98">
        <v>0</v>
      </c>
      <c r="R98">
        <v>0</v>
      </c>
      <c r="S98">
        <v>0</v>
      </c>
      <c r="T98">
        <v>1613</v>
      </c>
    </row>
    <row r="99" spans="1:20" x14ac:dyDescent="0.25">
      <c r="A99" t="s">
        <v>823</v>
      </c>
      <c r="B99" t="s">
        <v>872</v>
      </c>
      <c r="C99" t="s">
        <v>143</v>
      </c>
      <c r="D99" s="1">
        <v>22590</v>
      </c>
      <c r="E99" s="1">
        <v>0</v>
      </c>
      <c r="F99" s="1">
        <v>0</v>
      </c>
      <c r="G99" s="1">
        <v>0</v>
      </c>
      <c r="H99" s="1">
        <v>0</v>
      </c>
      <c r="I99" s="1">
        <v>1054</v>
      </c>
      <c r="J99" s="1">
        <v>3047</v>
      </c>
      <c r="K99" s="1"/>
      <c r="L99" t="s">
        <v>816</v>
      </c>
      <c r="M99" t="s">
        <v>872</v>
      </c>
      <c r="N99" t="s">
        <v>145</v>
      </c>
      <c r="O99">
        <v>64062</v>
      </c>
      <c r="P99">
        <v>117</v>
      </c>
      <c r="Q99">
        <v>0</v>
      </c>
      <c r="R99">
        <v>0</v>
      </c>
      <c r="S99">
        <v>0</v>
      </c>
      <c r="T99">
        <v>47853</v>
      </c>
    </row>
    <row r="100" spans="1:20" x14ac:dyDescent="0.25">
      <c r="A100" t="s">
        <v>848</v>
      </c>
      <c r="B100" t="s">
        <v>872</v>
      </c>
      <c r="C100" t="s">
        <v>144</v>
      </c>
      <c r="D100" s="1">
        <v>10215</v>
      </c>
      <c r="E100" s="1">
        <v>437</v>
      </c>
      <c r="F100" s="1">
        <v>0</v>
      </c>
      <c r="G100" s="1">
        <v>0</v>
      </c>
      <c r="H100" s="1">
        <v>0</v>
      </c>
      <c r="I100" s="1">
        <v>1613</v>
      </c>
      <c r="J100" s="1">
        <v>3340</v>
      </c>
      <c r="K100" s="1"/>
      <c r="L100" t="s">
        <v>146</v>
      </c>
      <c r="M100" t="s">
        <v>872</v>
      </c>
      <c r="N100" t="s">
        <v>147</v>
      </c>
      <c r="O100">
        <v>95873</v>
      </c>
      <c r="P100">
        <v>60</v>
      </c>
      <c r="Q100">
        <v>0</v>
      </c>
      <c r="R100">
        <v>0</v>
      </c>
      <c r="S100">
        <v>0</v>
      </c>
      <c r="T100">
        <v>47796</v>
      </c>
    </row>
    <row r="101" spans="1:20" x14ac:dyDescent="0.25">
      <c r="A101" t="s">
        <v>816</v>
      </c>
      <c r="B101" t="s">
        <v>872</v>
      </c>
      <c r="C101" t="s">
        <v>145</v>
      </c>
      <c r="D101" s="1">
        <v>64062</v>
      </c>
      <c r="E101" s="1">
        <v>117</v>
      </c>
      <c r="F101" s="1">
        <v>0</v>
      </c>
      <c r="G101" s="1">
        <v>0</v>
      </c>
      <c r="H101" s="1">
        <v>0</v>
      </c>
      <c r="I101" s="1">
        <v>47853</v>
      </c>
      <c r="J101" s="1">
        <v>21628</v>
      </c>
      <c r="K101" s="1"/>
      <c r="L101" t="s">
        <v>804</v>
      </c>
      <c r="M101" t="s">
        <v>872</v>
      </c>
      <c r="N101" t="s">
        <v>148</v>
      </c>
      <c r="O101">
        <v>103751</v>
      </c>
      <c r="P101">
        <v>106</v>
      </c>
      <c r="Q101">
        <v>0</v>
      </c>
      <c r="R101">
        <v>0</v>
      </c>
      <c r="S101">
        <v>0</v>
      </c>
      <c r="T101">
        <v>119099</v>
      </c>
    </row>
    <row r="102" spans="1:20" x14ac:dyDescent="0.25">
      <c r="A102" t="s">
        <v>146</v>
      </c>
      <c r="B102" t="s">
        <v>872</v>
      </c>
      <c r="C102" t="s">
        <v>147</v>
      </c>
      <c r="D102" s="1">
        <v>95873</v>
      </c>
      <c r="E102" s="1">
        <v>60</v>
      </c>
      <c r="F102" s="1">
        <v>0</v>
      </c>
      <c r="G102" s="1">
        <v>0</v>
      </c>
      <c r="H102" s="1">
        <v>0</v>
      </c>
      <c r="I102" s="1">
        <v>47796</v>
      </c>
      <c r="J102" s="1">
        <v>23007</v>
      </c>
      <c r="K102" s="1"/>
      <c r="L102" t="s">
        <v>817</v>
      </c>
      <c r="M102" t="s">
        <v>872</v>
      </c>
      <c r="N102" t="s">
        <v>149</v>
      </c>
      <c r="O102">
        <v>23243</v>
      </c>
      <c r="P102">
        <v>782</v>
      </c>
      <c r="Q102">
        <v>0</v>
      </c>
      <c r="R102">
        <v>0</v>
      </c>
      <c r="S102">
        <v>0</v>
      </c>
      <c r="T102">
        <v>24977</v>
      </c>
    </row>
    <row r="103" spans="1:20" x14ac:dyDescent="0.25">
      <c r="A103" t="s">
        <v>804</v>
      </c>
      <c r="B103" t="s">
        <v>872</v>
      </c>
      <c r="C103" t="s">
        <v>148</v>
      </c>
      <c r="D103" s="1">
        <v>103751</v>
      </c>
      <c r="E103" s="1">
        <v>106</v>
      </c>
      <c r="F103" s="1">
        <v>0</v>
      </c>
      <c r="G103" s="1">
        <v>0</v>
      </c>
      <c r="H103" s="1">
        <v>0</v>
      </c>
      <c r="I103" s="1">
        <v>119099</v>
      </c>
      <c r="J103" s="1">
        <v>20687</v>
      </c>
      <c r="K103" s="1"/>
      <c r="L103" t="s">
        <v>831</v>
      </c>
      <c r="M103" t="s">
        <v>872</v>
      </c>
      <c r="N103" t="s">
        <v>151</v>
      </c>
      <c r="O103">
        <v>6447</v>
      </c>
      <c r="P103">
        <v>47</v>
      </c>
      <c r="Q103">
        <v>0</v>
      </c>
      <c r="R103">
        <v>0</v>
      </c>
      <c r="S103">
        <v>0</v>
      </c>
      <c r="T103">
        <v>3186</v>
      </c>
    </row>
    <row r="104" spans="1:20" x14ac:dyDescent="0.25">
      <c r="A104" t="s">
        <v>817</v>
      </c>
      <c r="B104" t="s">
        <v>872</v>
      </c>
      <c r="C104" t="s">
        <v>149</v>
      </c>
      <c r="D104" s="1">
        <v>23243</v>
      </c>
      <c r="E104" s="1">
        <v>782</v>
      </c>
      <c r="F104" s="1">
        <v>0</v>
      </c>
      <c r="G104" s="1">
        <v>0</v>
      </c>
      <c r="H104" s="1">
        <v>0</v>
      </c>
      <c r="I104" s="1">
        <v>24977</v>
      </c>
      <c r="J104" s="1">
        <v>9318</v>
      </c>
      <c r="K104" s="1"/>
      <c r="L104" t="s">
        <v>146</v>
      </c>
      <c r="M104" t="s">
        <v>872</v>
      </c>
      <c r="N104" t="s">
        <v>152</v>
      </c>
      <c r="O104">
        <v>27473</v>
      </c>
      <c r="P104">
        <v>44</v>
      </c>
      <c r="Q104">
        <v>0</v>
      </c>
      <c r="R104">
        <v>0</v>
      </c>
      <c r="S104">
        <v>0</v>
      </c>
      <c r="T104">
        <v>30656</v>
      </c>
    </row>
    <row r="105" spans="1:20" x14ac:dyDescent="0.25">
      <c r="A105" t="s">
        <v>831</v>
      </c>
      <c r="B105" t="s">
        <v>872</v>
      </c>
      <c r="C105" t="s">
        <v>151</v>
      </c>
      <c r="D105" s="1">
        <v>6447</v>
      </c>
      <c r="E105" s="1">
        <v>47</v>
      </c>
      <c r="F105" s="1">
        <v>0</v>
      </c>
      <c r="G105" s="1">
        <v>0</v>
      </c>
      <c r="H105" s="1">
        <v>0</v>
      </c>
      <c r="I105" s="1">
        <v>3186</v>
      </c>
      <c r="J105" s="1">
        <v>1340</v>
      </c>
      <c r="K105" s="1"/>
      <c r="L105" t="s">
        <v>495</v>
      </c>
      <c r="M105" t="s">
        <v>872</v>
      </c>
      <c r="N105" t="s">
        <v>153</v>
      </c>
      <c r="O105">
        <v>7653</v>
      </c>
      <c r="P105">
        <v>6</v>
      </c>
      <c r="Q105">
        <v>0</v>
      </c>
      <c r="R105">
        <v>0</v>
      </c>
      <c r="S105">
        <v>0</v>
      </c>
      <c r="T105">
        <v>10150</v>
      </c>
    </row>
    <row r="106" spans="1:20" x14ac:dyDescent="0.25">
      <c r="A106" t="s">
        <v>146</v>
      </c>
      <c r="B106" t="s">
        <v>872</v>
      </c>
      <c r="C106" t="s">
        <v>152</v>
      </c>
      <c r="D106" s="1">
        <v>27473</v>
      </c>
      <c r="E106" s="1">
        <v>44</v>
      </c>
      <c r="F106" s="1">
        <v>0</v>
      </c>
      <c r="G106" s="1">
        <v>0</v>
      </c>
      <c r="H106" s="1">
        <v>0</v>
      </c>
      <c r="I106" s="1">
        <v>30656</v>
      </c>
      <c r="J106" s="1">
        <v>10039</v>
      </c>
      <c r="K106" s="1"/>
      <c r="L106" t="s">
        <v>76</v>
      </c>
      <c r="M106" t="s">
        <v>872</v>
      </c>
      <c r="N106" t="s">
        <v>154</v>
      </c>
      <c r="O106">
        <v>48757</v>
      </c>
      <c r="P106">
        <v>505</v>
      </c>
      <c r="Q106">
        <v>0</v>
      </c>
      <c r="R106">
        <v>0</v>
      </c>
      <c r="S106">
        <v>0</v>
      </c>
      <c r="T106">
        <v>6054</v>
      </c>
    </row>
    <row r="107" spans="1:20" x14ac:dyDescent="0.25">
      <c r="A107" t="s">
        <v>495</v>
      </c>
      <c r="B107" t="s">
        <v>872</v>
      </c>
      <c r="C107" t="s">
        <v>153</v>
      </c>
      <c r="D107" s="1">
        <v>7653</v>
      </c>
      <c r="E107" s="1">
        <v>6</v>
      </c>
      <c r="F107" s="1">
        <v>0</v>
      </c>
      <c r="G107" s="1">
        <v>0</v>
      </c>
      <c r="H107" s="1">
        <v>0</v>
      </c>
      <c r="I107" s="1">
        <v>10150</v>
      </c>
      <c r="J107" s="1">
        <v>932</v>
      </c>
      <c r="K107" s="1"/>
      <c r="L107" t="s">
        <v>83</v>
      </c>
      <c r="M107" t="s">
        <v>872</v>
      </c>
      <c r="N107" t="s">
        <v>155</v>
      </c>
      <c r="O107">
        <v>16752</v>
      </c>
      <c r="P107">
        <v>18</v>
      </c>
      <c r="Q107">
        <v>0</v>
      </c>
      <c r="R107">
        <v>0</v>
      </c>
      <c r="S107">
        <v>0</v>
      </c>
      <c r="T107">
        <v>63204</v>
      </c>
    </row>
    <row r="108" spans="1:20" x14ac:dyDescent="0.25">
      <c r="A108" t="s">
        <v>76</v>
      </c>
      <c r="B108" t="s">
        <v>872</v>
      </c>
      <c r="C108" t="s">
        <v>154</v>
      </c>
      <c r="D108" s="1">
        <v>48757</v>
      </c>
      <c r="E108" s="1">
        <v>505</v>
      </c>
      <c r="F108" s="1">
        <v>0</v>
      </c>
      <c r="G108" s="1">
        <v>0</v>
      </c>
      <c r="H108" s="1">
        <v>0</v>
      </c>
      <c r="I108" s="1">
        <v>6054</v>
      </c>
      <c r="J108" s="1">
        <v>18424</v>
      </c>
      <c r="K108" s="1"/>
      <c r="L108" t="s">
        <v>138</v>
      </c>
      <c r="M108" t="s">
        <v>872</v>
      </c>
      <c r="N108" t="s">
        <v>156</v>
      </c>
      <c r="O108">
        <v>52042</v>
      </c>
      <c r="P108">
        <v>219</v>
      </c>
      <c r="Q108">
        <v>0</v>
      </c>
      <c r="R108">
        <v>0</v>
      </c>
      <c r="S108">
        <v>0</v>
      </c>
      <c r="T108">
        <v>61575</v>
      </c>
    </row>
    <row r="109" spans="1:20" x14ac:dyDescent="0.25">
      <c r="A109" t="s">
        <v>83</v>
      </c>
      <c r="B109" t="s">
        <v>872</v>
      </c>
      <c r="C109" t="s">
        <v>155</v>
      </c>
      <c r="D109" s="1">
        <v>16752</v>
      </c>
      <c r="E109" s="1">
        <v>18</v>
      </c>
      <c r="F109" s="1">
        <v>0</v>
      </c>
      <c r="G109" s="1">
        <v>0</v>
      </c>
      <c r="H109" s="1">
        <v>0</v>
      </c>
      <c r="I109" s="1">
        <v>63204</v>
      </c>
      <c r="J109" s="1">
        <v>2918</v>
      </c>
      <c r="K109" s="1"/>
      <c r="L109" t="s">
        <v>831</v>
      </c>
      <c r="M109" t="s">
        <v>872</v>
      </c>
      <c r="N109" t="s">
        <v>157</v>
      </c>
      <c r="O109">
        <v>8408</v>
      </c>
      <c r="P109">
        <v>16</v>
      </c>
      <c r="Q109">
        <v>0</v>
      </c>
      <c r="R109">
        <v>0</v>
      </c>
      <c r="S109">
        <v>0</v>
      </c>
      <c r="T109">
        <v>3573</v>
      </c>
    </row>
    <row r="110" spans="1:20" x14ac:dyDescent="0.25">
      <c r="A110" t="s">
        <v>138</v>
      </c>
      <c r="B110" t="s">
        <v>872</v>
      </c>
      <c r="C110" t="s">
        <v>156</v>
      </c>
      <c r="D110" s="1">
        <v>52042</v>
      </c>
      <c r="E110" s="1">
        <v>219</v>
      </c>
      <c r="F110" s="1">
        <v>0</v>
      </c>
      <c r="G110" s="1">
        <v>0</v>
      </c>
      <c r="H110" s="1">
        <v>0</v>
      </c>
      <c r="I110" s="1">
        <v>61575</v>
      </c>
      <c r="J110" s="1">
        <v>11561</v>
      </c>
      <c r="K110" s="1"/>
      <c r="L110" t="s">
        <v>818</v>
      </c>
      <c r="M110" t="s">
        <v>872</v>
      </c>
      <c r="N110" t="s">
        <v>158</v>
      </c>
      <c r="O110">
        <v>23784</v>
      </c>
      <c r="P110">
        <v>14</v>
      </c>
      <c r="Q110">
        <v>0</v>
      </c>
      <c r="R110">
        <v>0</v>
      </c>
      <c r="S110">
        <v>0</v>
      </c>
      <c r="T110">
        <v>14468</v>
      </c>
    </row>
    <row r="111" spans="1:20" x14ac:dyDescent="0.25">
      <c r="A111" t="s">
        <v>831</v>
      </c>
      <c r="B111" t="s">
        <v>872</v>
      </c>
      <c r="C111" t="s">
        <v>157</v>
      </c>
      <c r="D111" s="1">
        <v>8408</v>
      </c>
      <c r="E111" s="1">
        <v>16</v>
      </c>
      <c r="F111" s="1">
        <v>0</v>
      </c>
      <c r="G111" s="1">
        <v>0</v>
      </c>
      <c r="H111" s="1">
        <v>0</v>
      </c>
      <c r="I111" s="1">
        <v>3573</v>
      </c>
      <c r="J111" s="1">
        <v>2202</v>
      </c>
      <c r="K111" s="1"/>
      <c r="L111" t="s">
        <v>134</v>
      </c>
      <c r="M111" t="s">
        <v>872</v>
      </c>
      <c r="N111" t="s">
        <v>159</v>
      </c>
      <c r="O111">
        <v>6823</v>
      </c>
      <c r="P111">
        <v>81</v>
      </c>
      <c r="Q111">
        <v>0</v>
      </c>
      <c r="R111">
        <v>0</v>
      </c>
      <c r="S111">
        <v>0</v>
      </c>
      <c r="T111">
        <v>7036</v>
      </c>
    </row>
    <row r="112" spans="1:20" x14ac:dyDescent="0.25">
      <c r="A112" t="s">
        <v>818</v>
      </c>
      <c r="B112" t="s">
        <v>872</v>
      </c>
      <c r="C112" t="s">
        <v>158</v>
      </c>
      <c r="D112" s="1">
        <v>23784</v>
      </c>
      <c r="E112" s="1">
        <v>14</v>
      </c>
      <c r="F112" s="1">
        <v>0</v>
      </c>
      <c r="G112" s="1">
        <v>0</v>
      </c>
      <c r="H112" s="1">
        <v>0</v>
      </c>
      <c r="I112" s="1">
        <v>14468</v>
      </c>
      <c r="J112" s="1">
        <v>3683</v>
      </c>
      <c r="K112" s="1"/>
      <c r="L112" t="s">
        <v>795</v>
      </c>
      <c r="M112" t="s">
        <v>872</v>
      </c>
      <c r="N112" t="s">
        <v>160</v>
      </c>
      <c r="O112">
        <v>69934</v>
      </c>
      <c r="P112">
        <v>1614</v>
      </c>
      <c r="Q112">
        <v>0</v>
      </c>
      <c r="R112">
        <v>0</v>
      </c>
      <c r="S112">
        <v>0</v>
      </c>
      <c r="T112">
        <v>11601</v>
      </c>
    </row>
    <row r="113" spans="1:20" x14ac:dyDescent="0.25">
      <c r="A113" t="s">
        <v>134</v>
      </c>
      <c r="B113" t="s">
        <v>872</v>
      </c>
      <c r="C113" t="s">
        <v>159</v>
      </c>
      <c r="D113" s="1">
        <v>6823</v>
      </c>
      <c r="E113" s="1">
        <v>81</v>
      </c>
      <c r="F113" s="1">
        <v>0</v>
      </c>
      <c r="G113" s="1">
        <v>0</v>
      </c>
      <c r="H113" s="1">
        <v>0</v>
      </c>
      <c r="I113" s="1">
        <v>7036</v>
      </c>
      <c r="J113" s="1">
        <v>921</v>
      </c>
      <c r="K113" s="1"/>
      <c r="L113" t="s">
        <v>226</v>
      </c>
      <c r="M113" t="s">
        <v>872</v>
      </c>
      <c r="N113" t="s">
        <v>161</v>
      </c>
      <c r="O113">
        <v>4481</v>
      </c>
      <c r="P113">
        <v>1</v>
      </c>
      <c r="Q113">
        <v>0</v>
      </c>
      <c r="R113">
        <v>0</v>
      </c>
      <c r="S113">
        <v>0</v>
      </c>
      <c r="T113">
        <v>1173</v>
      </c>
    </row>
    <row r="114" spans="1:20" x14ac:dyDescent="0.25">
      <c r="A114" t="s">
        <v>795</v>
      </c>
      <c r="B114" t="s">
        <v>872</v>
      </c>
      <c r="C114" t="s">
        <v>160</v>
      </c>
      <c r="D114" s="1">
        <v>69934</v>
      </c>
      <c r="E114" s="1">
        <v>1614</v>
      </c>
      <c r="F114" s="1">
        <v>0</v>
      </c>
      <c r="G114" s="1">
        <v>0</v>
      </c>
      <c r="H114" s="1">
        <v>0</v>
      </c>
      <c r="I114" s="1">
        <v>11601</v>
      </c>
      <c r="J114" s="1">
        <v>23081</v>
      </c>
      <c r="K114" s="1"/>
      <c r="L114" t="s">
        <v>791</v>
      </c>
      <c r="M114" t="s">
        <v>872</v>
      </c>
      <c r="N114" t="s">
        <v>162</v>
      </c>
      <c r="O114">
        <v>16509</v>
      </c>
      <c r="P114">
        <v>125</v>
      </c>
      <c r="Q114">
        <v>0</v>
      </c>
      <c r="R114">
        <v>0</v>
      </c>
      <c r="S114">
        <v>0</v>
      </c>
      <c r="T114">
        <v>7331</v>
      </c>
    </row>
    <row r="115" spans="1:20" x14ac:dyDescent="0.25">
      <c r="A115" t="s">
        <v>226</v>
      </c>
      <c r="B115" t="s">
        <v>872</v>
      </c>
      <c r="C115" t="s">
        <v>161</v>
      </c>
      <c r="D115" s="1">
        <v>4481</v>
      </c>
      <c r="E115" s="1">
        <v>1</v>
      </c>
      <c r="F115" s="1">
        <v>0</v>
      </c>
      <c r="G115" s="1">
        <v>0</v>
      </c>
      <c r="H115" s="1">
        <v>0</v>
      </c>
      <c r="I115" s="1">
        <v>1173</v>
      </c>
      <c r="J115" s="1">
        <v>303</v>
      </c>
      <c r="K115" s="1"/>
      <c r="L115" t="s">
        <v>811</v>
      </c>
      <c r="M115" t="s">
        <v>872</v>
      </c>
      <c r="N115" t="s">
        <v>163</v>
      </c>
      <c r="O115">
        <v>58298</v>
      </c>
      <c r="P115">
        <v>1475</v>
      </c>
      <c r="Q115">
        <v>0</v>
      </c>
      <c r="R115">
        <v>0</v>
      </c>
      <c r="S115">
        <v>0</v>
      </c>
      <c r="T115">
        <v>60079</v>
      </c>
    </row>
    <row r="116" spans="1:20" x14ac:dyDescent="0.25">
      <c r="A116" t="s">
        <v>791</v>
      </c>
      <c r="B116" t="s">
        <v>872</v>
      </c>
      <c r="C116" t="s">
        <v>162</v>
      </c>
      <c r="D116" s="1">
        <v>16509</v>
      </c>
      <c r="E116" s="1">
        <v>125</v>
      </c>
      <c r="F116" s="1">
        <v>0</v>
      </c>
      <c r="G116" s="1">
        <v>0</v>
      </c>
      <c r="H116" s="1">
        <v>0</v>
      </c>
      <c r="I116" s="1">
        <v>7331</v>
      </c>
      <c r="J116" s="1">
        <v>5566</v>
      </c>
      <c r="K116" s="1"/>
      <c r="L116" t="s">
        <v>791</v>
      </c>
      <c r="M116" t="s">
        <v>872</v>
      </c>
      <c r="N116" t="s">
        <v>164</v>
      </c>
      <c r="O116">
        <v>68873</v>
      </c>
      <c r="P116">
        <v>179</v>
      </c>
      <c r="Q116">
        <v>0</v>
      </c>
      <c r="R116">
        <v>0</v>
      </c>
      <c r="S116">
        <v>0</v>
      </c>
      <c r="T116">
        <v>34430</v>
      </c>
    </row>
    <row r="117" spans="1:20" x14ac:dyDescent="0.25">
      <c r="A117" t="s">
        <v>811</v>
      </c>
      <c r="B117" t="s">
        <v>872</v>
      </c>
      <c r="C117" t="s">
        <v>163</v>
      </c>
      <c r="D117" s="1">
        <v>58298</v>
      </c>
      <c r="E117" s="1">
        <v>1475</v>
      </c>
      <c r="F117" s="1">
        <v>0</v>
      </c>
      <c r="G117" s="1">
        <v>0</v>
      </c>
      <c r="H117" s="1">
        <v>0</v>
      </c>
      <c r="I117" s="1">
        <v>60079</v>
      </c>
      <c r="J117" s="1">
        <v>23070</v>
      </c>
      <c r="K117" s="1"/>
      <c r="L117" t="s">
        <v>83</v>
      </c>
      <c r="M117" t="s">
        <v>872</v>
      </c>
      <c r="N117" t="s">
        <v>165</v>
      </c>
      <c r="O117">
        <v>11730</v>
      </c>
      <c r="P117">
        <v>142</v>
      </c>
      <c r="Q117">
        <v>0</v>
      </c>
      <c r="R117">
        <v>0</v>
      </c>
      <c r="S117">
        <v>0</v>
      </c>
      <c r="T117">
        <v>5004</v>
      </c>
    </row>
    <row r="118" spans="1:20" x14ac:dyDescent="0.25">
      <c r="A118" t="s">
        <v>791</v>
      </c>
      <c r="B118" t="s">
        <v>872</v>
      </c>
      <c r="C118" t="s">
        <v>164</v>
      </c>
      <c r="D118" s="1">
        <v>68873</v>
      </c>
      <c r="E118" s="1">
        <v>179</v>
      </c>
      <c r="F118" s="1">
        <v>0</v>
      </c>
      <c r="G118" s="1">
        <v>0</v>
      </c>
      <c r="H118" s="1">
        <v>0</v>
      </c>
      <c r="I118" s="1">
        <v>34430</v>
      </c>
      <c r="J118" s="1">
        <v>15375</v>
      </c>
      <c r="K118" s="1"/>
      <c r="L118" t="s">
        <v>818</v>
      </c>
      <c r="M118" t="s">
        <v>872</v>
      </c>
      <c r="N118" t="s">
        <v>166</v>
      </c>
      <c r="O118">
        <v>9393</v>
      </c>
      <c r="P118">
        <v>11</v>
      </c>
      <c r="Q118">
        <v>0</v>
      </c>
      <c r="R118">
        <v>0</v>
      </c>
      <c r="S118">
        <v>0</v>
      </c>
      <c r="T118">
        <v>10773</v>
      </c>
    </row>
    <row r="119" spans="1:20" x14ac:dyDescent="0.25">
      <c r="A119" t="s">
        <v>83</v>
      </c>
      <c r="B119" t="s">
        <v>872</v>
      </c>
      <c r="C119" t="s">
        <v>165</v>
      </c>
      <c r="D119" s="1">
        <v>11730</v>
      </c>
      <c r="E119" s="1">
        <v>142</v>
      </c>
      <c r="F119" s="1">
        <v>0</v>
      </c>
      <c r="G119" s="1">
        <v>0</v>
      </c>
      <c r="H119" s="1">
        <v>0</v>
      </c>
      <c r="I119" s="1">
        <v>5004</v>
      </c>
      <c r="J119" s="1">
        <v>2308</v>
      </c>
      <c r="K119" s="1"/>
      <c r="L119" t="s">
        <v>801</v>
      </c>
      <c r="M119" t="s">
        <v>872</v>
      </c>
      <c r="N119" t="s">
        <v>167</v>
      </c>
      <c r="O119">
        <v>27894</v>
      </c>
      <c r="P119">
        <v>3</v>
      </c>
      <c r="Q119">
        <v>0</v>
      </c>
      <c r="R119">
        <v>0</v>
      </c>
      <c r="S119">
        <v>0</v>
      </c>
      <c r="T119">
        <v>27079</v>
      </c>
    </row>
    <row r="120" spans="1:20" x14ac:dyDescent="0.25">
      <c r="A120" t="s">
        <v>818</v>
      </c>
      <c r="B120" t="s">
        <v>872</v>
      </c>
      <c r="C120" t="s">
        <v>166</v>
      </c>
      <c r="D120" s="1">
        <v>9393</v>
      </c>
      <c r="E120" s="1">
        <v>11</v>
      </c>
      <c r="F120" s="1">
        <v>0</v>
      </c>
      <c r="G120" s="1">
        <v>0</v>
      </c>
      <c r="H120" s="1">
        <v>0</v>
      </c>
      <c r="I120" s="1">
        <v>10773</v>
      </c>
      <c r="J120" s="1">
        <v>634</v>
      </c>
      <c r="K120" s="1"/>
      <c r="L120" t="s">
        <v>826</v>
      </c>
      <c r="M120" t="s">
        <v>872</v>
      </c>
      <c r="N120" t="s">
        <v>168</v>
      </c>
      <c r="O120">
        <v>41195</v>
      </c>
      <c r="P120">
        <v>219</v>
      </c>
      <c r="Q120">
        <v>0</v>
      </c>
      <c r="R120">
        <v>0</v>
      </c>
      <c r="S120">
        <v>0</v>
      </c>
      <c r="T120">
        <v>14074</v>
      </c>
    </row>
    <row r="121" spans="1:20" x14ac:dyDescent="0.25">
      <c r="A121" t="s">
        <v>801</v>
      </c>
      <c r="B121" t="s">
        <v>872</v>
      </c>
      <c r="C121" t="s">
        <v>167</v>
      </c>
      <c r="D121" s="1">
        <v>27894</v>
      </c>
      <c r="E121" s="1">
        <v>3</v>
      </c>
      <c r="F121" s="1">
        <v>0</v>
      </c>
      <c r="G121" s="1">
        <v>0</v>
      </c>
      <c r="H121" s="1">
        <v>0</v>
      </c>
      <c r="I121" s="1">
        <v>27079</v>
      </c>
      <c r="J121" s="1">
        <v>2901</v>
      </c>
      <c r="K121" s="1"/>
      <c r="L121" t="s">
        <v>848</v>
      </c>
      <c r="M121" t="s">
        <v>872</v>
      </c>
      <c r="N121" t="s">
        <v>169</v>
      </c>
      <c r="O121">
        <v>8245</v>
      </c>
      <c r="P121">
        <v>99</v>
      </c>
      <c r="Q121">
        <v>0</v>
      </c>
      <c r="R121">
        <v>0</v>
      </c>
      <c r="S121">
        <v>0</v>
      </c>
      <c r="T121">
        <v>1464</v>
      </c>
    </row>
    <row r="122" spans="1:20" x14ac:dyDescent="0.25">
      <c r="A122" t="s">
        <v>826</v>
      </c>
      <c r="B122" t="s">
        <v>872</v>
      </c>
      <c r="C122" t="s">
        <v>168</v>
      </c>
      <c r="D122" s="1">
        <v>41195</v>
      </c>
      <c r="E122" s="1">
        <v>219</v>
      </c>
      <c r="F122" s="1">
        <v>0</v>
      </c>
      <c r="G122" s="1">
        <v>0</v>
      </c>
      <c r="H122" s="1">
        <v>0</v>
      </c>
      <c r="I122" s="1">
        <v>14074</v>
      </c>
      <c r="J122" s="1">
        <v>2269</v>
      </c>
      <c r="K122" s="1"/>
      <c r="L122" t="s">
        <v>811</v>
      </c>
      <c r="M122" t="s">
        <v>872</v>
      </c>
      <c r="N122" t="s">
        <v>170</v>
      </c>
      <c r="O122">
        <v>33025</v>
      </c>
      <c r="P122">
        <v>594</v>
      </c>
      <c r="Q122">
        <v>0</v>
      </c>
      <c r="R122">
        <v>0</v>
      </c>
      <c r="S122">
        <v>0</v>
      </c>
      <c r="T122">
        <v>13403</v>
      </c>
    </row>
    <row r="123" spans="1:20" x14ac:dyDescent="0.25">
      <c r="A123" t="s">
        <v>848</v>
      </c>
      <c r="B123" t="s">
        <v>872</v>
      </c>
      <c r="C123" t="s">
        <v>169</v>
      </c>
      <c r="D123" s="1">
        <v>8245</v>
      </c>
      <c r="E123" s="1">
        <v>99</v>
      </c>
      <c r="F123" s="1">
        <v>0</v>
      </c>
      <c r="G123" s="1">
        <v>0</v>
      </c>
      <c r="H123" s="1">
        <v>0</v>
      </c>
      <c r="I123" s="1">
        <v>1464</v>
      </c>
      <c r="J123" s="1">
        <v>2274</v>
      </c>
      <c r="K123" s="1"/>
      <c r="L123" t="s">
        <v>512</v>
      </c>
      <c r="M123" t="s">
        <v>872</v>
      </c>
      <c r="N123" t="s">
        <v>171</v>
      </c>
      <c r="O123">
        <v>10434</v>
      </c>
      <c r="P123">
        <v>3</v>
      </c>
      <c r="Q123">
        <v>0</v>
      </c>
      <c r="R123">
        <v>0</v>
      </c>
      <c r="S123">
        <v>0</v>
      </c>
      <c r="T123">
        <v>4469</v>
      </c>
    </row>
    <row r="124" spans="1:20" x14ac:dyDescent="0.25">
      <c r="A124" t="s">
        <v>811</v>
      </c>
      <c r="B124" t="s">
        <v>872</v>
      </c>
      <c r="C124" t="s">
        <v>170</v>
      </c>
      <c r="D124" s="1">
        <v>33025</v>
      </c>
      <c r="E124" s="1">
        <v>594</v>
      </c>
      <c r="F124" s="1">
        <v>0</v>
      </c>
      <c r="G124" s="1">
        <v>0</v>
      </c>
      <c r="H124" s="1">
        <v>0</v>
      </c>
      <c r="I124" s="1">
        <v>13403</v>
      </c>
      <c r="J124" s="1">
        <v>9595</v>
      </c>
      <c r="K124" s="1"/>
      <c r="L124" t="s">
        <v>848</v>
      </c>
      <c r="M124" t="s">
        <v>872</v>
      </c>
      <c r="N124" t="s">
        <v>172</v>
      </c>
      <c r="O124">
        <v>6111</v>
      </c>
      <c r="P124">
        <v>5</v>
      </c>
      <c r="Q124">
        <v>0</v>
      </c>
      <c r="R124">
        <v>0</v>
      </c>
      <c r="S124">
        <v>0</v>
      </c>
      <c r="T124">
        <v>876</v>
      </c>
    </row>
    <row r="125" spans="1:20" x14ac:dyDescent="0.25">
      <c r="A125" t="s">
        <v>512</v>
      </c>
      <c r="B125" t="s">
        <v>872</v>
      </c>
      <c r="C125" t="s">
        <v>171</v>
      </c>
      <c r="D125" s="1">
        <v>10434</v>
      </c>
      <c r="E125" s="1">
        <v>3</v>
      </c>
      <c r="F125" s="1">
        <v>0</v>
      </c>
      <c r="G125" s="1">
        <v>0</v>
      </c>
      <c r="H125" s="1">
        <v>0</v>
      </c>
      <c r="I125" s="1">
        <v>4469</v>
      </c>
      <c r="J125" s="1">
        <v>2318</v>
      </c>
      <c r="K125" s="1"/>
      <c r="L125" t="s">
        <v>801</v>
      </c>
      <c r="M125" t="s">
        <v>872</v>
      </c>
      <c r="N125" t="s">
        <v>173</v>
      </c>
      <c r="O125">
        <v>55782</v>
      </c>
      <c r="P125">
        <v>1423</v>
      </c>
      <c r="Q125">
        <v>0</v>
      </c>
      <c r="R125">
        <v>0</v>
      </c>
      <c r="S125">
        <v>0</v>
      </c>
      <c r="T125">
        <v>43087</v>
      </c>
    </row>
    <row r="126" spans="1:20" x14ac:dyDescent="0.25">
      <c r="A126" t="s">
        <v>848</v>
      </c>
      <c r="B126" t="s">
        <v>872</v>
      </c>
      <c r="C126" t="s">
        <v>172</v>
      </c>
      <c r="D126" s="1">
        <v>6111</v>
      </c>
      <c r="E126" s="1">
        <v>5</v>
      </c>
      <c r="F126" s="1">
        <v>0</v>
      </c>
      <c r="G126" s="1">
        <v>0</v>
      </c>
      <c r="H126" s="1">
        <v>0</v>
      </c>
      <c r="I126" s="1">
        <v>876</v>
      </c>
      <c r="J126" s="1">
        <v>584</v>
      </c>
      <c r="K126" s="1"/>
      <c r="L126" t="s">
        <v>864</v>
      </c>
      <c r="M126" t="s">
        <v>872</v>
      </c>
      <c r="N126" t="s">
        <v>174</v>
      </c>
      <c r="O126">
        <v>19384</v>
      </c>
      <c r="P126">
        <v>55</v>
      </c>
      <c r="Q126">
        <v>0</v>
      </c>
      <c r="R126">
        <v>0</v>
      </c>
      <c r="S126">
        <v>0</v>
      </c>
      <c r="T126">
        <v>10563</v>
      </c>
    </row>
    <row r="127" spans="1:20" x14ac:dyDescent="0.25">
      <c r="A127" t="s">
        <v>801</v>
      </c>
      <c r="B127" t="s">
        <v>872</v>
      </c>
      <c r="C127" t="s">
        <v>173</v>
      </c>
      <c r="D127" s="1">
        <v>55782</v>
      </c>
      <c r="E127" s="1">
        <v>1423</v>
      </c>
      <c r="F127" s="1">
        <v>0</v>
      </c>
      <c r="G127" s="1">
        <v>0</v>
      </c>
      <c r="H127" s="1">
        <v>0</v>
      </c>
      <c r="I127" s="1">
        <v>43087</v>
      </c>
      <c r="J127" s="1">
        <v>20257</v>
      </c>
      <c r="K127" s="1"/>
      <c r="L127" t="s">
        <v>226</v>
      </c>
      <c r="M127" t="s">
        <v>872</v>
      </c>
      <c r="N127" t="s">
        <v>175</v>
      </c>
      <c r="O127">
        <v>3754</v>
      </c>
      <c r="P127">
        <v>344</v>
      </c>
      <c r="Q127">
        <v>0</v>
      </c>
      <c r="R127">
        <v>0</v>
      </c>
      <c r="S127">
        <v>0</v>
      </c>
      <c r="T127">
        <v>1355</v>
      </c>
    </row>
    <row r="128" spans="1:20" x14ac:dyDescent="0.25">
      <c r="A128" t="s">
        <v>864</v>
      </c>
      <c r="B128" t="s">
        <v>872</v>
      </c>
      <c r="C128" t="s">
        <v>174</v>
      </c>
      <c r="D128" s="1">
        <v>19384</v>
      </c>
      <c r="E128" s="1">
        <v>55</v>
      </c>
      <c r="F128" s="1">
        <v>0</v>
      </c>
      <c r="G128" s="1">
        <v>0</v>
      </c>
      <c r="H128" s="1">
        <v>0</v>
      </c>
      <c r="I128" s="1">
        <v>10563</v>
      </c>
      <c r="J128" s="1">
        <v>3966</v>
      </c>
      <c r="K128" s="1"/>
      <c r="L128" t="s">
        <v>794</v>
      </c>
      <c r="M128" t="s">
        <v>872</v>
      </c>
      <c r="N128" t="s">
        <v>176</v>
      </c>
      <c r="O128">
        <v>104145</v>
      </c>
      <c r="P128">
        <v>59</v>
      </c>
      <c r="Q128">
        <v>0</v>
      </c>
      <c r="R128">
        <v>0</v>
      </c>
      <c r="S128">
        <v>0</v>
      </c>
      <c r="T128">
        <v>19649</v>
      </c>
    </row>
    <row r="129" spans="1:20" x14ac:dyDescent="0.25">
      <c r="A129" t="s">
        <v>226</v>
      </c>
      <c r="B129" t="s">
        <v>872</v>
      </c>
      <c r="C129" t="s">
        <v>175</v>
      </c>
      <c r="D129" s="1">
        <v>3754</v>
      </c>
      <c r="E129" s="1">
        <v>344</v>
      </c>
      <c r="F129" s="1">
        <v>0</v>
      </c>
      <c r="G129" s="1">
        <v>0</v>
      </c>
      <c r="H129" s="1">
        <v>0</v>
      </c>
      <c r="I129" s="1">
        <v>1355</v>
      </c>
      <c r="J129" s="1">
        <v>733</v>
      </c>
      <c r="K129" s="1"/>
      <c r="L129" t="s">
        <v>248</v>
      </c>
      <c r="M129" t="s">
        <v>872</v>
      </c>
      <c r="N129" t="s">
        <v>177</v>
      </c>
      <c r="O129">
        <v>20985</v>
      </c>
      <c r="P129">
        <v>28</v>
      </c>
      <c r="Q129">
        <v>0</v>
      </c>
      <c r="R129">
        <v>0</v>
      </c>
      <c r="S129">
        <v>0</v>
      </c>
      <c r="T129">
        <v>17128</v>
      </c>
    </row>
    <row r="130" spans="1:20" x14ac:dyDescent="0.25">
      <c r="A130" t="s">
        <v>794</v>
      </c>
      <c r="B130" t="s">
        <v>872</v>
      </c>
      <c r="C130" t="s">
        <v>176</v>
      </c>
      <c r="D130" s="1">
        <v>104145</v>
      </c>
      <c r="E130" s="1">
        <v>59</v>
      </c>
      <c r="F130" s="1">
        <v>0</v>
      </c>
      <c r="G130" s="1">
        <v>0</v>
      </c>
      <c r="H130" s="1">
        <v>0</v>
      </c>
      <c r="I130" s="1">
        <v>19649</v>
      </c>
      <c r="J130" s="1">
        <v>6797</v>
      </c>
      <c r="K130" s="1"/>
      <c r="L130" t="s">
        <v>83</v>
      </c>
      <c r="M130" t="s">
        <v>872</v>
      </c>
      <c r="N130" t="s">
        <v>178</v>
      </c>
      <c r="O130">
        <v>45706</v>
      </c>
      <c r="P130">
        <v>244</v>
      </c>
      <c r="Q130">
        <v>0</v>
      </c>
      <c r="R130">
        <v>0</v>
      </c>
      <c r="S130">
        <v>0</v>
      </c>
      <c r="T130">
        <v>60559</v>
      </c>
    </row>
    <row r="131" spans="1:20" x14ac:dyDescent="0.25">
      <c r="A131" t="s">
        <v>248</v>
      </c>
      <c r="B131" t="s">
        <v>872</v>
      </c>
      <c r="C131" t="s">
        <v>177</v>
      </c>
      <c r="D131" s="1">
        <v>20985</v>
      </c>
      <c r="E131" s="1">
        <v>28</v>
      </c>
      <c r="F131" s="1">
        <v>0</v>
      </c>
      <c r="G131" s="1">
        <v>0</v>
      </c>
      <c r="H131" s="1">
        <v>0</v>
      </c>
      <c r="I131" s="1">
        <v>17128</v>
      </c>
      <c r="J131" s="1">
        <v>3103</v>
      </c>
      <c r="K131" s="1"/>
      <c r="L131" t="s">
        <v>823</v>
      </c>
      <c r="M131" t="s">
        <v>872</v>
      </c>
      <c r="N131" t="s">
        <v>179</v>
      </c>
      <c r="O131">
        <v>49796</v>
      </c>
      <c r="P131">
        <v>527</v>
      </c>
      <c r="Q131">
        <v>0</v>
      </c>
      <c r="R131">
        <v>0</v>
      </c>
      <c r="S131">
        <v>0</v>
      </c>
      <c r="T131">
        <v>13623</v>
      </c>
    </row>
    <row r="132" spans="1:20" x14ac:dyDescent="0.25">
      <c r="A132" t="s">
        <v>83</v>
      </c>
      <c r="B132" t="s">
        <v>872</v>
      </c>
      <c r="C132" t="s">
        <v>178</v>
      </c>
      <c r="D132" s="1">
        <v>45706</v>
      </c>
      <c r="E132" s="1">
        <v>244</v>
      </c>
      <c r="F132" s="1">
        <v>0</v>
      </c>
      <c r="G132" s="1">
        <v>0</v>
      </c>
      <c r="H132" s="1">
        <v>0</v>
      </c>
      <c r="I132" s="1">
        <v>60559</v>
      </c>
      <c r="J132" s="1">
        <v>7045</v>
      </c>
      <c r="K132" s="1"/>
      <c r="L132" t="s">
        <v>795</v>
      </c>
      <c r="M132" t="s">
        <v>872</v>
      </c>
      <c r="N132" t="s">
        <v>180</v>
      </c>
      <c r="O132">
        <v>119472</v>
      </c>
      <c r="P132">
        <v>47</v>
      </c>
      <c r="Q132">
        <v>0</v>
      </c>
      <c r="R132">
        <v>0</v>
      </c>
      <c r="S132">
        <v>0</v>
      </c>
      <c r="T132">
        <v>55018</v>
      </c>
    </row>
    <row r="133" spans="1:20" x14ac:dyDescent="0.25">
      <c r="A133" t="s">
        <v>823</v>
      </c>
      <c r="B133" t="s">
        <v>872</v>
      </c>
      <c r="C133" t="s">
        <v>179</v>
      </c>
      <c r="D133" s="1">
        <v>49796</v>
      </c>
      <c r="E133" s="1">
        <v>527</v>
      </c>
      <c r="F133" s="1">
        <v>0</v>
      </c>
      <c r="G133" s="1">
        <v>0</v>
      </c>
      <c r="H133" s="1">
        <v>0</v>
      </c>
      <c r="I133" s="1">
        <v>13623</v>
      </c>
      <c r="J133" s="1">
        <v>15287</v>
      </c>
      <c r="K133" s="1"/>
      <c r="L133" t="s">
        <v>791</v>
      </c>
      <c r="M133" t="s">
        <v>872</v>
      </c>
      <c r="N133" t="s">
        <v>181</v>
      </c>
      <c r="O133">
        <v>6576</v>
      </c>
      <c r="P133">
        <v>548</v>
      </c>
      <c r="Q133">
        <v>0</v>
      </c>
      <c r="R133">
        <v>0</v>
      </c>
      <c r="S133">
        <v>0</v>
      </c>
      <c r="T133">
        <v>9312</v>
      </c>
    </row>
    <row r="134" spans="1:20" x14ac:dyDescent="0.25">
      <c r="A134" t="s">
        <v>795</v>
      </c>
      <c r="B134" t="s">
        <v>872</v>
      </c>
      <c r="C134" t="s">
        <v>180</v>
      </c>
      <c r="D134" s="1">
        <v>119472</v>
      </c>
      <c r="E134" s="1">
        <v>47</v>
      </c>
      <c r="F134" s="1">
        <v>0</v>
      </c>
      <c r="G134" s="1">
        <v>0</v>
      </c>
      <c r="H134" s="1">
        <v>0</v>
      </c>
      <c r="I134" s="1">
        <v>55018</v>
      </c>
      <c r="J134" s="1">
        <v>36851</v>
      </c>
      <c r="K134" s="1"/>
      <c r="L134" t="s">
        <v>83</v>
      </c>
      <c r="M134" t="s">
        <v>872</v>
      </c>
      <c r="N134" t="s">
        <v>182</v>
      </c>
      <c r="O134">
        <v>29470</v>
      </c>
      <c r="P134">
        <v>81</v>
      </c>
      <c r="Q134">
        <v>0</v>
      </c>
      <c r="R134">
        <v>0</v>
      </c>
      <c r="S134">
        <v>0</v>
      </c>
      <c r="T134">
        <v>4175</v>
      </c>
    </row>
    <row r="135" spans="1:20" x14ac:dyDescent="0.25">
      <c r="A135" t="s">
        <v>791</v>
      </c>
      <c r="B135" t="s">
        <v>872</v>
      </c>
      <c r="C135" t="s">
        <v>181</v>
      </c>
      <c r="D135" s="1">
        <v>6576</v>
      </c>
      <c r="E135" s="1">
        <v>548</v>
      </c>
      <c r="F135" s="1">
        <v>0</v>
      </c>
      <c r="G135" s="1">
        <v>0</v>
      </c>
      <c r="H135" s="1">
        <v>0</v>
      </c>
      <c r="I135" s="1">
        <v>9312</v>
      </c>
      <c r="J135" s="1">
        <v>2030</v>
      </c>
      <c r="K135" s="1"/>
      <c r="L135" t="s">
        <v>817</v>
      </c>
      <c r="M135" t="s">
        <v>872</v>
      </c>
      <c r="N135" t="s">
        <v>183</v>
      </c>
    </row>
    <row r="136" spans="1:20" x14ac:dyDescent="0.25">
      <c r="A136" t="s">
        <v>83</v>
      </c>
      <c r="B136" t="s">
        <v>872</v>
      </c>
      <c r="C136" t="s">
        <v>182</v>
      </c>
      <c r="D136" s="1">
        <v>29470</v>
      </c>
      <c r="E136" s="1">
        <v>81</v>
      </c>
      <c r="F136" s="1">
        <v>0</v>
      </c>
      <c r="G136" s="1">
        <v>0</v>
      </c>
      <c r="H136" s="1">
        <v>0</v>
      </c>
      <c r="I136" s="1">
        <v>4175</v>
      </c>
      <c r="J136" s="1">
        <v>7327</v>
      </c>
      <c r="K136" s="1"/>
      <c r="L136" t="s">
        <v>67</v>
      </c>
      <c r="M136" t="s">
        <v>872</v>
      </c>
      <c r="N136" t="s">
        <v>184</v>
      </c>
      <c r="O136">
        <v>49778</v>
      </c>
      <c r="P136">
        <v>293</v>
      </c>
      <c r="Q136">
        <v>0</v>
      </c>
      <c r="R136">
        <v>0</v>
      </c>
      <c r="S136">
        <v>0</v>
      </c>
      <c r="T136">
        <v>48480</v>
      </c>
    </row>
    <row r="137" spans="1:20" x14ac:dyDescent="0.25">
      <c r="A137" t="s">
        <v>817</v>
      </c>
      <c r="B137" t="s">
        <v>872</v>
      </c>
      <c r="C137" t="s">
        <v>183</v>
      </c>
      <c r="D137" s="1"/>
      <c r="E137" s="1"/>
      <c r="F137" s="1"/>
      <c r="G137" s="1"/>
      <c r="H137" s="1"/>
      <c r="I137" s="1"/>
      <c r="J137" s="1"/>
      <c r="K137" s="1"/>
      <c r="L137" t="s">
        <v>865</v>
      </c>
      <c r="M137" t="s">
        <v>872</v>
      </c>
      <c r="N137" t="s">
        <v>186</v>
      </c>
      <c r="O137">
        <v>22047</v>
      </c>
      <c r="P137">
        <v>18</v>
      </c>
      <c r="Q137">
        <v>0</v>
      </c>
      <c r="R137">
        <v>0</v>
      </c>
      <c r="S137">
        <v>0</v>
      </c>
      <c r="T137">
        <v>22240</v>
      </c>
    </row>
    <row r="138" spans="1:20" x14ac:dyDescent="0.25">
      <c r="A138" t="s">
        <v>67</v>
      </c>
      <c r="B138" t="s">
        <v>872</v>
      </c>
      <c r="C138" t="s">
        <v>184</v>
      </c>
      <c r="D138" s="1">
        <v>49778</v>
      </c>
      <c r="E138" s="1">
        <v>293</v>
      </c>
      <c r="F138" s="1">
        <v>0</v>
      </c>
      <c r="G138" s="1">
        <v>0</v>
      </c>
      <c r="H138" s="1">
        <v>0</v>
      </c>
      <c r="I138" s="1">
        <v>48480</v>
      </c>
      <c r="J138" s="1">
        <v>6785</v>
      </c>
      <c r="K138" s="1"/>
      <c r="L138" t="s">
        <v>512</v>
      </c>
      <c r="M138" t="s">
        <v>872</v>
      </c>
      <c r="N138" t="s">
        <v>187</v>
      </c>
      <c r="O138">
        <v>28753</v>
      </c>
      <c r="P138">
        <v>6</v>
      </c>
      <c r="Q138">
        <v>0</v>
      </c>
      <c r="R138">
        <v>0</v>
      </c>
      <c r="S138">
        <v>0</v>
      </c>
      <c r="T138">
        <v>15449</v>
      </c>
    </row>
    <row r="139" spans="1:20" x14ac:dyDescent="0.25">
      <c r="A139" t="s">
        <v>865</v>
      </c>
      <c r="B139" t="s">
        <v>872</v>
      </c>
      <c r="C139" t="s">
        <v>186</v>
      </c>
      <c r="D139" s="1">
        <v>22047</v>
      </c>
      <c r="E139" s="1">
        <v>18</v>
      </c>
      <c r="F139" s="1">
        <v>0</v>
      </c>
      <c r="G139" s="1">
        <v>0</v>
      </c>
      <c r="H139" s="1">
        <v>0</v>
      </c>
      <c r="I139" s="1">
        <v>22240</v>
      </c>
      <c r="J139" s="1">
        <v>5270</v>
      </c>
      <c r="K139" s="1"/>
      <c r="L139" t="s">
        <v>231</v>
      </c>
      <c r="M139" t="s">
        <v>872</v>
      </c>
      <c r="N139" t="s">
        <v>189</v>
      </c>
      <c r="O139">
        <v>48946</v>
      </c>
      <c r="P139">
        <v>84</v>
      </c>
      <c r="Q139">
        <v>0</v>
      </c>
      <c r="R139">
        <v>0</v>
      </c>
      <c r="S139">
        <v>0</v>
      </c>
      <c r="T139">
        <v>5524</v>
      </c>
    </row>
    <row r="140" spans="1:20" x14ac:dyDescent="0.25">
      <c r="A140" t="s">
        <v>512</v>
      </c>
      <c r="B140" t="s">
        <v>872</v>
      </c>
      <c r="C140" t="s">
        <v>187</v>
      </c>
      <c r="D140" s="1">
        <v>28753</v>
      </c>
      <c r="E140" s="1">
        <v>6</v>
      </c>
      <c r="F140" s="1">
        <v>0</v>
      </c>
      <c r="G140" s="1">
        <v>0</v>
      </c>
      <c r="H140" s="1">
        <v>0</v>
      </c>
      <c r="I140" s="1">
        <v>15449</v>
      </c>
      <c r="J140" s="1">
        <v>3651</v>
      </c>
      <c r="K140" s="1"/>
      <c r="L140" t="s">
        <v>83</v>
      </c>
      <c r="M140" t="s">
        <v>872</v>
      </c>
      <c r="N140" t="s">
        <v>190</v>
      </c>
      <c r="O140">
        <v>31987</v>
      </c>
      <c r="P140">
        <v>78</v>
      </c>
      <c r="Q140">
        <v>0</v>
      </c>
      <c r="R140">
        <v>0</v>
      </c>
      <c r="S140">
        <v>0</v>
      </c>
      <c r="T140">
        <v>3331</v>
      </c>
    </row>
    <row r="141" spans="1:20" x14ac:dyDescent="0.25">
      <c r="A141" t="s">
        <v>231</v>
      </c>
      <c r="B141" t="s">
        <v>872</v>
      </c>
      <c r="C141" t="s">
        <v>189</v>
      </c>
      <c r="D141" s="1">
        <v>48946</v>
      </c>
      <c r="E141" s="1">
        <v>84</v>
      </c>
      <c r="F141" s="1">
        <v>0</v>
      </c>
      <c r="G141" s="1">
        <v>0</v>
      </c>
      <c r="H141" s="1">
        <v>0</v>
      </c>
      <c r="I141" s="1">
        <v>5524</v>
      </c>
      <c r="J141" s="1">
        <v>6309</v>
      </c>
      <c r="K141" s="1"/>
      <c r="L141" t="s">
        <v>76</v>
      </c>
      <c r="M141" t="s">
        <v>872</v>
      </c>
      <c r="N141" t="s">
        <v>191</v>
      </c>
      <c r="O141">
        <v>69493</v>
      </c>
      <c r="P141">
        <v>2628</v>
      </c>
      <c r="Q141">
        <v>0</v>
      </c>
      <c r="R141">
        <v>0</v>
      </c>
      <c r="S141">
        <v>0</v>
      </c>
      <c r="T141">
        <v>2109</v>
      </c>
    </row>
    <row r="142" spans="1:20" x14ac:dyDescent="0.25">
      <c r="A142" t="s">
        <v>83</v>
      </c>
      <c r="B142" t="s">
        <v>872</v>
      </c>
      <c r="C142" t="s">
        <v>190</v>
      </c>
      <c r="D142" s="1">
        <v>31987</v>
      </c>
      <c r="E142" s="1">
        <v>78</v>
      </c>
      <c r="F142" s="1">
        <v>0</v>
      </c>
      <c r="G142" s="1">
        <v>0</v>
      </c>
      <c r="H142" s="1">
        <v>0</v>
      </c>
      <c r="I142" s="1">
        <v>3331</v>
      </c>
      <c r="J142" s="1">
        <v>1762</v>
      </c>
      <c r="K142" s="1"/>
      <c r="L142" t="s">
        <v>101</v>
      </c>
      <c r="M142" t="s">
        <v>872</v>
      </c>
      <c r="N142" t="s">
        <v>192</v>
      </c>
      <c r="O142">
        <v>51489</v>
      </c>
      <c r="P142">
        <v>321</v>
      </c>
      <c r="Q142">
        <v>0</v>
      </c>
      <c r="R142">
        <v>0</v>
      </c>
      <c r="S142">
        <v>0</v>
      </c>
      <c r="T142">
        <v>67350</v>
      </c>
    </row>
    <row r="143" spans="1:20" x14ac:dyDescent="0.25">
      <c r="A143" t="s">
        <v>76</v>
      </c>
      <c r="B143" t="s">
        <v>872</v>
      </c>
      <c r="C143" t="s">
        <v>191</v>
      </c>
      <c r="D143" s="1">
        <v>69493</v>
      </c>
      <c r="E143" s="1">
        <v>2628</v>
      </c>
      <c r="F143" s="1">
        <v>0</v>
      </c>
      <c r="G143" s="1">
        <v>0</v>
      </c>
      <c r="H143" s="1">
        <v>0</v>
      </c>
      <c r="I143" s="1">
        <v>2109</v>
      </c>
      <c r="J143" s="1">
        <v>13888</v>
      </c>
      <c r="K143" s="1"/>
      <c r="L143" t="s">
        <v>831</v>
      </c>
      <c r="M143" t="s">
        <v>872</v>
      </c>
      <c r="N143" t="s">
        <v>193</v>
      </c>
      <c r="O143">
        <v>2232</v>
      </c>
      <c r="P143">
        <v>0</v>
      </c>
      <c r="Q143">
        <v>0</v>
      </c>
      <c r="R143">
        <v>0</v>
      </c>
      <c r="S143">
        <v>0</v>
      </c>
      <c r="T143">
        <v>940</v>
      </c>
    </row>
    <row r="144" spans="1:20" x14ac:dyDescent="0.25">
      <c r="A144" t="s">
        <v>101</v>
      </c>
      <c r="B144" t="s">
        <v>872</v>
      </c>
      <c r="C144" t="s">
        <v>192</v>
      </c>
      <c r="D144" s="1">
        <v>51489</v>
      </c>
      <c r="E144" s="1">
        <v>321</v>
      </c>
      <c r="F144" s="1">
        <v>0</v>
      </c>
      <c r="G144" s="1">
        <v>0</v>
      </c>
      <c r="H144" s="1">
        <v>0</v>
      </c>
      <c r="I144" s="1">
        <v>67350</v>
      </c>
      <c r="J144" s="1">
        <v>7409</v>
      </c>
      <c r="K144" s="1"/>
      <c r="L144" t="s">
        <v>811</v>
      </c>
      <c r="M144" t="s">
        <v>872</v>
      </c>
      <c r="N144" t="s">
        <v>194</v>
      </c>
      <c r="O144">
        <v>86665</v>
      </c>
      <c r="P144">
        <v>611</v>
      </c>
      <c r="Q144">
        <v>0</v>
      </c>
      <c r="R144">
        <v>0</v>
      </c>
      <c r="S144">
        <v>0</v>
      </c>
      <c r="T144">
        <v>2388</v>
      </c>
    </row>
    <row r="145" spans="1:20" x14ac:dyDescent="0.25">
      <c r="A145" t="s">
        <v>831</v>
      </c>
      <c r="B145" t="s">
        <v>872</v>
      </c>
      <c r="C145" t="s">
        <v>193</v>
      </c>
      <c r="D145" s="1">
        <v>2232</v>
      </c>
      <c r="E145" s="1">
        <v>0</v>
      </c>
      <c r="F145" s="1">
        <v>0</v>
      </c>
      <c r="G145" s="1">
        <v>0</v>
      </c>
      <c r="H145" s="1">
        <v>0</v>
      </c>
      <c r="I145" s="1">
        <v>940</v>
      </c>
      <c r="J145" s="1">
        <v>292</v>
      </c>
      <c r="K145" s="1"/>
      <c r="L145" t="s">
        <v>76</v>
      </c>
      <c r="M145" t="s">
        <v>872</v>
      </c>
      <c r="N145" t="s">
        <v>195</v>
      </c>
      <c r="O145">
        <v>70351</v>
      </c>
      <c r="P145">
        <v>1102</v>
      </c>
      <c r="Q145">
        <v>0</v>
      </c>
      <c r="R145">
        <v>0</v>
      </c>
      <c r="S145">
        <v>0</v>
      </c>
      <c r="T145">
        <v>46524</v>
      </c>
    </row>
    <row r="146" spans="1:20" x14ac:dyDescent="0.25">
      <c r="A146" t="s">
        <v>811</v>
      </c>
      <c r="B146" t="s">
        <v>872</v>
      </c>
      <c r="C146" t="s">
        <v>194</v>
      </c>
      <c r="D146" s="1">
        <v>86665</v>
      </c>
      <c r="E146" s="1">
        <v>611</v>
      </c>
      <c r="F146" s="1">
        <v>0</v>
      </c>
      <c r="G146" s="1">
        <v>0</v>
      </c>
      <c r="H146" s="1">
        <v>0</v>
      </c>
      <c r="I146" s="1">
        <v>2388</v>
      </c>
      <c r="J146" s="1">
        <v>7963</v>
      </c>
      <c r="K146" s="1"/>
      <c r="L146" t="s">
        <v>788</v>
      </c>
      <c r="M146" t="s">
        <v>872</v>
      </c>
      <c r="N146" t="s">
        <v>196</v>
      </c>
      <c r="O146">
        <v>49585</v>
      </c>
      <c r="P146">
        <v>650</v>
      </c>
      <c r="Q146">
        <v>0</v>
      </c>
      <c r="R146">
        <v>0</v>
      </c>
      <c r="S146">
        <v>0</v>
      </c>
      <c r="T146">
        <v>76899</v>
      </c>
    </row>
    <row r="147" spans="1:20" x14ac:dyDescent="0.25">
      <c r="A147" t="s">
        <v>76</v>
      </c>
      <c r="B147" t="s">
        <v>872</v>
      </c>
      <c r="C147" t="s">
        <v>195</v>
      </c>
      <c r="D147" s="1">
        <v>70351</v>
      </c>
      <c r="E147" s="1">
        <v>1102</v>
      </c>
      <c r="F147" s="1">
        <v>0</v>
      </c>
      <c r="G147" s="1">
        <v>0</v>
      </c>
      <c r="H147" s="1">
        <v>0</v>
      </c>
      <c r="I147" s="1">
        <v>46524</v>
      </c>
      <c r="J147" s="1">
        <v>12196</v>
      </c>
      <c r="K147" s="1"/>
      <c r="L147" t="s">
        <v>817</v>
      </c>
      <c r="M147" t="s">
        <v>872</v>
      </c>
      <c r="N147" t="s">
        <v>197</v>
      </c>
      <c r="O147">
        <v>26129</v>
      </c>
      <c r="P147">
        <v>134</v>
      </c>
      <c r="Q147">
        <v>0</v>
      </c>
      <c r="R147">
        <v>0</v>
      </c>
      <c r="S147">
        <v>0</v>
      </c>
      <c r="T147">
        <v>50203</v>
      </c>
    </row>
    <row r="148" spans="1:20" x14ac:dyDescent="0.25">
      <c r="A148" t="s">
        <v>788</v>
      </c>
      <c r="B148" t="s">
        <v>872</v>
      </c>
      <c r="C148" t="s">
        <v>196</v>
      </c>
      <c r="D148" s="1">
        <v>49585</v>
      </c>
      <c r="E148" s="1">
        <v>650</v>
      </c>
      <c r="F148" s="1">
        <v>0</v>
      </c>
      <c r="G148" s="1">
        <v>0</v>
      </c>
      <c r="H148" s="1">
        <v>0</v>
      </c>
      <c r="I148" s="1">
        <v>76899</v>
      </c>
      <c r="J148" s="1">
        <v>19673</v>
      </c>
      <c r="K148" s="1"/>
      <c r="L148" t="s">
        <v>817</v>
      </c>
      <c r="M148" t="s">
        <v>872</v>
      </c>
      <c r="N148" t="s">
        <v>198</v>
      </c>
      <c r="O148">
        <v>20386</v>
      </c>
      <c r="P148">
        <v>420</v>
      </c>
      <c r="Q148">
        <v>0</v>
      </c>
      <c r="R148">
        <v>0</v>
      </c>
      <c r="S148">
        <v>0</v>
      </c>
      <c r="T148">
        <v>22966</v>
      </c>
    </row>
    <row r="149" spans="1:20" x14ac:dyDescent="0.25">
      <c r="A149" t="s">
        <v>817</v>
      </c>
      <c r="B149" t="s">
        <v>872</v>
      </c>
      <c r="C149" t="s">
        <v>197</v>
      </c>
      <c r="D149" s="1">
        <v>26129</v>
      </c>
      <c r="E149" s="1">
        <v>134</v>
      </c>
      <c r="F149" s="1">
        <v>0</v>
      </c>
      <c r="G149" s="1">
        <v>0</v>
      </c>
      <c r="H149" s="1">
        <v>0</v>
      </c>
      <c r="I149" s="1">
        <v>50203</v>
      </c>
      <c r="J149" s="1">
        <v>16857</v>
      </c>
      <c r="K149" s="1"/>
      <c r="L149" t="s">
        <v>69</v>
      </c>
      <c r="M149" t="s">
        <v>872</v>
      </c>
      <c r="N149" t="s">
        <v>199</v>
      </c>
      <c r="O149">
        <v>81850</v>
      </c>
      <c r="P149">
        <v>79</v>
      </c>
      <c r="Q149">
        <v>0</v>
      </c>
      <c r="R149">
        <v>0</v>
      </c>
      <c r="S149">
        <v>0</v>
      </c>
      <c r="T149">
        <v>135504</v>
      </c>
    </row>
    <row r="150" spans="1:20" x14ac:dyDescent="0.25">
      <c r="A150" t="s">
        <v>817</v>
      </c>
      <c r="B150" t="s">
        <v>872</v>
      </c>
      <c r="C150" t="s">
        <v>198</v>
      </c>
      <c r="D150" s="1">
        <v>20386</v>
      </c>
      <c r="E150" s="1">
        <v>420</v>
      </c>
      <c r="F150" s="1">
        <v>0</v>
      </c>
      <c r="G150" s="1">
        <v>0</v>
      </c>
      <c r="H150" s="1">
        <v>0</v>
      </c>
      <c r="I150" s="1">
        <v>22966</v>
      </c>
      <c r="J150" s="1">
        <v>13600</v>
      </c>
      <c r="K150" s="1"/>
      <c r="L150" t="s">
        <v>76</v>
      </c>
      <c r="M150" t="s">
        <v>872</v>
      </c>
      <c r="N150" t="s">
        <v>200</v>
      </c>
      <c r="O150">
        <v>8472</v>
      </c>
      <c r="P150">
        <v>234</v>
      </c>
      <c r="Q150">
        <v>0</v>
      </c>
      <c r="R150">
        <v>0</v>
      </c>
      <c r="S150">
        <v>0</v>
      </c>
      <c r="T150">
        <v>3831</v>
      </c>
    </row>
    <row r="151" spans="1:20" x14ac:dyDescent="0.25">
      <c r="A151" t="s">
        <v>69</v>
      </c>
      <c r="B151" t="s">
        <v>872</v>
      </c>
      <c r="C151" t="s">
        <v>199</v>
      </c>
      <c r="D151" s="1">
        <v>81850</v>
      </c>
      <c r="E151" s="1">
        <v>79</v>
      </c>
      <c r="F151" s="1">
        <v>0</v>
      </c>
      <c r="G151" s="1">
        <v>0</v>
      </c>
      <c r="H151" s="1">
        <v>0</v>
      </c>
      <c r="I151" s="1">
        <v>135504</v>
      </c>
      <c r="J151" s="1">
        <v>15071</v>
      </c>
      <c r="K151" s="1"/>
      <c r="L151" t="s">
        <v>120</v>
      </c>
      <c r="M151" t="s">
        <v>872</v>
      </c>
      <c r="N151" t="s">
        <v>201</v>
      </c>
      <c r="O151">
        <v>26373</v>
      </c>
      <c r="P151">
        <v>422</v>
      </c>
      <c r="Q151">
        <v>0</v>
      </c>
      <c r="R151">
        <v>0</v>
      </c>
      <c r="S151">
        <v>0</v>
      </c>
      <c r="T151">
        <v>6813</v>
      </c>
    </row>
    <row r="152" spans="1:20" x14ac:dyDescent="0.25">
      <c r="A152" t="s">
        <v>76</v>
      </c>
      <c r="B152" t="s">
        <v>872</v>
      </c>
      <c r="C152" t="s">
        <v>200</v>
      </c>
      <c r="D152" s="1">
        <v>8472</v>
      </c>
      <c r="E152" s="1">
        <v>234</v>
      </c>
      <c r="F152" s="1">
        <v>0</v>
      </c>
      <c r="G152" s="1">
        <v>0</v>
      </c>
      <c r="H152" s="1">
        <v>0</v>
      </c>
      <c r="I152" s="1">
        <v>3831</v>
      </c>
      <c r="J152" s="1">
        <v>1767</v>
      </c>
      <c r="K152" s="1"/>
      <c r="L152" t="s">
        <v>495</v>
      </c>
      <c r="M152" t="s">
        <v>872</v>
      </c>
      <c r="N152" t="s">
        <v>202</v>
      </c>
      <c r="O152">
        <v>58455</v>
      </c>
      <c r="P152">
        <v>64</v>
      </c>
      <c r="Q152">
        <v>0</v>
      </c>
      <c r="R152">
        <v>0</v>
      </c>
      <c r="S152">
        <v>0</v>
      </c>
      <c r="T152">
        <v>35061</v>
      </c>
    </row>
    <row r="153" spans="1:20" x14ac:dyDescent="0.25">
      <c r="A153" t="s">
        <v>120</v>
      </c>
      <c r="B153" t="s">
        <v>872</v>
      </c>
      <c r="C153" t="s">
        <v>201</v>
      </c>
      <c r="D153" s="1">
        <v>26373</v>
      </c>
      <c r="E153" s="1">
        <v>422</v>
      </c>
      <c r="F153" s="1">
        <v>0</v>
      </c>
      <c r="G153" s="1">
        <v>0</v>
      </c>
      <c r="H153" s="1">
        <v>0</v>
      </c>
      <c r="I153" s="1">
        <v>6813</v>
      </c>
      <c r="J153" s="1">
        <v>4124</v>
      </c>
      <c r="K153" s="1"/>
      <c r="L153" t="s">
        <v>788</v>
      </c>
      <c r="M153" t="s">
        <v>872</v>
      </c>
      <c r="N153" t="s">
        <v>203</v>
      </c>
      <c r="O153">
        <v>79263</v>
      </c>
      <c r="P153">
        <v>57</v>
      </c>
      <c r="Q153">
        <v>0</v>
      </c>
      <c r="R153">
        <v>0</v>
      </c>
      <c r="S153">
        <v>0</v>
      </c>
      <c r="T153">
        <v>18172</v>
      </c>
    </row>
    <row r="154" spans="1:20" x14ac:dyDescent="0.25">
      <c r="A154" t="s">
        <v>495</v>
      </c>
      <c r="B154" t="s">
        <v>872</v>
      </c>
      <c r="C154" t="s">
        <v>202</v>
      </c>
      <c r="D154" s="1">
        <v>58455</v>
      </c>
      <c r="E154" s="1">
        <v>64</v>
      </c>
      <c r="F154" s="1">
        <v>0</v>
      </c>
      <c r="G154" s="1">
        <v>0</v>
      </c>
      <c r="H154" s="1">
        <v>0</v>
      </c>
      <c r="I154" s="1">
        <v>35061</v>
      </c>
      <c r="J154" s="1">
        <v>12485</v>
      </c>
      <c r="K154" s="1"/>
      <c r="L154" t="s">
        <v>72</v>
      </c>
      <c r="M154" t="s">
        <v>872</v>
      </c>
      <c r="N154" t="s">
        <v>204</v>
      </c>
      <c r="O154">
        <v>24248</v>
      </c>
      <c r="P154">
        <v>48</v>
      </c>
      <c r="Q154">
        <v>0</v>
      </c>
      <c r="R154">
        <v>0</v>
      </c>
      <c r="S154">
        <v>0</v>
      </c>
      <c r="T154">
        <v>8010</v>
      </c>
    </row>
    <row r="155" spans="1:20" x14ac:dyDescent="0.25">
      <c r="A155" t="s">
        <v>788</v>
      </c>
      <c r="B155" t="s">
        <v>872</v>
      </c>
      <c r="C155" t="s">
        <v>203</v>
      </c>
      <c r="D155" s="1">
        <v>79263</v>
      </c>
      <c r="E155" s="1">
        <v>57</v>
      </c>
      <c r="F155" s="1">
        <v>0</v>
      </c>
      <c r="G155" s="1">
        <v>0</v>
      </c>
      <c r="H155" s="1">
        <v>0</v>
      </c>
      <c r="I155" s="1">
        <v>18172</v>
      </c>
      <c r="J155" s="1">
        <v>11769</v>
      </c>
      <c r="K155" s="1"/>
      <c r="L155" t="s">
        <v>76</v>
      </c>
      <c r="M155" t="s">
        <v>873</v>
      </c>
      <c r="N155" t="s">
        <v>205</v>
      </c>
      <c r="O155">
        <v>33790</v>
      </c>
      <c r="P155">
        <v>210</v>
      </c>
      <c r="Q155">
        <v>0</v>
      </c>
      <c r="R155">
        <v>0</v>
      </c>
      <c r="S155">
        <v>0</v>
      </c>
      <c r="T155">
        <v>23436</v>
      </c>
    </row>
    <row r="156" spans="1:20" x14ac:dyDescent="0.25">
      <c r="A156" t="s">
        <v>72</v>
      </c>
      <c r="B156" t="s">
        <v>872</v>
      </c>
      <c r="C156" t="s">
        <v>204</v>
      </c>
      <c r="D156" s="1">
        <v>24248</v>
      </c>
      <c r="E156" s="1">
        <v>48</v>
      </c>
      <c r="F156" s="1">
        <v>0</v>
      </c>
      <c r="G156" s="1">
        <v>0</v>
      </c>
      <c r="H156" s="1">
        <v>0</v>
      </c>
      <c r="I156" s="1">
        <v>8010</v>
      </c>
      <c r="J156" s="1">
        <v>2878</v>
      </c>
      <c r="K156" s="1"/>
      <c r="L156" t="s">
        <v>864</v>
      </c>
      <c r="M156" t="s">
        <v>872</v>
      </c>
      <c r="N156" t="s">
        <v>206</v>
      </c>
      <c r="O156">
        <v>36566</v>
      </c>
      <c r="P156">
        <v>16</v>
      </c>
      <c r="Q156">
        <v>0</v>
      </c>
      <c r="R156">
        <v>0</v>
      </c>
      <c r="S156">
        <v>0</v>
      </c>
      <c r="T156">
        <v>17684</v>
      </c>
    </row>
    <row r="157" spans="1:20" x14ac:dyDescent="0.25">
      <c r="A157" t="s">
        <v>76</v>
      </c>
      <c r="B157" t="s">
        <v>873</v>
      </c>
      <c r="C157" t="s">
        <v>205</v>
      </c>
      <c r="D157" s="1">
        <v>33790</v>
      </c>
      <c r="E157" s="1">
        <v>210</v>
      </c>
      <c r="F157" s="1">
        <v>0</v>
      </c>
      <c r="G157" s="1">
        <v>0</v>
      </c>
      <c r="H157" s="1">
        <v>0</v>
      </c>
      <c r="I157" s="1">
        <v>23436</v>
      </c>
      <c r="J157" s="1">
        <v>14813</v>
      </c>
      <c r="K157" s="1"/>
      <c r="L157" t="s">
        <v>76</v>
      </c>
      <c r="M157" t="s">
        <v>872</v>
      </c>
      <c r="N157" t="s">
        <v>207</v>
      </c>
      <c r="O157">
        <v>47048</v>
      </c>
      <c r="P157">
        <v>42</v>
      </c>
      <c r="Q157">
        <v>0</v>
      </c>
      <c r="R157">
        <v>0</v>
      </c>
      <c r="S157">
        <v>0</v>
      </c>
      <c r="T157">
        <v>35173</v>
      </c>
    </row>
    <row r="158" spans="1:20" x14ac:dyDescent="0.25">
      <c r="A158" t="s">
        <v>864</v>
      </c>
      <c r="B158" t="s">
        <v>872</v>
      </c>
      <c r="C158" t="s">
        <v>206</v>
      </c>
      <c r="D158" s="1">
        <v>36566</v>
      </c>
      <c r="E158" s="1">
        <v>16</v>
      </c>
      <c r="F158" s="1">
        <v>0</v>
      </c>
      <c r="G158" s="1">
        <v>0</v>
      </c>
      <c r="H158" s="1">
        <v>0</v>
      </c>
      <c r="I158" s="1">
        <v>17684</v>
      </c>
      <c r="J158" s="1">
        <v>23108</v>
      </c>
      <c r="K158" s="1"/>
      <c r="L158" t="s">
        <v>265</v>
      </c>
      <c r="M158" t="s">
        <v>872</v>
      </c>
      <c r="N158" t="s">
        <v>208</v>
      </c>
      <c r="O158">
        <v>11741</v>
      </c>
      <c r="P158">
        <v>169</v>
      </c>
      <c r="Q158">
        <v>0</v>
      </c>
      <c r="R158">
        <v>0</v>
      </c>
      <c r="S158">
        <v>0</v>
      </c>
      <c r="T158">
        <v>9340</v>
      </c>
    </row>
    <row r="159" spans="1:20" x14ac:dyDescent="0.25">
      <c r="A159" t="s">
        <v>76</v>
      </c>
      <c r="B159" t="s">
        <v>872</v>
      </c>
      <c r="C159" t="s">
        <v>207</v>
      </c>
      <c r="D159" s="1">
        <v>47048</v>
      </c>
      <c r="E159" s="1">
        <v>42</v>
      </c>
      <c r="F159" s="1">
        <v>0</v>
      </c>
      <c r="G159" s="1">
        <v>0</v>
      </c>
      <c r="H159" s="1">
        <v>0</v>
      </c>
      <c r="I159" s="1">
        <v>35173</v>
      </c>
      <c r="J159" s="1">
        <v>16400</v>
      </c>
      <c r="K159" s="1"/>
      <c r="L159" t="s">
        <v>801</v>
      </c>
      <c r="M159" t="s">
        <v>872</v>
      </c>
      <c r="N159" t="s">
        <v>209</v>
      </c>
      <c r="O159">
        <v>37089</v>
      </c>
      <c r="P159">
        <v>430</v>
      </c>
      <c r="Q159">
        <v>0</v>
      </c>
      <c r="R159">
        <v>0</v>
      </c>
      <c r="S159">
        <v>0</v>
      </c>
      <c r="T159">
        <v>54896</v>
      </c>
    </row>
    <row r="160" spans="1:20" x14ac:dyDescent="0.25">
      <c r="A160" t="s">
        <v>265</v>
      </c>
      <c r="B160" t="s">
        <v>872</v>
      </c>
      <c r="C160" t="s">
        <v>208</v>
      </c>
      <c r="D160" s="1">
        <v>11741</v>
      </c>
      <c r="E160" s="1">
        <v>169</v>
      </c>
      <c r="F160" s="1">
        <v>0</v>
      </c>
      <c r="G160" s="1">
        <v>0</v>
      </c>
      <c r="H160" s="1">
        <v>0</v>
      </c>
      <c r="I160" s="1">
        <v>9340</v>
      </c>
      <c r="J160" s="1">
        <v>2539</v>
      </c>
      <c r="K160" s="1"/>
      <c r="L160" t="s">
        <v>72</v>
      </c>
      <c r="M160" t="s">
        <v>872</v>
      </c>
      <c r="N160" t="s">
        <v>210</v>
      </c>
      <c r="O160">
        <v>46547</v>
      </c>
      <c r="P160">
        <v>78</v>
      </c>
      <c r="Q160">
        <v>0</v>
      </c>
      <c r="R160">
        <v>0</v>
      </c>
      <c r="S160">
        <v>0</v>
      </c>
      <c r="T160">
        <v>30379</v>
      </c>
    </row>
    <row r="161" spans="1:20" x14ac:dyDescent="0.25">
      <c r="A161" t="s">
        <v>801</v>
      </c>
      <c r="B161" t="s">
        <v>872</v>
      </c>
      <c r="C161" t="s">
        <v>209</v>
      </c>
      <c r="D161" s="1">
        <v>37089</v>
      </c>
      <c r="E161" s="1">
        <v>430</v>
      </c>
      <c r="F161" s="1">
        <v>0</v>
      </c>
      <c r="G161" s="1">
        <v>0</v>
      </c>
      <c r="H161" s="1">
        <v>0</v>
      </c>
      <c r="I161" s="1">
        <v>54896</v>
      </c>
      <c r="J161" s="1">
        <v>18211</v>
      </c>
      <c r="K161" s="1"/>
      <c r="L161" t="s">
        <v>817</v>
      </c>
      <c r="M161" t="s">
        <v>872</v>
      </c>
      <c r="N161" t="s">
        <v>211</v>
      </c>
      <c r="O161">
        <v>82196</v>
      </c>
      <c r="P161">
        <v>354</v>
      </c>
      <c r="Q161">
        <v>0</v>
      </c>
      <c r="R161">
        <v>0</v>
      </c>
      <c r="S161">
        <v>0</v>
      </c>
      <c r="T161">
        <v>57155</v>
      </c>
    </row>
    <row r="162" spans="1:20" x14ac:dyDescent="0.25">
      <c r="A162" t="s">
        <v>72</v>
      </c>
      <c r="B162" t="s">
        <v>872</v>
      </c>
      <c r="C162" t="s">
        <v>210</v>
      </c>
      <c r="D162" s="1">
        <v>46547</v>
      </c>
      <c r="E162" s="1">
        <v>78</v>
      </c>
      <c r="F162" s="1">
        <v>0</v>
      </c>
      <c r="G162" s="1">
        <v>0</v>
      </c>
      <c r="H162" s="1">
        <v>0</v>
      </c>
      <c r="I162" s="1">
        <v>30379</v>
      </c>
      <c r="J162" s="1">
        <v>13760</v>
      </c>
      <c r="K162" s="1"/>
      <c r="L162" t="s">
        <v>72</v>
      </c>
      <c r="M162" t="s">
        <v>872</v>
      </c>
      <c r="N162" t="s">
        <v>212</v>
      </c>
      <c r="O162">
        <v>27395</v>
      </c>
      <c r="P162">
        <v>1</v>
      </c>
      <c r="Q162">
        <v>0</v>
      </c>
      <c r="R162">
        <v>0</v>
      </c>
      <c r="S162">
        <v>0</v>
      </c>
      <c r="T162">
        <v>4649</v>
      </c>
    </row>
    <row r="163" spans="1:20" x14ac:dyDescent="0.25">
      <c r="A163" t="s">
        <v>817</v>
      </c>
      <c r="B163" t="s">
        <v>872</v>
      </c>
      <c r="C163" t="s">
        <v>211</v>
      </c>
      <c r="D163" s="1">
        <v>82196</v>
      </c>
      <c r="E163" s="1">
        <v>354</v>
      </c>
      <c r="F163" s="1">
        <v>0</v>
      </c>
      <c r="G163" s="1">
        <v>0</v>
      </c>
      <c r="H163" s="1">
        <v>0</v>
      </c>
      <c r="I163" s="1">
        <v>57155</v>
      </c>
      <c r="J163" s="1">
        <v>74306</v>
      </c>
      <c r="K163" s="1"/>
      <c r="L163" t="s">
        <v>134</v>
      </c>
      <c r="M163" t="s">
        <v>872</v>
      </c>
      <c r="N163" t="s">
        <v>213</v>
      </c>
      <c r="O163">
        <v>25205</v>
      </c>
      <c r="P163">
        <v>0</v>
      </c>
      <c r="Q163">
        <v>0</v>
      </c>
      <c r="R163">
        <v>0</v>
      </c>
      <c r="S163">
        <v>0</v>
      </c>
      <c r="T163">
        <v>33682</v>
      </c>
    </row>
    <row r="164" spans="1:20" x14ac:dyDescent="0.25">
      <c r="A164" t="s">
        <v>72</v>
      </c>
      <c r="B164" t="s">
        <v>872</v>
      </c>
      <c r="C164" t="s">
        <v>212</v>
      </c>
      <c r="D164" s="1">
        <v>27395</v>
      </c>
      <c r="E164" s="1">
        <v>1</v>
      </c>
      <c r="F164" s="1">
        <v>0</v>
      </c>
      <c r="G164" s="1">
        <v>0</v>
      </c>
      <c r="H164" s="1">
        <v>0</v>
      </c>
      <c r="I164" s="1">
        <v>4649</v>
      </c>
      <c r="J164" s="1">
        <v>3499</v>
      </c>
      <c r="K164" s="1"/>
      <c r="L164" t="s">
        <v>495</v>
      </c>
      <c r="M164" t="s">
        <v>872</v>
      </c>
      <c r="N164" t="s">
        <v>214</v>
      </c>
      <c r="O164">
        <v>50197</v>
      </c>
      <c r="P164">
        <v>2448</v>
      </c>
      <c r="Q164">
        <v>0</v>
      </c>
      <c r="R164">
        <v>0</v>
      </c>
      <c r="S164">
        <v>0</v>
      </c>
      <c r="T164">
        <v>28700</v>
      </c>
    </row>
    <row r="165" spans="1:20" x14ac:dyDescent="0.25">
      <c r="A165" t="s">
        <v>134</v>
      </c>
      <c r="B165" t="s">
        <v>872</v>
      </c>
      <c r="C165" t="s">
        <v>213</v>
      </c>
      <c r="D165" s="1">
        <v>25205</v>
      </c>
      <c r="E165" s="1">
        <v>0</v>
      </c>
      <c r="F165" s="1">
        <v>0</v>
      </c>
      <c r="G165" s="1">
        <v>0</v>
      </c>
      <c r="H165" s="1">
        <v>0</v>
      </c>
      <c r="I165" s="1">
        <v>33682</v>
      </c>
      <c r="J165" s="1">
        <v>805</v>
      </c>
      <c r="K165" s="1"/>
      <c r="L165" t="s">
        <v>146</v>
      </c>
      <c r="M165" t="s">
        <v>872</v>
      </c>
      <c r="N165" t="s">
        <v>215</v>
      </c>
      <c r="O165">
        <v>71806</v>
      </c>
      <c r="P165">
        <v>2230</v>
      </c>
      <c r="Q165">
        <v>0</v>
      </c>
      <c r="R165">
        <v>0</v>
      </c>
      <c r="S165">
        <v>0</v>
      </c>
      <c r="T165">
        <v>52509</v>
      </c>
    </row>
    <row r="166" spans="1:20" x14ac:dyDescent="0.25">
      <c r="A166" t="s">
        <v>495</v>
      </c>
      <c r="B166" t="s">
        <v>872</v>
      </c>
      <c r="C166" t="s">
        <v>214</v>
      </c>
      <c r="D166" s="1">
        <v>50197</v>
      </c>
      <c r="E166" s="1">
        <v>2448</v>
      </c>
      <c r="F166" s="1">
        <v>0</v>
      </c>
      <c r="G166" s="1">
        <v>0</v>
      </c>
      <c r="H166" s="1">
        <v>0</v>
      </c>
      <c r="I166" s="1">
        <v>28700</v>
      </c>
      <c r="J166" s="1">
        <v>11545</v>
      </c>
      <c r="K166" s="1"/>
      <c r="L166" t="s">
        <v>138</v>
      </c>
      <c r="M166" t="s">
        <v>872</v>
      </c>
      <c r="N166" t="s">
        <v>216</v>
      </c>
      <c r="O166">
        <v>31397</v>
      </c>
      <c r="P166">
        <v>21</v>
      </c>
      <c r="Q166">
        <v>0</v>
      </c>
      <c r="R166">
        <v>0</v>
      </c>
      <c r="S166">
        <v>0</v>
      </c>
      <c r="T166">
        <v>53226</v>
      </c>
    </row>
    <row r="167" spans="1:20" x14ac:dyDescent="0.25">
      <c r="A167" t="s">
        <v>146</v>
      </c>
      <c r="B167" t="s">
        <v>872</v>
      </c>
      <c r="C167" t="s">
        <v>215</v>
      </c>
      <c r="D167" s="1">
        <v>71806</v>
      </c>
      <c r="E167" s="1">
        <v>2230</v>
      </c>
      <c r="F167" s="1">
        <v>0</v>
      </c>
      <c r="G167" s="1">
        <v>0</v>
      </c>
      <c r="H167" s="1">
        <v>0</v>
      </c>
      <c r="I167" s="1">
        <v>52509</v>
      </c>
      <c r="J167" s="1">
        <v>16816</v>
      </c>
      <c r="K167" s="1"/>
      <c r="L167" t="s">
        <v>794</v>
      </c>
      <c r="M167" t="s">
        <v>872</v>
      </c>
      <c r="N167" t="s">
        <v>217</v>
      </c>
      <c r="O167">
        <v>16994</v>
      </c>
      <c r="P167">
        <v>0</v>
      </c>
      <c r="Q167">
        <v>0</v>
      </c>
      <c r="R167">
        <v>0</v>
      </c>
      <c r="S167">
        <v>0</v>
      </c>
      <c r="T167">
        <v>19311</v>
      </c>
    </row>
    <row r="168" spans="1:20" x14ac:dyDescent="0.25">
      <c r="A168" t="s">
        <v>138</v>
      </c>
      <c r="B168" t="s">
        <v>872</v>
      </c>
      <c r="C168" t="s">
        <v>216</v>
      </c>
      <c r="D168" s="1">
        <v>31397</v>
      </c>
      <c r="E168" s="1">
        <v>21</v>
      </c>
      <c r="F168" s="1">
        <v>0</v>
      </c>
      <c r="G168" s="1">
        <v>0</v>
      </c>
      <c r="H168" s="1">
        <v>0</v>
      </c>
      <c r="I168" s="1">
        <v>53226</v>
      </c>
      <c r="J168" s="1">
        <v>9768</v>
      </c>
      <c r="K168" s="1"/>
      <c r="L168" t="s">
        <v>265</v>
      </c>
      <c r="M168" t="s">
        <v>872</v>
      </c>
      <c r="N168" t="s">
        <v>218</v>
      </c>
      <c r="O168">
        <v>10397</v>
      </c>
      <c r="P168">
        <v>0</v>
      </c>
      <c r="Q168">
        <v>0</v>
      </c>
      <c r="R168">
        <v>0</v>
      </c>
      <c r="S168">
        <v>0</v>
      </c>
      <c r="T168">
        <v>40762</v>
      </c>
    </row>
    <row r="169" spans="1:20" x14ac:dyDescent="0.25">
      <c r="A169" t="s">
        <v>794</v>
      </c>
      <c r="B169" t="s">
        <v>872</v>
      </c>
      <c r="C169" t="s">
        <v>217</v>
      </c>
      <c r="D169" s="1">
        <v>16994</v>
      </c>
      <c r="E169" s="1">
        <v>0</v>
      </c>
      <c r="F169" s="1">
        <v>0</v>
      </c>
      <c r="G169" s="1">
        <v>0</v>
      </c>
      <c r="H169" s="1">
        <v>0</v>
      </c>
      <c r="I169" s="1">
        <v>19311</v>
      </c>
      <c r="J169" s="1">
        <v>3785</v>
      </c>
      <c r="K169" s="1"/>
      <c r="L169" t="s">
        <v>801</v>
      </c>
      <c r="M169" t="s">
        <v>872</v>
      </c>
      <c r="N169" t="s">
        <v>219</v>
      </c>
      <c r="O169">
        <v>50948</v>
      </c>
      <c r="P169">
        <v>235</v>
      </c>
      <c r="Q169">
        <v>0</v>
      </c>
      <c r="R169">
        <v>0</v>
      </c>
      <c r="S169">
        <v>0</v>
      </c>
      <c r="T169">
        <v>19668</v>
      </c>
    </row>
    <row r="170" spans="1:20" x14ac:dyDescent="0.25">
      <c r="A170" t="s">
        <v>265</v>
      </c>
      <c r="B170" t="s">
        <v>872</v>
      </c>
      <c r="C170" t="s">
        <v>218</v>
      </c>
      <c r="D170" s="1">
        <v>10397</v>
      </c>
      <c r="E170" s="1">
        <v>0</v>
      </c>
      <c r="F170" s="1">
        <v>0</v>
      </c>
      <c r="G170" s="1">
        <v>0</v>
      </c>
      <c r="H170" s="1">
        <v>0</v>
      </c>
      <c r="I170" s="1">
        <v>40762</v>
      </c>
      <c r="J170" s="1">
        <v>1164</v>
      </c>
      <c r="K170" s="1"/>
      <c r="L170" t="s">
        <v>831</v>
      </c>
      <c r="M170" t="s">
        <v>872</v>
      </c>
      <c r="N170" t="s">
        <v>220</v>
      </c>
      <c r="O170">
        <v>3418</v>
      </c>
      <c r="P170">
        <v>3</v>
      </c>
      <c r="Q170">
        <v>0</v>
      </c>
      <c r="R170">
        <v>0</v>
      </c>
      <c r="S170">
        <v>0</v>
      </c>
      <c r="T170">
        <v>4437</v>
      </c>
    </row>
    <row r="171" spans="1:20" x14ac:dyDescent="0.25">
      <c r="A171" t="s">
        <v>801</v>
      </c>
      <c r="B171" t="s">
        <v>872</v>
      </c>
      <c r="C171" t="s">
        <v>219</v>
      </c>
      <c r="D171" s="1">
        <v>50948</v>
      </c>
      <c r="E171" s="1">
        <v>235</v>
      </c>
      <c r="F171" s="1">
        <v>0</v>
      </c>
      <c r="G171" s="1">
        <v>0</v>
      </c>
      <c r="H171" s="1">
        <v>0</v>
      </c>
      <c r="I171" s="1">
        <v>19668</v>
      </c>
      <c r="J171" s="1">
        <v>6040</v>
      </c>
      <c r="K171" s="1"/>
      <c r="L171" t="s">
        <v>794</v>
      </c>
      <c r="M171" t="s">
        <v>872</v>
      </c>
      <c r="N171" t="s">
        <v>221</v>
      </c>
      <c r="O171">
        <v>42312</v>
      </c>
      <c r="P171">
        <v>46</v>
      </c>
      <c r="Q171">
        <v>0</v>
      </c>
      <c r="R171">
        <v>0</v>
      </c>
      <c r="S171">
        <v>0</v>
      </c>
      <c r="T171">
        <v>24205</v>
      </c>
    </row>
    <row r="172" spans="1:20" x14ac:dyDescent="0.25">
      <c r="A172" t="s">
        <v>831</v>
      </c>
      <c r="B172" t="s">
        <v>872</v>
      </c>
      <c r="C172" t="s">
        <v>220</v>
      </c>
      <c r="D172" s="1">
        <v>3418</v>
      </c>
      <c r="E172" s="1">
        <v>3</v>
      </c>
      <c r="F172" s="1">
        <v>0</v>
      </c>
      <c r="G172" s="1">
        <v>0</v>
      </c>
      <c r="H172" s="1">
        <v>0</v>
      </c>
      <c r="I172" s="1">
        <v>4437</v>
      </c>
      <c r="J172" s="1">
        <v>744</v>
      </c>
      <c r="K172" s="1"/>
      <c r="L172" t="s">
        <v>120</v>
      </c>
      <c r="M172" t="s">
        <v>872</v>
      </c>
      <c r="N172" t="s">
        <v>222</v>
      </c>
      <c r="O172">
        <v>67229</v>
      </c>
      <c r="P172">
        <v>29</v>
      </c>
      <c r="Q172">
        <v>0</v>
      </c>
      <c r="R172">
        <v>0</v>
      </c>
      <c r="S172">
        <v>0</v>
      </c>
      <c r="T172">
        <v>6203</v>
      </c>
    </row>
    <row r="173" spans="1:20" x14ac:dyDescent="0.25">
      <c r="A173" t="s">
        <v>794</v>
      </c>
      <c r="B173" t="s">
        <v>872</v>
      </c>
      <c r="C173" t="s">
        <v>221</v>
      </c>
      <c r="D173" s="1">
        <v>42312</v>
      </c>
      <c r="E173" s="1">
        <v>46</v>
      </c>
      <c r="F173" s="1">
        <v>0</v>
      </c>
      <c r="G173" s="1">
        <v>0</v>
      </c>
      <c r="H173" s="1">
        <v>0</v>
      </c>
      <c r="I173" s="1">
        <v>24205</v>
      </c>
      <c r="J173" s="1">
        <v>13857</v>
      </c>
      <c r="K173" s="1"/>
      <c r="L173" t="s">
        <v>848</v>
      </c>
      <c r="M173" t="s">
        <v>872</v>
      </c>
      <c r="N173" t="s">
        <v>223</v>
      </c>
      <c r="O173">
        <v>10541</v>
      </c>
      <c r="P173">
        <v>13</v>
      </c>
      <c r="Q173">
        <v>0</v>
      </c>
      <c r="R173">
        <v>0</v>
      </c>
      <c r="S173">
        <v>0</v>
      </c>
      <c r="T173">
        <v>1852</v>
      </c>
    </row>
    <row r="174" spans="1:20" x14ac:dyDescent="0.25">
      <c r="A174" t="s">
        <v>120</v>
      </c>
      <c r="B174" t="s">
        <v>872</v>
      </c>
      <c r="C174" t="s">
        <v>222</v>
      </c>
      <c r="D174" s="1">
        <v>67229</v>
      </c>
      <c r="E174" s="1">
        <v>29</v>
      </c>
      <c r="F174" s="1">
        <v>0</v>
      </c>
      <c r="G174" s="1">
        <v>0</v>
      </c>
      <c r="H174" s="1">
        <v>0</v>
      </c>
      <c r="I174" s="1">
        <v>6203</v>
      </c>
      <c r="J174" s="1">
        <v>5524</v>
      </c>
      <c r="K174" s="1"/>
      <c r="L174" t="s">
        <v>825</v>
      </c>
      <c r="M174" t="s">
        <v>872</v>
      </c>
      <c r="N174" t="s">
        <v>224</v>
      </c>
      <c r="O174">
        <v>14645</v>
      </c>
      <c r="P174">
        <v>74</v>
      </c>
      <c r="Q174">
        <v>0</v>
      </c>
      <c r="R174">
        <v>0</v>
      </c>
      <c r="S174">
        <v>0</v>
      </c>
      <c r="T174">
        <v>8569</v>
      </c>
    </row>
    <row r="175" spans="1:20" x14ac:dyDescent="0.25">
      <c r="A175" t="s">
        <v>848</v>
      </c>
      <c r="B175" t="s">
        <v>872</v>
      </c>
      <c r="C175" t="s">
        <v>223</v>
      </c>
      <c r="D175" s="1">
        <v>10541</v>
      </c>
      <c r="E175" s="1">
        <v>13</v>
      </c>
      <c r="F175" s="1">
        <v>0</v>
      </c>
      <c r="G175" s="1">
        <v>0</v>
      </c>
      <c r="H175" s="1">
        <v>0</v>
      </c>
      <c r="I175" s="1">
        <v>1852</v>
      </c>
      <c r="J175" s="1">
        <v>1252</v>
      </c>
      <c r="K175" s="1"/>
      <c r="L175" t="s">
        <v>788</v>
      </c>
      <c r="M175" t="s">
        <v>872</v>
      </c>
      <c r="N175" t="s">
        <v>225</v>
      </c>
      <c r="O175">
        <v>52825</v>
      </c>
      <c r="P175">
        <v>39</v>
      </c>
      <c r="Q175">
        <v>0</v>
      </c>
      <c r="R175">
        <v>0</v>
      </c>
      <c r="S175">
        <v>0</v>
      </c>
      <c r="T175">
        <v>133237</v>
      </c>
    </row>
    <row r="176" spans="1:20" x14ac:dyDescent="0.25">
      <c r="A176" t="s">
        <v>825</v>
      </c>
      <c r="B176" t="s">
        <v>872</v>
      </c>
      <c r="C176" t="s">
        <v>224</v>
      </c>
      <c r="D176" s="1">
        <v>14645</v>
      </c>
      <c r="E176" s="1">
        <v>74</v>
      </c>
      <c r="F176" s="1">
        <v>0</v>
      </c>
      <c r="G176" s="1">
        <v>0</v>
      </c>
      <c r="H176" s="1">
        <v>0</v>
      </c>
      <c r="I176" s="1">
        <v>8569</v>
      </c>
      <c r="J176" s="1">
        <v>1842</v>
      </c>
      <c r="K176" s="1"/>
      <c r="L176" t="s">
        <v>226</v>
      </c>
      <c r="M176" t="s">
        <v>872</v>
      </c>
      <c r="N176" t="s">
        <v>227</v>
      </c>
      <c r="O176">
        <v>23338</v>
      </c>
      <c r="P176">
        <v>17</v>
      </c>
      <c r="Q176">
        <v>0</v>
      </c>
      <c r="R176">
        <v>0</v>
      </c>
      <c r="S176">
        <v>0</v>
      </c>
      <c r="T176">
        <v>10733</v>
      </c>
    </row>
    <row r="177" spans="1:20" x14ac:dyDescent="0.25">
      <c r="A177" t="s">
        <v>788</v>
      </c>
      <c r="B177" t="s">
        <v>872</v>
      </c>
      <c r="C177" t="s">
        <v>225</v>
      </c>
      <c r="D177" s="1">
        <v>52825</v>
      </c>
      <c r="E177" s="1">
        <v>39</v>
      </c>
      <c r="F177" s="1">
        <v>0</v>
      </c>
      <c r="G177" s="1">
        <v>0</v>
      </c>
      <c r="H177" s="1">
        <v>0</v>
      </c>
      <c r="I177" s="1">
        <v>133237</v>
      </c>
      <c r="J177" s="1">
        <v>28095</v>
      </c>
      <c r="K177" s="1"/>
      <c r="L177" t="s">
        <v>226</v>
      </c>
      <c r="M177" t="s">
        <v>872</v>
      </c>
      <c r="N177" t="s">
        <v>228</v>
      </c>
      <c r="O177">
        <v>18209</v>
      </c>
      <c r="P177">
        <v>23</v>
      </c>
      <c r="Q177">
        <v>0</v>
      </c>
      <c r="R177">
        <v>0</v>
      </c>
      <c r="S177">
        <v>0</v>
      </c>
      <c r="T177">
        <v>15893</v>
      </c>
    </row>
    <row r="178" spans="1:20" x14ac:dyDescent="0.25">
      <c r="A178" t="s">
        <v>226</v>
      </c>
      <c r="B178" t="s">
        <v>872</v>
      </c>
      <c r="C178" t="s">
        <v>227</v>
      </c>
      <c r="D178" s="1">
        <v>23338</v>
      </c>
      <c r="E178" s="1">
        <v>17</v>
      </c>
      <c r="F178" s="1">
        <v>0</v>
      </c>
      <c r="G178" s="1">
        <v>0</v>
      </c>
      <c r="H178" s="1">
        <v>0</v>
      </c>
      <c r="I178" s="1">
        <v>10733</v>
      </c>
      <c r="J178" s="1">
        <v>5545</v>
      </c>
      <c r="K178" s="1"/>
      <c r="L178" t="s">
        <v>229</v>
      </c>
      <c r="M178" t="s">
        <v>872</v>
      </c>
      <c r="N178" t="s">
        <v>230</v>
      </c>
      <c r="O178">
        <v>17238</v>
      </c>
      <c r="P178">
        <v>25</v>
      </c>
      <c r="Q178">
        <v>0</v>
      </c>
      <c r="R178">
        <v>0</v>
      </c>
      <c r="S178">
        <v>0</v>
      </c>
      <c r="T178">
        <v>10233</v>
      </c>
    </row>
    <row r="179" spans="1:20" x14ac:dyDescent="0.25">
      <c r="A179" t="s">
        <v>226</v>
      </c>
      <c r="B179" t="s">
        <v>872</v>
      </c>
      <c r="C179" t="s">
        <v>228</v>
      </c>
      <c r="D179" s="1">
        <v>18209</v>
      </c>
      <c r="E179" s="1">
        <v>23</v>
      </c>
      <c r="F179" s="1">
        <v>0</v>
      </c>
      <c r="G179" s="1">
        <v>0</v>
      </c>
      <c r="H179" s="1">
        <v>0</v>
      </c>
      <c r="I179" s="1">
        <v>15893</v>
      </c>
      <c r="J179" s="1">
        <v>3042</v>
      </c>
      <c r="K179" s="1"/>
      <c r="L179" t="s">
        <v>231</v>
      </c>
      <c r="M179" t="s">
        <v>872</v>
      </c>
      <c r="N179" t="s">
        <v>232</v>
      </c>
      <c r="O179">
        <v>12062</v>
      </c>
      <c r="P179">
        <v>0</v>
      </c>
      <c r="Q179">
        <v>0</v>
      </c>
      <c r="R179">
        <v>0</v>
      </c>
      <c r="S179">
        <v>0</v>
      </c>
      <c r="T179">
        <v>1036</v>
      </c>
    </row>
    <row r="180" spans="1:20" x14ac:dyDescent="0.25">
      <c r="A180" t="s">
        <v>229</v>
      </c>
      <c r="B180" t="s">
        <v>872</v>
      </c>
      <c r="C180" t="s">
        <v>230</v>
      </c>
      <c r="D180" s="1">
        <v>17238</v>
      </c>
      <c r="E180" s="1">
        <v>25</v>
      </c>
      <c r="F180" s="1">
        <v>0</v>
      </c>
      <c r="G180" s="1">
        <v>0</v>
      </c>
      <c r="H180" s="1">
        <v>0</v>
      </c>
      <c r="I180" s="1">
        <v>10233</v>
      </c>
      <c r="J180" s="1">
        <v>5054</v>
      </c>
      <c r="K180" s="1"/>
      <c r="L180" t="s">
        <v>248</v>
      </c>
      <c r="M180" t="s">
        <v>872</v>
      </c>
      <c r="N180" t="s">
        <v>233</v>
      </c>
      <c r="O180">
        <v>14251</v>
      </c>
      <c r="P180">
        <v>65</v>
      </c>
      <c r="Q180">
        <v>0</v>
      </c>
      <c r="R180">
        <v>0</v>
      </c>
      <c r="S180">
        <v>0</v>
      </c>
      <c r="T180">
        <v>16486</v>
      </c>
    </row>
    <row r="181" spans="1:20" x14ac:dyDescent="0.25">
      <c r="A181" t="s">
        <v>231</v>
      </c>
      <c r="B181" t="s">
        <v>872</v>
      </c>
      <c r="C181" t="s">
        <v>232</v>
      </c>
      <c r="D181" s="1">
        <v>12062</v>
      </c>
      <c r="E181" s="1">
        <v>0</v>
      </c>
      <c r="F181" s="1">
        <v>0</v>
      </c>
      <c r="G181" s="1">
        <v>0</v>
      </c>
      <c r="H181" s="1">
        <v>0</v>
      </c>
      <c r="I181" s="1">
        <v>1036</v>
      </c>
      <c r="J181" s="1">
        <v>948</v>
      </c>
      <c r="K181" s="1"/>
      <c r="L181" t="s">
        <v>69</v>
      </c>
      <c r="M181" t="s">
        <v>872</v>
      </c>
      <c r="N181" t="s">
        <v>234</v>
      </c>
      <c r="O181">
        <v>120871</v>
      </c>
      <c r="P181">
        <v>134</v>
      </c>
      <c r="Q181">
        <v>0</v>
      </c>
      <c r="R181">
        <v>0</v>
      </c>
      <c r="S181">
        <v>0</v>
      </c>
      <c r="T181">
        <v>192807</v>
      </c>
    </row>
    <row r="182" spans="1:20" x14ac:dyDescent="0.25">
      <c r="A182" t="s">
        <v>248</v>
      </c>
      <c r="B182" t="s">
        <v>872</v>
      </c>
      <c r="C182" t="s">
        <v>233</v>
      </c>
      <c r="D182" s="1">
        <v>14251</v>
      </c>
      <c r="E182" s="1">
        <v>65</v>
      </c>
      <c r="F182" s="1">
        <v>0</v>
      </c>
      <c r="G182" s="1">
        <v>0</v>
      </c>
      <c r="H182" s="1">
        <v>0</v>
      </c>
      <c r="I182" s="1">
        <v>16486</v>
      </c>
      <c r="J182" s="1">
        <v>1204</v>
      </c>
      <c r="K182" s="1"/>
      <c r="L182" t="s">
        <v>795</v>
      </c>
      <c r="M182" t="s">
        <v>872</v>
      </c>
      <c r="N182" t="s">
        <v>235</v>
      </c>
      <c r="O182">
        <v>40448</v>
      </c>
      <c r="P182">
        <v>30</v>
      </c>
      <c r="Q182">
        <v>0</v>
      </c>
      <c r="R182">
        <v>0</v>
      </c>
      <c r="S182">
        <v>0</v>
      </c>
      <c r="T182">
        <v>811</v>
      </c>
    </row>
    <row r="183" spans="1:20" x14ac:dyDescent="0.25">
      <c r="A183" t="s">
        <v>69</v>
      </c>
      <c r="B183" t="s">
        <v>872</v>
      </c>
      <c r="C183" t="s">
        <v>234</v>
      </c>
      <c r="D183" s="1">
        <v>120871</v>
      </c>
      <c r="E183" s="1">
        <v>134</v>
      </c>
      <c r="F183" s="1">
        <v>0</v>
      </c>
      <c r="G183" s="1">
        <v>0</v>
      </c>
      <c r="H183" s="1">
        <v>0</v>
      </c>
      <c r="I183" s="1">
        <v>192807</v>
      </c>
      <c r="J183" s="1">
        <v>17571</v>
      </c>
      <c r="K183" s="1"/>
      <c r="L183" t="s">
        <v>795</v>
      </c>
      <c r="M183" t="s">
        <v>872</v>
      </c>
      <c r="N183" t="s">
        <v>236</v>
      </c>
      <c r="O183">
        <v>28259</v>
      </c>
      <c r="P183">
        <v>225</v>
      </c>
      <c r="Q183">
        <v>0</v>
      </c>
      <c r="R183">
        <v>0</v>
      </c>
      <c r="S183">
        <v>0</v>
      </c>
      <c r="T183">
        <v>22982</v>
      </c>
    </row>
    <row r="184" spans="1:20" x14ac:dyDescent="0.25">
      <c r="A184" t="s">
        <v>795</v>
      </c>
      <c r="B184" t="s">
        <v>872</v>
      </c>
      <c r="C184" t="s">
        <v>235</v>
      </c>
      <c r="D184" s="1">
        <v>40448</v>
      </c>
      <c r="E184" s="1">
        <v>30</v>
      </c>
      <c r="F184" s="1">
        <v>0</v>
      </c>
      <c r="G184" s="1">
        <v>0</v>
      </c>
      <c r="H184" s="1">
        <v>0</v>
      </c>
      <c r="I184" s="1">
        <v>811</v>
      </c>
      <c r="J184" s="1">
        <v>20956</v>
      </c>
      <c r="K184" s="1"/>
      <c r="L184" t="s">
        <v>801</v>
      </c>
      <c r="M184" t="s">
        <v>872</v>
      </c>
      <c r="N184" t="s">
        <v>237</v>
      </c>
      <c r="O184">
        <v>40272</v>
      </c>
      <c r="P184">
        <v>281</v>
      </c>
      <c r="Q184">
        <v>0</v>
      </c>
      <c r="R184">
        <v>0</v>
      </c>
      <c r="S184">
        <v>0</v>
      </c>
      <c r="T184">
        <v>24617</v>
      </c>
    </row>
    <row r="185" spans="1:20" x14ac:dyDescent="0.25">
      <c r="A185" t="s">
        <v>795</v>
      </c>
      <c r="B185" t="s">
        <v>872</v>
      </c>
      <c r="C185" t="s">
        <v>236</v>
      </c>
      <c r="D185" s="1">
        <v>28259</v>
      </c>
      <c r="E185" s="1">
        <v>225</v>
      </c>
      <c r="F185" s="1">
        <v>0</v>
      </c>
      <c r="G185" s="1">
        <v>0</v>
      </c>
      <c r="H185" s="1">
        <v>0</v>
      </c>
      <c r="I185" s="1">
        <v>22982</v>
      </c>
      <c r="J185" s="1">
        <v>13284</v>
      </c>
      <c r="K185" s="1"/>
      <c r="L185" t="s">
        <v>788</v>
      </c>
      <c r="M185" t="s">
        <v>872</v>
      </c>
      <c r="N185" t="s">
        <v>238</v>
      </c>
      <c r="O185">
        <v>22341</v>
      </c>
      <c r="P185">
        <v>0</v>
      </c>
      <c r="Q185">
        <v>0</v>
      </c>
      <c r="R185">
        <v>0</v>
      </c>
      <c r="S185">
        <v>0</v>
      </c>
      <c r="T185">
        <v>19369</v>
      </c>
    </row>
    <row r="186" spans="1:20" x14ac:dyDescent="0.25">
      <c r="A186" t="s">
        <v>801</v>
      </c>
      <c r="B186" t="s">
        <v>872</v>
      </c>
      <c r="C186" t="s">
        <v>237</v>
      </c>
      <c r="D186" s="1">
        <v>40272</v>
      </c>
      <c r="E186" s="1">
        <v>281</v>
      </c>
      <c r="F186" s="1">
        <v>0</v>
      </c>
      <c r="G186" s="1">
        <v>0</v>
      </c>
      <c r="H186" s="1">
        <v>0</v>
      </c>
      <c r="I186" s="1">
        <v>24617</v>
      </c>
      <c r="J186" s="1">
        <v>4371</v>
      </c>
      <c r="K186" s="1"/>
      <c r="L186" t="s">
        <v>791</v>
      </c>
      <c r="M186" t="s">
        <v>872</v>
      </c>
      <c r="N186" t="s">
        <v>239</v>
      </c>
      <c r="O186">
        <v>8671</v>
      </c>
      <c r="P186">
        <v>2</v>
      </c>
      <c r="Q186">
        <v>0</v>
      </c>
      <c r="R186">
        <v>0</v>
      </c>
      <c r="S186">
        <v>0</v>
      </c>
      <c r="T186">
        <v>3421</v>
      </c>
    </row>
    <row r="187" spans="1:20" x14ac:dyDescent="0.25">
      <c r="A187" t="s">
        <v>788</v>
      </c>
      <c r="B187" t="s">
        <v>872</v>
      </c>
      <c r="C187" t="s">
        <v>238</v>
      </c>
      <c r="D187" s="1">
        <v>22341</v>
      </c>
      <c r="E187" s="1">
        <v>0</v>
      </c>
      <c r="F187" s="1">
        <v>0</v>
      </c>
      <c r="G187" s="1">
        <v>0</v>
      </c>
      <c r="H187" s="1">
        <v>0</v>
      </c>
      <c r="I187" s="1">
        <v>19369</v>
      </c>
      <c r="J187" s="1">
        <v>3801</v>
      </c>
      <c r="K187" s="1"/>
      <c r="L187" t="s">
        <v>801</v>
      </c>
      <c r="M187" t="s">
        <v>872</v>
      </c>
      <c r="N187" t="s">
        <v>240</v>
      </c>
      <c r="O187">
        <v>62265</v>
      </c>
      <c r="P187">
        <v>255</v>
      </c>
      <c r="Q187">
        <v>0</v>
      </c>
      <c r="R187">
        <v>0</v>
      </c>
      <c r="S187">
        <v>0</v>
      </c>
      <c r="T187">
        <v>17414</v>
      </c>
    </row>
    <row r="188" spans="1:20" x14ac:dyDescent="0.25">
      <c r="A188" t="s">
        <v>791</v>
      </c>
      <c r="B188" t="s">
        <v>872</v>
      </c>
      <c r="C188" t="s">
        <v>239</v>
      </c>
      <c r="D188" s="1">
        <v>8671</v>
      </c>
      <c r="E188" s="1">
        <v>2</v>
      </c>
      <c r="F188" s="1">
        <v>0</v>
      </c>
      <c r="G188" s="1">
        <v>0</v>
      </c>
      <c r="H188" s="1">
        <v>0</v>
      </c>
      <c r="I188" s="1">
        <v>3421</v>
      </c>
      <c r="J188" s="1">
        <v>2004</v>
      </c>
      <c r="K188" s="1"/>
      <c r="L188" t="s">
        <v>788</v>
      </c>
      <c r="M188" t="s">
        <v>872</v>
      </c>
      <c r="N188" t="s">
        <v>241</v>
      </c>
      <c r="O188">
        <v>82005</v>
      </c>
      <c r="P188">
        <v>26</v>
      </c>
      <c r="Q188">
        <v>0</v>
      </c>
      <c r="R188">
        <v>0</v>
      </c>
      <c r="S188">
        <v>0</v>
      </c>
      <c r="T188">
        <v>34511</v>
      </c>
    </row>
    <row r="189" spans="1:20" x14ac:dyDescent="0.25">
      <c r="A189" t="s">
        <v>801</v>
      </c>
      <c r="B189" t="s">
        <v>872</v>
      </c>
      <c r="C189" t="s">
        <v>240</v>
      </c>
      <c r="D189" s="1">
        <v>62265</v>
      </c>
      <c r="E189" s="1">
        <v>255</v>
      </c>
      <c r="F189" s="1">
        <v>0</v>
      </c>
      <c r="G189" s="1">
        <v>0</v>
      </c>
      <c r="H189" s="1">
        <v>0</v>
      </c>
      <c r="I189" s="1">
        <v>17414</v>
      </c>
      <c r="J189" s="1">
        <v>2035</v>
      </c>
      <c r="K189" s="1"/>
      <c r="L189" t="s">
        <v>138</v>
      </c>
      <c r="M189" t="s">
        <v>872</v>
      </c>
      <c r="N189" t="s">
        <v>242</v>
      </c>
      <c r="O189">
        <v>43523</v>
      </c>
      <c r="P189">
        <v>36</v>
      </c>
      <c r="Q189">
        <v>0</v>
      </c>
      <c r="R189">
        <v>0</v>
      </c>
      <c r="S189">
        <v>0</v>
      </c>
      <c r="T189">
        <v>13573</v>
      </c>
    </row>
    <row r="190" spans="1:20" x14ac:dyDescent="0.25">
      <c r="A190" t="s">
        <v>788</v>
      </c>
      <c r="B190" t="s">
        <v>872</v>
      </c>
      <c r="C190" t="s">
        <v>241</v>
      </c>
      <c r="D190" s="1">
        <v>82005</v>
      </c>
      <c r="E190" s="1">
        <v>26</v>
      </c>
      <c r="F190" s="1">
        <v>0</v>
      </c>
      <c r="G190" s="1">
        <v>0</v>
      </c>
      <c r="H190" s="1">
        <v>0</v>
      </c>
      <c r="I190" s="1">
        <v>34511</v>
      </c>
      <c r="J190" s="1">
        <v>18112</v>
      </c>
      <c r="K190" s="1"/>
      <c r="L190" t="s">
        <v>512</v>
      </c>
      <c r="M190" t="s">
        <v>872</v>
      </c>
      <c r="N190" t="s">
        <v>243</v>
      </c>
      <c r="O190">
        <v>8659</v>
      </c>
      <c r="P190">
        <v>6</v>
      </c>
      <c r="Q190">
        <v>0</v>
      </c>
      <c r="R190">
        <v>0</v>
      </c>
      <c r="S190">
        <v>0</v>
      </c>
      <c r="T190">
        <v>504</v>
      </c>
    </row>
    <row r="191" spans="1:20" x14ac:dyDescent="0.25">
      <c r="A191" t="s">
        <v>138</v>
      </c>
      <c r="B191" t="s">
        <v>872</v>
      </c>
      <c r="C191" t="s">
        <v>242</v>
      </c>
      <c r="D191" s="1">
        <v>43523</v>
      </c>
      <c r="E191" s="1">
        <v>36</v>
      </c>
      <c r="F191" s="1">
        <v>0</v>
      </c>
      <c r="G191" s="1">
        <v>0</v>
      </c>
      <c r="H191" s="1">
        <v>0</v>
      </c>
      <c r="I191" s="1">
        <v>13573</v>
      </c>
      <c r="J191" s="1">
        <v>5631</v>
      </c>
      <c r="K191" s="1"/>
      <c r="L191" t="s">
        <v>796</v>
      </c>
      <c r="M191" t="s">
        <v>872</v>
      </c>
      <c r="N191" t="s">
        <v>244</v>
      </c>
      <c r="O191">
        <v>73973</v>
      </c>
      <c r="P191">
        <v>555</v>
      </c>
      <c r="Q191">
        <v>0</v>
      </c>
      <c r="R191">
        <v>0</v>
      </c>
      <c r="S191">
        <v>0</v>
      </c>
      <c r="T191">
        <v>98614</v>
      </c>
    </row>
    <row r="192" spans="1:20" x14ac:dyDescent="0.25">
      <c r="A192" t="s">
        <v>512</v>
      </c>
      <c r="B192" t="s">
        <v>872</v>
      </c>
      <c r="C192" t="s">
        <v>243</v>
      </c>
      <c r="D192" s="1">
        <v>8659</v>
      </c>
      <c r="E192" s="1">
        <v>6</v>
      </c>
      <c r="F192" s="1">
        <v>0</v>
      </c>
      <c r="G192" s="1">
        <v>0</v>
      </c>
      <c r="H192" s="1">
        <v>0</v>
      </c>
      <c r="I192" s="1">
        <v>504</v>
      </c>
      <c r="J192" s="1">
        <v>1037</v>
      </c>
      <c r="K192" s="1"/>
      <c r="L192" t="s">
        <v>146</v>
      </c>
      <c r="M192" t="s">
        <v>872</v>
      </c>
      <c r="N192" t="s">
        <v>245</v>
      </c>
      <c r="O192">
        <v>22819</v>
      </c>
      <c r="P192">
        <v>68</v>
      </c>
      <c r="Q192">
        <v>0</v>
      </c>
      <c r="R192">
        <v>0</v>
      </c>
      <c r="S192">
        <v>0</v>
      </c>
      <c r="T192">
        <v>26490</v>
      </c>
    </row>
    <row r="193" spans="1:20" x14ac:dyDescent="0.25">
      <c r="A193" t="s">
        <v>796</v>
      </c>
      <c r="B193" t="s">
        <v>872</v>
      </c>
      <c r="C193" t="s">
        <v>244</v>
      </c>
      <c r="D193" s="1">
        <v>73973</v>
      </c>
      <c r="E193" s="1">
        <v>555</v>
      </c>
      <c r="F193" s="1">
        <v>0</v>
      </c>
      <c r="G193" s="1">
        <v>0</v>
      </c>
      <c r="H193" s="1">
        <v>0</v>
      </c>
      <c r="I193" s="1">
        <v>98614</v>
      </c>
      <c r="J193" s="1">
        <v>15617</v>
      </c>
      <c r="K193" s="1"/>
      <c r="L193" t="s">
        <v>831</v>
      </c>
      <c r="M193" t="s">
        <v>872</v>
      </c>
      <c r="N193" t="s">
        <v>246</v>
      </c>
      <c r="O193">
        <v>4079</v>
      </c>
      <c r="P193">
        <v>8</v>
      </c>
      <c r="Q193">
        <v>0</v>
      </c>
      <c r="R193">
        <v>0</v>
      </c>
      <c r="S193">
        <v>0</v>
      </c>
      <c r="T193">
        <v>1314</v>
      </c>
    </row>
    <row r="194" spans="1:20" x14ac:dyDescent="0.25">
      <c r="A194" t="s">
        <v>146</v>
      </c>
      <c r="B194" t="s">
        <v>872</v>
      </c>
      <c r="C194" t="s">
        <v>245</v>
      </c>
      <c r="D194" s="1">
        <v>22819</v>
      </c>
      <c r="E194" s="1">
        <v>68</v>
      </c>
      <c r="F194" s="1">
        <v>0</v>
      </c>
      <c r="G194" s="1">
        <v>0</v>
      </c>
      <c r="H194" s="1">
        <v>0</v>
      </c>
      <c r="I194" s="1">
        <v>26490</v>
      </c>
      <c r="J194" s="1">
        <v>4852</v>
      </c>
      <c r="K194" s="1"/>
      <c r="L194" t="s">
        <v>791</v>
      </c>
      <c r="M194" t="s">
        <v>872</v>
      </c>
      <c r="N194" t="s">
        <v>247</v>
      </c>
      <c r="O194">
        <v>9349</v>
      </c>
      <c r="P194">
        <v>305</v>
      </c>
      <c r="Q194">
        <v>0</v>
      </c>
      <c r="R194">
        <v>0</v>
      </c>
      <c r="S194">
        <v>0</v>
      </c>
      <c r="T194">
        <v>2921</v>
      </c>
    </row>
    <row r="195" spans="1:20" x14ac:dyDescent="0.25">
      <c r="A195" t="s">
        <v>831</v>
      </c>
      <c r="B195" t="s">
        <v>872</v>
      </c>
      <c r="C195" t="s">
        <v>246</v>
      </c>
      <c r="D195" s="1">
        <v>4079</v>
      </c>
      <c r="E195" s="1">
        <v>8</v>
      </c>
      <c r="F195" s="1">
        <v>0</v>
      </c>
      <c r="G195" s="1">
        <v>0</v>
      </c>
      <c r="H195" s="1">
        <v>0</v>
      </c>
      <c r="I195" s="1">
        <v>1314</v>
      </c>
      <c r="J195" s="1">
        <v>988</v>
      </c>
      <c r="K195" s="1"/>
      <c r="L195" t="s">
        <v>248</v>
      </c>
      <c r="M195" t="s">
        <v>872</v>
      </c>
      <c r="N195" t="s">
        <v>249</v>
      </c>
      <c r="O195">
        <v>49055</v>
      </c>
      <c r="P195">
        <v>328</v>
      </c>
      <c r="Q195">
        <v>0</v>
      </c>
      <c r="R195">
        <v>0</v>
      </c>
      <c r="S195">
        <v>0</v>
      </c>
      <c r="T195">
        <v>59752</v>
      </c>
    </row>
    <row r="196" spans="1:20" x14ac:dyDescent="0.25">
      <c r="A196" t="s">
        <v>791</v>
      </c>
      <c r="B196" t="s">
        <v>872</v>
      </c>
      <c r="C196" t="s">
        <v>247</v>
      </c>
      <c r="D196" s="1">
        <v>9349</v>
      </c>
      <c r="E196" s="1">
        <v>305</v>
      </c>
      <c r="F196" s="1">
        <v>0</v>
      </c>
      <c r="G196" s="1">
        <v>0</v>
      </c>
      <c r="H196" s="1">
        <v>0</v>
      </c>
      <c r="I196" s="1">
        <v>2921</v>
      </c>
      <c r="J196" s="1">
        <v>4927</v>
      </c>
      <c r="K196" s="1"/>
      <c r="L196" t="s">
        <v>865</v>
      </c>
      <c r="M196" t="s">
        <v>872</v>
      </c>
      <c r="N196" t="s">
        <v>250</v>
      </c>
      <c r="O196">
        <v>18095</v>
      </c>
      <c r="P196">
        <v>29</v>
      </c>
      <c r="Q196">
        <v>0</v>
      </c>
      <c r="R196">
        <v>0</v>
      </c>
      <c r="S196">
        <v>0</v>
      </c>
      <c r="T196">
        <v>9336</v>
      </c>
    </row>
    <row r="197" spans="1:20" x14ac:dyDescent="0.25">
      <c r="A197" t="s">
        <v>248</v>
      </c>
      <c r="B197" t="s">
        <v>872</v>
      </c>
      <c r="C197" t="s">
        <v>249</v>
      </c>
      <c r="D197" s="1">
        <v>49055</v>
      </c>
      <c r="E197" s="1">
        <v>328</v>
      </c>
      <c r="F197" s="1">
        <v>0</v>
      </c>
      <c r="G197" s="1">
        <v>0</v>
      </c>
      <c r="H197" s="1">
        <v>0</v>
      </c>
      <c r="I197" s="1">
        <v>59752</v>
      </c>
      <c r="J197" s="1">
        <v>9314</v>
      </c>
      <c r="K197" s="1"/>
      <c r="L197" t="s">
        <v>248</v>
      </c>
      <c r="M197" t="s">
        <v>872</v>
      </c>
      <c r="N197" t="s">
        <v>251</v>
      </c>
      <c r="O197">
        <v>32102</v>
      </c>
      <c r="P197">
        <v>669</v>
      </c>
      <c r="Q197">
        <v>0</v>
      </c>
      <c r="R197">
        <v>0</v>
      </c>
      <c r="S197">
        <v>0</v>
      </c>
      <c r="T197">
        <v>29818</v>
      </c>
    </row>
    <row r="198" spans="1:20" x14ac:dyDescent="0.25">
      <c r="A198" t="s">
        <v>865</v>
      </c>
      <c r="B198" t="s">
        <v>872</v>
      </c>
      <c r="C198" t="s">
        <v>250</v>
      </c>
      <c r="D198" s="1">
        <v>18095</v>
      </c>
      <c r="E198" s="1">
        <v>29</v>
      </c>
      <c r="F198" s="1">
        <v>0</v>
      </c>
      <c r="G198" s="1">
        <v>0</v>
      </c>
      <c r="H198" s="1">
        <v>0</v>
      </c>
      <c r="I198" s="1">
        <v>9336</v>
      </c>
      <c r="J198" s="1">
        <v>2392</v>
      </c>
      <c r="K198" s="1"/>
      <c r="L198" t="s">
        <v>795</v>
      </c>
      <c r="M198" t="s">
        <v>872</v>
      </c>
      <c r="N198" t="s">
        <v>252</v>
      </c>
      <c r="O198">
        <v>33310</v>
      </c>
      <c r="P198">
        <v>98</v>
      </c>
      <c r="Q198">
        <v>0</v>
      </c>
      <c r="R198">
        <v>0</v>
      </c>
      <c r="S198">
        <v>0</v>
      </c>
      <c r="T198">
        <v>14970</v>
      </c>
    </row>
    <row r="199" spans="1:20" x14ac:dyDescent="0.25">
      <c r="A199" t="s">
        <v>248</v>
      </c>
      <c r="B199" t="s">
        <v>872</v>
      </c>
      <c r="C199" t="s">
        <v>251</v>
      </c>
      <c r="D199" s="1">
        <v>32102</v>
      </c>
      <c r="E199" s="1">
        <v>669</v>
      </c>
      <c r="F199" s="1">
        <v>0</v>
      </c>
      <c r="G199" s="1">
        <v>0</v>
      </c>
      <c r="H199" s="1">
        <v>0</v>
      </c>
      <c r="I199" s="1">
        <v>29818</v>
      </c>
      <c r="J199" s="1">
        <v>5459</v>
      </c>
      <c r="K199" s="1"/>
      <c r="L199" t="s">
        <v>248</v>
      </c>
      <c r="M199" t="s">
        <v>872</v>
      </c>
      <c r="N199" t="s">
        <v>253</v>
      </c>
      <c r="O199">
        <v>59150</v>
      </c>
      <c r="P199">
        <v>230</v>
      </c>
      <c r="Q199">
        <v>0</v>
      </c>
      <c r="R199">
        <v>0</v>
      </c>
      <c r="S199">
        <v>0</v>
      </c>
      <c r="T199">
        <v>21537</v>
      </c>
    </row>
    <row r="200" spans="1:20" x14ac:dyDescent="0.25">
      <c r="A200" t="s">
        <v>795</v>
      </c>
      <c r="B200" t="s">
        <v>872</v>
      </c>
      <c r="C200" t="s">
        <v>252</v>
      </c>
      <c r="D200" s="1">
        <v>33310</v>
      </c>
      <c r="E200" s="1">
        <v>98</v>
      </c>
      <c r="F200" s="1">
        <v>0</v>
      </c>
      <c r="G200" s="1">
        <v>0</v>
      </c>
      <c r="H200" s="1">
        <v>0</v>
      </c>
      <c r="I200" s="1">
        <v>14970</v>
      </c>
      <c r="J200" s="1">
        <v>10231</v>
      </c>
      <c r="K200" s="1"/>
      <c r="L200" t="s">
        <v>823</v>
      </c>
      <c r="M200" t="s">
        <v>872</v>
      </c>
      <c r="N200" t="s">
        <v>254</v>
      </c>
      <c r="O200">
        <v>35927</v>
      </c>
      <c r="P200">
        <v>175</v>
      </c>
      <c r="Q200">
        <v>0</v>
      </c>
      <c r="R200">
        <v>0</v>
      </c>
      <c r="S200">
        <v>0</v>
      </c>
      <c r="T200">
        <v>6832</v>
      </c>
    </row>
    <row r="201" spans="1:20" x14ac:dyDescent="0.25">
      <c r="A201" t="s">
        <v>248</v>
      </c>
      <c r="B201" t="s">
        <v>872</v>
      </c>
      <c r="C201" t="s">
        <v>253</v>
      </c>
      <c r="D201" s="1">
        <v>59150</v>
      </c>
      <c r="E201" s="1">
        <v>230</v>
      </c>
      <c r="F201" s="1">
        <v>0</v>
      </c>
      <c r="G201" s="1">
        <v>0</v>
      </c>
      <c r="H201" s="1">
        <v>0</v>
      </c>
      <c r="I201" s="1">
        <v>21537</v>
      </c>
      <c r="J201" s="1">
        <v>10515</v>
      </c>
      <c r="K201" s="1"/>
      <c r="L201" t="s">
        <v>67</v>
      </c>
      <c r="M201" t="s">
        <v>872</v>
      </c>
      <c r="N201" t="s">
        <v>255</v>
      </c>
      <c r="O201">
        <v>32927</v>
      </c>
      <c r="P201">
        <v>103</v>
      </c>
      <c r="Q201">
        <v>0</v>
      </c>
      <c r="R201">
        <v>0</v>
      </c>
      <c r="S201">
        <v>0</v>
      </c>
      <c r="T201">
        <v>28151</v>
      </c>
    </row>
    <row r="202" spans="1:20" x14ac:dyDescent="0.25">
      <c r="A202" t="s">
        <v>823</v>
      </c>
      <c r="B202" t="s">
        <v>872</v>
      </c>
      <c r="C202" t="s">
        <v>254</v>
      </c>
      <c r="D202" s="1">
        <v>35927</v>
      </c>
      <c r="E202" s="1">
        <v>175</v>
      </c>
      <c r="F202" s="1">
        <v>0</v>
      </c>
      <c r="G202" s="1">
        <v>0</v>
      </c>
      <c r="H202" s="1">
        <v>0</v>
      </c>
      <c r="I202" s="1">
        <v>6832</v>
      </c>
      <c r="J202" s="1">
        <v>11453</v>
      </c>
      <c r="K202" s="1"/>
      <c r="L202" t="s">
        <v>72</v>
      </c>
      <c r="M202" t="s">
        <v>872</v>
      </c>
      <c r="N202" t="s">
        <v>256</v>
      </c>
      <c r="O202">
        <v>17299</v>
      </c>
      <c r="P202">
        <v>15</v>
      </c>
      <c r="Q202">
        <v>0</v>
      </c>
      <c r="R202">
        <v>0</v>
      </c>
      <c r="S202">
        <v>0</v>
      </c>
      <c r="T202">
        <v>5983</v>
      </c>
    </row>
    <row r="203" spans="1:20" x14ac:dyDescent="0.25">
      <c r="A203" t="s">
        <v>67</v>
      </c>
      <c r="B203" t="s">
        <v>872</v>
      </c>
      <c r="C203" t="s">
        <v>255</v>
      </c>
      <c r="D203" s="1">
        <v>32927</v>
      </c>
      <c r="E203" s="1">
        <v>103</v>
      </c>
      <c r="F203" s="1">
        <v>0</v>
      </c>
      <c r="G203" s="1">
        <v>0</v>
      </c>
      <c r="H203" s="1">
        <v>0</v>
      </c>
      <c r="I203" s="1">
        <v>28151</v>
      </c>
      <c r="J203" s="1">
        <v>4721</v>
      </c>
      <c r="K203" s="1"/>
      <c r="L203" t="s">
        <v>138</v>
      </c>
      <c r="M203" t="s">
        <v>872</v>
      </c>
      <c r="N203" t="s">
        <v>257</v>
      </c>
      <c r="O203">
        <v>54359</v>
      </c>
      <c r="P203">
        <v>2771</v>
      </c>
      <c r="Q203">
        <v>0</v>
      </c>
      <c r="R203">
        <v>0</v>
      </c>
      <c r="S203">
        <v>0</v>
      </c>
      <c r="T203">
        <v>9697</v>
      </c>
    </row>
    <row r="204" spans="1:20" x14ac:dyDescent="0.25">
      <c r="A204" t="s">
        <v>72</v>
      </c>
      <c r="B204" t="s">
        <v>872</v>
      </c>
      <c r="C204" t="s">
        <v>256</v>
      </c>
      <c r="D204" s="1">
        <v>17299</v>
      </c>
      <c r="E204" s="1">
        <v>15</v>
      </c>
      <c r="F204" s="1">
        <v>0</v>
      </c>
      <c r="G204" s="1">
        <v>0</v>
      </c>
      <c r="H204" s="1">
        <v>0</v>
      </c>
      <c r="I204" s="1">
        <v>5983</v>
      </c>
      <c r="J204" s="1">
        <v>2790</v>
      </c>
      <c r="K204" s="1"/>
      <c r="L204" t="s">
        <v>817</v>
      </c>
      <c r="M204" t="s">
        <v>872</v>
      </c>
      <c r="N204" t="s">
        <v>258</v>
      </c>
      <c r="O204">
        <v>35350</v>
      </c>
      <c r="P204">
        <v>695</v>
      </c>
      <c r="Q204">
        <v>0</v>
      </c>
      <c r="R204">
        <v>0</v>
      </c>
      <c r="S204">
        <v>0</v>
      </c>
      <c r="T204">
        <v>85939</v>
      </c>
    </row>
    <row r="205" spans="1:20" x14ac:dyDescent="0.25">
      <c r="A205" t="s">
        <v>138</v>
      </c>
      <c r="B205" t="s">
        <v>872</v>
      </c>
      <c r="C205" t="s">
        <v>257</v>
      </c>
      <c r="D205" s="1">
        <v>54359</v>
      </c>
      <c r="E205" s="1">
        <v>2771</v>
      </c>
      <c r="F205" s="1">
        <v>0</v>
      </c>
      <c r="G205" s="1">
        <v>0</v>
      </c>
      <c r="H205" s="1">
        <v>0</v>
      </c>
      <c r="I205" s="1">
        <v>9697</v>
      </c>
      <c r="J205" s="1">
        <v>10167</v>
      </c>
      <c r="K205" s="1"/>
      <c r="L205" t="s">
        <v>795</v>
      </c>
      <c r="M205" t="s">
        <v>872</v>
      </c>
      <c r="N205" t="s">
        <v>259</v>
      </c>
      <c r="O205">
        <v>89996</v>
      </c>
      <c r="P205">
        <v>535</v>
      </c>
      <c r="Q205">
        <v>0</v>
      </c>
      <c r="R205">
        <v>0</v>
      </c>
      <c r="S205">
        <v>0</v>
      </c>
      <c r="T205">
        <v>27820</v>
      </c>
    </row>
    <row r="206" spans="1:20" x14ac:dyDescent="0.25">
      <c r="A206" t="s">
        <v>817</v>
      </c>
      <c r="B206" t="s">
        <v>872</v>
      </c>
      <c r="C206" t="s">
        <v>258</v>
      </c>
      <c r="D206" s="1">
        <v>35350</v>
      </c>
      <c r="E206" s="1">
        <v>695</v>
      </c>
      <c r="F206" s="1">
        <v>0</v>
      </c>
      <c r="G206" s="1">
        <v>0</v>
      </c>
      <c r="H206" s="1">
        <v>0</v>
      </c>
      <c r="I206" s="1">
        <v>85939</v>
      </c>
      <c r="J206" s="1">
        <v>12103</v>
      </c>
      <c r="K206" s="1"/>
      <c r="L206" t="s">
        <v>864</v>
      </c>
      <c r="M206" t="s">
        <v>872</v>
      </c>
      <c r="N206" t="s">
        <v>260</v>
      </c>
      <c r="O206">
        <v>39982</v>
      </c>
      <c r="P206">
        <v>495</v>
      </c>
      <c r="Q206">
        <v>0</v>
      </c>
      <c r="R206">
        <v>0</v>
      </c>
      <c r="S206">
        <v>0</v>
      </c>
      <c r="T206">
        <v>36818</v>
      </c>
    </row>
    <row r="207" spans="1:20" x14ac:dyDescent="0.25">
      <c r="A207" t="s">
        <v>795</v>
      </c>
      <c r="B207" t="s">
        <v>872</v>
      </c>
      <c r="C207" t="s">
        <v>259</v>
      </c>
      <c r="D207" s="1">
        <v>89996</v>
      </c>
      <c r="E207" s="1">
        <v>535</v>
      </c>
      <c r="F207" s="1">
        <v>0</v>
      </c>
      <c r="G207" s="1">
        <v>0</v>
      </c>
      <c r="H207" s="1">
        <v>0</v>
      </c>
      <c r="I207" s="1">
        <v>27820</v>
      </c>
      <c r="J207" s="1">
        <v>24649</v>
      </c>
      <c r="K207" s="1"/>
      <c r="L207" t="s">
        <v>826</v>
      </c>
      <c r="M207" t="s">
        <v>872</v>
      </c>
      <c r="N207" t="s">
        <v>261</v>
      </c>
      <c r="O207">
        <v>1950</v>
      </c>
      <c r="P207">
        <v>15</v>
      </c>
      <c r="Q207">
        <v>0</v>
      </c>
      <c r="R207">
        <v>0</v>
      </c>
      <c r="S207">
        <v>0</v>
      </c>
      <c r="T207">
        <v>1010</v>
      </c>
    </row>
    <row r="208" spans="1:20" x14ac:dyDescent="0.25">
      <c r="A208" t="s">
        <v>864</v>
      </c>
      <c r="B208" t="s">
        <v>872</v>
      </c>
      <c r="C208" t="s">
        <v>260</v>
      </c>
      <c r="D208" s="1">
        <v>39982</v>
      </c>
      <c r="E208" s="1">
        <v>495</v>
      </c>
      <c r="F208" s="1">
        <v>0</v>
      </c>
      <c r="G208" s="1">
        <v>0</v>
      </c>
      <c r="H208" s="1">
        <v>0</v>
      </c>
      <c r="I208" s="1">
        <v>36818</v>
      </c>
      <c r="J208" s="1">
        <v>14643</v>
      </c>
      <c r="K208" s="1"/>
      <c r="L208" t="s">
        <v>801</v>
      </c>
      <c r="M208" t="s">
        <v>872</v>
      </c>
      <c r="N208" t="s">
        <v>262</v>
      </c>
      <c r="O208">
        <v>55470</v>
      </c>
      <c r="P208">
        <v>650</v>
      </c>
      <c r="Q208">
        <v>0</v>
      </c>
      <c r="R208">
        <v>0</v>
      </c>
      <c r="S208">
        <v>0</v>
      </c>
      <c r="T208">
        <v>75341</v>
      </c>
    </row>
    <row r="209" spans="1:20" x14ac:dyDescent="0.25">
      <c r="A209" t="s">
        <v>826</v>
      </c>
      <c r="B209" t="s">
        <v>872</v>
      </c>
      <c r="C209" t="s">
        <v>261</v>
      </c>
      <c r="D209" s="1">
        <v>1950</v>
      </c>
      <c r="E209" s="1">
        <v>15</v>
      </c>
      <c r="F209" s="1">
        <v>0</v>
      </c>
      <c r="G209" s="1">
        <v>0</v>
      </c>
      <c r="H209" s="1">
        <v>0</v>
      </c>
      <c r="I209" s="1">
        <v>1010</v>
      </c>
      <c r="J209" s="1">
        <v>978</v>
      </c>
      <c r="K209" s="1"/>
      <c r="L209" t="s">
        <v>120</v>
      </c>
      <c r="M209" t="s">
        <v>872</v>
      </c>
      <c r="N209" t="s">
        <v>263</v>
      </c>
      <c r="O209">
        <v>26131</v>
      </c>
      <c r="P209">
        <v>16</v>
      </c>
      <c r="Q209">
        <v>0</v>
      </c>
      <c r="R209">
        <v>0</v>
      </c>
      <c r="S209">
        <v>0</v>
      </c>
      <c r="T209">
        <v>2520</v>
      </c>
    </row>
    <row r="210" spans="1:20" x14ac:dyDescent="0.25">
      <c r="A210" t="s">
        <v>801</v>
      </c>
      <c r="B210" t="s">
        <v>872</v>
      </c>
      <c r="C210" t="s">
        <v>262</v>
      </c>
      <c r="D210" s="1">
        <v>55470</v>
      </c>
      <c r="E210" s="1">
        <v>650</v>
      </c>
      <c r="F210" s="1">
        <v>0</v>
      </c>
      <c r="G210" s="1">
        <v>0</v>
      </c>
      <c r="H210" s="1">
        <v>0</v>
      </c>
      <c r="I210" s="1">
        <v>75341</v>
      </c>
      <c r="J210" s="1">
        <v>15812</v>
      </c>
      <c r="K210" s="1"/>
      <c r="L210" t="s">
        <v>868</v>
      </c>
      <c r="M210" t="s">
        <v>872</v>
      </c>
      <c r="N210" t="s">
        <v>264</v>
      </c>
      <c r="O210">
        <v>14460</v>
      </c>
      <c r="P210">
        <v>24</v>
      </c>
      <c r="Q210">
        <v>0</v>
      </c>
      <c r="R210">
        <v>0</v>
      </c>
      <c r="S210">
        <v>0</v>
      </c>
      <c r="T210">
        <v>7044</v>
      </c>
    </row>
    <row r="211" spans="1:20" x14ac:dyDescent="0.25">
      <c r="A211" t="s">
        <v>120</v>
      </c>
      <c r="B211" t="s">
        <v>872</v>
      </c>
      <c r="C211" t="s">
        <v>263</v>
      </c>
      <c r="D211" s="1">
        <v>26131</v>
      </c>
      <c r="E211" s="1">
        <v>16</v>
      </c>
      <c r="F211" s="1">
        <v>0</v>
      </c>
      <c r="G211" s="1">
        <v>0</v>
      </c>
      <c r="H211" s="1">
        <v>0</v>
      </c>
      <c r="I211" s="1">
        <v>2520</v>
      </c>
      <c r="J211" s="1">
        <v>1731</v>
      </c>
      <c r="K211" s="1"/>
      <c r="L211" t="s">
        <v>265</v>
      </c>
      <c r="M211" t="s">
        <v>872</v>
      </c>
      <c r="N211" t="s">
        <v>266</v>
      </c>
      <c r="O211">
        <v>83030</v>
      </c>
      <c r="P211">
        <v>497</v>
      </c>
      <c r="Q211">
        <v>0</v>
      </c>
      <c r="R211">
        <v>0</v>
      </c>
      <c r="S211">
        <v>0</v>
      </c>
      <c r="T211">
        <v>44281</v>
      </c>
    </row>
    <row r="212" spans="1:20" x14ac:dyDescent="0.25">
      <c r="A212" t="s">
        <v>868</v>
      </c>
      <c r="B212" t="s">
        <v>872</v>
      </c>
      <c r="C212" t="s">
        <v>264</v>
      </c>
      <c r="D212" s="1">
        <v>14460</v>
      </c>
      <c r="E212" s="1">
        <v>24</v>
      </c>
      <c r="F212" s="1">
        <v>0</v>
      </c>
      <c r="G212" s="1">
        <v>0</v>
      </c>
      <c r="H212" s="1">
        <v>0</v>
      </c>
      <c r="I212" s="1">
        <v>7044</v>
      </c>
      <c r="J212" s="1">
        <v>2766</v>
      </c>
      <c r="K212" s="1"/>
      <c r="L212" t="s">
        <v>797</v>
      </c>
      <c r="M212" t="s">
        <v>872</v>
      </c>
      <c r="N212" t="s">
        <v>267</v>
      </c>
      <c r="O212">
        <v>79774</v>
      </c>
      <c r="P212">
        <v>1550</v>
      </c>
      <c r="Q212">
        <v>0</v>
      </c>
      <c r="R212">
        <v>0</v>
      </c>
      <c r="S212">
        <v>0</v>
      </c>
      <c r="T212">
        <v>46774</v>
      </c>
    </row>
    <row r="213" spans="1:20" x14ac:dyDescent="0.25">
      <c r="A213" t="s">
        <v>265</v>
      </c>
      <c r="B213" t="s">
        <v>872</v>
      </c>
      <c r="C213" t="s">
        <v>266</v>
      </c>
      <c r="D213" s="1">
        <v>83030</v>
      </c>
      <c r="E213" s="1">
        <v>497</v>
      </c>
      <c r="F213" s="1">
        <v>0</v>
      </c>
      <c r="G213" s="1">
        <v>0</v>
      </c>
      <c r="H213" s="1">
        <v>0</v>
      </c>
      <c r="I213" s="1">
        <v>44281</v>
      </c>
      <c r="J213" s="1">
        <v>17225</v>
      </c>
      <c r="K213" s="1"/>
      <c r="L213" t="s">
        <v>831</v>
      </c>
      <c r="M213" t="s">
        <v>872</v>
      </c>
      <c r="N213" t="s">
        <v>268</v>
      </c>
      <c r="O213">
        <v>26411</v>
      </c>
      <c r="P213">
        <v>295</v>
      </c>
      <c r="Q213">
        <v>0</v>
      </c>
      <c r="R213">
        <v>0</v>
      </c>
      <c r="S213">
        <v>0</v>
      </c>
      <c r="T213">
        <v>10330</v>
      </c>
    </row>
    <row r="214" spans="1:20" x14ac:dyDescent="0.25">
      <c r="A214" t="s">
        <v>797</v>
      </c>
      <c r="B214" t="s">
        <v>872</v>
      </c>
      <c r="C214" t="s">
        <v>267</v>
      </c>
      <c r="D214" s="1">
        <v>79774</v>
      </c>
      <c r="E214" s="1">
        <v>1550</v>
      </c>
      <c r="F214" s="1">
        <v>0</v>
      </c>
      <c r="G214" s="1">
        <v>0</v>
      </c>
      <c r="H214" s="1">
        <v>0</v>
      </c>
      <c r="I214" s="1">
        <v>46774</v>
      </c>
      <c r="J214" s="1">
        <v>42233</v>
      </c>
      <c r="K214" s="1"/>
      <c r="L214" t="s">
        <v>794</v>
      </c>
      <c r="M214" t="s">
        <v>872</v>
      </c>
      <c r="N214" t="s">
        <v>269</v>
      </c>
      <c r="O214">
        <v>25574</v>
      </c>
      <c r="P214">
        <v>94</v>
      </c>
      <c r="Q214">
        <v>0</v>
      </c>
      <c r="R214">
        <v>0</v>
      </c>
      <c r="S214">
        <v>0</v>
      </c>
      <c r="T214">
        <v>17561</v>
      </c>
    </row>
    <row r="215" spans="1:20" x14ac:dyDescent="0.25">
      <c r="A215" t="s">
        <v>831</v>
      </c>
      <c r="B215" t="s">
        <v>872</v>
      </c>
      <c r="C215" t="s">
        <v>268</v>
      </c>
      <c r="D215" s="1">
        <v>26411</v>
      </c>
      <c r="E215" s="1">
        <v>295</v>
      </c>
      <c r="F215" s="1">
        <v>0</v>
      </c>
      <c r="G215" s="1">
        <v>0</v>
      </c>
      <c r="H215" s="1">
        <v>0</v>
      </c>
      <c r="I215" s="1">
        <v>10330</v>
      </c>
      <c r="J215" s="1">
        <v>6514</v>
      </c>
      <c r="K215" s="1"/>
      <c r="L215" t="s">
        <v>809</v>
      </c>
      <c r="M215" t="s">
        <v>872</v>
      </c>
      <c r="N215" t="s">
        <v>270</v>
      </c>
      <c r="O215">
        <v>26429</v>
      </c>
      <c r="P215">
        <v>114</v>
      </c>
      <c r="Q215">
        <v>0</v>
      </c>
      <c r="R215">
        <v>0</v>
      </c>
      <c r="S215">
        <v>0</v>
      </c>
      <c r="T215">
        <v>12658</v>
      </c>
    </row>
    <row r="216" spans="1:20" x14ac:dyDescent="0.25">
      <c r="A216" t="s">
        <v>794</v>
      </c>
      <c r="B216" t="s">
        <v>872</v>
      </c>
      <c r="C216" t="s">
        <v>269</v>
      </c>
      <c r="D216" s="1">
        <v>25574</v>
      </c>
      <c r="E216" s="1">
        <v>94</v>
      </c>
      <c r="F216" s="1">
        <v>0</v>
      </c>
      <c r="G216" s="1">
        <v>0</v>
      </c>
      <c r="H216" s="1">
        <v>0</v>
      </c>
      <c r="I216" s="1">
        <v>17561</v>
      </c>
      <c r="J216" s="1">
        <v>4006</v>
      </c>
      <c r="K216" s="1"/>
      <c r="L216" t="s">
        <v>248</v>
      </c>
      <c r="M216" t="s">
        <v>872</v>
      </c>
      <c r="N216" t="s">
        <v>271</v>
      </c>
      <c r="O216">
        <v>111459</v>
      </c>
      <c r="P216">
        <v>2051</v>
      </c>
      <c r="Q216">
        <v>0</v>
      </c>
      <c r="R216">
        <v>0</v>
      </c>
      <c r="S216">
        <v>0</v>
      </c>
      <c r="T216">
        <v>128711</v>
      </c>
    </row>
    <row r="217" spans="1:20" x14ac:dyDescent="0.25">
      <c r="A217" t="s">
        <v>809</v>
      </c>
      <c r="B217" t="s">
        <v>872</v>
      </c>
      <c r="C217" t="s">
        <v>270</v>
      </c>
      <c r="D217" s="1">
        <v>26429</v>
      </c>
      <c r="E217" s="1">
        <v>114</v>
      </c>
      <c r="F217" s="1">
        <v>0</v>
      </c>
      <c r="G217" s="1">
        <v>0</v>
      </c>
      <c r="H217" s="1">
        <v>0</v>
      </c>
      <c r="I217" s="1">
        <v>12658</v>
      </c>
      <c r="J217" s="1">
        <v>5598</v>
      </c>
      <c r="K217" s="1"/>
      <c r="L217" t="s">
        <v>823</v>
      </c>
      <c r="M217" t="s">
        <v>872</v>
      </c>
      <c r="N217" t="s">
        <v>272</v>
      </c>
      <c r="O217">
        <v>56702</v>
      </c>
      <c r="P217">
        <v>232</v>
      </c>
      <c r="Q217">
        <v>0</v>
      </c>
      <c r="R217">
        <v>0</v>
      </c>
      <c r="S217">
        <v>0</v>
      </c>
      <c r="T217">
        <v>19794</v>
      </c>
    </row>
    <row r="218" spans="1:20" x14ac:dyDescent="0.25">
      <c r="A218" t="s">
        <v>248</v>
      </c>
      <c r="B218" t="s">
        <v>872</v>
      </c>
      <c r="C218" t="s">
        <v>271</v>
      </c>
      <c r="D218" s="1">
        <v>111459</v>
      </c>
      <c r="E218" s="1">
        <v>2051</v>
      </c>
      <c r="F218" s="1">
        <v>0</v>
      </c>
      <c r="G218" s="1">
        <v>0</v>
      </c>
      <c r="H218" s="1">
        <v>0</v>
      </c>
      <c r="I218" s="1">
        <v>128711</v>
      </c>
      <c r="J218" s="1">
        <v>17854</v>
      </c>
      <c r="K218" s="1"/>
      <c r="L218" t="s">
        <v>146</v>
      </c>
      <c r="M218" t="s">
        <v>872</v>
      </c>
      <c r="N218" t="s">
        <v>273</v>
      </c>
      <c r="O218">
        <v>30187</v>
      </c>
      <c r="P218">
        <v>268</v>
      </c>
      <c r="Q218">
        <v>0</v>
      </c>
      <c r="R218">
        <v>0</v>
      </c>
      <c r="S218">
        <v>0</v>
      </c>
      <c r="T218">
        <v>71637</v>
      </c>
    </row>
    <row r="219" spans="1:20" x14ac:dyDescent="0.25">
      <c r="A219" t="s">
        <v>823</v>
      </c>
      <c r="B219" t="s">
        <v>872</v>
      </c>
      <c r="C219" t="s">
        <v>272</v>
      </c>
      <c r="D219" s="1">
        <v>56702</v>
      </c>
      <c r="E219" s="1">
        <v>232</v>
      </c>
      <c r="F219" s="1">
        <v>0</v>
      </c>
      <c r="G219" s="1">
        <v>0</v>
      </c>
      <c r="H219" s="1">
        <v>0</v>
      </c>
      <c r="I219" s="1">
        <v>19794</v>
      </c>
      <c r="J219" s="1">
        <v>17890</v>
      </c>
      <c r="K219" s="1"/>
      <c r="L219" t="s">
        <v>788</v>
      </c>
      <c r="M219" t="s">
        <v>872</v>
      </c>
      <c r="N219" t="s">
        <v>274</v>
      </c>
      <c r="O219">
        <v>33913</v>
      </c>
      <c r="P219">
        <v>45</v>
      </c>
      <c r="Q219">
        <v>0</v>
      </c>
      <c r="R219">
        <v>0</v>
      </c>
      <c r="S219">
        <v>0</v>
      </c>
      <c r="T219">
        <v>28801</v>
      </c>
    </row>
    <row r="220" spans="1:20" x14ac:dyDescent="0.25">
      <c r="A220" t="s">
        <v>146</v>
      </c>
      <c r="B220" t="s">
        <v>872</v>
      </c>
      <c r="C220" t="s">
        <v>273</v>
      </c>
      <c r="D220" s="1">
        <v>30187</v>
      </c>
      <c r="E220" s="1">
        <v>268</v>
      </c>
      <c r="F220" s="1">
        <v>0</v>
      </c>
      <c r="G220" s="1">
        <v>0</v>
      </c>
      <c r="H220" s="1">
        <v>0</v>
      </c>
      <c r="I220" s="1">
        <v>71637</v>
      </c>
      <c r="J220" s="1">
        <v>13618</v>
      </c>
      <c r="K220" s="1"/>
      <c r="L220" t="s">
        <v>495</v>
      </c>
      <c r="M220" t="s">
        <v>874</v>
      </c>
      <c r="N220" t="s">
        <v>275</v>
      </c>
      <c r="O220">
        <v>436236</v>
      </c>
      <c r="P220">
        <v>4376</v>
      </c>
      <c r="Q220">
        <v>0</v>
      </c>
      <c r="R220">
        <v>0</v>
      </c>
      <c r="S220">
        <v>0</v>
      </c>
      <c r="T220">
        <v>31105</v>
      </c>
    </row>
    <row r="221" spans="1:20" x14ac:dyDescent="0.25">
      <c r="A221" t="s">
        <v>788</v>
      </c>
      <c r="B221" t="s">
        <v>872</v>
      </c>
      <c r="C221" t="s">
        <v>274</v>
      </c>
      <c r="D221" s="1">
        <v>33913</v>
      </c>
      <c r="E221" s="1">
        <v>45</v>
      </c>
      <c r="F221" s="1">
        <v>0</v>
      </c>
      <c r="G221" s="1">
        <v>0</v>
      </c>
      <c r="H221" s="1">
        <v>0</v>
      </c>
      <c r="I221" s="1">
        <v>28801</v>
      </c>
      <c r="J221" s="1">
        <v>7818</v>
      </c>
      <c r="K221" s="1"/>
      <c r="L221" t="s">
        <v>796</v>
      </c>
      <c r="M221" t="s">
        <v>874</v>
      </c>
      <c r="N221" t="s">
        <v>276</v>
      </c>
      <c r="O221">
        <v>303933</v>
      </c>
      <c r="P221">
        <v>3109</v>
      </c>
      <c r="Q221">
        <v>0</v>
      </c>
      <c r="R221">
        <v>0</v>
      </c>
      <c r="S221">
        <v>0</v>
      </c>
      <c r="T221">
        <v>35423</v>
      </c>
    </row>
    <row r="222" spans="1:20" x14ac:dyDescent="0.25">
      <c r="A222" t="s">
        <v>495</v>
      </c>
      <c r="B222" t="s">
        <v>874</v>
      </c>
      <c r="C222" t="s">
        <v>275</v>
      </c>
      <c r="D222" s="1">
        <v>436236</v>
      </c>
      <c r="E222" s="1">
        <v>4376</v>
      </c>
      <c r="F222" s="1">
        <v>0</v>
      </c>
      <c r="G222" s="1">
        <v>0</v>
      </c>
      <c r="H222" s="1">
        <v>0</v>
      </c>
      <c r="I222" s="1">
        <v>31105</v>
      </c>
      <c r="J222" s="1">
        <v>128093</v>
      </c>
      <c r="K222" s="1"/>
      <c r="L222" t="s">
        <v>76</v>
      </c>
      <c r="M222" t="s">
        <v>875</v>
      </c>
      <c r="N222" t="s">
        <v>277</v>
      </c>
      <c r="O222">
        <v>96749</v>
      </c>
      <c r="P222">
        <v>555</v>
      </c>
      <c r="Q222">
        <v>0</v>
      </c>
      <c r="R222">
        <v>0</v>
      </c>
      <c r="S222">
        <v>0</v>
      </c>
      <c r="T222">
        <v>0</v>
      </c>
    </row>
    <row r="223" spans="1:20" x14ac:dyDescent="0.25">
      <c r="A223" t="s">
        <v>796</v>
      </c>
      <c r="B223" t="s">
        <v>874</v>
      </c>
      <c r="C223" t="s">
        <v>276</v>
      </c>
      <c r="D223" s="1">
        <v>303933</v>
      </c>
      <c r="E223" s="1">
        <v>3109</v>
      </c>
      <c r="F223" s="1"/>
      <c r="G223" s="1"/>
      <c r="H223" s="1"/>
      <c r="I223" s="1">
        <v>35423</v>
      </c>
      <c r="J223" s="1">
        <v>81462</v>
      </c>
      <c r="K223" s="1"/>
      <c r="L223" t="s">
        <v>823</v>
      </c>
      <c r="M223" t="s">
        <v>875</v>
      </c>
      <c r="N223" t="s">
        <v>278</v>
      </c>
      <c r="O223">
        <v>51073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25">
      <c r="A224" t="s">
        <v>76</v>
      </c>
      <c r="B224" t="s">
        <v>875</v>
      </c>
      <c r="C224" t="s">
        <v>277</v>
      </c>
      <c r="D224" s="1">
        <v>96749</v>
      </c>
      <c r="E224" s="1">
        <v>555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/>
      <c r="L224" t="s">
        <v>120</v>
      </c>
      <c r="M224" t="s">
        <v>876</v>
      </c>
      <c r="N224" t="s">
        <v>279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48750</v>
      </c>
    </row>
    <row r="225" spans="1:20" x14ac:dyDescent="0.25">
      <c r="A225" t="s">
        <v>823</v>
      </c>
      <c r="B225" t="s">
        <v>875</v>
      </c>
      <c r="C225" t="s">
        <v>278</v>
      </c>
      <c r="D225" s="1">
        <v>51073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/>
      <c r="L225" t="s">
        <v>817</v>
      </c>
      <c r="M225" t="s">
        <v>875</v>
      </c>
      <c r="N225" t="s">
        <v>280</v>
      </c>
      <c r="O225">
        <v>74413</v>
      </c>
      <c r="P225">
        <v>536</v>
      </c>
      <c r="Q225">
        <v>0</v>
      </c>
      <c r="R225">
        <v>0</v>
      </c>
      <c r="S225">
        <v>0</v>
      </c>
      <c r="T225">
        <v>0</v>
      </c>
    </row>
    <row r="226" spans="1:20" x14ac:dyDescent="0.25">
      <c r="A226" t="s">
        <v>120</v>
      </c>
      <c r="B226" t="s">
        <v>876</v>
      </c>
      <c r="C226" t="s">
        <v>279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48750</v>
      </c>
      <c r="J226" s="1">
        <v>0</v>
      </c>
      <c r="K226" s="1"/>
      <c r="L226" t="s">
        <v>791</v>
      </c>
      <c r="M226" t="s">
        <v>875</v>
      </c>
      <c r="N226" t="s">
        <v>281</v>
      </c>
      <c r="O226">
        <v>7896</v>
      </c>
      <c r="P226">
        <v>6</v>
      </c>
      <c r="Q226">
        <v>0</v>
      </c>
      <c r="R226">
        <v>0</v>
      </c>
      <c r="S226">
        <v>0</v>
      </c>
      <c r="T226">
        <v>0</v>
      </c>
    </row>
    <row r="227" spans="1:20" x14ac:dyDescent="0.25">
      <c r="A227" t="s">
        <v>817</v>
      </c>
      <c r="B227" t="s">
        <v>875</v>
      </c>
      <c r="C227" t="s">
        <v>280</v>
      </c>
      <c r="D227" s="1">
        <v>74413</v>
      </c>
      <c r="E227" s="1">
        <v>536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/>
      <c r="L227" t="s">
        <v>801</v>
      </c>
      <c r="M227" t="s">
        <v>875</v>
      </c>
      <c r="N227" t="s">
        <v>282</v>
      </c>
      <c r="O227">
        <v>18547</v>
      </c>
      <c r="P227">
        <v>138</v>
      </c>
      <c r="Q227">
        <v>0</v>
      </c>
      <c r="R227">
        <v>0</v>
      </c>
      <c r="S227">
        <v>0</v>
      </c>
      <c r="T227">
        <v>0</v>
      </c>
    </row>
    <row r="228" spans="1:20" x14ac:dyDescent="0.25">
      <c r="A228" t="s">
        <v>791</v>
      </c>
      <c r="B228" t="s">
        <v>875</v>
      </c>
      <c r="C228" t="s">
        <v>281</v>
      </c>
      <c r="D228" s="1">
        <v>7896</v>
      </c>
      <c r="E228" s="1">
        <v>6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/>
      <c r="L228" t="s">
        <v>795</v>
      </c>
      <c r="M228" t="s">
        <v>875</v>
      </c>
      <c r="N228" t="s">
        <v>283</v>
      </c>
      <c r="O228">
        <v>173735</v>
      </c>
      <c r="P228">
        <v>43</v>
      </c>
      <c r="Q228">
        <v>0</v>
      </c>
      <c r="R228">
        <v>0</v>
      </c>
      <c r="S228">
        <v>0</v>
      </c>
      <c r="T228">
        <v>0</v>
      </c>
    </row>
    <row r="229" spans="1:20" x14ac:dyDescent="0.25">
      <c r="A229" t="s">
        <v>801</v>
      </c>
      <c r="B229" t="s">
        <v>875</v>
      </c>
      <c r="C229" t="s">
        <v>282</v>
      </c>
      <c r="D229" s="1">
        <v>18547</v>
      </c>
      <c r="E229" s="1">
        <v>138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/>
      <c r="L229" t="s">
        <v>811</v>
      </c>
      <c r="M229" t="s">
        <v>875</v>
      </c>
      <c r="N229" t="s">
        <v>284</v>
      </c>
      <c r="O229">
        <v>113700</v>
      </c>
      <c r="P229">
        <v>3557</v>
      </c>
      <c r="Q229">
        <v>0</v>
      </c>
      <c r="R229">
        <v>0</v>
      </c>
      <c r="S229">
        <v>0</v>
      </c>
      <c r="T229">
        <v>0</v>
      </c>
    </row>
    <row r="230" spans="1:20" x14ac:dyDescent="0.25">
      <c r="A230" t="s">
        <v>795</v>
      </c>
      <c r="B230" t="s">
        <v>875</v>
      </c>
      <c r="C230" t="s">
        <v>283</v>
      </c>
      <c r="D230" s="1">
        <v>173735</v>
      </c>
      <c r="E230" s="1">
        <v>43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/>
      <c r="L230" t="s">
        <v>120</v>
      </c>
      <c r="M230" t="s">
        <v>875</v>
      </c>
      <c r="N230" t="s">
        <v>285</v>
      </c>
      <c r="O230">
        <v>29958</v>
      </c>
      <c r="P230">
        <v>164</v>
      </c>
      <c r="Q230">
        <v>0</v>
      </c>
      <c r="R230">
        <v>0</v>
      </c>
      <c r="S230">
        <v>0</v>
      </c>
      <c r="T230">
        <v>0</v>
      </c>
    </row>
    <row r="231" spans="1:20" x14ac:dyDescent="0.25">
      <c r="A231" t="s">
        <v>811</v>
      </c>
      <c r="B231" t="s">
        <v>875</v>
      </c>
      <c r="C231" t="s">
        <v>284</v>
      </c>
      <c r="D231" s="1">
        <v>113700</v>
      </c>
      <c r="E231" s="1">
        <v>3557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/>
      <c r="L231" t="s">
        <v>101</v>
      </c>
      <c r="M231" t="s">
        <v>875</v>
      </c>
      <c r="N231" t="s">
        <v>286</v>
      </c>
      <c r="O231">
        <v>24342</v>
      </c>
      <c r="P231">
        <v>296</v>
      </c>
      <c r="Q231">
        <v>0</v>
      </c>
      <c r="R231">
        <v>0</v>
      </c>
      <c r="S231">
        <v>0</v>
      </c>
      <c r="T231">
        <v>0</v>
      </c>
    </row>
    <row r="232" spans="1:20" x14ac:dyDescent="0.25">
      <c r="A232" t="s">
        <v>120</v>
      </c>
      <c r="B232" t="s">
        <v>875</v>
      </c>
      <c r="C232" t="s">
        <v>285</v>
      </c>
      <c r="D232" s="1">
        <v>29958</v>
      </c>
      <c r="E232" s="1">
        <v>164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/>
      <c r="L232" t="s">
        <v>226</v>
      </c>
      <c r="M232" t="s">
        <v>875</v>
      </c>
      <c r="N232" t="s">
        <v>287</v>
      </c>
      <c r="O232">
        <v>12846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25">
      <c r="A233" t="s">
        <v>101</v>
      </c>
      <c r="B233" t="s">
        <v>875</v>
      </c>
      <c r="C233" t="s">
        <v>286</v>
      </c>
      <c r="D233" s="1">
        <v>24342</v>
      </c>
      <c r="E233" s="1">
        <v>296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/>
      <c r="L233" t="s">
        <v>120</v>
      </c>
      <c r="M233" t="s">
        <v>877</v>
      </c>
      <c r="N233" t="s">
        <v>288</v>
      </c>
      <c r="O233">
        <v>4642</v>
      </c>
      <c r="P233">
        <v>2</v>
      </c>
      <c r="Q233">
        <v>0</v>
      </c>
      <c r="R233">
        <v>40644</v>
      </c>
      <c r="S233">
        <v>46</v>
      </c>
      <c r="T233">
        <v>0</v>
      </c>
    </row>
    <row r="234" spans="1:20" x14ac:dyDescent="0.25">
      <c r="A234" t="s">
        <v>226</v>
      </c>
      <c r="B234" t="s">
        <v>875</v>
      </c>
      <c r="C234" t="s">
        <v>287</v>
      </c>
      <c r="D234" s="1">
        <v>12846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/>
      <c r="L234" t="s">
        <v>826</v>
      </c>
      <c r="M234" t="s">
        <v>877</v>
      </c>
      <c r="N234" t="s">
        <v>289</v>
      </c>
      <c r="O234">
        <v>2545</v>
      </c>
      <c r="P234">
        <v>118</v>
      </c>
      <c r="Q234">
        <v>0</v>
      </c>
      <c r="R234">
        <v>8094</v>
      </c>
      <c r="S234">
        <v>168</v>
      </c>
      <c r="T234">
        <v>0</v>
      </c>
    </row>
    <row r="235" spans="1:20" x14ac:dyDescent="0.25">
      <c r="A235" t="s">
        <v>120</v>
      </c>
      <c r="B235" t="s">
        <v>877</v>
      </c>
      <c r="C235" t="s">
        <v>288</v>
      </c>
      <c r="D235" s="1">
        <v>4642</v>
      </c>
      <c r="E235" s="1">
        <v>2</v>
      </c>
      <c r="F235" s="1">
        <v>0</v>
      </c>
      <c r="G235" s="1">
        <v>40644</v>
      </c>
      <c r="H235" s="1">
        <v>46</v>
      </c>
      <c r="I235" s="1">
        <v>0</v>
      </c>
      <c r="J235" s="1">
        <v>0</v>
      </c>
      <c r="K235" s="1"/>
      <c r="L235" t="s">
        <v>791</v>
      </c>
      <c r="M235" t="s">
        <v>877</v>
      </c>
      <c r="N235" t="s">
        <v>290</v>
      </c>
      <c r="O235">
        <v>4522</v>
      </c>
      <c r="P235">
        <v>1622</v>
      </c>
      <c r="Q235">
        <v>0</v>
      </c>
      <c r="R235">
        <v>16353</v>
      </c>
      <c r="S235">
        <v>286</v>
      </c>
      <c r="T235">
        <v>0</v>
      </c>
    </row>
    <row r="236" spans="1:20" x14ac:dyDescent="0.25">
      <c r="A236" t="s">
        <v>826</v>
      </c>
      <c r="B236" t="s">
        <v>877</v>
      </c>
      <c r="C236" t="s">
        <v>289</v>
      </c>
      <c r="D236" s="1">
        <v>2545</v>
      </c>
      <c r="E236" s="1">
        <v>118</v>
      </c>
      <c r="F236" s="1">
        <v>0</v>
      </c>
      <c r="G236" s="1">
        <v>8094</v>
      </c>
      <c r="H236" s="1">
        <v>168</v>
      </c>
      <c r="I236" s="1">
        <v>0</v>
      </c>
      <c r="J236" s="1">
        <v>0</v>
      </c>
      <c r="K236" s="1"/>
      <c r="L236" t="s">
        <v>826</v>
      </c>
      <c r="M236" t="s">
        <v>877</v>
      </c>
      <c r="N236" t="s">
        <v>291</v>
      </c>
      <c r="O236">
        <v>994</v>
      </c>
      <c r="P236">
        <v>46</v>
      </c>
      <c r="Q236">
        <v>0</v>
      </c>
      <c r="R236">
        <v>8250</v>
      </c>
      <c r="S236">
        <v>58</v>
      </c>
      <c r="T236">
        <v>0</v>
      </c>
    </row>
    <row r="237" spans="1:20" x14ac:dyDescent="0.25">
      <c r="A237" t="s">
        <v>791</v>
      </c>
      <c r="B237" t="s">
        <v>877</v>
      </c>
      <c r="C237" t="s">
        <v>290</v>
      </c>
      <c r="D237" s="1">
        <v>4522</v>
      </c>
      <c r="E237" s="1">
        <v>1622</v>
      </c>
      <c r="F237" s="1">
        <v>0</v>
      </c>
      <c r="G237" s="1">
        <v>16353</v>
      </c>
      <c r="H237" s="1">
        <v>286</v>
      </c>
      <c r="I237" s="1">
        <v>0</v>
      </c>
      <c r="J237" s="1">
        <v>0</v>
      </c>
      <c r="K237" s="1"/>
      <c r="L237" t="s">
        <v>226</v>
      </c>
      <c r="M237" t="s">
        <v>877</v>
      </c>
      <c r="N237" t="s">
        <v>292</v>
      </c>
      <c r="O237">
        <v>868</v>
      </c>
      <c r="P237">
        <v>28</v>
      </c>
      <c r="Q237">
        <v>0</v>
      </c>
      <c r="R237">
        <v>10727</v>
      </c>
      <c r="S237">
        <v>69</v>
      </c>
      <c r="T237">
        <v>0</v>
      </c>
    </row>
    <row r="238" spans="1:20" x14ac:dyDescent="0.25">
      <c r="A238" t="s">
        <v>826</v>
      </c>
      <c r="B238" t="s">
        <v>877</v>
      </c>
      <c r="C238" t="s">
        <v>291</v>
      </c>
      <c r="D238" s="1">
        <v>994</v>
      </c>
      <c r="E238" s="1">
        <v>46</v>
      </c>
      <c r="F238" s="1">
        <v>0</v>
      </c>
      <c r="G238" s="1">
        <v>8250</v>
      </c>
      <c r="H238" s="1">
        <v>58</v>
      </c>
      <c r="I238" s="1">
        <v>0</v>
      </c>
      <c r="J238" s="1">
        <v>0</v>
      </c>
      <c r="K238" s="1"/>
      <c r="L238" t="s">
        <v>495</v>
      </c>
      <c r="M238" t="s">
        <v>877</v>
      </c>
      <c r="N238" t="s">
        <v>293</v>
      </c>
      <c r="O238">
        <v>5362</v>
      </c>
      <c r="P238">
        <v>47</v>
      </c>
      <c r="Q238">
        <v>0</v>
      </c>
      <c r="R238">
        <v>6534</v>
      </c>
      <c r="S238">
        <v>3</v>
      </c>
      <c r="T238">
        <v>0</v>
      </c>
    </row>
    <row r="239" spans="1:20" x14ac:dyDescent="0.25">
      <c r="A239" t="s">
        <v>226</v>
      </c>
      <c r="B239" t="s">
        <v>877</v>
      </c>
      <c r="C239" t="s">
        <v>292</v>
      </c>
      <c r="D239" s="1">
        <v>868</v>
      </c>
      <c r="E239" s="1">
        <v>28</v>
      </c>
      <c r="F239" s="1">
        <v>0</v>
      </c>
      <c r="G239" s="1">
        <v>10727</v>
      </c>
      <c r="H239" s="1">
        <v>69</v>
      </c>
      <c r="I239" s="1">
        <v>0</v>
      </c>
      <c r="J239" s="1">
        <v>0</v>
      </c>
      <c r="K239" s="1"/>
      <c r="L239" t="s">
        <v>248</v>
      </c>
      <c r="M239" t="s">
        <v>877</v>
      </c>
      <c r="N239" t="s">
        <v>294</v>
      </c>
      <c r="O239">
        <v>1549</v>
      </c>
      <c r="P239">
        <v>0</v>
      </c>
      <c r="Q239">
        <v>0</v>
      </c>
      <c r="R239">
        <v>10090</v>
      </c>
      <c r="S239">
        <v>0</v>
      </c>
      <c r="T239">
        <v>0</v>
      </c>
    </row>
    <row r="240" spans="1:20" x14ac:dyDescent="0.25">
      <c r="A240" t="s">
        <v>495</v>
      </c>
      <c r="B240" t="s">
        <v>877</v>
      </c>
      <c r="C240" t="s">
        <v>293</v>
      </c>
      <c r="D240" s="1">
        <v>5362</v>
      </c>
      <c r="E240" s="1">
        <v>47</v>
      </c>
      <c r="F240" s="1">
        <v>0</v>
      </c>
      <c r="G240" s="1">
        <v>6534</v>
      </c>
      <c r="H240" s="1">
        <v>3</v>
      </c>
      <c r="I240" s="1">
        <v>0</v>
      </c>
      <c r="J240" s="1">
        <v>0</v>
      </c>
      <c r="K240" s="1"/>
      <c r="L240" t="s">
        <v>865</v>
      </c>
      <c r="M240" t="s">
        <v>877</v>
      </c>
      <c r="N240" t="s">
        <v>295</v>
      </c>
      <c r="O240">
        <v>1015</v>
      </c>
      <c r="P240">
        <v>16</v>
      </c>
      <c r="Q240">
        <v>0</v>
      </c>
      <c r="R240">
        <v>16962</v>
      </c>
      <c r="S240">
        <v>58</v>
      </c>
      <c r="T240">
        <v>0</v>
      </c>
    </row>
    <row r="241" spans="1:20" x14ac:dyDescent="0.25">
      <c r="A241" t="s">
        <v>248</v>
      </c>
      <c r="B241" t="s">
        <v>877</v>
      </c>
      <c r="C241" t="s">
        <v>294</v>
      </c>
      <c r="D241" s="1">
        <v>1549</v>
      </c>
      <c r="E241" s="1">
        <v>0</v>
      </c>
      <c r="F241" s="1">
        <v>0</v>
      </c>
      <c r="G241" s="1">
        <v>10090</v>
      </c>
      <c r="H241" s="1">
        <v>0</v>
      </c>
      <c r="I241" s="1">
        <v>0</v>
      </c>
      <c r="J241" s="1">
        <v>0</v>
      </c>
      <c r="K241" s="1"/>
      <c r="L241" t="s">
        <v>831</v>
      </c>
      <c r="M241" t="s">
        <v>877</v>
      </c>
      <c r="N241" t="s">
        <v>296</v>
      </c>
      <c r="O241">
        <v>1060</v>
      </c>
      <c r="P241">
        <v>0</v>
      </c>
      <c r="Q241">
        <v>0</v>
      </c>
      <c r="R241">
        <v>18538</v>
      </c>
      <c r="S241">
        <v>32</v>
      </c>
      <c r="T241">
        <v>0</v>
      </c>
    </row>
    <row r="242" spans="1:20" x14ac:dyDescent="0.25">
      <c r="A242" t="s">
        <v>865</v>
      </c>
      <c r="B242" t="s">
        <v>877</v>
      </c>
      <c r="C242" t="s">
        <v>295</v>
      </c>
      <c r="D242" s="1">
        <v>1015</v>
      </c>
      <c r="E242" s="1">
        <v>16</v>
      </c>
      <c r="F242" s="1">
        <v>0</v>
      </c>
      <c r="G242" s="1">
        <v>16962</v>
      </c>
      <c r="H242" s="1">
        <v>58</v>
      </c>
      <c r="I242" s="1">
        <v>0</v>
      </c>
      <c r="J242" s="1">
        <v>0</v>
      </c>
      <c r="K242" s="1"/>
      <c r="L242" t="s">
        <v>818</v>
      </c>
      <c r="M242" t="s">
        <v>877</v>
      </c>
      <c r="N242" t="s">
        <v>297</v>
      </c>
      <c r="O242">
        <v>4548</v>
      </c>
      <c r="P242">
        <v>0</v>
      </c>
      <c r="Q242">
        <v>0</v>
      </c>
      <c r="R242">
        <v>10509</v>
      </c>
      <c r="S242">
        <v>54</v>
      </c>
      <c r="T242">
        <v>0</v>
      </c>
    </row>
    <row r="243" spans="1:20" x14ac:dyDescent="0.25">
      <c r="A243" t="s">
        <v>831</v>
      </c>
      <c r="B243" t="s">
        <v>877</v>
      </c>
      <c r="C243" t="s">
        <v>296</v>
      </c>
      <c r="D243" s="1">
        <v>1060</v>
      </c>
      <c r="E243" s="1">
        <v>0</v>
      </c>
      <c r="F243" s="1">
        <v>0</v>
      </c>
      <c r="G243" s="1">
        <v>18538</v>
      </c>
      <c r="H243" s="1">
        <v>32</v>
      </c>
      <c r="I243" s="1">
        <v>0</v>
      </c>
      <c r="J243" s="1">
        <v>0</v>
      </c>
      <c r="K243" s="1"/>
      <c r="L243" t="s">
        <v>811</v>
      </c>
      <c r="M243" t="s">
        <v>877</v>
      </c>
      <c r="N243" t="s">
        <v>298</v>
      </c>
      <c r="O243">
        <v>2851</v>
      </c>
      <c r="P243">
        <v>52</v>
      </c>
      <c r="Q243">
        <v>0</v>
      </c>
      <c r="R243">
        <v>9794</v>
      </c>
      <c r="S243">
        <v>34</v>
      </c>
      <c r="T243">
        <v>0</v>
      </c>
    </row>
    <row r="244" spans="1:20" x14ac:dyDescent="0.25">
      <c r="A244" t="s">
        <v>818</v>
      </c>
      <c r="B244" t="s">
        <v>877</v>
      </c>
      <c r="C244" t="s">
        <v>297</v>
      </c>
      <c r="D244" s="1">
        <v>4548</v>
      </c>
      <c r="E244" s="1">
        <v>0</v>
      </c>
      <c r="F244" s="1">
        <v>0</v>
      </c>
      <c r="G244" s="1">
        <v>10509</v>
      </c>
      <c r="H244" s="1">
        <v>54</v>
      </c>
      <c r="I244" s="1">
        <v>0</v>
      </c>
      <c r="J244" s="1">
        <v>0</v>
      </c>
      <c r="K244" s="1"/>
      <c r="L244" t="s">
        <v>72</v>
      </c>
      <c r="M244" t="s">
        <v>877</v>
      </c>
      <c r="N244" t="s">
        <v>299</v>
      </c>
      <c r="O244">
        <v>2039</v>
      </c>
      <c r="P244">
        <v>0</v>
      </c>
      <c r="Q244">
        <v>0</v>
      </c>
      <c r="R244">
        <v>11726</v>
      </c>
      <c r="S244">
        <v>19</v>
      </c>
      <c r="T244">
        <v>0</v>
      </c>
    </row>
    <row r="245" spans="1:20" x14ac:dyDescent="0.25">
      <c r="A245" t="s">
        <v>811</v>
      </c>
      <c r="B245" t="s">
        <v>877</v>
      </c>
      <c r="C245" t="s">
        <v>298</v>
      </c>
      <c r="D245" s="1">
        <v>2851</v>
      </c>
      <c r="E245" s="1">
        <v>52</v>
      </c>
      <c r="F245" s="1">
        <v>0</v>
      </c>
      <c r="G245" s="1">
        <v>9794</v>
      </c>
      <c r="H245" s="1">
        <v>34</v>
      </c>
      <c r="I245" s="1">
        <v>0</v>
      </c>
      <c r="J245" s="1">
        <v>0</v>
      </c>
      <c r="K245" s="1"/>
      <c r="L245" t="s">
        <v>67</v>
      </c>
      <c r="M245" t="s">
        <v>877</v>
      </c>
      <c r="N245" t="s">
        <v>300</v>
      </c>
      <c r="O245">
        <v>2653</v>
      </c>
      <c r="P245">
        <v>0</v>
      </c>
      <c r="Q245">
        <v>0</v>
      </c>
      <c r="R245">
        <v>6631</v>
      </c>
      <c r="S245">
        <v>8</v>
      </c>
      <c r="T245">
        <v>0</v>
      </c>
    </row>
    <row r="246" spans="1:20" x14ac:dyDescent="0.25">
      <c r="A246" t="s">
        <v>72</v>
      </c>
      <c r="B246" t="s">
        <v>877</v>
      </c>
      <c r="C246" t="s">
        <v>299</v>
      </c>
      <c r="D246" s="1">
        <v>2039</v>
      </c>
      <c r="E246" s="1">
        <v>0</v>
      </c>
      <c r="F246" s="1">
        <v>0</v>
      </c>
      <c r="G246" s="1">
        <v>11726</v>
      </c>
      <c r="H246" s="1">
        <v>19</v>
      </c>
      <c r="I246" s="1">
        <v>0</v>
      </c>
      <c r="J246" s="1">
        <v>0</v>
      </c>
      <c r="K246" s="1"/>
      <c r="L246" t="s">
        <v>798</v>
      </c>
      <c r="M246" t="s">
        <v>877</v>
      </c>
      <c r="N246" t="s">
        <v>301</v>
      </c>
      <c r="O246">
        <v>2907</v>
      </c>
      <c r="P246">
        <v>26</v>
      </c>
      <c r="Q246">
        <v>0</v>
      </c>
      <c r="R246">
        <v>16446</v>
      </c>
      <c r="S246">
        <v>105</v>
      </c>
      <c r="T246">
        <v>0</v>
      </c>
    </row>
    <row r="247" spans="1:20" x14ac:dyDescent="0.25">
      <c r="A247" t="s">
        <v>67</v>
      </c>
      <c r="B247" t="s">
        <v>877</v>
      </c>
      <c r="C247" t="s">
        <v>300</v>
      </c>
      <c r="D247" s="1">
        <v>2653</v>
      </c>
      <c r="E247" s="1">
        <v>0</v>
      </c>
      <c r="F247" s="1">
        <v>0</v>
      </c>
      <c r="G247" s="1">
        <v>6631</v>
      </c>
      <c r="H247" s="1">
        <v>8</v>
      </c>
      <c r="I247" s="1">
        <v>0</v>
      </c>
      <c r="J247" s="1">
        <v>0</v>
      </c>
      <c r="K247" s="1"/>
      <c r="L247" t="s">
        <v>824</v>
      </c>
      <c r="M247" t="s">
        <v>877</v>
      </c>
      <c r="N247" t="s">
        <v>302</v>
      </c>
      <c r="O247">
        <v>9122</v>
      </c>
      <c r="P247">
        <v>15</v>
      </c>
      <c r="Q247">
        <v>0</v>
      </c>
      <c r="R247">
        <v>34040</v>
      </c>
      <c r="S247">
        <v>50</v>
      </c>
      <c r="T247">
        <v>0</v>
      </c>
    </row>
    <row r="248" spans="1:20" x14ac:dyDescent="0.25">
      <c r="A248" t="s">
        <v>798</v>
      </c>
      <c r="B248" t="s">
        <v>877</v>
      </c>
      <c r="C248" t="s">
        <v>301</v>
      </c>
      <c r="D248" s="1">
        <v>2907</v>
      </c>
      <c r="E248" s="1">
        <v>26</v>
      </c>
      <c r="F248" s="1">
        <v>0</v>
      </c>
      <c r="G248" s="1">
        <v>16446</v>
      </c>
      <c r="H248" s="1">
        <v>105</v>
      </c>
      <c r="I248" s="1">
        <v>0</v>
      </c>
      <c r="J248" s="1">
        <v>0</v>
      </c>
      <c r="K248" s="1"/>
      <c r="L248" t="s">
        <v>788</v>
      </c>
      <c r="M248" t="s">
        <v>877</v>
      </c>
      <c r="N248" t="s">
        <v>303</v>
      </c>
      <c r="O248">
        <v>1829</v>
      </c>
      <c r="P248">
        <v>6</v>
      </c>
      <c r="Q248">
        <v>0</v>
      </c>
      <c r="R248">
        <v>13932</v>
      </c>
      <c r="S248">
        <v>64</v>
      </c>
      <c r="T248">
        <v>0</v>
      </c>
    </row>
    <row r="249" spans="1:20" x14ac:dyDescent="0.25">
      <c r="A249" t="s">
        <v>824</v>
      </c>
      <c r="B249" t="s">
        <v>877</v>
      </c>
      <c r="C249" t="s">
        <v>302</v>
      </c>
      <c r="D249" s="1">
        <v>9122</v>
      </c>
      <c r="E249" s="1">
        <v>15</v>
      </c>
      <c r="F249" s="1">
        <v>0</v>
      </c>
      <c r="G249" s="1">
        <v>34040</v>
      </c>
      <c r="H249" s="1">
        <v>50</v>
      </c>
      <c r="I249" s="1">
        <v>0</v>
      </c>
      <c r="J249" s="1">
        <v>0</v>
      </c>
      <c r="K249" s="1"/>
      <c r="L249" t="s">
        <v>120</v>
      </c>
      <c r="M249" t="s">
        <v>877</v>
      </c>
      <c r="N249" t="s">
        <v>304</v>
      </c>
      <c r="O249">
        <v>2096</v>
      </c>
      <c r="P249">
        <v>2</v>
      </c>
      <c r="Q249">
        <v>0</v>
      </c>
      <c r="R249">
        <v>21196</v>
      </c>
      <c r="S249">
        <v>41</v>
      </c>
      <c r="T249">
        <v>0</v>
      </c>
    </row>
    <row r="250" spans="1:20" x14ac:dyDescent="0.25">
      <c r="A250" t="s">
        <v>788</v>
      </c>
      <c r="B250" t="s">
        <v>877</v>
      </c>
      <c r="C250" t="s">
        <v>303</v>
      </c>
      <c r="D250" s="1">
        <v>1829</v>
      </c>
      <c r="E250" s="1">
        <v>6</v>
      </c>
      <c r="F250" s="1">
        <v>0</v>
      </c>
      <c r="G250" s="1">
        <v>13932</v>
      </c>
      <c r="H250" s="1">
        <v>64</v>
      </c>
      <c r="I250" s="1">
        <v>0</v>
      </c>
      <c r="J250" s="1">
        <v>0</v>
      </c>
      <c r="K250" s="1"/>
      <c r="L250" t="s">
        <v>229</v>
      </c>
      <c r="M250" t="s">
        <v>877</v>
      </c>
      <c r="N250" t="s">
        <v>306</v>
      </c>
      <c r="O250">
        <v>3158</v>
      </c>
      <c r="P250">
        <v>0</v>
      </c>
      <c r="Q250">
        <v>0</v>
      </c>
      <c r="R250">
        <v>6030</v>
      </c>
      <c r="S250">
        <v>59</v>
      </c>
      <c r="T250">
        <v>0</v>
      </c>
    </row>
    <row r="251" spans="1:20" x14ac:dyDescent="0.25">
      <c r="A251" t="s">
        <v>120</v>
      </c>
      <c r="B251" t="s">
        <v>877</v>
      </c>
      <c r="C251" t="s">
        <v>304</v>
      </c>
      <c r="D251" s="1">
        <v>2096</v>
      </c>
      <c r="E251" s="1">
        <v>2</v>
      </c>
      <c r="F251" s="1">
        <v>0</v>
      </c>
      <c r="G251" s="1">
        <v>21196</v>
      </c>
      <c r="H251" s="1">
        <v>41</v>
      </c>
      <c r="I251" s="1">
        <v>0</v>
      </c>
      <c r="J251" s="1">
        <v>0</v>
      </c>
      <c r="K251" s="1"/>
      <c r="L251" t="s">
        <v>512</v>
      </c>
      <c r="M251" t="s">
        <v>877</v>
      </c>
      <c r="N251" t="s">
        <v>307</v>
      </c>
      <c r="O251">
        <v>540</v>
      </c>
      <c r="P251">
        <v>9</v>
      </c>
      <c r="Q251">
        <v>0</v>
      </c>
      <c r="R251">
        <v>6319</v>
      </c>
      <c r="S251">
        <v>42</v>
      </c>
      <c r="T251">
        <v>0</v>
      </c>
    </row>
    <row r="252" spans="1:20" x14ac:dyDescent="0.25">
      <c r="A252" t="s">
        <v>229</v>
      </c>
      <c r="B252" t="s">
        <v>877</v>
      </c>
      <c r="C252" t="s">
        <v>306</v>
      </c>
      <c r="D252" s="1">
        <v>3158</v>
      </c>
      <c r="E252" s="1">
        <v>0</v>
      </c>
      <c r="F252" s="1">
        <v>0</v>
      </c>
      <c r="G252" s="1">
        <v>6030</v>
      </c>
      <c r="H252" s="1">
        <v>59</v>
      </c>
      <c r="I252" s="1">
        <v>0</v>
      </c>
      <c r="J252" s="1">
        <v>0</v>
      </c>
      <c r="K252" s="1"/>
      <c r="L252" t="s">
        <v>791</v>
      </c>
      <c r="M252" t="s">
        <v>877</v>
      </c>
      <c r="N252" t="s">
        <v>308</v>
      </c>
      <c r="O252">
        <v>921</v>
      </c>
      <c r="P252">
        <v>0</v>
      </c>
      <c r="Q252">
        <v>0</v>
      </c>
      <c r="R252">
        <v>6029</v>
      </c>
      <c r="S252">
        <v>0</v>
      </c>
      <c r="T252">
        <v>0</v>
      </c>
    </row>
    <row r="253" spans="1:20" x14ac:dyDescent="0.25">
      <c r="A253" t="s">
        <v>512</v>
      </c>
      <c r="B253" t="s">
        <v>877</v>
      </c>
      <c r="C253" t="s">
        <v>307</v>
      </c>
      <c r="D253" s="1">
        <v>540</v>
      </c>
      <c r="E253" s="1">
        <v>9</v>
      </c>
      <c r="F253" s="1">
        <v>0</v>
      </c>
      <c r="G253" s="1">
        <v>6319</v>
      </c>
      <c r="H253" s="1">
        <v>42</v>
      </c>
      <c r="I253" s="1">
        <v>0</v>
      </c>
      <c r="J253" s="1">
        <v>0</v>
      </c>
      <c r="K253" s="1"/>
      <c r="L253" t="s">
        <v>841</v>
      </c>
      <c r="M253" t="s">
        <v>877</v>
      </c>
      <c r="N253" t="s">
        <v>309</v>
      </c>
      <c r="O253">
        <v>4570</v>
      </c>
      <c r="P253">
        <v>3</v>
      </c>
      <c r="Q253">
        <v>0</v>
      </c>
      <c r="R253">
        <v>38254</v>
      </c>
      <c r="S253">
        <v>21</v>
      </c>
      <c r="T253">
        <v>0</v>
      </c>
    </row>
    <row r="254" spans="1:20" x14ac:dyDescent="0.25">
      <c r="A254" t="s">
        <v>791</v>
      </c>
      <c r="B254" t="s">
        <v>877</v>
      </c>
      <c r="C254" t="s">
        <v>308</v>
      </c>
      <c r="D254" s="1">
        <v>921</v>
      </c>
      <c r="E254" s="1">
        <v>0</v>
      </c>
      <c r="F254" s="1">
        <v>0</v>
      </c>
      <c r="G254" s="1">
        <v>6029</v>
      </c>
      <c r="H254" s="1">
        <v>0</v>
      </c>
      <c r="I254" s="1">
        <v>0</v>
      </c>
      <c r="J254" s="1">
        <v>0</v>
      </c>
      <c r="K254" s="1"/>
      <c r="L254" t="s">
        <v>831</v>
      </c>
      <c r="M254" t="s">
        <v>877</v>
      </c>
      <c r="N254" t="s">
        <v>310</v>
      </c>
      <c r="O254">
        <v>395</v>
      </c>
      <c r="P254">
        <v>0</v>
      </c>
      <c r="Q254">
        <v>0</v>
      </c>
      <c r="R254">
        <v>3344</v>
      </c>
      <c r="S254">
        <v>7</v>
      </c>
      <c r="T254">
        <v>0</v>
      </c>
    </row>
    <row r="255" spans="1:20" x14ac:dyDescent="0.25">
      <c r="A255" t="s">
        <v>841</v>
      </c>
      <c r="B255" t="s">
        <v>877</v>
      </c>
      <c r="C255" t="s">
        <v>309</v>
      </c>
      <c r="D255" s="1">
        <v>4570</v>
      </c>
      <c r="E255" s="1">
        <v>3</v>
      </c>
      <c r="F255" s="1">
        <v>0</v>
      </c>
      <c r="G255" s="1">
        <v>38254</v>
      </c>
      <c r="H255" s="1">
        <v>21</v>
      </c>
      <c r="I255" s="1">
        <v>0</v>
      </c>
      <c r="J255" s="1">
        <v>0</v>
      </c>
      <c r="K255" s="1"/>
      <c r="L255" t="s">
        <v>864</v>
      </c>
      <c r="M255" t="s">
        <v>877</v>
      </c>
      <c r="N255" t="s">
        <v>311</v>
      </c>
      <c r="O255">
        <v>1316</v>
      </c>
      <c r="P255">
        <v>0</v>
      </c>
      <c r="Q255">
        <v>0</v>
      </c>
      <c r="R255">
        <v>7382</v>
      </c>
      <c r="S255">
        <v>0</v>
      </c>
      <c r="T255">
        <v>0</v>
      </c>
    </row>
    <row r="256" spans="1:20" x14ac:dyDescent="0.25">
      <c r="A256" t="s">
        <v>831</v>
      </c>
      <c r="B256" t="s">
        <v>877</v>
      </c>
      <c r="C256" t="s">
        <v>310</v>
      </c>
      <c r="D256" s="1">
        <v>395</v>
      </c>
      <c r="E256" s="1">
        <v>0</v>
      </c>
      <c r="F256" s="1">
        <v>0</v>
      </c>
      <c r="G256" s="1">
        <v>3344</v>
      </c>
      <c r="H256" s="1">
        <v>7</v>
      </c>
      <c r="I256" s="1">
        <v>0</v>
      </c>
      <c r="J256" s="1">
        <v>0</v>
      </c>
      <c r="K256" s="1"/>
      <c r="L256" t="s">
        <v>838</v>
      </c>
      <c r="M256" t="s">
        <v>877</v>
      </c>
      <c r="N256" t="s">
        <v>312</v>
      </c>
      <c r="O256">
        <v>11319</v>
      </c>
      <c r="P256">
        <v>25</v>
      </c>
      <c r="Q256">
        <v>0</v>
      </c>
      <c r="R256">
        <v>1080</v>
      </c>
      <c r="S256">
        <v>0</v>
      </c>
      <c r="T256">
        <v>0</v>
      </c>
    </row>
    <row r="257" spans="1:20" x14ac:dyDescent="0.25">
      <c r="A257" t="s">
        <v>864</v>
      </c>
      <c r="B257" t="s">
        <v>877</v>
      </c>
      <c r="C257" t="s">
        <v>311</v>
      </c>
      <c r="D257" s="1">
        <v>1316</v>
      </c>
      <c r="E257" s="1">
        <v>0</v>
      </c>
      <c r="F257" s="1">
        <v>0</v>
      </c>
      <c r="G257" s="1">
        <v>7382</v>
      </c>
      <c r="H257" s="1">
        <v>0</v>
      </c>
      <c r="I257" s="1">
        <v>0</v>
      </c>
      <c r="J257" s="1">
        <v>0</v>
      </c>
      <c r="K257" s="1"/>
      <c r="L257" t="s">
        <v>794</v>
      </c>
      <c r="M257" t="s">
        <v>877</v>
      </c>
      <c r="N257" t="s">
        <v>313</v>
      </c>
      <c r="O257">
        <v>4023</v>
      </c>
      <c r="P257">
        <v>0</v>
      </c>
      <c r="Q257">
        <v>0</v>
      </c>
      <c r="R257">
        <v>8291</v>
      </c>
      <c r="S257">
        <v>0</v>
      </c>
      <c r="T257">
        <v>0</v>
      </c>
    </row>
    <row r="258" spans="1:20" x14ac:dyDescent="0.25">
      <c r="A258" t="s">
        <v>838</v>
      </c>
      <c r="B258" t="s">
        <v>877</v>
      </c>
      <c r="C258" t="s">
        <v>312</v>
      </c>
      <c r="D258" s="1">
        <v>11319</v>
      </c>
      <c r="E258" s="1">
        <v>25</v>
      </c>
      <c r="F258" s="1">
        <v>0</v>
      </c>
      <c r="G258" s="1">
        <v>1080</v>
      </c>
      <c r="H258" s="1">
        <v>0</v>
      </c>
      <c r="I258" s="1">
        <v>0</v>
      </c>
      <c r="J258" s="1">
        <v>0</v>
      </c>
      <c r="K258" s="1"/>
      <c r="L258" t="s">
        <v>830</v>
      </c>
      <c r="M258" t="s">
        <v>877</v>
      </c>
      <c r="N258" t="s">
        <v>314</v>
      </c>
      <c r="O258">
        <v>2337</v>
      </c>
      <c r="P258">
        <v>205</v>
      </c>
      <c r="Q258">
        <v>0</v>
      </c>
      <c r="R258">
        <v>2046</v>
      </c>
      <c r="S258">
        <v>45</v>
      </c>
      <c r="T258">
        <v>0</v>
      </c>
    </row>
    <row r="259" spans="1:20" x14ac:dyDescent="0.25">
      <c r="A259" t="s">
        <v>794</v>
      </c>
      <c r="B259" t="s">
        <v>877</v>
      </c>
      <c r="C259" t="s">
        <v>313</v>
      </c>
      <c r="D259" s="1">
        <v>4023</v>
      </c>
      <c r="E259" s="1">
        <v>0</v>
      </c>
      <c r="F259" s="1">
        <v>0</v>
      </c>
      <c r="G259" s="1">
        <v>8291</v>
      </c>
      <c r="H259" s="1">
        <v>0</v>
      </c>
      <c r="I259" s="1">
        <v>0</v>
      </c>
      <c r="J259" s="1">
        <v>0</v>
      </c>
      <c r="K259" s="1"/>
      <c r="L259" t="s">
        <v>844</v>
      </c>
      <c r="M259" t="s">
        <v>877</v>
      </c>
      <c r="N259" t="s">
        <v>315</v>
      </c>
      <c r="O259">
        <v>958</v>
      </c>
      <c r="P259">
        <v>0</v>
      </c>
      <c r="Q259">
        <v>0</v>
      </c>
      <c r="R259">
        <v>4836</v>
      </c>
      <c r="S259">
        <v>0</v>
      </c>
      <c r="T259">
        <v>0</v>
      </c>
    </row>
    <row r="260" spans="1:20" x14ac:dyDescent="0.25">
      <c r="A260" t="s">
        <v>830</v>
      </c>
      <c r="B260" t="s">
        <v>877</v>
      </c>
      <c r="C260" t="s">
        <v>314</v>
      </c>
      <c r="D260" s="1">
        <v>2337</v>
      </c>
      <c r="E260" s="1">
        <v>205</v>
      </c>
      <c r="F260" s="1">
        <v>0</v>
      </c>
      <c r="G260" s="1">
        <v>2046</v>
      </c>
      <c r="H260" s="1">
        <v>45</v>
      </c>
      <c r="I260" s="1">
        <v>0</v>
      </c>
      <c r="J260" s="1">
        <v>0</v>
      </c>
      <c r="K260" s="1"/>
      <c r="L260" t="s">
        <v>836</v>
      </c>
      <c r="M260" t="s">
        <v>877</v>
      </c>
      <c r="N260" t="s">
        <v>316</v>
      </c>
      <c r="O260">
        <v>1461</v>
      </c>
      <c r="P260">
        <v>0</v>
      </c>
      <c r="Q260">
        <v>0</v>
      </c>
      <c r="R260">
        <v>5678</v>
      </c>
      <c r="S260">
        <v>18</v>
      </c>
      <c r="T260">
        <v>0</v>
      </c>
    </row>
    <row r="261" spans="1:20" x14ac:dyDescent="0.25">
      <c r="A261" t="s">
        <v>844</v>
      </c>
      <c r="B261" t="s">
        <v>877</v>
      </c>
      <c r="C261" t="s">
        <v>315</v>
      </c>
      <c r="D261" s="1">
        <v>958</v>
      </c>
      <c r="E261" s="1">
        <v>0</v>
      </c>
      <c r="F261" s="1">
        <v>0</v>
      </c>
      <c r="G261" s="1">
        <v>4836</v>
      </c>
      <c r="H261" s="1">
        <v>0</v>
      </c>
      <c r="I261" s="1">
        <v>0</v>
      </c>
      <c r="J261" s="1">
        <v>0</v>
      </c>
      <c r="K261" s="1"/>
      <c r="L261" t="s">
        <v>845</v>
      </c>
      <c r="M261" t="s">
        <v>877</v>
      </c>
      <c r="N261" t="s">
        <v>317</v>
      </c>
      <c r="O261">
        <v>7853</v>
      </c>
      <c r="P261">
        <v>2</v>
      </c>
      <c r="Q261">
        <v>0</v>
      </c>
      <c r="R261">
        <v>4443</v>
      </c>
      <c r="S261">
        <v>31</v>
      </c>
      <c r="T261">
        <v>0</v>
      </c>
    </row>
    <row r="262" spans="1:20" x14ac:dyDescent="0.25">
      <c r="A262" t="s">
        <v>836</v>
      </c>
      <c r="B262" t="s">
        <v>877</v>
      </c>
      <c r="C262" t="s">
        <v>316</v>
      </c>
      <c r="D262" s="1">
        <v>1461</v>
      </c>
      <c r="E262" s="1">
        <v>0</v>
      </c>
      <c r="F262" s="1">
        <v>0</v>
      </c>
      <c r="G262" s="1">
        <v>5678</v>
      </c>
      <c r="H262" s="1">
        <v>18</v>
      </c>
      <c r="I262" s="1">
        <v>0</v>
      </c>
      <c r="J262" s="1">
        <v>0</v>
      </c>
      <c r="K262" s="1"/>
      <c r="L262" t="s">
        <v>846</v>
      </c>
      <c r="M262" t="s">
        <v>877</v>
      </c>
      <c r="N262" t="s">
        <v>318</v>
      </c>
      <c r="O262">
        <v>1296</v>
      </c>
      <c r="P262">
        <v>13</v>
      </c>
      <c r="Q262">
        <v>0</v>
      </c>
      <c r="R262">
        <v>3497</v>
      </c>
      <c r="S262">
        <v>6</v>
      </c>
      <c r="T262">
        <v>0</v>
      </c>
    </row>
    <row r="263" spans="1:20" x14ac:dyDescent="0.25">
      <c r="A263" t="s">
        <v>845</v>
      </c>
      <c r="B263" t="s">
        <v>877</v>
      </c>
      <c r="C263" t="s">
        <v>317</v>
      </c>
      <c r="D263" s="1">
        <v>7853</v>
      </c>
      <c r="E263" s="1">
        <v>2</v>
      </c>
      <c r="F263" s="1">
        <v>0</v>
      </c>
      <c r="G263" s="1">
        <v>4443</v>
      </c>
      <c r="H263" s="1">
        <v>31</v>
      </c>
      <c r="I263" s="1">
        <v>0</v>
      </c>
      <c r="J263" s="1">
        <v>0</v>
      </c>
      <c r="K263" s="1"/>
      <c r="L263" t="s">
        <v>804</v>
      </c>
      <c r="M263" t="s">
        <v>877</v>
      </c>
      <c r="N263" t="s">
        <v>319</v>
      </c>
      <c r="O263">
        <v>5681</v>
      </c>
      <c r="P263">
        <v>23</v>
      </c>
      <c r="Q263">
        <v>0</v>
      </c>
      <c r="R263">
        <v>12937</v>
      </c>
      <c r="S263">
        <v>55</v>
      </c>
      <c r="T263">
        <v>0</v>
      </c>
    </row>
    <row r="264" spans="1:20" x14ac:dyDescent="0.25">
      <c r="A264" t="s">
        <v>846</v>
      </c>
      <c r="B264" t="s">
        <v>877</v>
      </c>
      <c r="C264" t="s">
        <v>318</v>
      </c>
      <c r="D264" s="1">
        <v>1296</v>
      </c>
      <c r="E264" s="1">
        <v>13</v>
      </c>
      <c r="F264" s="1">
        <v>0</v>
      </c>
      <c r="G264" s="1">
        <v>3497</v>
      </c>
      <c r="H264" s="1">
        <v>6</v>
      </c>
      <c r="I264" s="1">
        <v>0</v>
      </c>
      <c r="J264" s="1">
        <v>0</v>
      </c>
      <c r="K264" s="1"/>
      <c r="L264" t="s">
        <v>809</v>
      </c>
      <c r="M264" t="s">
        <v>877</v>
      </c>
      <c r="N264" t="s">
        <v>320</v>
      </c>
      <c r="O264">
        <v>11258</v>
      </c>
      <c r="P264">
        <v>0</v>
      </c>
      <c r="Q264">
        <v>0</v>
      </c>
      <c r="R264">
        <v>8144</v>
      </c>
      <c r="S264">
        <v>9</v>
      </c>
      <c r="T264">
        <v>0</v>
      </c>
    </row>
    <row r="265" spans="1:20" x14ac:dyDescent="0.25">
      <c r="A265" t="s">
        <v>804</v>
      </c>
      <c r="B265" t="s">
        <v>877</v>
      </c>
      <c r="C265" t="s">
        <v>319</v>
      </c>
      <c r="D265" s="1">
        <v>5681</v>
      </c>
      <c r="E265" s="1">
        <v>23</v>
      </c>
      <c r="F265" s="1">
        <v>0</v>
      </c>
      <c r="G265" s="1">
        <v>12937</v>
      </c>
      <c r="H265" s="1">
        <v>55</v>
      </c>
      <c r="I265" s="1">
        <v>0</v>
      </c>
      <c r="J265" s="1">
        <v>0</v>
      </c>
      <c r="K265" s="1"/>
      <c r="L265" t="s">
        <v>801</v>
      </c>
      <c r="M265" t="s">
        <v>877</v>
      </c>
      <c r="N265" t="s">
        <v>321</v>
      </c>
      <c r="O265">
        <v>7467</v>
      </c>
      <c r="P265">
        <v>37</v>
      </c>
      <c r="Q265">
        <v>0</v>
      </c>
      <c r="R265">
        <v>19245</v>
      </c>
      <c r="S265">
        <v>334</v>
      </c>
      <c r="T265">
        <v>0</v>
      </c>
    </row>
    <row r="266" spans="1:20" x14ac:dyDescent="0.25">
      <c r="A266" t="s">
        <v>809</v>
      </c>
      <c r="B266" t="s">
        <v>877</v>
      </c>
      <c r="C266" t="s">
        <v>320</v>
      </c>
      <c r="D266" s="1">
        <v>11258</v>
      </c>
      <c r="E266" s="1">
        <v>0</v>
      </c>
      <c r="F266" s="1">
        <v>0</v>
      </c>
      <c r="G266" s="1">
        <v>8144</v>
      </c>
      <c r="H266" s="1">
        <v>9</v>
      </c>
      <c r="I266" s="1">
        <v>0</v>
      </c>
      <c r="J266" s="1">
        <v>0</v>
      </c>
      <c r="K266" s="1"/>
      <c r="L266" t="s">
        <v>138</v>
      </c>
      <c r="M266" t="s">
        <v>877</v>
      </c>
      <c r="N266" t="s">
        <v>322</v>
      </c>
      <c r="O266">
        <v>11774</v>
      </c>
      <c r="P266">
        <v>35</v>
      </c>
      <c r="Q266">
        <v>0</v>
      </c>
      <c r="R266">
        <v>69682</v>
      </c>
      <c r="S266">
        <v>389</v>
      </c>
      <c r="T266">
        <v>0</v>
      </c>
    </row>
    <row r="267" spans="1:20" x14ac:dyDescent="0.25">
      <c r="A267" t="s">
        <v>801</v>
      </c>
      <c r="B267" t="s">
        <v>877</v>
      </c>
      <c r="C267" t="s">
        <v>321</v>
      </c>
      <c r="D267" s="1">
        <v>7467</v>
      </c>
      <c r="E267" s="1">
        <v>37</v>
      </c>
      <c r="F267" s="1">
        <v>0</v>
      </c>
      <c r="G267" s="1">
        <v>19245</v>
      </c>
      <c r="H267" s="1">
        <v>334</v>
      </c>
      <c r="I267" s="1">
        <v>0</v>
      </c>
      <c r="J267" s="1">
        <v>0</v>
      </c>
      <c r="K267" s="1"/>
      <c r="L267" t="s">
        <v>83</v>
      </c>
      <c r="M267" t="s">
        <v>877</v>
      </c>
      <c r="N267" t="s">
        <v>323</v>
      </c>
      <c r="O267">
        <v>15460</v>
      </c>
      <c r="P267">
        <v>51</v>
      </c>
      <c r="Q267">
        <v>0</v>
      </c>
      <c r="R267">
        <v>8544</v>
      </c>
      <c r="S267">
        <v>111</v>
      </c>
      <c r="T267">
        <v>0</v>
      </c>
    </row>
    <row r="268" spans="1:20" x14ac:dyDescent="0.25">
      <c r="A268" t="s">
        <v>138</v>
      </c>
      <c r="B268" t="s">
        <v>877</v>
      </c>
      <c r="C268" t="s">
        <v>322</v>
      </c>
      <c r="D268" s="1">
        <v>11774</v>
      </c>
      <c r="E268" s="1">
        <v>35</v>
      </c>
      <c r="F268" s="1">
        <v>0</v>
      </c>
      <c r="G268" s="1">
        <v>69682</v>
      </c>
      <c r="H268" s="1">
        <v>389</v>
      </c>
      <c r="I268" s="1">
        <v>0</v>
      </c>
      <c r="J268" s="1">
        <v>0</v>
      </c>
      <c r="K268" s="1"/>
      <c r="L268" t="s">
        <v>825</v>
      </c>
      <c r="M268" t="s">
        <v>877</v>
      </c>
      <c r="N268" t="s">
        <v>324</v>
      </c>
      <c r="O268">
        <v>3271</v>
      </c>
      <c r="P268">
        <v>25</v>
      </c>
      <c r="Q268">
        <v>0</v>
      </c>
      <c r="R268">
        <v>9421</v>
      </c>
      <c r="S268">
        <v>164</v>
      </c>
      <c r="T268">
        <v>0</v>
      </c>
    </row>
    <row r="269" spans="1:20" x14ac:dyDescent="0.25">
      <c r="A269" t="s">
        <v>83</v>
      </c>
      <c r="B269" t="s">
        <v>877</v>
      </c>
      <c r="C269" t="s">
        <v>323</v>
      </c>
      <c r="D269" s="1">
        <v>15460</v>
      </c>
      <c r="E269" s="1">
        <v>51</v>
      </c>
      <c r="F269" s="1">
        <v>0</v>
      </c>
      <c r="G269" s="1">
        <v>8544</v>
      </c>
      <c r="H269" s="1">
        <v>111</v>
      </c>
      <c r="I269" s="1">
        <v>0</v>
      </c>
      <c r="J269" s="1">
        <v>0</v>
      </c>
      <c r="K269" s="1"/>
      <c r="L269" t="s">
        <v>248</v>
      </c>
      <c r="M269" t="s">
        <v>877</v>
      </c>
      <c r="N269" t="s">
        <v>325</v>
      </c>
      <c r="O269">
        <v>1225</v>
      </c>
      <c r="P269">
        <v>0</v>
      </c>
      <c r="Q269">
        <v>0</v>
      </c>
      <c r="R269">
        <v>3366</v>
      </c>
      <c r="S269">
        <v>0</v>
      </c>
      <c r="T269">
        <v>0</v>
      </c>
    </row>
    <row r="270" spans="1:20" x14ac:dyDescent="0.25">
      <c r="A270" t="s">
        <v>825</v>
      </c>
      <c r="B270" t="s">
        <v>877</v>
      </c>
      <c r="C270" t="s">
        <v>324</v>
      </c>
      <c r="D270" s="1">
        <v>3271</v>
      </c>
      <c r="E270" s="1">
        <v>25</v>
      </c>
      <c r="F270" s="1">
        <v>0</v>
      </c>
      <c r="G270" s="1">
        <v>9421</v>
      </c>
      <c r="H270" s="1">
        <v>164</v>
      </c>
      <c r="I270" s="1">
        <v>0</v>
      </c>
      <c r="J270" s="1">
        <v>0</v>
      </c>
      <c r="K270" s="1"/>
      <c r="L270" t="s">
        <v>83</v>
      </c>
      <c r="M270" t="s">
        <v>877</v>
      </c>
      <c r="N270" t="s">
        <v>326</v>
      </c>
      <c r="O270">
        <v>1191</v>
      </c>
      <c r="P270">
        <v>0</v>
      </c>
      <c r="Q270">
        <v>0</v>
      </c>
      <c r="R270">
        <v>5524</v>
      </c>
      <c r="S270">
        <v>2</v>
      </c>
      <c r="T270">
        <v>0</v>
      </c>
    </row>
    <row r="271" spans="1:20" x14ac:dyDescent="0.25">
      <c r="A271" t="s">
        <v>248</v>
      </c>
      <c r="B271" t="s">
        <v>877</v>
      </c>
      <c r="C271" t="s">
        <v>325</v>
      </c>
      <c r="D271" s="1">
        <v>1225</v>
      </c>
      <c r="E271" s="1">
        <v>0</v>
      </c>
      <c r="F271" s="1">
        <v>0</v>
      </c>
      <c r="G271" s="1">
        <v>3366</v>
      </c>
      <c r="H271" s="1">
        <v>0</v>
      </c>
      <c r="I271" s="1">
        <v>0</v>
      </c>
      <c r="J271" s="1">
        <v>0</v>
      </c>
      <c r="K271" s="1"/>
      <c r="L271" t="s">
        <v>795</v>
      </c>
      <c r="M271" t="s">
        <v>877</v>
      </c>
      <c r="N271" t="s">
        <v>327</v>
      </c>
      <c r="O271">
        <v>202</v>
      </c>
      <c r="P271">
        <v>0</v>
      </c>
      <c r="Q271">
        <v>0</v>
      </c>
      <c r="R271">
        <v>1089</v>
      </c>
      <c r="S271">
        <v>43</v>
      </c>
      <c r="T271">
        <v>0</v>
      </c>
    </row>
    <row r="272" spans="1:20" x14ac:dyDescent="0.25">
      <c r="A272" t="s">
        <v>83</v>
      </c>
      <c r="B272" t="s">
        <v>877</v>
      </c>
      <c r="C272" t="s">
        <v>326</v>
      </c>
      <c r="D272" s="1">
        <v>1191</v>
      </c>
      <c r="E272" s="1">
        <v>0</v>
      </c>
      <c r="F272" s="1">
        <v>0</v>
      </c>
      <c r="G272" s="1">
        <v>5524</v>
      </c>
      <c r="H272" s="1">
        <v>2</v>
      </c>
      <c r="I272" s="1">
        <v>0</v>
      </c>
      <c r="J272" s="1">
        <v>0</v>
      </c>
      <c r="K272" s="1"/>
      <c r="L272" t="s">
        <v>76</v>
      </c>
      <c r="M272" t="s">
        <v>877</v>
      </c>
      <c r="N272" t="s">
        <v>329</v>
      </c>
      <c r="O272">
        <v>4173</v>
      </c>
      <c r="P272">
        <v>35</v>
      </c>
      <c r="Q272">
        <v>0</v>
      </c>
      <c r="R272">
        <v>24552</v>
      </c>
      <c r="S272">
        <v>520</v>
      </c>
      <c r="T272">
        <v>0</v>
      </c>
    </row>
    <row r="273" spans="1:20" x14ac:dyDescent="0.25">
      <c r="A273" t="s">
        <v>795</v>
      </c>
      <c r="B273" t="s">
        <v>877</v>
      </c>
      <c r="C273" t="s">
        <v>327</v>
      </c>
      <c r="D273" s="1">
        <v>202</v>
      </c>
      <c r="E273" s="1">
        <v>0</v>
      </c>
      <c r="F273" s="1">
        <v>0</v>
      </c>
      <c r="G273" s="1">
        <v>1089</v>
      </c>
      <c r="H273" s="1">
        <v>43</v>
      </c>
      <c r="I273" s="1">
        <v>0</v>
      </c>
      <c r="J273" s="1">
        <v>0</v>
      </c>
      <c r="K273" s="1"/>
      <c r="L273" t="s">
        <v>809</v>
      </c>
      <c r="M273" t="s">
        <v>877</v>
      </c>
      <c r="N273" t="s">
        <v>330</v>
      </c>
      <c r="O273">
        <v>6409</v>
      </c>
      <c r="P273">
        <v>601</v>
      </c>
      <c r="Q273">
        <v>0</v>
      </c>
      <c r="R273">
        <v>27950</v>
      </c>
      <c r="S273">
        <v>501</v>
      </c>
      <c r="T273">
        <v>0</v>
      </c>
    </row>
    <row r="274" spans="1:20" x14ac:dyDescent="0.25">
      <c r="A274" t="s">
        <v>76</v>
      </c>
      <c r="B274" t="s">
        <v>877</v>
      </c>
      <c r="C274" t="s">
        <v>329</v>
      </c>
      <c r="D274" s="1">
        <v>4173</v>
      </c>
      <c r="E274" s="1">
        <v>35</v>
      </c>
      <c r="F274" s="1">
        <v>0</v>
      </c>
      <c r="G274" s="1">
        <v>24552</v>
      </c>
      <c r="H274" s="1">
        <v>520</v>
      </c>
      <c r="I274" s="1">
        <v>0</v>
      </c>
      <c r="J274" s="1">
        <v>0</v>
      </c>
      <c r="K274" s="1"/>
      <c r="L274" t="s">
        <v>839</v>
      </c>
      <c r="M274" t="s">
        <v>877</v>
      </c>
      <c r="N274" t="s">
        <v>331</v>
      </c>
      <c r="O274">
        <v>1027</v>
      </c>
      <c r="P274">
        <v>2</v>
      </c>
      <c r="Q274">
        <v>0</v>
      </c>
      <c r="R274">
        <v>4844</v>
      </c>
      <c r="S274">
        <v>29</v>
      </c>
      <c r="T274">
        <v>0</v>
      </c>
    </row>
    <row r="275" spans="1:20" x14ac:dyDescent="0.25">
      <c r="A275" t="s">
        <v>809</v>
      </c>
      <c r="B275" t="s">
        <v>877</v>
      </c>
      <c r="C275" t="s">
        <v>330</v>
      </c>
      <c r="D275" s="1">
        <v>6409</v>
      </c>
      <c r="E275" s="1">
        <v>601</v>
      </c>
      <c r="F275" s="1">
        <v>0</v>
      </c>
      <c r="G275" s="1">
        <v>27950</v>
      </c>
      <c r="H275" s="1">
        <v>501</v>
      </c>
      <c r="I275" s="1">
        <v>0</v>
      </c>
      <c r="J275" s="1">
        <v>0</v>
      </c>
      <c r="K275" s="1"/>
      <c r="L275" t="s">
        <v>248</v>
      </c>
      <c r="M275" t="s">
        <v>877</v>
      </c>
      <c r="N275" t="s">
        <v>332</v>
      </c>
      <c r="O275">
        <v>3229</v>
      </c>
      <c r="P275">
        <v>0</v>
      </c>
      <c r="Q275">
        <v>0</v>
      </c>
      <c r="R275">
        <v>4459</v>
      </c>
      <c r="S275">
        <v>54</v>
      </c>
      <c r="T275">
        <v>0</v>
      </c>
    </row>
    <row r="276" spans="1:20" x14ac:dyDescent="0.25">
      <c r="A276" t="s">
        <v>839</v>
      </c>
      <c r="B276" t="s">
        <v>877</v>
      </c>
      <c r="C276" t="s">
        <v>331</v>
      </c>
      <c r="D276" s="1">
        <v>1027</v>
      </c>
      <c r="E276" s="1">
        <v>2</v>
      </c>
      <c r="F276" s="1">
        <v>0</v>
      </c>
      <c r="G276" s="1">
        <v>4844</v>
      </c>
      <c r="H276" s="1">
        <v>29</v>
      </c>
      <c r="I276" s="1">
        <v>0</v>
      </c>
      <c r="J276" s="1">
        <v>0</v>
      </c>
      <c r="K276" s="1"/>
      <c r="L276" t="s">
        <v>862</v>
      </c>
      <c r="M276" t="s">
        <v>877</v>
      </c>
      <c r="N276" t="s">
        <v>333</v>
      </c>
      <c r="O276">
        <v>326</v>
      </c>
      <c r="P276">
        <v>0</v>
      </c>
      <c r="Q276">
        <v>0</v>
      </c>
      <c r="R276">
        <v>4090</v>
      </c>
      <c r="S276">
        <v>0</v>
      </c>
      <c r="T276">
        <v>0</v>
      </c>
    </row>
    <row r="277" spans="1:20" x14ac:dyDescent="0.25">
      <c r="A277" t="s">
        <v>248</v>
      </c>
      <c r="B277" t="s">
        <v>877</v>
      </c>
      <c r="C277" t="s">
        <v>332</v>
      </c>
      <c r="D277" s="1">
        <v>3229</v>
      </c>
      <c r="E277" s="1">
        <v>0</v>
      </c>
      <c r="F277" s="1">
        <v>0</v>
      </c>
      <c r="G277" s="1">
        <v>4459</v>
      </c>
      <c r="H277" s="1">
        <v>54</v>
      </c>
      <c r="I277" s="1">
        <v>0</v>
      </c>
      <c r="J277" s="1">
        <v>0</v>
      </c>
      <c r="K277" s="1"/>
      <c r="L277" t="s">
        <v>857</v>
      </c>
      <c r="M277" t="s">
        <v>877</v>
      </c>
      <c r="N277" t="s">
        <v>334</v>
      </c>
      <c r="O277">
        <v>3784</v>
      </c>
      <c r="P277">
        <v>0</v>
      </c>
      <c r="Q277">
        <v>0</v>
      </c>
      <c r="R277">
        <v>1764</v>
      </c>
      <c r="S277">
        <v>0</v>
      </c>
      <c r="T277">
        <v>0</v>
      </c>
    </row>
    <row r="278" spans="1:20" x14ac:dyDescent="0.25">
      <c r="A278" t="s">
        <v>862</v>
      </c>
      <c r="B278" t="s">
        <v>877</v>
      </c>
      <c r="C278" t="s">
        <v>333</v>
      </c>
      <c r="D278" s="1">
        <v>326</v>
      </c>
      <c r="E278" s="1">
        <v>0</v>
      </c>
      <c r="F278" s="1">
        <v>0</v>
      </c>
      <c r="G278" s="1">
        <v>4090</v>
      </c>
      <c r="H278" s="1">
        <v>0</v>
      </c>
      <c r="I278" s="1">
        <v>0</v>
      </c>
      <c r="J278" s="1">
        <v>0</v>
      </c>
      <c r="K278" s="1"/>
      <c r="L278" t="s">
        <v>265</v>
      </c>
      <c r="M278" t="s">
        <v>877</v>
      </c>
      <c r="N278" t="s">
        <v>335</v>
      </c>
      <c r="O278">
        <v>2968</v>
      </c>
      <c r="P278">
        <v>0</v>
      </c>
      <c r="Q278">
        <v>0</v>
      </c>
      <c r="R278">
        <v>9762</v>
      </c>
      <c r="S278">
        <v>31</v>
      </c>
      <c r="T278">
        <v>0</v>
      </c>
    </row>
    <row r="279" spans="1:20" x14ac:dyDescent="0.25">
      <c r="A279" t="s">
        <v>857</v>
      </c>
      <c r="B279" t="s">
        <v>877</v>
      </c>
      <c r="C279" t="s">
        <v>334</v>
      </c>
      <c r="D279" s="1">
        <v>3784</v>
      </c>
      <c r="E279" s="1">
        <v>0</v>
      </c>
      <c r="F279" s="1">
        <v>0</v>
      </c>
      <c r="G279" s="1">
        <v>1764</v>
      </c>
      <c r="H279" s="1">
        <v>0</v>
      </c>
      <c r="I279" s="1">
        <v>0</v>
      </c>
      <c r="J279" s="1">
        <v>0</v>
      </c>
      <c r="K279" s="1"/>
      <c r="L279" t="s">
        <v>855</v>
      </c>
      <c r="M279" t="s">
        <v>877</v>
      </c>
      <c r="N279" t="s">
        <v>336</v>
      </c>
      <c r="O279">
        <v>2617</v>
      </c>
      <c r="P279">
        <v>69</v>
      </c>
      <c r="Q279">
        <v>0</v>
      </c>
      <c r="R279">
        <v>8535</v>
      </c>
      <c r="S279">
        <v>17</v>
      </c>
      <c r="T279">
        <v>0</v>
      </c>
    </row>
    <row r="280" spans="1:20" x14ac:dyDescent="0.25">
      <c r="A280" t="s">
        <v>265</v>
      </c>
      <c r="B280" t="s">
        <v>877</v>
      </c>
      <c r="C280" t="s">
        <v>335</v>
      </c>
      <c r="D280" s="1">
        <v>2968</v>
      </c>
      <c r="E280" s="1">
        <v>0</v>
      </c>
      <c r="F280" s="1">
        <v>0</v>
      </c>
      <c r="G280" s="1">
        <v>9762</v>
      </c>
      <c r="H280" s="1">
        <v>31</v>
      </c>
      <c r="I280" s="1">
        <v>0</v>
      </c>
      <c r="J280" s="1">
        <v>0</v>
      </c>
      <c r="K280" s="1"/>
      <c r="L280" t="s">
        <v>868</v>
      </c>
      <c r="M280" t="s">
        <v>877</v>
      </c>
      <c r="N280" t="s">
        <v>337</v>
      </c>
      <c r="O280">
        <v>6020</v>
      </c>
      <c r="P280">
        <v>51</v>
      </c>
      <c r="Q280">
        <v>0</v>
      </c>
      <c r="R280">
        <v>33294</v>
      </c>
      <c r="S280">
        <v>142</v>
      </c>
      <c r="T280">
        <v>0</v>
      </c>
    </row>
    <row r="281" spans="1:20" x14ac:dyDescent="0.25">
      <c r="A281" t="s">
        <v>855</v>
      </c>
      <c r="B281" t="s">
        <v>877</v>
      </c>
      <c r="C281" t="s">
        <v>336</v>
      </c>
      <c r="D281" s="1">
        <v>2617</v>
      </c>
      <c r="E281" s="1">
        <v>69</v>
      </c>
      <c r="F281" s="1">
        <v>0</v>
      </c>
      <c r="G281" s="1">
        <v>8535</v>
      </c>
      <c r="H281" s="1">
        <v>17</v>
      </c>
      <c r="I281" s="1">
        <v>0</v>
      </c>
      <c r="J281" s="1">
        <v>0</v>
      </c>
      <c r="K281" s="1"/>
      <c r="L281" t="s">
        <v>852</v>
      </c>
      <c r="M281" t="s">
        <v>877</v>
      </c>
      <c r="N281" t="s">
        <v>338</v>
      </c>
      <c r="O281">
        <v>795</v>
      </c>
      <c r="P281">
        <v>0</v>
      </c>
      <c r="Q281">
        <v>0</v>
      </c>
      <c r="R281">
        <v>7448</v>
      </c>
      <c r="S281">
        <v>15</v>
      </c>
      <c r="T281">
        <v>0</v>
      </c>
    </row>
    <row r="282" spans="1:20" x14ac:dyDescent="0.25">
      <c r="A282" t="s">
        <v>868</v>
      </c>
      <c r="B282" t="s">
        <v>877</v>
      </c>
      <c r="C282" t="s">
        <v>337</v>
      </c>
      <c r="D282" s="1">
        <v>6020</v>
      </c>
      <c r="E282" s="1">
        <v>51</v>
      </c>
      <c r="F282" s="1">
        <v>0</v>
      </c>
      <c r="G282" s="1">
        <v>33294</v>
      </c>
      <c r="H282" s="1">
        <v>142</v>
      </c>
      <c r="I282" s="1">
        <v>0</v>
      </c>
      <c r="J282" s="1">
        <v>0</v>
      </c>
      <c r="K282" s="1"/>
      <c r="L282" t="s">
        <v>860</v>
      </c>
      <c r="M282" t="s">
        <v>877</v>
      </c>
      <c r="N282" t="s">
        <v>339</v>
      </c>
      <c r="O282">
        <v>4200</v>
      </c>
      <c r="P282">
        <v>0</v>
      </c>
      <c r="Q282">
        <v>0</v>
      </c>
      <c r="R282">
        <v>4139</v>
      </c>
      <c r="S282">
        <v>77</v>
      </c>
      <c r="T282">
        <v>0</v>
      </c>
    </row>
    <row r="283" spans="1:20" x14ac:dyDescent="0.25">
      <c r="A283" t="s">
        <v>852</v>
      </c>
      <c r="B283" t="s">
        <v>877</v>
      </c>
      <c r="C283" t="s">
        <v>338</v>
      </c>
      <c r="D283" s="1">
        <v>795</v>
      </c>
      <c r="E283" s="1">
        <v>0</v>
      </c>
      <c r="F283" s="1">
        <v>0</v>
      </c>
      <c r="G283" s="1">
        <v>7448</v>
      </c>
      <c r="H283" s="1">
        <v>15</v>
      </c>
      <c r="I283" s="1">
        <v>0</v>
      </c>
      <c r="J283" s="1">
        <v>0</v>
      </c>
      <c r="K283" s="1"/>
      <c r="L283" t="s">
        <v>861</v>
      </c>
      <c r="M283" t="s">
        <v>877</v>
      </c>
      <c r="N283" t="s">
        <v>340</v>
      </c>
      <c r="O283">
        <v>1268</v>
      </c>
      <c r="P283">
        <v>0</v>
      </c>
      <c r="Q283">
        <v>0</v>
      </c>
      <c r="R283">
        <v>2307</v>
      </c>
      <c r="S283">
        <v>1</v>
      </c>
      <c r="T283">
        <v>0</v>
      </c>
    </row>
    <row r="284" spans="1:20" x14ac:dyDescent="0.25">
      <c r="A284" t="s">
        <v>860</v>
      </c>
      <c r="B284" t="s">
        <v>877</v>
      </c>
      <c r="C284" t="s">
        <v>339</v>
      </c>
      <c r="D284" s="1">
        <v>4200</v>
      </c>
      <c r="E284" s="1">
        <v>0</v>
      </c>
      <c r="F284" s="1">
        <v>0</v>
      </c>
      <c r="G284" s="1">
        <v>4139</v>
      </c>
      <c r="H284" s="1">
        <v>77</v>
      </c>
      <c r="I284" s="1">
        <v>0</v>
      </c>
      <c r="J284" s="1">
        <v>0</v>
      </c>
      <c r="K284" s="1"/>
      <c r="L284" t="s">
        <v>834</v>
      </c>
      <c r="M284" t="s">
        <v>877</v>
      </c>
      <c r="N284" t="s">
        <v>341</v>
      </c>
      <c r="O284">
        <v>1178</v>
      </c>
      <c r="P284">
        <v>0</v>
      </c>
      <c r="Q284">
        <v>0</v>
      </c>
      <c r="R284">
        <v>8107</v>
      </c>
      <c r="S284">
        <v>2</v>
      </c>
      <c r="T284">
        <v>0</v>
      </c>
    </row>
    <row r="285" spans="1:20" x14ac:dyDescent="0.25">
      <c r="A285" t="s">
        <v>861</v>
      </c>
      <c r="B285" t="s">
        <v>877</v>
      </c>
      <c r="C285" t="s">
        <v>340</v>
      </c>
      <c r="D285" s="1">
        <v>1268</v>
      </c>
      <c r="E285" s="1">
        <v>0</v>
      </c>
      <c r="F285" s="1">
        <v>0</v>
      </c>
      <c r="G285" s="1">
        <v>2307</v>
      </c>
      <c r="H285" s="1">
        <v>1</v>
      </c>
      <c r="I285" s="1">
        <v>0</v>
      </c>
      <c r="J285" s="1">
        <v>0</v>
      </c>
      <c r="K285" s="1"/>
      <c r="L285" t="s">
        <v>850</v>
      </c>
      <c r="M285" t="s">
        <v>877</v>
      </c>
      <c r="N285" t="s">
        <v>342</v>
      </c>
      <c r="O285">
        <v>1128</v>
      </c>
      <c r="P285">
        <v>16</v>
      </c>
      <c r="Q285">
        <v>0</v>
      </c>
      <c r="R285">
        <v>1617</v>
      </c>
      <c r="S285">
        <v>2</v>
      </c>
      <c r="T285">
        <v>0</v>
      </c>
    </row>
    <row r="286" spans="1:20" x14ac:dyDescent="0.25">
      <c r="A286" t="s">
        <v>834</v>
      </c>
      <c r="B286" t="s">
        <v>877</v>
      </c>
      <c r="C286" t="s">
        <v>341</v>
      </c>
      <c r="D286" s="1">
        <v>1178</v>
      </c>
      <c r="E286" s="1">
        <v>0</v>
      </c>
      <c r="F286" s="1">
        <v>0</v>
      </c>
      <c r="G286" s="1">
        <v>8107</v>
      </c>
      <c r="H286" s="1">
        <v>2</v>
      </c>
      <c r="I286" s="1">
        <v>0</v>
      </c>
      <c r="J286" s="1">
        <v>0</v>
      </c>
      <c r="K286" s="1"/>
      <c r="L286" t="s">
        <v>801</v>
      </c>
      <c r="M286" t="s">
        <v>877</v>
      </c>
      <c r="N286" t="s">
        <v>343</v>
      </c>
      <c r="O286">
        <v>919</v>
      </c>
      <c r="P286">
        <v>0</v>
      </c>
      <c r="Q286">
        <v>0</v>
      </c>
      <c r="R286">
        <v>2745</v>
      </c>
      <c r="S286">
        <v>1</v>
      </c>
      <c r="T286">
        <v>0</v>
      </c>
    </row>
    <row r="287" spans="1:20" x14ac:dyDescent="0.25">
      <c r="A287" t="s">
        <v>850</v>
      </c>
      <c r="B287" t="s">
        <v>877</v>
      </c>
      <c r="C287" t="s">
        <v>342</v>
      </c>
      <c r="D287" s="1">
        <v>1128</v>
      </c>
      <c r="E287" s="1">
        <v>16</v>
      </c>
      <c r="F287" s="1">
        <v>0</v>
      </c>
      <c r="G287" s="1">
        <v>1617</v>
      </c>
      <c r="H287" s="1">
        <v>2</v>
      </c>
      <c r="I287" s="1">
        <v>0</v>
      </c>
      <c r="J287" s="1">
        <v>0</v>
      </c>
      <c r="K287" s="1"/>
      <c r="L287" t="s">
        <v>138</v>
      </c>
      <c r="M287" t="s">
        <v>877</v>
      </c>
      <c r="N287" t="s">
        <v>344</v>
      </c>
      <c r="O287">
        <v>5171</v>
      </c>
      <c r="P287">
        <v>0</v>
      </c>
      <c r="Q287">
        <v>0</v>
      </c>
      <c r="R287">
        <v>31115</v>
      </c>
      <c r="S287">
        <v>152</v>
      </c>
      <c r="T287">
        <v>0</v>
      </c>
    </row>
    <row r="288" spans="1:20" x14ac:dyDescent="0.25">
      <c r="A288" t="s">
        <v>801</v>
      </c>
      <c r="B288" t="s">
        <v>877</v>
      </c>
      <c r="C288" t="s">
        <v>343</v>
      </c>
      <c r="D288" s="1">
        <v>919</v>
      </c>
      <c r="E288" s="1">
        <v>0</v>
      </c>
      <c r="F288" s="1">
        <v>0</v>
      </c>
      <c r="G288" s="1">
        <v>2745</v>
      </c>
      <c r="H288" s="1">
        <v>1</v>
      </c>
      <c r="I288" s="1">
        <v>0</v>
      </c>
      <c r="J288" s="1">
        <v>0</v>
      </c>
      <c r="K288" s="1"/>
      <c r="L288" t="s">
        <v>868</v>
      </c>
      <c r="M288" t="s">
        <v>877</v>
      </c>
      <c r="N288" t="s">
        <v>345</v>
      </c>
      <c r="O288">
        <v>670</v>
      </c>
      <c r="P288">
        <v>0</v>
      </c>
      <c r="Q288">
        <v>0</v>
      </c>
      <c r="R288">
        <v>5495</v>
      </c>
      <c r="S288">
        <v>0</v>
      </c>
      <c r="T288">
        <v>0</v>
      </c>
    </row>
    <row r="289" spans="1:20" x14ac:dyDescent="0.25">
      <c r="A289" t="s">
        <v>138</v>
      </c>
      <c r="B289" t="s">
        <v>877</v>
      </c>
      <c r="C289" t="s">
        <v>344</v>
      </c>
      <c r="D289" s="1">
        <v>5171</v>
      </c>
      <c r="E289" s="1">
        <v>0</v>
      </c>
      <c r="F289" s="1">
        <v>0</v>
      </c>
      <c r="G289" s="1">
        <v>31115</v>
      </c>
      <c r="H289" s="1">
        <v>152</v>
      </c>
      <c r="I289" s="1">
        <v>0</v>
      </c>
      <c r="J289" s="1">
        <v>0</v>
      </c>
      <c r="K289" s="1"/>
      <c r="L289" t="s">
        <v>69</v>
      </c>
      <c r="M289" t="s">
        <v>877</v>
      </c>
      <c r="N289" t="s">
        <v>346</v>
      </c>
      <c r="O289">
        <v>5606</v>
      </c>
      <c r="P289">
        <v>9</v>
      </c>
      <c r="Q289">
        <v>0</v>
      </c>
      <c r="R289">
        <v>44806</v>
      </c>
      <c r="S289">
        <v>1016</v>
      </c>
      <c r="T289">
        <v>0</v>
      </c>
    </row>
    <row r="290" spans="1:20" x14ac:dyDescent="0.25">
      <c r="A290" t="s">
        <v>868</v>
      </c>
      <c r="B290" t="s">
        <v>877</v>
      </c>
      <c r="C290" t="s">
        <v>345</v>
      </c>
      <c r="D290" s="1">
        <v>670</v>
      </c>
      <c r="E290" s="1">
        <v>0</v>
      </c>
      <c r="F290" s="1">
        <v>0</v>
      </c>
      <c r="G290" s="1">
        <v>5495</v>
      </c>
      <c r="H290" s="1">
        <v>0</v>
      </c>
      <c r="I290" s="1">
        <v>0</v>
      </c>
      <c r="J290" s="1">
        <v>0</v>
      </c>
      <c r="K290" s="1"/>
      <c r="L290" t="s">
        <v>83</v>
      </c>
      <c r="M290" t="s">
        <v>877</v>
      </c>
      <c r="N290" t="s">
        <v>347</v>
      </c>
      <c r="O290">
        <v>27</v>
      </c>
      <c r="P290">
        <v>0</v>
      </c>
      <c r="Q290">
        <v>0</v>
      </c>
      <c r="R290">
        <v>16</v>
      </c>
      <c r="S290">
        <v>0</v>
      </c>
      <c r="T290">
        <v>0</v>
      </c>
    </row>
    <row r="291" spans="1:20" x14ac:dyDescent="0.25">
      <c r="A291" t="s">
        <v>69</v>
      </c>
      <c r="B291" t="s">
        <v>877</v>
      </c>
      <c r="C291" t="s">
        <v>346</v>
      </c>
      <c r="D291" s="1">
        <v>5606</v>
      </c>
      <c r="E291" s="1">
        <v>9</v>
      </c>
      <c r="F291" s="1">
        <v>0</v>
      </c>
      <c r="G291" s="1">
        <v>44806</v>
      </c>
      <c r="H291" s="1">
        <v>1016</v>
      </c>
      <c r="I291" s="1">
        <v>0</v>
      </c>
      <c r="J291" s="1">
        <v>0</v>
      </c>
      <c r="K291" s="1"/>
      <c r="L291" t="s">
        <v>101</v>
      </c>
      <c r="M291" t="s">
        <v>877</v>
      </c>
      <c r="N291" t="s">
        <v>348</v>
      </c>
      <c r="O291">
        <v>2359</v>
      </c>
      <c r="P291">
        <v>22</v>
      </c>
      <c r="Q291">
        <v>0</v>
      </c>
      <c r="R291">
        <v>15239</v>
      </c>
      <c r="S291">
        <v>10</v>
      </c>
      <c r="T291">
        <v>0</v>
      </c>
    </row>
    <row r="292" spans="1:20" x14ac:dyDescent="0.25">
      <c r="A292" t="s">
        <v>83</v>
      </c>
      <c r="B292" t="s">
        <v>877</v>
      </c>
      <c r="C292" t="s">
        <v>347</v>
      </c>
      <c r="D292" s="1">
        <v>27</v>
      </c>
      <c r="E292" s="1">
        <v>0</v>
      </c>
      <c r="F292" s="1">
        <v>0</v>
      </c>
      <c r="G292" s="1">
        <v>16</v>
      </c>
      <c r="H292" s="1">
        <v>0</v>
      </c>
      <c r="I292" s="1">
        <v>0</v>
      </c>
      <c r="J292" s="1">
        <v>0</v>
      </c>
      <c r="K292" s="1"/>
      <c r="L292" t="s">
        <v>797</v>
      </c>
      <c r="M292" t="s">
        <v>877</v>
      </c>
      <c r="N292" t="s">
        <v>349</v>
      </c>
      <c r="O292">
        <v>549</v>
      </c>
      <c r="P292">
        <v>0</v>
      </c>
      <c r="Q292">
        <v>0</v>
      </c>
      <c r="R292">
        <v>6680</v>
      </c>
      <c r="S292">
        <v>0</v>
      </c>
      <c r="T292">
        <v>0</v>
      </c>
    </row>
    <row r="293" spans="1:20" x14ac:dyDescent="0.25">
      <c r="A293" t="s">
        <v>101</v>
      </c>
      <c r="B293" t="s">
        <v>877</v>
      </c>
      <c r="C293" t="s">
        <v>348</v>
      </c>
      <c r="D293" s="1">
        <v>2359</v>
      </c>
      <c r="E293" s="1">
        <v>22</v>
      </c>
      <c r="F293" s="1">
        <v>0</v>
      </c>
      <c r="G293" s="1">
        <v>15239</v>
      </c>
      <c r="H293" s="1">
        <v>10</v>
      </c>
      <c r="I293" s="1">
        <v>0</v>
      </c>
      <c r="J293" s="1">
        <v>0</v>
      </c>
      <c r="K293" s="1"/>
      <c r="L293" t="s">
        <v>811</v>
      </c>
      <c r="M293" t="s">
        <v>877</v>
      </c>
      <c r="N293" t="s">
        <v>350</v>
      </c>
      <c r="O293">
        <v>3690</v>
      </c>
      <c r="P293">
        <v>82</v>
      </c>
      <c r="Q293">
        <v>0</v>
      </c>
      <c r="R293">
        <v>18564</v>
      </c>
      <c r="S293">
        <v>105</v>
      </c>
      <c r="T293">
        <v>0</v>
      </c>
    </row>
    <row r="294" spans="1:20" x14ac:dyDescent="0.25">
      <c r="A294" t="s">
        <v>797</v>
      </c>
      <c r="B294" t="s">
        <v>877</v>
      </c>
      <c r="C294" t="s">
        <v>349</v>
      </c>
      <c r="D294" s="1">
        <v>549</v>
      </c>
      <c r="E294" s="1">
        <v>0</v>
      </c>
      <c r="F294" s="1">
        <v>0</v>
      </c>
      <c r="G294" s="1">
        <v>6680</v>
      </c>
      <c r="H294" s="1">
        <v>0</v>
      </c>
      <c r="I294" s="1">
        <v>0</v>
      </c>
      <c r="J294" s="1">
        <v>0</v>
      </c>
      <c r="K294" s="1"/>
      <c r="L294" t="s">
        <v>837</v>
      </c>
      <c r="M294" t="s">
        <v>877</v>
      </c>
      <c r="N294" t="s">
        <v>351</v>
      </c>
      <c r="O294">
        <v>1709</v>
      </c>
      <c r="P294">
        <v>26</v>
      </c>
      <c r="Q294">
        <v>0</v>
      </c>
      <c r="R294">
        <v>7688</v>
      </c>
      <c r="S294">
        <v>47</v>
      </c>
      <c r="T294">
        <v>0</v>
      </c>
    </row>
    <row r="295" spans="1:20" x14ac:dyDescent="0.25">
      <c r="A295" t="s">
        <v>811</v>
      </c>
      <c r="B295" t="s">
        <v>877</v>
      </c>
      <c r="C295" t="s">
        <v>350</v>
      </c>
      <c r="D295" s="1">
        <v>3690</v>
      </c>
      <c r="E295" s="1">
        <v>82</v>
      </c>
      <c r="F295" s="1">
        <v>0</v>
      </c>
      <c r="G295" s="1">
        <v>18564</v>
      </c>
      <c r="H295" s="1">
        <v>105</v>
      </c>
      <c r="I295" s="1">
        <v>0</v>
      </c>
      <c r="J295" s="1">
        <v>0</v>
      </c>
      <c r="K295" s="1"/>
      <c r="L295" t="s">
        <v>824</v>
      </c>
      <c r="M295" t="s">
        <v>877</v>
      </c>
      <c r="N295" t="s">
        <v>352</v>
      </c>
      <c r="O295">
        <v>2108</v>
      </c>
      <c r="P295">
        <v>0</v>
      </c>
      <c r="Q295">
        <v>0</v>
      </c>
      <c r="R295">
        <v>8668</v>
      </c>
      <c r="S295">
        <v>1</v>
      </c>
      <c r="T295">
        <v>0</v>
      </c>
    </row>
    <row r="296" spans="1:20" x14ac:dyDescent="0.25">
      <c r="A296" t="s">
        <v>837</v>
      </c>
      <c r="B296" t="s">
        <v>877</v>
      </c>
      <c r="C296" t="s">
        <v>351</v>
      </c>
      <c r="D296" s="1">
        <v>1709</v>
      </c>
      <c r="E296" s="1">
        <v>26</v>
      </c>
      <c r="F296" s="1">
        <v>0</v>
      </c>
      <c r="G296" s="1">
        <v>7688</v>
      </c>
      <c r="H296" s="1">
        <v>47</v>
      </c>
      <c r="I296" s="1">
        <v>0</v>
      </c>
      <c r="J296" s="1">
        <v>0</v>
      </c>
      <c r="K296" s="1"/>
      <c r="L296" t="s">
        <v>829</v>
      </c>
      <c r="M296" t="s">
        <v>877</v>
      </c>
      <c r="N296" t="s">
        <v>353</v>
      </c>
      <c r="O296">
        <v>10522</v>
      </c>
      <c r="P296">
        <v>3</v>
      </c>
      <c r="Q296">
        <v>0</v>
      </c>
      <c r="R296">
        <v>8305</v>
      </c>
      <c r="S296">
        <v>14</v>
      </c>
      <c r="T296">
        <v>0</v>
      </c>
    </row>
    <row r="297" spans="1:20" x14ac:dyDescent="0.25">
      <c r="A297" t="s">
        <v>824</v>
      </c>
      <c r="B297" t="s">
        <v>877</v>
      </c>
      <c r="C297" t="s">
        <v>352</v>
      </c>
      <c r="D297" s="1">
        <v>2108</v>
      </c>
      <c r="E297" s="1">
        <v>0</v>
      </c>
      <c r="F297" s="1">
        <v>0</v>
      </c>
      <c r="G297" s="1">
        <v>8668</v>
      </c>
      <c r="H297" s="1">
        <v>1</v>
      </c>
      <c r="I297" s="1">
        <v>0</v>
      </c>
      <c r="J297" s="1">
        <v>0</v>
      </c>
      <c r="K297" s="1"/>
      <c r="L297" t="s">
        <v>832</v>
      </c>
      <c r="M297" t="s">
        <v>877</v>
      </c>
      <c r="N297" t="s">
        <v>354</v>
      </c>
      <c r="O297">
        <v>1543</v>
      </c>
      <c r="P297">
        <v>0</v>
      </c>
      <c r="Q297">
        <v>0</v>
      </c>
      <c r="R297">
        <v>2291</v>
      </c>
      <c r="S297">
        <v>8</v>
      </c>
      <c r="T297">
        <v>0</v>
      </c>
    </row>
    <row r="298" spans="1:20" x14ac:dyDescent="0.25">
      <c r="A298" t="s">
        <v>829</v>
      </c>
      <c r="B298" t="s">
        <v>877</v>
      </c>
      <c r="C298" t="s">
        <v>353</v>
      </c>
      <c r="D298" s="1">
        <v>10522</v>
      </c>
      <c r="E298" s="1">
        <v>3</v>
      </c>
      <c r="F298" s="1">
        <v>0</v>
      </c>
      <c r="G298" s="1">
        <v>8305</v>
      </c>
      <c r="H298" s="1">
        <v>14</v>
      </c>
      <c r="I298" s="1">
        <v>0</v>
      </c>
      <c r="J298" s="1">
        <v>0</v>
      </c>
      <c r="K298" s="1"/>
      <c r="L298" t="s">
        <v>833</v>
      </c>
      <c r="M298" t="s">
        <v>877</v>
      </c>
      <c r="N298" t="s">
        <v>355</v>
      </c>
      <c r="O298">
        <v>1909</v>
      </c>
      <c r="P298">
        <v>0</v>
      </c>
      <c r="Q298">
        <v>0</v>
      </c>
      <c r="R298">
        <v>3742</v>
      </c>
      <c r="S298">
        <v>0</v>
      </c>
      <c r="T298">
        <v>0</v>
      </c>
    </row>
    <row r="299" spans="1:20" x14ac:dyDescent="0.25">
      <c r="A299" t="s">
        <v>832</v>
      </c>
      <c r="B299" t="s">
        <v>877</v>
      </c>
      <c r="C299" t="s">
        <v>354</v>
      </c>
      <c r="D299" s="1">
        <v>1543</v>
      </c>
      <c r="E299" s="1">
        <v>0</v>
      </c>
      <c r="F299" s="1">
        <v>0</v>
      </c>
      <c r="G299" s="1">
        <v>2291</v>
      </c>
      <c r="H299" s="1">
        <v>8</v>
      </c>
      <c r="I299" s="1">
        <v>0</v>
      </c>
      <c r="J299" s="1">
        <v>0</v>
      </c>
      <c r="K299" s="1"/>
      <c r="L299" t="s">
        <v>840</v>
      </c>
      <c r="M299" t="s">
        <v>877</v>
      </c>
      <c r="N299" t="s">
        <v>356</v>
      </c>
      <c r="O299">
        <v>1728</v>
      </c>
      <c r="P299">
        <v>1</v>
      </c>
      <c r="Q299">
        <v>0</v>
      </c>
      <c r="R299">
        <v>10558</v>
      </c>
      <c r="S299">
        <v>122</v>
      </c>
      <c r="T299">
        <v>0</v>
      </c>
    </row>
    <row r="300" spans="1:20" x14ac:dyDescent="0.25">
      <c r="A300" t="s">
        <v>833</v>
      </c>
      <c r="B300" t="s">
        <v>877</v>
      </c>
      <c r="C300" t="s">
        <v>355</v>
      </c>
      <c r="D300" s="1">
        <v>1909</v>
      </c>
      <c r="E300" s="1">
        <v>0</v>
      </c>
      <c r="F300" s="1">
        <v>0</v>
      </c>
      <c r="G300" s="1">
        <v>3742</v>
      </c>
      <c r="H300" s="1">
        <v>0</v>
      </c>
      <c r="I300" s="1">
        <v>0</v>
      </c>
      <c r="J300" s="1">
        <v>0</v>
      </c>
      <c r="K300" s="1"/>
      <c r="L300" t="s">
        <v>843</v>
      </c>
      <c r="M300" t="s">
        <v>877</v>
      </c>
      <c r="N300" t="s">
        <v>357</v>
      </c>
      <c r="O300">
        <v>1175</v>
      </c>
      <c r="P300">
        <v>26</v>
      </c>
      <c r="Q300">
        <v>0</v>
      </c>
      <c r="R300">
        <v>13254</v>
      </c>
      <c r="S300">
        <v>32</v>
      </c>
      <c r="T300">
        <v>0</v>
      </c>
    </row>
    <row r="301" spans="1:20" x14ac:dyDescent="0.25">
      <c r="A301" t="s">
        <v>840</v>
      </c>
      <c r="B301" t="s">
        <v>877</v>
      </c>
      <c r="C301" t="s">
        <v>356</v>
      </c>
      <c r="D301" s="1">
        <v>1728</v>
      </c>
      <c r="E301" s="1">
        <v>1</v>
      </c>
      <c r="F301" s="1">
        <v>0</v>
      </c>
      <c r="G301" s="1">
        <v>10558</v>
      </c>
      <c r="H301" s="1">
        <v>122</v>
      </c>
      <c r="I301" s="1">
        <v>0</v>
      </c>
      <c r="J301" s="1">
        <v>0</v>
      </c>
      <c r="K301" s="1"/>
      <c r="L301" t="s">
        <v>791</v>
      </c>
      <c r="M301" t="s">
        <v>877</v>
      </c>
      <c r="N301" t="s">
        <v>358</v>
      </c>
      <c r="O301">
        <v>8537</v>
      </c>
      <c r="P301">
        <v>1</v>
      </c>
      <c r="Q301">
        <v>0</v>
      </c>
      <c r="R301">
        <v>24528</v>
      </c>
      <c r="S301">
        <v>74</v>
      </c>
      <c r="T301">
        <v>0</v>
      </c>
    </row>
    <row r="302" spans="1:20" x14ac:dyDescent="0.25">
      <c r="A302" t="s">
        <v>843</v>
      </c>
      <c r="B302" t="s">
        <v>877</v>
      </c>
      <c r="C302" t="s">
        <v>357</v>
      </c>
      <c r="D302" s="1">
        <v>1175</v>
      </c>
      <c r="E302" s="1">
        <v>26</v>
      </c>
      <c r="F302" s="1">
        <v>0</v>
      </c>
      <c r="G302" s="1">
        <v>13254</v>
      </c>
      <c r="H302" s="1">
        <v>32</v>
      </c>
      <c r="I302" s="1">
        <v>0</v>
      </c>
      <c r="J302" s="1">
        <v>0</v>
      </c>
      <c r="K302" s="1"/>
      <c r="L302" t="s">
        <v>842</v>
      </c>
      <c r="M302" t="s">
        <v>877</v>
      </c>
      <c r="N302" t="s">
        <v>359</v>
      </c>
      <c r="O302">
        <v>3162</v>
      </c>
      <c r="P302">
        <v>0</v>
      </c>
      <c r="Q302">
        <v>0</v>
      </c>
      <c r="R302">
        <v>12301</v>
      </c>
      <c r="S302">
        <v>1</v>
      </c>
      <c r="T302">
        <v>0</v>
      </c>
    </row>
    <row r="303" spans="1:20" x14ac:dyDescent="0.25">
      <c r="A303" t="s">
        <v>791</v>
      </c>
      <c r="B303" t="s">
        <v>877</v>
      </c>
      <c r="C303" t="s">
        <v>358</v>
      </c>
      <c r="D303" s="1">
        <v>8537</v>
      </c>
      <c r="E303" s="1">
        <v>1</v>
      </c>
      <c r="F303" s="1">
        <v>0</v>
      </c>
      <c r="G303" s="1">
        <v>24528</v>
      </c>
      <c r="H303" s="1">
        <v>74</v>
      </c>
      <c r="I303" s="1">
        <v>0</v>
      </c>
      <c r="J303" s="1">
        <v>0</v>
      </c>
      <c r="K303" s="1"/>
      <c r="L303" t="s">
        <v>835</v>
      </c>
      <c r="M303" t="s">
        <v>877</v>
      </c>
      <c r="N303" t="s">
        <v>360</v>
      </c>
      <c r="O303">
        <v>1095</v>
      </c>
      <c r="P303">
        <v>60</v>
      </c>
      <c r="Q303">
        <v>0</v>
      </c>
      <c r="R303">
        <v>7648</v>
      </c>
      <c r="S303">
        <v>17</v>
      </c>
      <c r="T303">
        <v>0</v>
      </c>
    </row>
    <row r="304" spans="1:20" x14ac:dyDescent="0.25">
      <c r="A304" t="s">
        <v>842</v>
      </c>
      <c r="B304" t="s">
        <v>877</v>
      </c>
      <c r="C304" t="s">
        <v>359</v>
      </c>
      <c r="D304" s="1">
        <v>3162</v>
      </c>
      <c r="E304" s="1">
        <v>0</v>
      </c>
      <c r="F304" s="1">
        <v>0</v>
      </c>
      <c r="G304" s="1">
        <v>12301</v>
      </c>
      <c r="H304" s="1">
        <v>1</v>
      </c>
      <c r="I304" s="1">
        <v>0</v>
      </c>
      <c r="J304" s="1">
        <v>0</v>
      </c>
      <c r="K304" s="1"/>
      <c r="L304" t="s">
        <v>826</v>
      </c>
      <c r="M304" t="s">
        <v>877</v>
      </c>
      <c r="N304" t="s">
        <v>361</v>
      </c>
      <c r="O304">
        <v>7823</v>
      </c>
      <c r="P304">
        <v>58</v>
      </c>
      <c r="Q304">
        <v>0</v>
      </c>
      <c r="R304">
        <v>28414</v>
      </c>
      <c r="S304">
        <v>379</v>
      </c>
      <c r="T304">
        <v>0</v>
      </c>
    </row>
    <row r="305" spans="1:20" x14ac:dyDescent="0.25">
      <c r="A305" t="s">
        <v>835</v>
      </c>
      <c r="B305" t="s">
        <v>877</v>
      </c>
      <c r="C305" t="s">
        <v>360</v>
      </c>
      <c r="D305" s="1">
        <v>1095</v>
      </c>
      <c r="E305" s="1">
        <v>60</v>
      </c>
      <c r="F305" s="1">
        <v>0</v>
      </c>
      <c r="G305" s="1">
        <v>7648</v>
      </c>
      <c r="H305" s="1">
        <v>17</v>
      </c>
      <c r="I305" s="1">
        <v>0</v>
      </c>
      <c r="J305" s="1">
        <v>0</v>
      </c>
      <c r="K305" s="1"/>
      <c r="L305" t="s">
        <v>67</v>
      </c>
      <c r="M305" t="s">
        <v>877</v>
      </c>
      <c r="N305" t="s">
        <v>362</v>
      </c>
      <c r="O305">
        <v>10244</v>
      </c>
      <c r="P305">
        <v>0</v>
      </c>
      <c r="Q305">
        <v>0</v>
      </c>
      <c r="R305">
        <v>36044</v>
      </c>
      <c r="S305">
        <v>9</v>
      </c>
      <c r="T305">
        <v>0</v>
      </c>
    </row>
    <row r="306" spans="1:20" x14ac:dyDescent="0.25">
      <c r="A306" t="s">
        <v>826</v>
      </c>
      <c r="B306" t="s">
        <v>877</v>
      </c>
      <c r="C306" t="s">
        <v>361</v>
      </c>
      <c r="D306" s="1">
        <v>7823</v>
      </c>
      <c r="E306" s="1">
        <v>58</v>
      </c>
      <c r="F306" s="1">
        <v>0</v>
      </c>
      <c r="G306" s="1">
        <v>28414</v>
      </c>
      <c r="H306" s="1">
        <v>379</v>
      </c>
      <c r="I306" s="1">
        <v>0</v>
      </c>
      <c r="J306" s="1">
        <v>0</v>
      </c>
      <c r="K306" s="1"/>
      <c r="L306" t="s">
        <v>831</v>
      </c>
      <c r="M306" t="s">
        <v>877</v>
      </c>
      <c r="N306" t="s">
        <v>363</v>
      </c>
      <c r="O306">
        <v>287</v>
      </c>
      <c r="P306">
        <v>0</v>
      </c>
      <c r="Q306">
        <v>0</v>
      </c>
      <c r="R306">
        <v>3086</v>
      </c>
      <c r="S306">
        <v>2</v>
      </c>
      <c r="T306">
        <v>0</v>
      </c>
    </row>
    <row r="307" spans="1:20" x14ac:dyDescent="0.25">
      <c r="A307" t="s">
        <v>67</v>
      </c>
      <c r="B307" t="s">
        <v>877</v>
      </c>
      <c r="C307" t="s">
        <v>362</v>
      </c>
      <c r="D307" s="1">
        <v>10244</v>
      </c>
      <c r="E307" s="1">
        <v>0</v>
      </c>
      <c r="F307" s="1">
        <v>0</v>
      </c>
      <c r="G307" s="1">
        <v>36044</v>
      </c>
      <c r="H307" s="1">
        <v>9</v>
      </c>
      <c r="I307" s="1">
        <v>0</v>
      </c>
      <c r="J307" s="1">
        <v>0</v>
      </c>
      <c r="K307" s="1"/>
      <c r="L307" t="s">
        <v>248</v>
      </c>
      <c r="M307" t="s">
        <v>877</v>
      </c>
      <c r="N307" t="s">
        <v>364</v>
      </c>
      <c r="O307">
        <v>905</v>
      </c>
      <c r="P307">
        <v>0</v>
      </c>
      <c r="Q307">
        <v>0</v>
      </c>
      <c r="R307">
        <v>7533</v>
      </c>
      <c r="S307">
        <v>0</v>
      </c>
      <c r="T307">
        <v>0</v>
      </c>
    </row>
    <row r="308" spans="1:20" x14ac:dyDescent="0.25">
      <c r="A308" t="s">
        <v>831</v>
      </c>
      <c r="B308" t="s">
        <v>877</v>
      </c>
      <c r="C308" t="s">
        <v>363</v>
      </c>
      <c r="D308" s="1">
        <v>287</v>
      </c>
      <c r="E308" s="1">
        <v>0</v>
      </c>
      <c r="F308" s="1">
        <v>0</v>
      </c>
      <c r="G308" s="1">
        <v>3086</v>
      </c>
      <c r="H308" s="1">
        <v>2</v>
      </c>
      <c r="I308" s="1">
        <v>0</v>
      </c>
      <c r="J308" s="1">
        <v>0</v>
      </c>
      <c r="K308" s="1"/>
      <c r="L308" t="s">
        <v>791</v>
      </c>
      <c r="M308" t="s">
        <v>877</v>
      </c>
      <c r="N308" t="s">
        <v>365</v>
      </c>
      <c r="O308">
        <v>5301</v>
      </c>
      <c r="P308">
        <v>210</v>
      </c>
      <c r="Q308">
        <v>0</v>
      </c>
      <c r="R308">
        <v>11054</v>
      </c>
      <c r="S308">
        <v>762</v>
      </c>
      <c r="T308">
        <v>0</v>
      </c>
    </row>
    <row r="309" spans="1:20" x14ac:dyDescent="0.25">
      <c r="A309" t="s">
        <v>248</v>
      </c>
      <c r="B309" t="s">
        <v>877</v>
      </c>
      <c r="C309" t="s">
        <v>364</v>
      </c>
      <c r="D309" s="1">
        <v>905</v>
      </c>
      <c r="E309" s="1">
        <v>0</v>
      </c>
      <c r="F309" s="1">
        <v>0</v>
      </c>
      <c r="G309" s="1">
        <v>7533</v>
      </c>
      <c r="H309" s="1">
        <v>0</v>
      </c>
      <c r="I309" s="1">
        <v>0</v>
      </c>
      <c r="J309" s="1">
        <v>0</v>
      </c>
      <c r="K309" s="1"/>
      <c r="L309" t="s">
        <v>797</v>
      </c>
      <c r="M309" t="s">
        <v>877</v>
      </c>
      <c r="N309" t="s">
        <v>366</v>
      </c>
      <c r="O309">
        <v>1894</v>
      </c>
      <c r="P309">
        <v>12</v>
      </c>
      <c r="Q309">
        <v>0</v>
      </c>
      <c r="R309">
        <v>4065</v>
      </c>
      <c r="S309">
        <v>56</v>
      </c>
      <c r="T309">
        <v>0</v>
      </c>
    </row>
    <row r="310" spans="1:20" x14ac:dyDescent="0.25">
      <c r="A310" t="s">
        <v>791</v>
      </c>
      <c r="B310" t="s">
        <v>877</v>
      </c>
      <c r="C310" t="s">
        <v>365</v>
      </c>
      <c r="D310" s="1">
        <v>5301</v>
      </c>
      <c r="E310" s="1">
        <v>210</v>
      </c>
      <c r="F310" s="1">
        <v>0</v>
      </c>
      <c r="G310" s="1">
        <v>11054</v>
      </c>
      <c r="H310" s="1">
        <v>762</v>
      </c>
      <c r="I310" s="1">
        <v>0</v>
      </c>
      <c r="J310" s="1">
        <v>0</v>
      </c>
      <c r="K310" s="1"/>
      <c r="L310" t="s">
        <v>120</v>
      </c>
      <c r="M310" t="s">
        <v>877</v>
      </c>
      <c r="N310" t="s">
        <v>367</v>
      </c>
      <c r="O310">
        <v>4075</v>
      </c>
      <c r="P310">
        <v>24</v>
      </c>
      <c r="Q310">
        <v>0</v>
      </c>
      <c r="R310">
        <v>20374</v>
      </c>
      <c r="S310">
        <v>291</v>
      </c>
      <c r="T310">
        <v>0</v>
      </c>
    </row>
    <row r="311" spans="1:20" x14ac:dyDescent="0.25">
      <c r="A311" t="s">
        <v>797</v>
      </c>
      <c r="B311" t="s">
        <v>877</v>
      </c>
      <c r="C311" t="s">
        <v>366</v>
      </c>
      <c r="D311" s="1">
        <v>1894</v>
      </c>
      <c r="E311" s="1">
        <v>12</v>
      </c>
      <c r="F311" s="1">
        <v>0</v>
      </c>
      <c r="G311" s="1">
        <v>4065</v>
      </c>
      <c r="H311" s="1">
        <v>56</v>
      </c>
      <c r="I311" s="1">
        <v>0</v>
      </c>
      <c r="J311" s="1">
        <v>0</v>
      </c>
      <c r="K311" s="1"/>
      <c r="L311" t="s">
        <v>231</v>
      </c>
      <c r="M311" t="s">
        <v>877</v>
      </c>
      <c r="N311" t="s">
        <v>368</v>
      </c>
      <c r="O311">
        <v>3604</v>
      </c>
      <c r="P311">
        <v>3</v>
      </c>
      <c r="Q311">
        <v>0</v>
      </c>
      <c r="R311">
        <v>21341</v>
      </c>
      <c r="S311">
        <v>19</v>
      </c>
      <c r="T311">
        <v>0</v>
      </c>
    </row>
    <row r="312" spans="1:20" x14ac:dyDescent="0.25">
      <c r="A312" t="s">
        <v>120</v>
      </c>
      <c r="B312" t="s">
        <v>877</v>
      </c>
      <c r="C312" t="s">
        <v>367</v>
      </c>
      <c r="D312" s="1">
        <v>4075</v>
      </c>
      <c r="E312" s="1">
        <v>24</v>
      </c>
      <c r="F312" s="1">
        <v>0</v>
      </c>
      <c r="G312" s="1">
        <v>20374</v>
      </c>
      <c r="H312" s="1">
        <v>291</v>
      </c>
      <c r="I312" s="1">
        <v>0</v>
      </c>
      <c r="J312" s="1">
        <v>0</v>
      </c>
      <c r="K312" s="1"/>
      <c r="L312" t="s">
        <v>809</v>
      </c>
      <c r="M312" t="s">
        <v>877</v>
      </c>
      <c r="N312" t="s">
        <v>369</v>
      </c>
      <c r="O312">
        <v>7440</v>
      </c>
      <c r="P312">
        <v>6</v>
      </c>
      <c r="Q312">
        <v>0</v>
      </c>
      <c r="R312">
        <v>44360</v>
      </c>
      <c r="S312">
        <v>814</v>
      </c>
      <c r="T312">
        <v>0</v>
      </c>
    </row>
    <row r="313" spans="1:20" x14ac:dyDescent="0.25">
      <c r="A313" t="s">
        <v>231</v>
      </c>
      <c r="B313" t="s">
        <v>877</v>
      </c>
      <c r="C313" t="s">
        <v>368</v>
      </c>
      <c r="D313" s="1">
        <v>3604</v>
      </c>
      <c r="E313" s="1">
        <v>3</v>
      </c>
      <c r="F313" s="1">
        <v>0</v>
      </c>
      <c r="G313" s="1">
        <v>21341</v>
      </c>
      <c r="H313" s="1">
        <v>19</v>
      </c>
      <c r="I313" s="1">
        <v>0</v>
      </c>
      <c r="J313" s="1">
        <v>0</v>
      </c>
      <c r="K313" s="1"/>
      <c r="L313" t="s">
        <v>848</v>
      </c>
      <c r="M313" t="s">
        <v>877</v>
      </c>
      <c r="N313" t="s">
        <v>370</v>
      </c>
      <c r="O313">
        <v>1255</v>
      </c>
      <c r="P313">
        <v>47</v>
      </c>
      <c r="Q313">
        <v>0</v>
      </c>
      <c r="R313">
        <v>8536</v>
      </c>
      <c r="S313">
        <v>9</v>
      </c>
      <c r="T313">
        <v>0</v>
      </c>
    </row>
    <row r="314" spans="1:20" x14ac:dyDescent="0.25">
      <c r="A314" t="s">
        <v>809</v>
      </c>
      <c r="B314" t="s">
        <v>877</v>
      </c>
      <c r="C314" t="s">
        <v>369</v>
      </c>
      <c r="D314" s="1">
        <v>7440</v>
      </c>
      <c r="E314" s="1">
        <v>6</v>
      </c>
      <c r="F314" s="1">
        <v>0</v>
      </c>
      <c r="G314" s="1">
        <v>44360</v>
      </c>
      <c r="H314" s="1">
        <v>814</v>
      </c>
      <c r="I314" s="1">
        <v>0</v>
      </c>
      <c r="J314" s="1">
        <v>0</v>
      </c>
      <c r="K314" s="1"/>
      <c r="L314" t="s">
        <v>226</v>
      </c>
      <c r="M314" t="s">
        <v>877</v>
      </c>
      <c r="N314" t="s">
        <v>371</v>
      </c>
      <c r="O314">
        <v>2317</v>
      </c>
      <c r="P314">
        <v>192</v>
      </c>
      <c r="Q314">
        <v>0</v>
      </c>
      <c r="R314">
        <v>21458</v>
      </c>
      <c r="S314">
        <v>52</v>
      </c>
      <c r="T314">
        <v>0</v>
      </c>
    </row>
    <row r="315" spans="1:20" x14ac:dyDescent="0.25">
      <c r="A315" t="s">
        <v>848</v>
      </c>
      <c r="B315" t="s">
        <v>877</v>
      </c>
      <c r="C315" t="s">
        <v>370</v>
      </c>
      <c r="D315" s="1">
        <v>1255</v>
      </c>
      <c r="E315" s="1">
        <v>47</v>
      </c>
      <c r="F315" s="1">
        <v>0</v>
      </c>
      <c r="G315" s="1">
        <v>8536</v>
      </c>
      <c r="H315" s="1">
        <v>9</v>
      </c>
      <c r="I315" s="1">
        <v>0</v>
      </c>
      <c r="J315" s="1">
        <v>0</v>
      </c>
      <c r="K315" s="1"/>
      <c r="L315" t="s">
        <v>797</v>
      </c>
      <c r="M315" t="s">
        <v>877</v>
      </c>
      <c r="N315" t="s">
        <v>372</v>
      </c>
      <c r="O315">
        <v>819</v>
      </c>
      <c r="P315">
        <v>10</v>
      </c>
      <c r="Q315">
        <v>0</v>
      </c>
      <c r="R315">
        <v>6207</v>
      </c>
      <c r="S315">
        <v>152</v>
      </c>
      <c r="T315">
        <v>0</v>
      </c>
    </row>
    <row r="316" spans="1:20" x14ac:dyDescent="0.25">
      <c r="A316" t="s">
        <v>226</v>
      </c>
      <c r="B316" t="s">
        <v>877</v>
      </c>
      <c r="C316" t="s">
        <v>371</v>
      </c>
      <c r="D316" s="1">
        <v>2317</v>
      </c>
      <c r="E316" s="1">
        <v>192</v>
      </c>
      <c r="F316" s="1">
        <v>0</v>
      </c>
      <c r="G316" s="1">
        <v>21458</v>
      </c>
      <c r="H316" s="1">
        <v>52</v>
      </c>
      <c r="I316" s="1">
        <v>0</v>
      </c>
      <c r="J316" s="1">
        <v>0</v>
      </c>
      <c r="K316" s="1"/>
      <c r="L316" t="s">
        <v>791</v>
      </c>
      <c r="M316" t="s">
        <v>877</v>
      </c>
      <c r="N316" t="s">
        <v>373</v>
      </c>
      <c r="O316">
        <v>2307</v>
      </c>
      <c r="P316">
        <v>1</v>
      </c>
      <c r="Q316">
        <v>0</v>
      </c>
      <c r="R316">
        <v>12338</v>
      </c>
      <c r="S316">
        <v>38</v>
      </c>
      <c r="T316">
        <v>0</v>
      </c>
    </row>
    <row r="317" spans="1:20" x14ac:dyDescent="0.25">
      <c r="A317" t="s">
        <v>797</v>
      </c>
      <c r="B317" t="s">
        <v>877</v>
      </c>
      <c r="C317" t="s">
        <v>372</v>
      </c>
      <c r="D317" s="1">
        <v>819</v>
      </c>
      <c r="E317" s="1">
        <v>10</v>
      </c>
      <c r="F317" s="1">
        <v>0</v>
      </c>
      <c r="G317" s="1">
        <v>6207</v>
      </c>
      <c r="H317" s="1">
        <v>152</v>
      </c>
      <c r="I317" s="1">
        <v>0</v>
      </c>
      <c r="J317" s="1">
        <v>0</v>
      </c>
      <c r="K317" s="1"/>
      <c r="L317" t="s">
        <v>826</v>
      </c>
      <c r="M317" t="s">
        <v>877</v>
      </c>
      <c r="N317" t="s">
        <v>374</v>
      </c>
      <c r="O317">
        <v>5232</v>
      </c>
      <c r="P317">
        <v>8</v>
      </c>
      <c r="Q317">
        <v>0</v>
      </c>
      <c r="R317">
        <v>12306</v>
      </c>
      <c r="S317">
        <v>68</v>
      </c>
      <c r="T317">
        <v>0</v>
      </c>
    </row>
    <row r="318" spans="1:20" x14ac:dyDescent="0.25">
      <c r="A318" t="s">
        <v>791</v>
      </c>
      <c r="B318" t="s">
        <v>877</v>
      </c>
      <c r="C318" t="s">
        <v>373</v>
      </c>
      <c r="D318" s="1">
        <v>2307</v>
      </c>
      <c r="E318" s="1">
        <v>1</v>
      </c>
      <c r="F318" s="1">
        <v>0</v>
      </c>
      <c r="G318" s="1">
        <v>12338</v>
      </c>
      <c r="H318" s="1">
        <v>38</v>
      </c>
      <c r="I318" s="1">
        <v>0</v>
      </c>
      <c r="J318" s="1">
        <v>0</v>
      </c>
      <c r="K318" s="1"/>
      <c r="L318" t="s">
        <v>512</v>
      </c>
      <c r="M318" t="s">
        <v>877</v>
      </c>
      <c r="N318" t="s">
        <v>375</v>
      </c>
      <c r="O318">
        <v>2769</v>
      </c>
      <c r="P318">
        <v>0</v>
      </c>
      <c r="Q318">
        <v>0</v>
      </c>
      <c r="R318">
        <v>11170</v>
      </c>
      <c r="S318">
        <v>73</v>
      </c>
      <c r="T318">
        <v>0</v>
      </c>
    </row>
    <row r="319" spans="1:20" x14ac:dyDescent="0.25">
      <c r="A319" t="s">
        <v>826</v>
      </c>
      <c r="B319" t="s">
        <v>877</v>
      </c>
      <c r="C319" t="s">
        <v>374</v>
      </c>
      <c r="D319" s="1">
        <v>5232</v>
      </c>
      <c r="E319" s="1">
        <v>8</v>
      </c>
      <c r="F319" s="1">
        <v>0</v>
      </c>
      <c r="G319" s="1">
        <v>12306</v>
      </c>
      <c r="H319" s="1">
        <v>68</v>
      </c>
      <c r="I319" s="1">
        <v>0</v>
      </c>
      <c r="J319" s="1">
        <v>0</v>
      </c>
      <c r="K319" s="1"/>
      <c r="L319" t="s">
        <v>817</v>
      </c>
      <c r="M319" t="s">
        <v>877</v>
      </c>
      <c r="N319" t="s">
        <v>376</v>
      </c>
      <c r="O319">
        <v>3253</v>
      </c>
      <c r="P319">
        <v>15</v>
      </c>
      <c r="Q319">
        <v>0</v>
      </c>
      <c r="R319">
        <v>3660</v>
      </c>
      <c r="S319">
        <v>32</v>
      </c>
      <c r="T319">
        <v>0</v>
      </c>
    </row>
    <row r="320" spans="1:20" x14ac:dyDescent="0.25">
      <c r="A320" t="s">
        <v>512</v>
      </c>
      <c r="B320" t="s">
        <v>877</v>
      </c>
      <c r="C320" t="s">
        <v>375</v>
      </c>
      <c r="D320" s="1">
        <v>2769</v>
      </c>
      <c r="E320" s="1">
        <v>0</v>
      </c>
      <c r="F320" s="1">
        <v>0</v>
      </c>
      <c r="G320" s="1">
        <v>11170</v>
      </c>
      <c r="H320" s="1">
        <v>73</v>
      </c>
      <c r="I320" s="1">
        <v>0</v>
      </c>
      <c r="J320" s="1">
        <v>0</v>
      </c>
      <c r="K320" s="1"/>
      <c r="L320" t="s">
        <v>83</v>
      </c>
      <c r="M320" t="s">
        <v>877</v>
      </c>
      <c r="N320" t="s">
        <v>377</v>
      </c>
      <c r="O320">
        <v>3797</v>
      </c>
      <c r="P320">
        <v>264</v>
      </c>
      <c r="Q320">
        <v>0</v>
      </c>
      <c r="R320">
        <v>19652</v>
      </c>
      <c r="S320">
        <v>176</v>
      </c>
      <c r="T320">
        <v>0</v>
      </c>
    </row>
    <row r="321" spans="1:20" x14ac:dyDescent="0.25">
      <c r="A321" t="s">
        <v>817</v>
      </c>
      <c r="B321" t="s">
        <v>877</v>
      </c>
      <c r="C321" t="s">
        <v>376</v>
      </c>
      <c r="D321" s="1">
        <v>3253</v>
      </c>
      <c r="E321" s="1">
        <v>15</v>
      </c>
      <c r="F321" s="1">
        <v>0</v>
      </c>
      <c r="G321" s="1">
        <v>3660</v>
      </c>
      <c r="H321" s="1">
        <v>32</v>
      </c>
      <c r="I321" s="1">
        <v>0</v>
      </c>
      <c r="J321" s="1">
        <v>0</v>
      </c>
      <c r="K321" s="1"/>
      <c r="L321" t="s">
        <v>795</v>
      </c>
      <c r="M321" t="s">
        <v>877</v>
      </c>
      <c r="N321" t="s">
        <v>378</v>
      </c>
      <c r="O321">
        <v>10331</v>
      </c>
      <c r="P321">
        <v>8</v>
      </c>
      <c r="Q321">
        <v>0</v>
      </c>
      <c r="R321">
        <v>11052</v>
      </c>
      <c r="S321">
        <v>9</v>
      </c>
      <c r="T321">
        <v>0</v>
      </c>
    </row>
    <row r="322" spans="1:20" x14ac:dyDescent="0.25">
      <c r="A322" t="s">
        <v>83</v>
      </c>
      <c r="B322" t="s">
        <v>877</v>
      </c>
      <c r="C322" t="s">
        <v>377</v>
      </c>
      <c r="D322" s="1">
        <v>3797</v>
      </c>
      <c r="E322" s="1">
        <v>264</v>
      </c>
      <c r="F322" s="1">
        <v>0</v>
      </c>
      <c r="G322" s="1">
        <v>19652</v>
      </c>
      <c r="H322" s="1">
        <v>176</v>
      </c>
      <c r="I322" s="1">
        <v>0</v>
      </c>
      <c r="J322" s="1">
        <v>0</v>
      </c>
      <c r="K322" s="1"/>
      <c r="L322" t="s">
        <v>858</v>
      </c>
      <c r="M322" t="s">
        <v>877</v>
      </c>
      <c r="N322" t="s">
        <v>379</v>
      </c>
      <c r="O322">
        <v>1199</v>
      </c>
      <c r="P322">
        <v>1</v>
      </c>
      <c r="Q322">
        <v>0</v>
      </c>
      <c r="R322">
        <v>3480</v>
      </c>
      <c r="S322">
        <v>5</v>
      </c>
      <c r="T322">
        <v>0</v>
      </c>
    </row>
    <row r="323" spans="1:20" x14ac:dyDescent="0.25">
      <c r="A323" t="s">
        <v>795</v>
      </c>
      <c r="B323" t="s">
        <v>877</v>
      </c>
      <c r="C323" t="s">
        <v>378</v>
      </c>
      <c r="D323" s="1">
        <v>10331</v>
      </c>
      <c r="E323" s="1">
        <v>8</v>
      </c>
      <c r="F323" s="1">
        <v>0</v>
      </c>
      <c r="G323" s="1">
        <v>11052</v>
      </c>
      <c r="H323" s="1">
        <v>9</v>
      </c>
      <c r="I323" s="1">
        <v>0</v>
      </c>
      <c r="J323" s="1">
        <v>0</v>
      </c>
      <c r="K323" s="1"/>
      <c r="L323" t="s">
        <v>848</v>
      </c>
      <c r="M323" t="s">
        <v>877</v>
      </c>
      <c r="N323" t="s">
        <v>380</v>
      </c>
      <c r="O323">
        <v>1785</v>
      </c>
      <c r="P323">
        <v>0</v>
      </c>
      <c r="Q323">
        <v>0</v>
      </c>
      <c r="R323">
        <v>13873</v>
      </c>
      <c r="S323">
        <v>13</v>
      </c>
      <c r="T323">
        <v>0</v>
      </c>
    </row>
    <row r="324" spans="1:20" x14ac:dyDescent="0.25">
      <c r="A324" t="s">
        <v>858</v>
      </c>
      <c r="B324" t="s">
        <v>877</v>
      </c>
      <c r="C324" t="s">
        <v>379</v>
      </c>
      <c r="D324" s="1">
        <v>1199</v>
      </c>
      <c r="E324" s="1">
        <v>1</v>
      </c>
      <c r="F324" s="1">
        <v>0</v>
      </c>
      <c r="G324" s="1">
        <v>3480</v>
      </c>
      <c r="H324" s="1">
        <v>5</v>
      </c>
      <c r="I324" s="1">
        <v>0</v>
      </c>
      <c r="J324" s="1">
        <v>0</v>
      </c>
      <c r="K324" s="1"/>
      <c r="L324" t="s">
        <v>863</v>
      </c>
      <c r="M324" t="s">
        <v>877</v>
      </c>
      <c r="N324" t="s">
        <v>381</v>
      </c>
      <c r="O324">
        <v>5021</v>
      </c>
      <c r="P324">
        <v>0</v>
      </c>
      <c r="Q324">
        <v>0</v>
      </c>
      <c r="R324">
        <v>10944</v>
      </c>
      <c r="S324">
        <v>0</v>
      </c>
      <c r="T324">
        <v>0</v>
      </c>
    </row>
    <row r="325" spans="1:20" x14ac:dyDescent="0.25">
      <c r="A325" t="s">
        <v>848</v>
      </c>
      <c r="B325" t="s">
        <v>877</v>
      </c>
      <c r="C325" t="s">
        <v>380</v>
      </c>
      <c r="D325" s="1">
        <v>1785</v>
      </c>
      <c r="E325" s="1">
        <v>0</v>
      </c>
      <c r="F325" s="1">
        <v>0</v>
      </c>
      <c r="G325" s="1">
        <v>13873</v>
      </c>
      <c r="H325" s="1">
        <v>13</v>
      </c>
      <c r="I325" s="1">
        <v>0</v>
      </c>
      <c r="J325" s="1">
        <v>0</v>
      </c>
      <c r="K325" s="1"/>
      <c r="L325" t="s">
        <v>854</v>
      </c>
      <c r="M325" t="s">
        <v>877</v>
      </c>
      <c r="N325" t="s">
        <v>382</v>
      </c>
      <c r="O325">
        <v>8184</v>
      </c>
      <c r="P325">
        <v>139</v>
      </c>
      <c r="Q325">
        <v>0</v>
      </c>
      <c r="R325">
        <v>7160</v>
      </c>
      <c r="S325">
        <v>35</v>
      </c>
      <c r="T325">
        <v>0</v>
      </c>
    </row>
    <row r="326" spans="1:20" x14ac:dyDescent="0.25">
      <c r="A326" t="s">
        <v>863</v>
      </c>
      <c r="B326" t="s">
        <v>877</v>
      </c>
      <c r="C326" t="s">
        <v>381</v>
      </c>
      <c r="D326" s="1">
        <v>5021</v>
      </c>
      <c r="E326" s="1">
        <v>0</v>
      </c>
      <c r="F326" s="1">
        <v>0</v>
      </c>
      <c r="G326" s="1">
        <v>10944</v>
      </c>
      <c r="H326" s="1">
        <v>0</v>
      </c>
      <c r="I326" s="1">
        <v>0</v>
      </c>
      <c r="J326" s="1">
        <v>0</v>
      </c>
      <c r="K326" s="1"/>
      <c r="L326" t="s">
        <v>853</v>
      </c>
      <c r="M326" t="s">
        <v>877</v>
      </c>
      <c r="N326" t="s">
        <v>383</v>
      </c>
      <c r="O326">
        <v>4665</v>
      </c>
      <c r="P326">
        <v>107</v>
      </c>
      <c r="Q326">
        <v>0</v>
      </c>
      <c r="R326">
        <v>26856</v>
      </c>
      <c r="S326">
        <v>537</v>
      </c>
      <c r="T326">
        <v>0</v>
      </c>
    </row>
    <row r="327" spans="1:20" x14ac:dyDescent="0.25">
      <c r="A327" t="s">
        <v>854</v>
      </c>
      <c r="B327" t="s">
        <v>877</v>
      </c>
      <c r="C327" t="s">
        <v>382</v>
      </c>
      <c r="D327" s="1">
        <v>8184</v>
      </c>
      <c r="E327" s="1">
        <v>139</v>
      </c>
      <c r="F327" s="1">
        <v>0</v>
      </c>
      <c r="G327" s="1">
        <v>7160</v>
      </c>
      <c r="H327" s="1">
        <v>35</v>
      </c>
      <c r="I327" s="1">
        <v>0</v>
      </c>
      <c r="J327" s="1">
        <v>0</v>
      </c>
      <c r="K327" s="1"/>
      <c r="L327" t="s">
        <v>851</v>
      </c>
      <c r="M327" t="s">
        <v>877</v>
      </c>
      <c r="N327" t="s">
        <v>384</v>
      </c>
      <c r="O327">
        <v>3085</v>
      </c>
      <c r="P327">
        <v>7</v>
      </c>
      <c r="Q327">
        <v>0</v>
      </c>
      <c r="R327">
        <v>198</v>
      </c>
      <c r="S327">
        <v>0</v>
      </c>
      <c r="T327">
        <v>0</v>
      </c>
    </row>
    <row r="328" spans="1:20" x14ac:dyDescent="0.25">
      <c r="A328" t="s">
        <v>853</v>
      </c>
      <c r="B328" t="s">
        <v>877</v>
      </c>
      <c r="C328" t="s">
        <v>383</v>
      </c>
      <c r="D328" s="1">
        <v>4665</v>
      </c>
      <c r="E328" s="1">
        <v>107</v>
      </c>
      <c r="F328" s="1">
        <v>0</v>
      </c>
      <c r="G328" s="1">
        <v>26856</v>
      </c>
      <c r="H328" s="1">
        <v>537</v>
      </c>
      <c r="I328" s="1">
        <v>0</v>
      </c>
      <c r="J328" s="1">
        <v>0</v>
      </c>
      <c r="K328" s="1"/>
      <c r="L328" t="s">
        <v>856</v>
      </c>
      <c r="M328" t="s">
        <v>877</v>
      </c>
      <c r="N328" t="s">
        <v>385</v>
      </c>
      <c r="O328">
        <v>2967</v>
      </c>
      <c r="P328">
        <v>12</v>
      </c>
      <c r="Q328">
        <v>0</v>
      </c>
      <c r="R328">
        <v>8893</v>
      </c>
      <c r="S328">
        <v>32</v>
      </c>
      <c r="T328">
        <v>0</v>
      </c>
    </row>
    <row r="329" spans="1:20" x14ac:dyDescent="0.25">
      <c r="A329" t="s">
        <v>851</v>
      </c>
      <c r="B329" t="s">
        <v>877</v>
      </c>
      <c r="C329" t="s">
        <v>384</v>
      </c>
      <c r="D329" s="1">
        <v>3085</v>
      </c>
      <c r="E329" s="1">
        <v>7</v>
      </c>
      <c r="F329" s="1">
        <v>0</v>
      </c>
      <c r="G329" s="1">
        <v>198</v>
      </c>
      <c r="H329" s="1">
        <v>0</v>
      </c>
      <c r="I329" s="1">
        <v>0</v>
      </c>
      <c r="J329" s="1">
        <v>0</v>
      </c>
      <c r="K329" s="1"/>
      <c r="L329" t="s">
        <v>847</v>
      </c>
      <c r="M329" t="s">
        <v>877</v>
      </c>
      <c r="N329" t="s">
        <v>386</v>
      </c>
      <c r="O329">
        <v>1061</v>
      </c>
      <c r="P329">
        <v>0</v>
      </c>
      <c r="Q329">
        <v>0</v>
      </c>
      <c r="R329">
        <v>5123</v>
      </c>
      <c r="S329">
        <v>0</v>
      </c>
      <c r="T329">
        <v>0</v>
      </c>
    </row>
    <row r="330" spans="1:20" x14ac:dyDescent="0.25">
      <c r="A330" t="s">
        <v>856</v>
      </c>
      <c r="B330" t="s">
        <v>877</v>
      </c>
      <c r="C330" t="s">
        <v>385</v>
      </c>
      <c r="D330" s="1">
        <v>2967</v>
      </c>
      <c r="E330" s="1">
        <v>12</v>
      </c>
      <c r="F330" s="1">
        <v>0</v>
      </c>
      <c r="G330" s="1">
        <v>8893</v>
      </c>
      <c r="H330" s="1">
        <v>32</v>
      </c>
      <c r="I330" s="1">
        <v>0</v>
      </c>
      <c r="J330" s="1">
        <v>0</v>
      </c>
      <c r="K330" s="1"/>
      <c r="L330" t="s">
        <v>849</v>
      </c>
      <c r="M330" t="s">
        <v>877</v>
      </c>
      <c r="N330" t="s">
        <v>387</v>
      </c>
      <c r="O330">
        <v>3599</v>
      </c>
      <c r="P330">
        <v>2</v>
      </c>
      <c r="Q330">
        <v>0</v>
      </c>
      <c r="R330">
        <v>8287</v>
      </c>
      <c r="S330">
        <v>31</v>
      </c>
      <c r="T330">
        <v>0</v>
      </c>
    </row>
    <row r="331" spans="1:20" x14ac:dyDescent="0.25">
      <c r="A331" t="s">
        <v>847</v>
      </c>
      <c r="B331" t="s">
        <v>877</v>
      </c>
      <c r="C331" t="s">
        <v>386</v>
      </c>
      <c r="D331" s="1">
        <v>1061</v>
      </c>
      <c r="E331" s="1">
        <v>0</v>
      </c>
      <c r="F331" s="1">
        <v>0</v>
      </c>
      <c r="G331" s="1">
        <v>5123</v>
      </c>
      <c r="H331" s="1">
        <v>0</v>
      </c>
      <c r="I331" s="1">
        <v>0</v>
      </c>
      <c r="J331" s="1">
        <v>0</v>
      </c>
      <c r="K331" s="1"/>
      <c r="L331" t="s">
        <v>794</v>
      </c>
      <c r="M331" t="s">
        <v>874</v>
      </c>
      <c r="N331" t="s">
        <v>388</v>
      </c>
      <c r="O331">
        <v>205404</v>
      </c>
      <c r="P331">
        <v>101</v>
      </c>
      <c r="Q331">
        <v>0</v>
      </c>
      <c r="R331">
        <v>0</v>
      </c>
      <c r="S331">
        <v>0</v>
      </c>
      <c r="T331">
        <v>100643</v>
      </c>
    </row>
    <row r="332" spans="1:20" x14ac:dyDescent="0.25">
      <c r="A332" t="s">
        <v>849</v>
      </c>
      <c r="B332" t="s">
        <v>877</v>
      </c>
      <c r="C332" t="s">
        <v>387</v>
      </c>
      <c r="D332" s="1">
        <v>3599</v>
      </c>
      <c r="E332" s="1">
        <v>2</v>
      </c>
      <c r="F332" s="1">
        <v>0</v>
      </c>
      <c r="G332" s="1">
        <v>8287</v>
      </c>
      <c r="H332" s="1">
        <v>31</v>
      </c>
      <c r="I332" s="1">
        <v>0</v>
      </c>
      <c r="J332" s="1">
        <v>0</v>
      </c>
      <c r="K332" s="1"/>
      <c r="L332" t="s">
        <v>805</v>
      </c>
      <c r="N332" t="s">
        <v>389</v>
      </c>
    </row>
    <row r="333" spans="1:20" x14ac:dyDescent="0.25">
      <c r="A333" t="s">
        <v>794</v>
      </c>
      <c r="B333" t="s">
        <v>874</v>
      </c>
      <c r="C333" t="s">
        <v>388</v>
      </c>
      <c r="D333" s="1">
        <v>205404</v>
      </c>
      <c r="E333" s="1">
        <v>101</v>
      </c>
      <c r="F333" s="1">
        <v>0</v>
      </c>
      <c r="G333" s="1">
        <v>0</v>
      </c>
      <c r="H333" s="1">
        <v>0</v>
      </c>
      <c r="I333" s="1">
        <v>100643</v>
      </c>
      <c r="J333" s="1">
        <v>25413</v>
      </c>
      <c r="K333" s="1"/>
      <c r="L333" t="s">
        <v>226</v>
      </c>
      <c r="M333" t="s">
        <v>874</v>
      </c>
      <c r="N333" t="s">
        <v>391</v>
      </c>
      <c r="O333">
        <v>134400</v>
      </c>
      <c r="P333">
        <v>999</v>
      </c>
      <c r="Q333">
        <v>0</v>
      </c>
      <c r="R333">
        <v>0</v>
      </c>
      <c r="S333">
        <v>0</v>
      </c>
      <c r="T333">
        <v>30251</v>
      </c>
    </row>
    <row r="334" spans="1:20" x14ac:dyDescent="0.25">
      <c r="A334" t="s">
        <v>805</v>
      </c>
      <c r="C334" t="s">
        <v>389</v>
      </c>
      <c r="D334" s="1"/>
      <c r="E334" s="1"/>
      <c r="F334" s="1"/>
      <c r="G334" s="1"/>
      <c r="H334" s="1"/>
      <c r="I334" s="1"/>
      <c r="J334" s="1"/>
      <c r="K334" s="1"/>
      <c r="L334" t="s">
        <v>798</v>
      </c>
      <c r="M334" t="s">
        <v>874</v>
      </c>
      <c r="N334" t="s">
        <v>392</v>
      </c>
      <c r="O334">
        <v>149644</v>
      </c>
      <c r="P334">
        <v>1127</v>
      </c>
      <c r="Q334">
        <v>0</v>
      </c>
      <c r="R334">
        <v>0</v>
      </c>
      <c r="S334">
        <v>0</v>
      </c>
      <c r="T334">
        <v>57639</v>
      </c>
    </row>
    <row r="335" spans="1:20" x14ac:dyDescent="0.25">
      <c r="A335" t="s">
        <v>10</v>
      </c>
      <c r="B335" t="s">
        <v>874</v>
      </c>
      <c r="C335" t="s">
        <v>390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/>
      <c r="L335" t="s">
        <v>69</v>
      </c>
      <c r="M335" t="s">
        <v>874</v>
      </c>
      <c r="N335" t="s">
        <v>395</v>
      </c>
      <c r="O335">
        <v>184223</v>
      </c>
      <c r="P335">
        <v>676</v>
      </c>
      <c r="Q335">
        <v>0</v>
      </c>
      <c r="R335">
        <v>0</v>
      </c>
      <c r="S335">
        <v>0</v>
      </c>
      <c r="T335">
        <v>77164</v>
      </c>
    </row>
    <row r="336" spans="1:20" x14ac:dyDescent="0.25">
      <c r="A336" t="s">
        <v>226</v>
      </c>
      <c r="B336" t="s">
        <v>874</v>
      </c>
      <c r="C336" t="s">
        <v>391</v>
      </c>
      <c r="D336" s="1">
        <v>134400</v>
      </c>
      <c r="E336" s="1">
        <v>999</v>
      </c>
      <c r="F336" s="1">
        <v>0</v>
      </c>
      <c r="G336" s="1">
        <v>0</v>
      </c>
      <c r="H336" s="1">
        <v>0</v>
      </c>
      <c r="I336" s="1">
        <v>30251</v>
      </c>
      <c r="J336" s="1">
        <v>22309</v>
      </c>
      <c r="K336" s="1"/>
      <c r="L336" t="s">
        <v>512</v>
      </c>
      <c r="M336" t="s">
        <v>874</v>
      </c>
      <c r="N336" t="s">
        <v>397</v>
      </c>
      <c r="O336">
        <v>105837</v>
      </c>
      <c r="P336">
        <v>557</v>
      </c>
      <c r="Q336">
        <v>0</v>
      </c>
      <c r="R336">
        <v>0</v>
      </c>
      <c r="S336">
        <v>0</v>
      </c>
      <c r="T336">
        <v>31000</v>
      </c>
    </row>
    <row r="337" spans="1:20" x14ac:dyDescent="0.25">
      <c r="A337" t="s">
        <v>798</v>
      </c>
      <c r="B337" t="s">
        <v>874</v>
      </c>
      <c r="C337" t="s">
        <v>392</v>
      </c>
      <c r="D337" s="1">
        <v>149644</v>
      </c>
      <c r="E337" s="1">
        <v>1127</v>
      </c>
      <c r="F337" s="1">
        <v>0</v>
      </c>
      <c r="G337" s="1">
        <v>0</v>
      </c>
      <c r="H337" s="1">
        <v>0</v>
      </c>
      <c r="I337" s="1">
        <v>57639</v>
      </c>
      <c r="J337" s="1">
        <v>57003</v>
      </c>
      <c r="K337" s="1"/>
      <c r="L337" t="s">
        <v>805</v>
      </c>
      <c r="N337" t="s">
        <v>398</v>
      </c>
    </row>
    <row r="338" spans="1:20" x14ac:dyDescent="0.25">
      <c r="A338" t="s">
        <v>10</v>
      </c>
      <c r="B338" t="s">
        <v>874</v>
      </c>
      <c r="C338" t="s">
        <v>393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L338" t="s">
        <v>811</v>
      </c>
      <c r="M338" t="s">
        <v>874</v>
      </c>
      <c r="N338" t="s">
        <v>400</v>
      </c>
      <c r="O338">
        <v>18792</v>
      </c>
      <c r="P338">
        <v>232</v>
      </c>
      <c r="Q338">
        <v>0</v>
      </c>
      <c r="R338">
        <v>0</v>
      </c>
      <c r="S338">
        <v>0</v>
      </c>
      <c r="T338">
        <v>5015</v>
      </c>
    </row>
    <row r="339" spans="1:20" x14ac:dyDescent="0.25">
      <c r="A339" t="s">
        <v>10</v>
      </c>
      <c r="B339" t="s">
        <v>874</v>
      </c>
      <c r="C339" t="s">
        <v>394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/>
      <c r="L339" t="s">
        <v>795</v>
      </c>
      <c r="M339" t="s">
        <v>874</v>
      </c>
      <c r="N339" t="s">
        <v>402</v>
      </c>
      <c r="O339">
        <v>12186</v>
      </c>
      <c r="P339">
        <v>94</v>
      </c>
      <c r="Q339">
        <v>0</v>
      </c>
      <c r="R339">
        <v>0</v>
      </c>
      <c r="S339">
        <v>0</v>
      </c>
      <c r="T339">
        <v>3111</v>
      </c>
    </row>
    <row r="340" spans="1:20" x14ac:dyDescent="0.25">
      <c r="A340" s="27" t="s">
        <v>10</v>
      </c>
      <c r="B340" s="27" t="s">
        <v>874</v>
      </c>
      <c r="C340" s="27" t="s">
        <v>778</v>
      </c>
      <c r="D340" s="32"/>
      <c r="E340" s="32"/>
      <c r="F340" s="32"/>
      <c r="G340" s="32"/>
      <c r="H340" s="32"/>
      <c r="I340" s="32"/>
      <c r="J340" s="32"/>
      <c r="K340" s="1"/>
      <c r="L340" t="s">
        <v>797</v>
      </c>
      <c r="M340" t="s">
        <v>874</v>
      </c>
      <c r="N340" t="s">
        <v>404</v>
      </c>
      <c r="O340">
        <v>39811</v>
      </c>
      <c r="P340">
        <v>513</v>
      </c>
      <c r="Q340">
        <v>0</v>
      </c>
      <c r="R340">
        <v>0</v>
      </c>
      <c r="S340">
        <v>0</v>
      </c>
      <c r="T340">
        <v>27989</v>
      </c>
    </row>
    <row r="341" spans="1:20" x14ac:dyDescent="0.25">
      <c r="A341" t="s">
        <v>69</v>
      </c>
      <c r="B341" t="s">
        <v>874</v>
      </c>
      <c r="C341" t="s">
        <v>395</v>
      </c>
      <c r="D341" s="1">
        <v>184223</v>
      </c>
      <c r="E341" s="1">
        <v>676</v>
      </c>
      <c r="F341" s="1">
        <v>0</v>
      </c>
      <c r="G341" s="1">
        <v>0</v>
      </c>
      <c r="H341" s="1">
        <v>0</v>
      </c>
      <c r="I341" s="1">
        <v>77164</v>
      </c>
      <c r="J341" s="1">
        <v>29147</v>
      </c>
      <c r="K341" s="1"/>
      <c r="L341" t="s">
        <v>83</v>
      </c>
      <c r="M341" t="s">
        <v>874</v>
      </c>
      <c r="N341" t="s">
        <v>405</v>
      </c>
      <c r="O341">
        <v>10823</v>
      </c>
      <c r="P341">
        <v>20</v>
      </c>
      <c r="Q341">
        <v>0</v>
      </c>
      <c r="R341">
        <v>0</v>
      </c>
      <c r="S341">
        <v>0</v>
      </c>
      <c r="T341">
        <v>6637</v>
      </c>
    </row>
    <row r="342" spans="1:20" x14ac:dyDescent="0.25">
      <c r="A342" t="s">
        <v>796</v>
      </c>
      <c r="B342" t="s">
        <v>874</v>
      </c>
      <c r="C342" t="s">
        <v>396</v>
      </c>
      <c r="D342" s="1"/>
      <c r="E342" s="1"/>
      <c r="F342" s="1"/>
      <c r="G342" s="1"/>
      <c r="H342" s="1"/>
      <c r="I342" s="1"/>
      <c r="J342" s="1"/>
      <c r="K342" s="1"/>
      <c r="L342" t="s">
        <v>248</v>
      </c>
      <c r="M342" t="s">
        <v>874</v>
      </c>
      <c r="N342" t="s">
        <v>406</v>
      </c>
      <c r="O342">
        <v>53808</v>
      </c>
      <c r="P342">
        <v>888</v>
      </c>
      <c r="Q342">
        <v>0</v>
      </c>
      <c r="R342">
        <v>0</v>
      </c>
      <c r="S342">
        <v>0</v>
      </c>
      <c r="T342">
        <v>100545</v>
      </c>
    </row>
    <row r="343" spans="1:20" x14ac:dyDescent="0.25">
      <c r="A343" t="s">
        <v>512</v>
      </c>
      <c r="B343" t="s">
        <v>874</v>
      </c>
      <c r="C343" t="s">
        <v>397</v>
      </c>
      <c r="D343" s="1">
        <v>105837</v>
      </c>
      <c r="E343" s="1">
        <v>557</v>
      </c>
      <c r="F343" s="1">
        <v>0</v>
      </c>
      <c r="G343" s="1">
        <v>0</v>
      </c>
      <c r="H343" s="1">
        <v>0</v>
      </c>
      <c r="I343" s="1">
        <v>31000</v>
      </c>
      <c r="J343" s="1">
        <v>18824</v>
      </c>
      <c r="K343" s="1"/>
      <c r="L343" t="s">
        <v>848</v>
      </c>
      <c r="M343" t="s">
        <v>874</v>
      </c>
      <c r="N343" t="s">
        <v>407</v>
      </c>
      <c r="O343">
        <v>22373</v>
      </c>
      <c r="P343">
        <v>151</v>
      </c>
      <c r="Q343">
        <v>0</v>
      </c>
      <c r="R343">
        <v>0</v>
      </c>
      <c r="S343">
        <v>0</v>
      </c>
      <c r="T343">
        <v>3424</v>
      </c>
    </row>
    <row r="344" spans="1:20" x14ac:dyDescent="0.25">
      <c r="A344" t="s">
        <v>805</v>
      </c>
      <c r="C344" t="s">
        <v>398</v>
      </c>
      <c r="D344" s="1"/>
      <c r="E344" s="1"/>
      <c r="F344" s="1"/>
      <c r="G344" s="1"/>
      <c r="H344" s="1"/>
      <c r="I344" s="1"/>
      <c r="J344" s="1"/>
      <c r="K344" s="1"/>
      <c r="L344" t="s">
        <v>801</v>
      </c>
      <c r="M344" t="s">
        <v>874</v>
      </c>
      <c r="N344" t="s">
        <v>408</v>
      </c>
      <c r="O344">
        <v>75074</v>
      </c>
      <c r="P344">
        <v>549</v>
      </c>
      <c r="Q344">
        <v>0</v>
      </c>
      <c r="R344">
        <v>0</v>
      </c>
      <c r="S344">
        <v>0</v>
      </c>
      <c r="T344">
        <v>89818</v>
      </c>
    </row>
    <row r="345" spans="1:20" x14ac:dyDescent="0.25">
      <c r="A345" t="s">
        <v>10</v>
      </c>
      <c r="B345" t="s">
        <v>874</v>
      </c>
      <c r="C345" t="s">
        <v>399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/>
      <c r="L345" t="s">
        <v>811</v>
      </c>
      <c r="M345" t="s">
        <v>874</v>
      </c>
      <c r="N345" t="s">
        <v>409</v>
      </c>
      <c r="O345">
        <v>133703</v>
      </c>
      <c r="P345">
        <v>807</v>
      </c>
      <c r="Q345">
        <v>0</v>
      </c>
      <c r="R345">
        <v>0</v>
      </c>
      <c r="S345">
        <v>0</v>
      </c>
      <c r="T345">
        <v>93132</v>
      </c>
    </row>
    <row r="346" spans="1:20" x14ac:dyDescent="0.25">
      <c r="A346" t="s">
        <v>811</v>
      </c>
      <c r="B346" t="s">
        <v>874</v>
      </c>
      <c r="C346" t="s">
        <v>400</v>
      </c>
      <c r="D346" s="1">
        <v>18792</v>
      </c>
      <c r="E346" s="1">
        <v>232</v>
      </c>
      <c r="F346" s="1">
        <v>0</v>
      </c>
      <c r="G346" s="1">
        <v>0</v>
      </c>
      <c r="H346" s="1">
        <v>0</v>
      </c>
      <c r="I346" s="1">
        <v>5015</v>
      </c>
      <c r="J346" s="1">
        <v>5151</v>
      </c>
      <c r="K346" s="1"/>
      <c r="L346" t="s">
        <v>83</v>
      </c>
      <c r="M346" t="s">
        <v>874</v>
      </c>
      <c r="N346" t="s">
        <v>410</v>
      </c>
      <c r="O346">
        <v>6702</v>
      </c>
      <c r="P346">
        <v>28</v>
      </c>
      <c r="Q346">
        <v>0</v>
      </c>
      <c r="R346">
        <v>0</v>
      </c>
      <c r="S346">
        <v>0</v>
      </c>
      <c r="T346">
        <v>21895</v>
      </c>
    </row>
    <row r="347" spans="1:20" x14ac:dyDescent="0.25">
      <c r="A347" t="s">
        <v>10</v>
      </c>
      <c r="B347" t="s">
        <v>874</v>
      </c>
      <c r="C347" t="s">
        <v>401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/>
      <c r="L347" t="s">
        <v>120</v>
      </c>
      <c r="M347" t="s">
        <v>874</v>
      </c>
      <c r="N347" t="s">
        <v>411</v>
      </c>
      <c r="O347">
        <v>60730</v>
      </c>
      <c r="P347">
        <v>50</v>
      </c>
      <c r="Q347">
        <v>0</v>
      </c>
      <c r="R347">
        <v>0</v>
      </c>
      <c r="S347">
        <v>0</v>
      </c>
      <c r="T347">
        <v>40438</v>
      </c>
    </row>
    <row r="348" spans="1:20" x14ac:dyDescent="0.25">
      <c r="A348" t="s">
        <v>795</v>
      </c>
      <c r="B348" t="s">
        <v>874</v>
      </c>
      <c r="C348" t="s">
        <v>402</v>
      </c>
      <c r="D348">
        <v>12186</v>
      </c>
      <c r="E348">
        <v>94</v>
      </c>
      <c r="F348">
        <v>0</v>
      </c>
      <c r="G348">
        <v>0</v>
      </c>
      <c r="H348">
        <v>0</v>
      </c>
      <c r="I348">
        <v>3111</v>
      </c>
      <c r="J348">
        <v>1860</v>
      </c>
      <c r="K348" s="1"/>
      <c r="L348" t="s">
        <v>134</v>
      </c>
      <c r="M348" t="s">
        <v>874</v>
      </c>
      <c r="N348" t="s">
        <v>412</v>
      </c>
      <c r="O348">
        <v>15481</v>
      </c>
      <c r="P348">
        <v>25</v>
      </c>
      <c r="Q348">
        <v>0</v>
      </c>
      <c r="R348">
        <v>0</v>
      </c>
      <c r="S348">
        <v>0</v>
      </c>
      <c r="T348">
        <v>12877</v>
      </c>
    </row>
    <row r="349" spans="1:20" x14ac:dyDescent="0.25">
      <c r="A349" t="s">
        <v>10</v>
      </c>
      <c r="B349" t="s">
        <v>874</v>
      </c>
      <c r="C349" t="s">
        <v>403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/>
      <c r="L349" t="s">
        <v>120</v>
      </c>
      <c r="M349" t="s">
        <v>874</v>
      </c>
      <c r="N349" t="s">
        <v>413</v>
      </c>
      <c r="O349">
        <v>41318</v>
      </c>
      <c r="P349">
        <v>88</v>
      </c>
      <c r="Q349">
        <v>0</v>
      </c>
      <c r="R349">
        <v>0</v>
      </c>
      <c r="S349">
        <v>0</v>
      </c>
      <c r="T349">
        <v>16505</v>
      </c>
    </row>
    <row r="350" spans="1:20" x14ac:dyDescent="0.25">
      <c r="A350" t="s">
        <v>797</v>
      </c>
      <c r="B350" t="s">
        <v>874</v>
      </c>
      <c r="C350" t="s">
        <v>404</v>
      </c>
      <c r="D350" s="1">
        <v>39811</v>
      </c>
      <c r="E350" s="1">
        <v>513</v>
      </c>
      <c r="F350" s="1">
        <v>0</v>
      </c>
      <c r="G350" s="1">
        <v>0</v>
      </c>
      <c r="H350" s="1">
        <v>0</v>
      </c>
      <c r="I350" s="1">
        <v>27989</v>
      </c>
      <c r="J350" s="1">
        <v>10887</v>
      </c>
      <c r="K350" s="1"/>
      <c r="L350" t="s">
        <v>138</v>
      </c>
      <c r="M350" t="s">
        <v>874</v>
      </c>
      <c r="N350" t="s">
        <v>414</v>
      </c>
      <c r="O350">
        <v>60068</v>
      </c>
      <c r="P350">
        <v>156</v>
      </c>
      <c r="Q350">
        <v>0</v>
      </c>
      <c r="R350">
        <v>0</v>
      </c>
      <c r="S350">
        <v>0</v>
      </c>
      <c r="T350">
        <v>68425</v>
      </c>
    </row>
    <row r="351" spans="1:20" x14ac:dyDescent="0.25">
      <c r="A351" t="s">
        <v>83</v>
      </c>
      <c r="B351" t="s">
        <v>874</v>
      </c>
      <c r="C351" t="s">
        <v>405</v>
      </c>
      <c r="D351" s="1">
        <v>10823</v>
      </c>
      <c r="E351" s="1">
        <v>20</v>
      </c>
      <c r="F351" s="1">
        <v>0</v>
      </c>
      <c r="G351" s="1">
        <v>0</v>
      </c>
      <c r="H351" s="1">
        <v>0</v>
      </c>
      <c r="I351" s="1">
        <v>6637</v>
      </c>
      <c r="J351" s="1">
        <v>2750</v>
      </c>
      <c r="K351" s="1"/>
      <c r="L351" t="s">
        <v>796</v>
      </c>
      <c r="M351" t="s">
        <v>874</v>
      </c>
      <c r="N351" t="s">
        <v>415</v>
      </c>
      <c r="O351">
        <v>32968</v>
      </c>
      <c r="P351">
        <v>538</v>
      </c>
      <c r="Q351">
        <v>0</v>
      </c>
      <c r="R351">
        <v>0</v>
      </c>
      <c r="S351">
        <v>0</v>
      </c>
      <c r="T351">
        <v>31920</v>
      </c>
    </row>
    <row r="352" spans="1:20" x14ac:dyDescent="0.25">
      <c r="A352" t="s">
        <v>248</v>
      </c>
      <c r="B352" t="s">
        <v>874</v>
      </c>
      <c r="C352" t="s">
        <v>406</v>
      </c>
      <c r="D352" s="1">
        <v>53808</v>
      </c>
      <c r="E352" s="1">
        <v>888</v>
      </c>
      <c r="F352" s="1">
        <v>0</v>
      </c>
      <c r="G352" s="1">
        <v>0</v>
      </c>
      <c r="H352" s="1">
        <v>0</v>
      </c>
      <c r="I352" s="1">
        <v>100545</v>
      </c>
      <c r="J352" s="1">
        <v>7886</v>
      </c>
      <c r="K352" s="1"/>
      <c r="L352" t="s">
        <v>226</v>
      </c>
      <c r="M352" t="s">
        <v>874</v>
      </c>
      <c r="N352" t="s">
        <v>416</v>
      </c>
      <c r="O352">
        <v>13645</v>
      </c>
      <c r="P352">
        <v>7</v>
      </c>
      <c r="Q352">
        <v>0</v>
      </c>
      <c r="R352">
        <v>0</v>
      </c>
      <c r="S352">
        <v>0</v>
      </c>
      <c r="T352">
        <v>57816</v>
      </c>
    </row>
    <row r="353" spans="1:20" x14ac:dyDescent="0.25">
      <c r="A353" s="27" t="s">
        <v>10</v>
      </c>
      <c r="B353" s="27" t="s">
        <v>874</v>
      </c>
      <c r="C353" s="27" t="s">
        <v>779</v>
      </c>
      <c r="D353" s="32"/>
      <c r="E353" s="32"/>
      <c r="F353" s="32"/>
      <c r="G353" s="32"/>
      <c r="H353" s="32"/>
      <c r="I353" s="32"/>
      <c r="J353" s="32"/>
      <c r="K353" s="1"/>
      <c r="L353" t="s">
        <v>138</v>
      </c>
      <c r="M353" t="s">
        <v>874</v>
      </c>
      <c r="N353" t="s">
        <v>417</v>
      </c>
      <c r="O353">
        <v>83173</v>
      </c>
      <c r="P353">
        <v>746</v>
      </c>
      <c r="Q353">
        <v>0</v>
      </c>
      <c r="R353">
        <v>0</v>
      </c>
      <c r="S353">
        <v>0</v>
      </c>
      <c r="T353">
        <v>80777</v>
      </c>
    </row>
    <row r="354" spans="1:20" x14ac:dyDescent="0.25">
      <c r="A354" t="s">
        <v>848</v>
      </c>
      <c r="B354" t="s">
        <v>874</v>
      </c>
      <c r="C354" t="s">
        <v>407</v>
      </c>
      <c r="D354" s="1">
        <v>22373</v>
      </c>
      <c r="E354" s="1">
        <v>151</v>
      </c>
      <c r="F354" s="1">
        <v>0</v>
      </c>
      <c r="G354" s="1">
        <v>0</v>
      </c>
      <c r="H354" s="1">
        <v>0</v>
      </c>
      <c r="I354" s="1">
        <v>3424</v>
      </c>
      <c r="J354" s="1">
        <v>2962</v>
      </c>
      <c r="K354" s="1"/>
      <c r="L354" t="s">
        <v>138</v>
      </c>
      <c r="M354" t="s">
        <v>874</v>
      </c>
      <c r="N354" t="s">
        <v>418</v>
      </c>
      <c r="O354">
        <v>70153</v>
      </c>
      <c r="P354">
        <v>468</v>
      </c>
      <c r="Q354">
        <v>0</v>
      </c>
      <c r="R354">
        <v>0</v>
      </c>
      <c r="S354">
        <v>0</v>
      </c>
      <c r="T354">
        <v>70772</v>
      </c>
    </row>
    <row r="355" spans="1:20" x14ac:dyDescent="0.25">
      <c r="A355" t="s">
        <v>801</v>
      </c>
      <c r="B355" t="s">
        <v>874</v>
      </c>
      <c r="C355" t="s">
        <v>408</v>
      </c>
      <c r="D355" s="1">
        <v>75074</v>
      </c>
      <c r="E355" s="1">
        <v>549</v>
      </c>
      <c r="F355" s="1">
        <v>0</v>
      </c>
      <c r="G355" s="1">
        <v>0</v>
      </c>
      <c r="H355" s="1">
        <v>0</v>
      </c>
      <c r="I355" s="1">
        <v>89818</v>
      </c>
      <c r="J355" s="1">
        <v>20168</v>
      </c>
      <c r="K355" s="1"/>
      <c r="L355" t="s">
        <v>796</v>
      </c>
      <c r="M355" t="s">
        <v>874</v>
      </c>
      <c r="N355" t="s">
        <v>419</v>
      </c>
      <c r="O355">
        <v>85087</v>
      </c>
      <c r="P355">
        <v>778</v>
      </c>
      <c r="Q355">
        <v>0</v>
      </c>
      <c r="R355">
        <v>0</v>
      </c>
      <c r="S355">
        <v>0</v>
      </c>
      <c r="T355">
        <v>199857</v>
      </c>
    </row>
    <row r="356" spans="1:20" x14ac:dyDescent="0.25">
      <c r="A356" t="s">
        <v>811</v>
      </c>
      <c r="B356" t="s">
        <v>874</v>
      </c>
      <c r="C356" t="s">
        <v>409</v>
      </c>
      <c r="D356" s="1">
        <v>133703</v>
      </c>
      <c r="E356" s="1">
        <v>807</v>
      </c>
      <c r="F356" s="1">
        <v>0</v>
      </c>
      <c r="G356" s="1">
        <v>0</v>
      </c>
      <c r="H356" s="1">
        <v>0</v>
      </c>
      <c r="I356" s="1">
        <v>93132</v>
      </c>
      <c r="J356" s="1">
        <v>56558</v>
      </c>
      <c r="K356" s="1"/>
      <c r="L356" t="s">
        <v>831</v>
      </c>
      <c r="M356" t="s">
        <v>874</v>
      </c>
      <c r="N356" t="s">
        <v>420</v>
      </c>
      <c r="O356">
        <v>38610</v>
      </c>
      <c r="P356">
        <v>144</v>
      </c>
      <c r="Q356">
        <v>0</v>
      </c>
      <c r="R356">
        <v>0</v>
      </c>
      <c r="S356">
        <v>0</v>
      </c>
      <c r="T356">
        <v>40164</v>
      </c>
    </row>
    <row r="357" spans="1:20" x14ac:dyDescent="0.25">
      <c r="A357" t="s">
        <v>83</v>
      </c>
      <c r="B357" t="s">
        <v>874</v>
      </c>
      <c r="C357" t="s">
        <v>410</v>
      </c>
      <c r="D357" s="1">
        <v>6702</v>
      </c>
      <c r="E357" s="1">
        <v>28</v>
      </c>
      <c r="F357" s="1">
        <v>0</v>
      </c>
      <c r="G357" s="1">
        <v>0</v>
      </c>
      <c r="H357" s="1">
        <v>0</v>
      </c>
      <c r="I357" s="1">
        <v>21895</v>
      </c>
      <c r="J357" s="1">
        <v>1494</v>
      </c>
      <c r="K357" s="1"/>
      <c r="L357" t="s">
        <v>69</v>
      </c>
      <c r="M357" t="s">
        <v>874</v>
      </c>
      <c r="N357" t="s">
        <v>421</v>
      </c>
      <c r="O357">
        <v>73674</v>
      </c>
      <c r="P357">
        <v>295</v>
      </c>
      <c r="Q357">
        <v>0</v>
      </c>
      <c r="R357">
        <v>0</v>
      </c>
      <c r="S357">
        <v>0</v>
      </c>
      <c r="T357">
        <v>40017</v>
      </c>
    </row>
    <row r="358" spans="1:20" x14ac:dyDescent="0.25">
      <c r="A358" t="s">
        <v>120</v>
      </c>
      <c r="B358" t="s">
        <v>874</v>
      </c>
      <c r="C358" t="s">
        <v>411</v>
      </c>
      <c r="D358" s="1">
        <v>60730</v>
      </c>
      <c r="E358" s="1">
        <v>50</v>
      </c>
      <c r="F358" s="1">
        <v>0</v>
      </c>
      <c r="G358" s="1">
        <v>0</v>
      </c>
      <c r="H358" s="1">
        <v>0</v>
      </c>
      <c r="I358" s="1">
        <v>40438</v>
      </c>
      <c r="J358" s="1">
        <v>22231</v>
      </c>
      <c r="K358" s="1"/>
      <c r="L358" t="s">
        <v>146</v>
      </c>
      <c r="M358" t="s">
        <v>874</v>
      </c>
      <c r="N358" t="s">
        <v>422</v>
      </c>
      <c r="O358">
        <v>57596</v>
      </c>
      <c r="P358">
        <v>509</v>
      </c>
      <c r="Q358">
        <v>0</v>
      </c>
      <c r="R358">
        <v>0</v>
      </c>
      <c r="S358">
        <v>0</v>
      </c>
      <c r="T358">
        <v>51076</v>
      </c>
    </row>
    <row r="359" spans="1:20" x14ac:dyDescent="0.25">
      <c r="A359" t="s">
        <v>134</v>
      </c>
      <c r="B359" t="s">
        <v>874</v>
      </c>
      <c r="C359" t="s">
        <v>412</v>
      </c>
      <c r="D359" s="1">
        <v>15481</v>
      </c>
      <c r="E359" s="1">
        <v>25</v>
      </c>
      <c r="F359" s="1">
        <v>0</v>
      </c>
      <c r="G359" s="1">
        <v>0</v>
      </c>
      <c r="H359" s="1">
        <v>0</v>
      </c>
      <c r="I359" s="1">
        <v>12877</v>
      </c>
      <c r="J359" s="1">
        <v>3208</v>
      </c>
      <c r="K359" s="1"/>
      <c r="L359" t="s">
        <v>146</v>
      </c>
      <c r="M359" t="s">
        <v>874</v>
      </c>
      <c r="N359" t="s">
        <v>423</v>
      </c>
      <c r="O359">
        <v>41655</v>
      </c>
      <c r="P359">
        <v>23</v>
      </c>
      <c r="Q359">
        <v>0</v>
      </c>
      <c r="R359">
        <v>0</v>
      </c>
      <c r="S359">
        <v>0</v>
      </c>
      <c r="T359">
        <v>16414</v>
      </c>
    </row>
    <row r="360" spans="1:20" x14ac:dyDescent="0.25">
      <c r="A360" t="s">
        <v>120</v>
      </c>
      <c r="B360" t="s">
        <v>874</v>
      </c>
      <c r="C360" t="s">
        <v>413</v>
      </c>
      <c r="D360" s="1">
        <v>41318</v>
      </c>
      <c r="E360" s="1">
        <v>88</v>
      </c>
      <c r="F360" s="1">
        <v>0</v>
      </c>
      <c r="G360" s="1">
        <v>0</v>
      </c>
      <c r="H360" s="1">
        <v>0</v>
      </c>
      <c r="I360" s="1">
        <v>16505</v>
      </c>
      <c r="J360" s="1">
        <v>5646</v>
      </c>
      <c r="K360" s="1"/>
      <c r="L360" t="s">
        <v>76</v>
      </c>
      <c r="M360" t="s">
        <v>874</v>
      </c>
      <c r="N360" t="s">
        <v>424</v>
      </c>
      <c r="O360">
        <v>92472</v>
      </c>
      <c r="P360">
        <v>41</v>
      </c>
      <c r="Q360">
        <v>0</v>
      </c>
      <c r="R360">
        <v>0</v>
      </c>
      <c r="S360">
        <v>0</v>
      </c>
      <c r="T360">
        <v>131311</v>
      </c>
    </row>
    <row r="361" spans="1:20" x14ac:dyDescent="0.25">
      <c r="A361" t="s">
        <v>138</v>
      </c>
      <c r="B361" t="s">
        <v>874</v>
      </c>
      <c r="C361" t="s">
        <v>414</v>
      </c>
      <c r="D361" s="1">
        <v>60068</v>
      </c>
      <c r="E361" s="1">
        <v>156</v>
      </c>
      <c r="F361" s="1">
        <v>0</v>
      </c>
      <c r="G361" s="1">
        <v>0</v>
      </c>
      <c r="H361" s="1">
        <v>0</v>
      </c>
      <c r="I361" s="1">
        <v>68425</v>
      </c>
      <c r="J361" s="1">
        <v>17354</v>
      </c>
      <c r="K361" s="1"/>
      <c r="L361" t="s">
        <v>795</v>
      </c>
      <c r="M361" t="s">
        <v>874</v>
      </c>
      <c r="N361" t="s">
        <v>425</v>
      </c>
      <c r="O361">
        <v>171669</v>
      </c>
      <c r="P361">
        <v>63</v>
      </c>
      <c r="Q361">
        <v>0</v>
      </c>
      <c r="R361">
        <v>0</v>
      </c>
      <c r="S361">
        <v>0</v>
      </c>
      <c r="T361">
        <v>101732</v>
      </c>
    </row>
    <row r="362" spans="1:20" x14ac:dyDescent="0.25">
      <c r="A362" t="s">
        <v>796</v>
      </c>
      <c r="B362" t="s">
        <v>874</v>
      </c>
      <c r="C362" t="s">
        <v>415</v>
      </c>
      <c r="D362" s="1">
        <v>32968</v>
      </c>
      <c r="E362" s="1">
        <v>538</v>
      </c>
      <c r="F362" s="1">
        <v>0</v>
      </c>
      <c r="G362" s="1">
        <v>0</v>
      </c>
      <c r="H362" s="1">
        <v>0</v>
      </c>
      <c r="I362" s="1">
        <v>31920</v>
      </c>
      <c r="J362" s="1">
        <v>9354</v>
      </c>
      <c r="K362" s="1"/>
      <c r="L362" t="s">
        <v>824</v>
      </c>
      <c r="M362" t="s">
        <v>874</v>
      </c>
      <c r="N362" t="s">
        <v>426</v>
      </c>
      <c r="O362">
        <v>48703</v>
      </c>
      <c r="P362">
        <v>139</v>
      </c>
      <c r="Q362">
        <v>0</v>
      </c>
      <c r="R362">
        <v>0</v>
      </c>
      <c r="S362">
        <v>0</v>
      </c>
      <c r="T362">
        <v>47632</v>
      </c>
    </row>
    <row r="363" spans="1:20" x14ac:dyDescent="0.25">
      <c r="A363" t="s">
        <v>226</v>
      </c>
      <c r="B363" t="s">
        <v>874</v>
      </c>
      <c r="C363" t="s">
        <v>416</v>
      </c>
      <c r="D363" s="1">
        <v>13645</v>
      </c>
      <c r="E363" s="1">
        <v>7</v>
      </c>
      <c r="F363" s="1">
        <v>0</v>
      </c>
      <c r="G363" s="1">
        <v>0</v>
      </c>
      <c r="H363" s="1">
        <v>0</v>
      </c>
      <c r="I363" s="1">
        <v>57816</v>
      </c>
      <c r="J363" s="1">
        <v>2751</v>
      </c>
      <c r="K363" s="1"/>
      <c r="L363" t="s">
        <v>788</v>
      </c>
      <c r="M363" t="s">
        <v>874</v>
      </c>
      <c r="N363" t="s">
        <v>427</v>
      </c>
      <c r="O363">
        <v>140654</v>
      </c>
      <c r="P363">
        <v>307</v>
      </c>
      <c r="Q363">
        <v>0</v>
      </c>
      <c r="R363">
        <v>0</v>
      </c>
      <c r="S363">
        <v>0</v>
      </c>
      <c r="T363">
        <v>142524</v>
      </c>
    </row>
    <row r="364" spans="1:20" x14ac:dyDescent="0.25">
      <c r="A364" t="s">
        <v>138</v>
      </c>
      <c r="B364" t="s">
        <v>874</v>
      </c>
      <c r="C364" t="s">
        <v>417</v>
      </c>
      <c r="D364" s="1">
        <v>83173</v>
      </c>
      <c r="E364" s="1">
        <v>746</v>
      </c>
      <c r="F364" s="1">
        <v>0</v>
      </c>
      <c r="G364" s="1">
        <v>0</v>
      </c>
      <c r="H364" s="1">
        <v>0</v>
      </c>
      <c r="I364" s="1">
        <v>80777</v>
      </c>
      <c r="J364" s="1">
        <v>29884</v>
      </c>
      <c r="K364" s="1"/>
      <c r="L364" t="s">
        <v>226</v>
      </c>
      <c r="M364" t="s">
        <v>874</v>
      </c>
      <c r="N364" t="s">
        <v>428</v>
      </c>
      <c r="O364">
        <v>21435</v>
      </c>
      <c r="P364">
        <v>5</v>
      </c>
      <c r="Q364">
        <v>0</v>
      </c>
      <c r="R364">
        <v>0</v>
      </c>
      <c r="S364">
        <v>0</v>
      </c>
      <c r="T364">
        <v>20923</v>
      </c>
    </row>
    <row r="365" spans="1:20" x14ac:dyDescent="0.25">
      <c r="A365" t="s">
        <v>138</v>
      </c>
      <c r="B365" t="s">
        <v>874</v>
      </c>
      <c r="C365" t="s">
        <v>418</v>
      </c>
      <c r="D365" s="1">
        <v>70153</v>
      </c>
      <c r="E365" s="1">
        <v>468</v>
      </c>
      <c r="F365" s="1">
        <v>0</v>
      </c>
      <c r="G365" s="1">
        <v>0</v>
      </c>
      <c r="H365" s="1">
        <v>0</v>
      </c>
      <c r="I365" s="1">
        <v>70772</v>
      </c>
      <c r="J365" s="1">
        <v>14540</v>
      </c>
      <c r="K365" s="1"/>
      <c r="L365" t="s">
        <v>791</v>
      </c>
      <c r="M365" t="s">
        <v>874</v>
      </c>
      <c r="N365" t="s">
        <v>429</v>
      </c>
      <c r="O365">
        <v>9723</v>
      </c>
      <c r="P365">
        <v>52</v>
      </c>
      <c r="Q365">
        <v>0</v>
      </c>
      <c r="R365">
        <v>0</v>
      </c>
      <c r="S365">
        <v>0</v>
      </c>
      <c r="T365">
        <v>683</v>
      </c>
    </row>
    <row r="366" spans="1:20" x14ac:dyDescent="0.25">
      <c r="A366" t="s">
        <v>796</v>
      </c>
      <c r="B366" t="s">
        <v>874</v>
      </c>
      <c r="C366" t="s">
        <v>419</v>
      </c>
      <c r="D366" s="1">
        <v>85087</v>
      </c>
      <c r="E366" s="1">
        <v>778</v>
      </c>
      <c r="F366" s="1">
        <v>0</v>
      </c>
      <c r="G366" s="1">
        <v>0</v>
      </c>
      <c r="H366" s="1">
        <v>0</v>
      </c>
      <c r="I366" s="1">
        <v>199857</v>
      </c>
      <c r="J366" s="1">
        <v>21168</v>
      </c>
      <c r="K366" s="1"/>
      <c r="L366" t="s">
        <v>788</v>
      </c>
      <c r="M366" t="s">
        <v>874</v>
      </c>
      <c r="N366" t="s">
        <v>430</v>
      </c>
      <c r="O366">
        <v>36509</v>
      </c>
      <c r="P366">
        <v>80</v>
      </c>
      <c r="Q366">
        <v>0</v>
      </c>
      <c r="R366">
        <v>0</v>
      </c>
      <c r="S366">
        <v>0</v>
      </c>
      <c r="T366">
        <v>20227</v>
      </c>
    </row>
    <row r="367" spans="1:20" x14ac:dyDescent="0.25">
      <c r="A367" t="s">
        <v>831</v>
      </c>
      <c r="B367" t="s">
        <v>874</v>
      </c>
      <c r="C367" t="s">
        <v>420</v>
      </c>
      <c r="D367" s="1">
        <v>38610</v>
      </c>
      <c r="E367" s="1">
        <v>144</v>
      </c>
      <c r="F367" s="1">
        <v>0</v>
      </c>
      <c r="G367" s="1">
        <v>0</v>
      </c>
      <c r="H367" s="1">
        <v>0</v>
      </c>
      <c r="I367" s="1">
        <v>40164</v>
      </c>
      <c r="J367" s="1">
        <v>21306</v>
      </c>
      <c r="K367" s="1"/>
      <c r="L367" t="s">
        <v>69</v>
      </c>
      <c r="M367" t="s">
        <v>874</v>
      </c>
      <c r="N367" t="s">
        <v>432</v>
      </c>
      <c r="O367">
        <v>70942</v>
      </c>
      <c r="P367">
        <v>63</v>
      </c>
      <c r="Q367">
        <v>0</v>
      </c>
      <c r="R367">
        <v>0</v>
      </c>
      <c r="S367">
        <v>0</v>
      </c>
      <c r="T367">
        <v>90111</v>
      </c>
    </row>
    <row r="368" spans="1:20" x14ac:dyDescent="0.25">
      <c r="A368" t="s">
        <v>69</v>
      </c>
      <c r="B368" t="s">
        <v>874</v>
      </c>
      <c r="C368" t="s">
        <v>421</v>
      </c>
      <c r="D368" s="1">
        <v>73674</v>
      </c>
      <c r="E368" s="1">
        <v>295</v>
      </c>
      <c r="F368" s="1">
        <v>0</v>
      </c>
      <c r="G368" s="1">
        <v>0</v>
      </c>
      <c r="H368" s="1">
        <v>0</v>
      </c>
      <c r="I368" s="1">
        <v>40017</v>
      </c>
      <c r="J368" s="1">
        <v>16574</v>
      </c>
      <c r="K368" s="1"/>
      <c r="L368" t="s">
        <v>226</v>
      </c>
      <c r="M368" t="s">
        <v>874</v>
      </c>
      <c r="N368" t="s">
        <v>433</v>
      </c>
      <c r="O368">
        <v>68211</v>
      </c>
      <c r="P368">
        <v>202</v>
      </c>
      <c r="Q368">
        <v>0</v>
      </c>
      <c r="R368">
        <v>0</v>
      </c>
      <c r="S368">
        <v>0</v>
      </c>
      <c r="T368">
        <v>74650</v>
      </c>
    </row>
    <row r="369" spans="1:20" x14ac:dyDescent="0.25">
      <c r="A369" t="s">
        <v>146</v>
      </c>
      <c r="B369" t="s">
        <v>874</v>
      </c>
      <c r="C369" t="s">
        <v>422</v>
      </c>
      <c r="D369" s="1">
        <v>57596</v>
      </c>
      <c r="E369" s="1">
        <v>509</v>
      </c>
      <c r="F369" s="1">
        <v>0</v>
      </c>
      <c r="G369" s="1">
        <v>0</v>
      </c>
      <c r="H369" s="1">
        <v>0</v>
      </c>
      <c r="I369" s="1">
        <v>51076</v>
      </c>
      <c r="J369" s="1">
        <v>24078</v>
      </c>
      <c r="K369" s="1"/>
      <c r="L369" t="s">
        <v>864</v>
      </c>
      <c r="M369" t="s">
        <v>874</v>
      </c>
      <c r="N369" t="s">
        <v>434</v>
      </c>
      <c r="O369">
        <v>33503</v>
      </c>
      <c r="P369">
        <v>365</v>
      </c>
      <c r="Q369">
        <v>0</v>
      </c>
      <c r="R369">
        <v>0</v>
      </c>
      <c r="S369">
        <v>0</v>
      </c>
      <c r="T369">
        <v>19819</v>
      </c>
    </row>
    <row r="370" spans="1:20" x14ac:dyDescent="0.25">
      <c r="A370" t="s">
        <v>146</v>
      </c>
      <c r="B370" t="s">
        <v>874</v>
      </c>
      <c r="C370" t="s">
        <v>423</v>
      </c>
      <c r="D370" s="1">
        <v>41655</v>
      </c>
      <c r="E370" s="1">
        <v>23</v>
      </c>
      <c r="F370" s="1">
        <v>0</v>
      </c>
      <c r="G370" s="1">
        <v>0</v>
      </c>
      <c r="H370" s="1">
        <v>0</v>
      </c>
      <c r="I370" s="1">
        <v>16414</v>
      </c>
      <c r="J370" s="1">
        <v>15374</v>
      </c>
      <c r="K370" s="1"/>
      <c r="L370" t="s">
        <v>809</v>
      </c>
      <c r="M370" t="s">
        <v>874</v>
      </c>
      <c r="N370" t="s">
        <v>435</v>
      </c>
      <c r="O370">
        <v>95620</v>
      </c>
      <c r="P370">
        <v>215</v>
      </c>
      <c r="Q370">
        <v>0</v>
      </c>
      <c r="R370">
        <v>0</v>
      </c>
      <c r="S370">
        <v>0</v>
      </c>
      <c r="T370">
        <v>123418</v>
      </c>
    </row>
    <row r="371" spans="1:20" x14ac:dyDescent="0.25">
      <c r="A371" t="s">
        <v>76</v>
      </c>
      <c r="B371" t="s">
        <v>874</v>
      </c>
      <c r="C371" t="s">
        <v>424</v>
      </c>
      <c r="D371" s="1">
        <v>92472</v>
      </c>
      <c r="E371" s="1">
        <v>41</v>
      </c>
      <c r="F371" s="1">
        <v>0</v>
      </c>
      <c r="G371" s="1">
        <v>0</v>
      </c>
      <c r="H371" s="1">
        <v>0</v>
      </c>
      <c r="I371" s="1">
        <v>131311</v>
      </c>
      <c r="J371" s="1">
        <v>21343</v>
      </c>
      <c r="K371" s="1"/>
      <c r="L371" t="s">
        <v>138</v>
      </c>
      <c r="M371" t="s">
        <v>874</v>
      </c>
      <c r="N371" t="s">
        <v>436</v>
      </c>
      <c r="O371">
        <v>118438</v>
      </c>
      <c r="P371">
        <v>1242</v>
      </c>
      <c r="Q371">
        <v>0</v>
      </c>
      <c r="R371">
        <v>0</v>
      </c>
      <c r="S371">
        <v>0</v>
      </c>
      <c r="T371">
        <v>85811</v>
      </c>
    </row>
    <row r="372" spans="1:20" x14ac:dyDescent="0.25">
      <c r="A372" t="s">
        <v>795</v>
      </c>
      <c r="B372" t="s">
        <v>874</v>
      </c>
      <c r="C372" t="s">
        <v>425</v>
      </c>
      <c r="D372" s="1">
        <v>171669</v>
      </c>
      <c r="E372" s="1">
        <v>63</v>
      </c>
      <c r="F372" s="1">
        <v>0</v>
      </c>
      <c r="G372" s="1">
        <v>0</v>
      </c>
      <c r="H372" s="1">
        <v>0</v>
      </c>
      <c r="I372" s="1">
        <v>101732</v>
      </c>
      <c r="J372" s="1">
        <v>47597</v>
      </c>
      <c r="K372" s="1"/>
      <c r="L372" t="s">
        <v>229</v>
      </c>
      <c r="M372" t="s">
        <v>874</v>
      </c>
      <c r="N372" t="s">
        <v>437</v>
      </c>
      <c r="O372">
        <v>62492</v>
      </c>
      <c r="P372">
        <v>459</v>
      </c>
      <c r="Q372">
        <v>0</v>
      </c>
      <c r="R372">
        <v>0</v>
      </c>
      <c r="S372">
        <v>0</v>
      </c>
      <c r="T372">
        <v>121383</v>
      </c>
    </row>
    <row r="373" spans="1:20" x14ac:dyDescent="0.25">
      <c r="A373" t="s">
        <v>824</v>
      </c>
      <c r="B373" t="s">
        <v>874</v>
      </c>
      <c r="C373" t="s">
        <v>426</v>
      </c>
      <c r="D373" s="1">
        <v>48703</v>
      </c>
      <c r="E373" s="1">
        <v>139</v>
      </c>
      <c r="F373" s="1">
        <v>0</v>
      </c>
      <c r="G373" s="1">
        <v>0</v>
      </c>
      <c r="H373" s="1">
        <v>0</v>
      </c>
      <c r="I373" s="1">
        <v>47632</v>
      </c>
      <c r="J373" s="1">
        <v>20107</v>
      </c>
      <c r="K373" s="1"/>
      <c r="L373" t="s">
        <v>801</v>
      </c>
      <c r="M373" t="s">
        <v>874</v>
      </c>
      <c r="N373" t="s">
        <v>438</v>
      </c>
      <c r="O373">
        <v>101720</v>
      </c>
      <c r="P373">
        <v>51</v>
      </c>
      <c r="Q373">
        <v>0</v>
      </c>
      <c r="R373">
        <v>0</v>
      </c>
      <c r="S373">
        <v>0</v>
      </c>
      <c r="T373">
        <v>261130</v>
      </c>
    </row>
    <row r="374" spans="1:20" x14ac:dyDescent="0.25">
      <c r="A374" t="s">
        <v>788</v>
      </c>
      <c r="B374" t="s">
        <v>874</v>
      </c>
      <c r="C374" t="s">
        <v>427</v>
      </c>
      <c r="D374" s="1">
        <v>140654</v>
      </c>
      <c r="E374" s="1">
        <v>307</v>
      </c>
      <c r="F374" s="1">
        <v>0</v>
      </c>
      <c r="G374" s="1">
        <v>0</v>
      </c>
      <c r="H374" s="1">
        <v>0</v>
      </c>
      <c r="I374" s="1">
        <v>142524</v>
      </c>
      <c r="J374" s="1">
        <v>37206</v>
      </c>
      <c r="K374" s="1"/>
      <c r="L374" t="s">
        <v>69</v>
      </c>
      <c r="M374" t="s">
        <v>874</v>
      </c>
      <c r="N374" t="s">
        <v>439</v>
      </c>
      <c r="O374">
        <v>175230</v>
      </c>
      <c r="P374">
        <v>4470</v>
      </c>
      <c r="Q374">
        <v>0</v>
      </c>
      <c r="R374">
        <v>0</v>
      </c>
      <c r="S374">
        <v>0</v>
      </c>
      <c r="T374">
        <v>120855</v>
      </c>
    </row>
    <row r="375" spans="1:20" x14ac:dyDescent="0.25">
      <c r="A375" t="s">
        <v>226</v>
      </c>
      <c r="B375" t="s">
        <v>874</v>
      </c>
      <c r="C375" t="s">
        <v>428</v>
      </c>
      <c r="D375" s="1">
        <v>21435</v>
      </c>
      <c r="E375" s="1">
        <v>5</v>
      </c>
      <c r="F375" s="1">
        <v>0</v>
      </c>
      <c r="G375" s="1">
        <v>0</v>
      </c>
      <c r="H375" s="1">
        <v>0</v>
      </c>
      <c r="I375" s="1">
        <v>20923</v>
      </c>
      <c r="J375" s="1">
        <v>3910</v>
      </c>
      <c r="K375" s="1"/>
      <c r="L375" t="s">
        <v>83</v>
      </c>
      <c r="M375" t="s">
        <v>874</v>
      </c>
      <c r="N375" t="s">
        <v>440</v>
      </c>
      <c r="O375">
        <v>9285</v>
      </c>
      <c r="P375">
        <v>24</v>
      </c>
      <c r="Q375">
        <v>0</v>
      </c>
      <c r="R375">
        <v>0</v>
      </c>
      <c r="S375">
        <v>0</v>
      </c>
      <c r="T375">
        <v>20101</v>
      </c>
    </row>
    <row r="376" spans="1:20" x14ac:dyDescent="0.25">
      <c r="A376" t="s">
        <v>791</v>
      </c>
      <c r="B376" t="s">
        <v>874</v>
      </c>
      <c r="C376" t="s">
        <v>429</v>
      </c>
      <c r="D376" s="1">
        <v>9723</v>
      </c>
      <c r="E376" s="1">
        <v>52</v>
      </c>
      <c r="F376" s="1">
        <v>0</v>
      </c>
      <c r="G376" s="1">
        <v>0</v>
      </c>
      <c r="H376" s="1">
        <v>0</v>
      </c>
      <c r="I376" s="1">
        <v>683</v>
      </c>
      <c r="J376" s="1">
        <v>2137</v>
      </c>
      <c r="K376" s="1"/>
      <c r="L376" t="s">
        <v>809</v>
      </c>
      <c r="M376" t="s">
        <v>874</v>
      </c>
      <c r="N376" t="s">
        <v>441</v>
      </c>
      <c r="O376">
        <v>43580</v>
      </c>
      <c r="P376">
        <v>858</v>
      </c>
      <c r="Q376">
        <v>0</v>
      </c>
      <c r="R376">
        <v>0</v>
      </c>
      <c r="S376">
        <v>0</v>
      </c>
      <c r="T376">
        <v>31169</v>
      </c>
    </row>
    <row r="377" spans="1:20" x14ac:dyDescent="0.25">
      <c r="A377" t="s">
        <v>788</v>
      </c>
      <c r="B377" t="s">
        <v>874</v>
      </c>
      <c r="C377" t="s">
        <v>430</v>
      </c>
      <c r="D377" s="1">
        <v>36509</v>
      </c>
      <c r="E377" s="1">
        <v>80</v>
      </c>
      <c r="F377" s="1">
        <v>0</v>
      </c>
      <c r="G377" s="1">
        <v>0</v>
      </c>
      <c r="H377" s="1">
        <v>0</v>
      </c>
      <c r="I377" s="1">
        <v>20227</v>
      </c>
      <c r="J377" s="1">
        <v>9570</v>
      </c>
      <c r="K377" s="1"/>
      <c r="L377" t="s">
        <v>794</v>
      </c>
      <c r="M377" t="s">
        <v>874</v>
      </c>
      <c r="N377" t="s">
        <v>442</v>
      </c>
      <c r="O377">
        <v>96490</v>
      </c>
      <c r="P377">
        <v>535</v>
      </c>
      <c r="Q377">
        <v>0</v>
      </c>
      <c r="R377">
        <v>0</v>
      </c>
      <c r="S377">
        <v>0</v>
      </c>
      <c r="T377">
        <v>86220</v>
      </c>
    </row>
    <row r="378" spans="1:20" x14ac:dyDescent="0.25">
      <c r="A378" t="s">
        <v>10</v>
      </c>
      <c r="B378" t="s">
        <v>874</v>
      </c>
      <c r="C378" t="s">
        <v>431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/>
      <c r="L378" t="s">
        <v>796</v>
      </c>
      <c r="M378" t="s">
        <v>874</v>
      </c>
      <c r="N378" t="s">
        <v>443</v>
      </c>
      <c r="O378">
        <v>140165</v>
      </c>
      <c r="P378">
        <v>284</v>
      </c>
      <c r="Q378">
        <v>0</v>
      </c>
      <c r="R378">
        <v>0</v>
      </c>
      <c r="S378">
        <v>0</v>
      </c>
      <c r="T378">
        <v>126078</v>
      </c>
    </row>
    <row r="379" spans="1:20" x14ac:dyDescent="0.25">
      <c r="A379" t="s">
        <v>69</v>
      </c>
      <c r="B379" t="s">
        <v>874</v>
      </c>
      <c r="C379" t="s">
        <v>432</v>
      </c>
      <c r="D379" s="1">
        <v>70942</v>
      </c>
      <c r="E379" s="1">
        <v>63</v>
      </c>
      <c r="F379" s="1">
        <v>0</v>
      </c>
      <c r="G379" s="1">
        <v>0</v>
      </c>
      <c r="H379" s="1">
        <v>0</v>
      </c>
      <c r="I379" s="1">
        <v>90111</v>
      </c>
      <c r="J379" s="1">
        <v>20831</v>
      </c>
      <c r="K379" s="1"/>
      <c r="L379" t="s">
        <v>794</v>
      </c>
      <c r="M379" t="s">
        <v>874</v>
      </c>
      <c r="N379" t="s">
        <v>444</v>
      </c>
      <c r="O379">
        <v>163818</v>
      </c>
      <c r="P379">
        <v>1087</v>
      </c>
      <c r="Q379">
        <v>0</v>
      </c>
      <c r="R379">
        <v>0</v>
      </c>
      <c r="S379">
        <v>0</v>
      </c>
      <c r="T379">
        <v>72541</v>
      </c>
    </row>
    <row r="380" spans="1:20" x14ac:dyDescent="0.25">
      <c r="A380" t="s">
        <v>226</v>
      </c>
      <c r="B380" t="s">
        <v>874</v>
      </c>
      <c r="C380" t="s">
        <v>433</v>
      </c>
      <c r="D380" s="1">
        <v>68211</v>
      </c>
      <c r="E380" s="1">
        <v>202</v>
      </c>
      <c r="F380" s="1">
        <v>0</v>
      </c>
      <c r="G380" s="1">
        <v>0</v>
      </c>
      <c r="H380" s="1">
        <v>0</v>
      </c>
      <c r="I380" s="1">
        <v>74650</v>
      </c>
      <c r="J380" s="1">
        <v>15686</v>
      </c>
      <c r="K380" s="1"/>
      <c r="L380" t="s">
        <v>811</v>
      </c>
      <c r="M380" t="s">
        <v>874</v>
      </c>
      <c r="N380" t="s">
        <v>445</v>
      </c>
      <c r="O380">
        <v>138911</v>
      </c>
      <c r="P380">
        <v>42234</v>
      </c>
      <c r="Q380">
        <v>0</v>
      </c>
      <c r="R380">
        <v>0</v>
      </c>
      <c r="S380">
        <v>0</v>
      </c>
      <c r="T380">
        <v>187189</v>
      </c>
    </row>
    <row r="381" spans="1:20" x14ac:dyDescent="0.25">
      <c r="A381" t="s">
        <v>864</v>
      </c>
      <c r="B381" t="s">
        <v>874</v>
      </c>
      <c r="C381" t="s">
        <v>434</v>
      </c>
      <c r="D381" s="1">
        <v>33503</v>
      </c>
      <c r="E381" s="1">
        <v>365</v>
      </c>
      <c r="F381" s="1">
        <v>0</v>
      </c>
      <c r="G381" s="1">
        <v>0</v>
      </c>
      <c r="H381" s="1">
        <v>0</v>
      </c>
      <c r="I381" s="1">
        <v>19819</v>
      </c>
      <c r="J381" s="1">
        <v>15254</v>
      </c>
      <c r="K381" s="1"/>
      <c r="L381" t="s">
        <v>848</v>
      </c>
      <c r="M381" t="s">
        <v>874</v>
      </c>
      <c r="N381" t="s">
        <v>446</v>
      </c>
      <c r="O381">
        <v>31759</v>
      </c>
      <c r="P381">
        <v>130</v>
      </c>
      <c r="Q381">
        <v>0</v>
      </c>
      <c r="R381">
        <v>0</v>
      </c>
      <c r="S381">
        <v>0</v>
      </c>
      <c r="T381">
        <v>9847</v>
      </c>
    </row>
    <row r="382" spans="1:20" x14ac:dyDescent="0.25">
      <c r="A382" t="s">
        <v>809</v>
      </c>
      <c r="B382" t="s">
        <v>874</v>
      </c>
      <c r="C382" t="s">
        <v>435</v>
      </c>
      <c r="D382" s="1">
        <v>95620</v>
      </c>
      <c r="E382" s="1">
        <v>215</v>
      </c>
      <c r="F382" s="1">
        <v>0</v>
      </c>
      <c r="G382" s="1">
        <v>0</v>
      </c>
      <c r="H382" s="1">
        <v>0</v>
      </c>
      <c r="I382" s="1">
        <v>123418</v>
      </c>
      <c r="J382" s="1">
        <v>15675</v>
      </c>
      <c r="K382" s="1"/>
      <c r="L382" t="s">
        <v>134</v>
      </c>
      <c r="M382" t="s">
        <v>874</v>
      </c>
      <c r="N382" t="s">
        <v>447</v>
      </c>
      <c r="O382">
        <v>172547</v>
      </c>
      <c r="P382">
        <v>173</v>
      </c>
      <c r="Q382">
        <v>0</v>
      </c>
      <c r="R382">
        <v>0</v>
      </c>
      <c r="S382">
        <v>0</v>
      </c>
      <c r="T382">
        <v>48489</v>
      </c>
    </row>
    <row r="383" spans="1:20" x14ac:dyDescent="0.25">
      <c r="A383" t="s">
        <v>138</v>
      </c>
      <c r="B383" t="s">
        <v>874</v>
      </c>
      <c r="C383" t="s">
        <v>436</v>
      </c>
      <c r="D383" s="1">
        <v>118438</v>
      </c>
      <c r="E383" s="1">
        <v>1242</v>
      </c>
      <c r="F383" s="1">
        <v>0</v>
      </c>
      <c r="G383" s="1">
        <v>0</v>
      </c>
      <c r="H383" s="1">
        <v>0</v>
      </c>
      <c r="I383" s="1">
        <v>85811</v>
      </c>
      <c r="J383" s="1">
        <v>27025</v>
      </c>
      <c r="K383" s="1"/>
      <c r="L383" t="s">
        <v>76</v>
      </c>
      <c r="M383" t="s">
        <v>874</v>
      </c>
      <c r="N383" t="s">
        <v>448</v>
      </c>
      <c r="O383">
        <v>149267</v>
      </c>
      <c r="P383">
        <v>315</v>
      </c>
      <c r="Q383">
        <v>0</v>
      </c>
      <c r="R383">
        <v>0</v>
      </c>
      <c r="S383">
        <v>0</v>
      </c>
      <c r="T383">
        <v>111623</v>
      </c>
    </row>
    <row r="384" spans="1:20" x14ac:dyDescent="0.25">
      <c r="A384" t="s">
        <v>229</v>
      </c>
      <c r="B384" t="s">
        <v>874</v>
      </c>
      <c r="C384" t="s">
        <v>437</v>
      </c>
      <c r="D384" s="1">
        <v>62492</v>
      </c>
      <c r="E384" s="1">
        <v>459</v>
      </c>
      <c r="F384" s="1">
        <v>0</v>
      </c>
      <c r="G384" s="1">
        <v>0</v>
      </c>
      <c r="H384" s="1">
        <v>0</v>
      </c>
      <c r="I384" s="1">
        <v>121383</v>
      </c>
      <c r="J384" s="1">
        <v>15698</v>
      </c>
      <c r="K384" s="1"/>
      <c r="L384" t="s">
        <v>801</v>
      </c>
      <c r="M384" t="s">
        <v>874</v>
      </c>
      <c r="N384" t="s">
        <v>449</v>
      </c>
      <c r="O384">
        <v>118616</v>
      </c>
      <c r="P384">
        <v>193</v>
      </c>
      <c r="Q384">
        <v>0</v>
      </c>
      <c r="R384">
        <v>0</v>
      </c>
      <c r="S384">
        <v>0</v>
      </c>
      <c r="T384">
        <v>180023</v>
      </c>
    </row>
    <row r="385" spans="1:20" x14ac:dyDescent="0.25">
      <c r="A385" t="s">
        <v>801</v>
      </c>
      <c r="B385" t="s">
        <v>874</v>
      </c>
      <c r="C385" t="s">
        <v>438</v>
      </c>
      <c r="D385" s="1">
        <v>101720</v>
      </c>
      <c r="E385" s="1">
        <v>51</v>
      </c>
      <c r="F385" s="1">
        <v>0</v>
      </c>
      <c r="G385" s="1">
        <v>0</v>
      </c>
      <c r="H385" s="1">
        <v>0</v>
      </c>
      <c r="I385" s="1">
        <v>261130</v>
      </c>
      <c r="J385" s="1">
        <v>32938</v>
      </c>
      <c r="K385" s="1"/>
      <c r="L385" t="s">
        <v>788</v>
      </c>
      <c r="M385" t="s">
        <v>874</v>
      </c>
      <c r="N385" t="s">
        <v>450</v>
      </c>
      <c r="O385">
        <v>41211</v>
      </c>
      <c r="P385">
        <v>586</v>
      </c>
      <c r="Q385">
        <v>0</v>
      </c>
      <c r="R385">
        <v>0</v>
      </c>
      <c r="S385">
        <v>0</v>
      </c>
      <c r="T385">
        <v>28760</v>
      </c>
    </row>
    <row r="386" spans="1:20" x14ac:dyDescent="0.25">
      <c r="A386" s="27" t="s">
        <v>10</v>
      </c>
      <c r="B386" s="27" t="s">
        <v>874</v>
      </c>
      <c r="C386" s="27" t="s">
        <v>780</v>
      </c>
      <c r="D386" s="32"/>
      <c r="E386" s="32"/>
      <c r="F386" s="32"/>
      <c r="G386" s="32"/>
      <c r="H386" s="32"/>
      <c r="I386" s="32"/>
      <c r="J386" s="32"/>
      <c r="K386" s="1"/>
      <c r="L386" t="s">
        <v>795</v>
      </c>
      <c r="M386" t="s">
        <v>874</v>
      </c>
      <c r="N386" t="s">
        <v>451</v>
      </c>
    </row>
    <row r="387" spans="1:20" x14ac:dyDescent="0.25">
      <c r="A387" t="s">
        <v>69</v>
      </c>
      <c r="B387" t="s">
        <v>874</v>
      </c>
      <c r="C387" t="s">
        <v>439</v>
      </c>
      <c r="D387" s="1">
        <v>175230</v>
      </c>
      <c r="E387" s="1">
        <v>4470</v>
      </c>
      <c r="F387" s="1">
        <v>0</v>
      </c>
      <c r="G387" s="1">
        <v>0</v>
      </c>
      <c r="H387" s="1">
        <v>0</v>
      </c>
      <c r="I387" s="1">
        <v>120855</v>
      </c>
      <c r="J387" s="1">
        <v>40776</v>
      </c>
      <c r="K387" s="1"/>
      <c r="L387" t="s">
        <v>825</v>
      </c>
      <c r="M387" t="s">
        <v>874</v>
      </c>
      <c r="N387" t="s">
        <v>452</v>
      </c>
      <c r="O387">
        <v>14314</v>
      </c>
      <c r="P387">
        <v>31</v>
      </c>
      <c r="Q387">
        <v>0</v>
      </c>
      <c r="R387">
        <v>0</v>
      </c>
      <c r="S387">
        <v>0</v>
      </c>
      <c r="T387">
        <v>16199</v>
      </c>
    </row>
    <row r="388" spans="1:20" x14ac:dyDescent="0.25">
      <c r="A388" t="s">
        <v>83</v>
      </c>
      <c r="B388" t="s">
        <v>874</v>
      </c>
      <c r="C388" t="s">
        <v>440</v>
      </c>
      <c r="D388" s="1">
        <v>9285</v>
      </c>
      <c r="E388" s="1">
        <v>24</v>
      </c>
      <c r="F388" s="1">
        <v>0</v>
      </c>
      <c r="G388" s="1">
        <v>0</v>
      </c>
      <c r="H388" s="1">
        <v>0</v>
      </c>
      <c r="I388" s="1">
        <v>20101</v>
      </c>
      <c r="J388" s="1">
        <v>1835</v>
      </c>
      <c r="K388" s="1"/>
      <c r="L388" t="s">
        <v>101</v>
      </c>
      <c r="M388" t="s">
        <v>874</v>
      </c>
      <c r="N388" t="s">
        <v>453</v>
      </c>
      <c r="O388">
        <v>67300</v>
      </c>
      <c r="P388">
        <v>239</v>
      </c>
      <c r="Q388">
        <v>0</v>
      </c>
      <c r="R388">
        <v>0</v>
      </c>
      <c r="S388">
        <v>0</v>
      </c>
      <c r="T388">
        <v>51409</v>
      </c>
    </row>
    <row r="389" spans="1:20" x14ac:dyDescent="0.25">
      <c r="A389" t="s">
        <v>809</v>
      </c>
      <c r="B389" t="s">
        <v>874</v>
      </c>
      <c r="C389" t="s">
        <v>441</v>
      </c>
      <c r="D389" s="1">
        <v>43580</v>
      </c>
      <c r="E389" s="1">
        <v>858</v>
      </c>
      <c r="F389" s="1">
        <v>0</v>
      </c>
      <c r="G389" s="1">
        <v>0</v>
      </c>
      <c r="H389" s="1">
        <v>0</v>
      </c>
      <c r="I389" s="1">
        <v>31169</v>
      </c>
      <c r="J389" s="1">
        <v>6752</v>
      </c>
      <c r="K389" s="1"/>
      <c r="L389" t="s">
        <v>265</v>
      </c>
      <c r="M389" t="s">
        <v>874</v>
      </c>
      <c r="N389" t="s">
        <v>454</v>
      </c>
      <c r="O389">
        <v>83211</v>
      </c>
      <c r="P389">
        <v>51</v>
      </c>
      <c r="Q389">
        <v>0</v>
      </c>
      <c r="R389">
        <v>0</v>
      </c>
      <c r="S389">
        <v>0</v>
      </c>
      <c r="T389">
        <v>127318</v>
      </c>
    </row>
    <row r="390" spans="1:20" x14ac:dyDescent="0.25">
      <c r="A390" t="s">
        <v>794</v>
      </c>
      <c r="B390" t="s">
        <v>874</v>
      </c>
      <c r="C390" t="s">
        <v>442</v>
      </c>
      <c r="D390" s="1">
        <v>96490</v>
      </c>
      <c r="E390" s="1">
        <v>535</v>
      </c>
      <c r="F390" s="1">
        <v>0</v>
      </c>
      <c r="G390" s="1">
        <v>0</v>
      </c>
      <c r="H390" s="1">
        <v>0</v>
      </c>
      <c r="I390" s="1">
        <v>86220</v>
      </c>
      <c r="J390" s="1">
        <v>38259</v>
      </c>
      <c r="K390" s="1"/>
      <c r="L390" t="s">
        <v>248</v>
      </c>
      <c r="M390" t="s">
        <v>874</v>
      </c>
      <c r="N390" t="s">
        <v>455</v>
      </c>
      <c r="O390">
        <v>22881</v>
      </c>
      <c r="P390">
        <v>449</v>
      </c>
      <c r="Q390">
        <v>0</v>
      </c>
      <c r="R390">
        <v>0</v>
      </c>
      <c r="S390">
        <v>0</v>
      </c>
      <c r="T390">
        <v>79733</v>
      </c>
    </row>
    <row r="391" spans="1:20" x14ac:dyDescent="0.25">
      <c r="A391" t="s">
        <v>796</v>
      </c>
      <c r="B391" t="s">
        <v>874</v>
      </c>
      <c r="C391" t="s">
        <v>443</v>
      </c>
      <c r="D391" s="1">
        <v>140165</v>
      </c>
      <c r="E391" s="1">
        <v>284</v>
      </c>
      <c r="F391" s="1">
        <v>0</v>
      </c>
      <c r="G391" s="1">
        <v>0</v>
      </c>
      <c r="H391" s="1">
        <v>0</v>
      </c>
      <c r="I391" s="1">
        <v>126078</v>
      </c>
      <c r="J391" s="1">
        <v>25972</v>
      </c>
      <c r="K391" s="1"/>
      <c r="L391" t="s">
        <v>76</v>
      </c>
      <c r="M391" t="s">
        <v>874</v>
      </c>
      <c r="N391" t="s">
        <v>456</v>
      </c>
      <c r="O391">
        <v>113421</v>
      </c>
      <c r="P391">
        <v>265</v>
      </c>
      <c r="Q391">
        <v>0</v>
      </c>
      <c r="R391">
        <v>0</v>
      </c>
      <c r="S391">
        <v>0</v>
      </c>
      <c r="T391">
        <v>314850</v>
      </c>
    </row>
    <row r="392" spans="1:20" x14ac:dyDescent="0.25">
      <c r="A392" t="s">
        <v>794</v>
      </c>
      <c r="B392" t="s">
        <v>874</v>
      </c>
      <c r="C392" t="s">
        <v>444</v>
      </c>
      <c r="D392" s="1">
        <v>163818</v>
      </c>
      <c r="E392" s="1">
        <v>1087</v>
      </c>
      <c r="F392" s="1">
        <v>0</v>
      </c>
      <c r="G392" s="1">
        <v>0</v>
      </c>
      <c r="H392" s="1">
        <v>0</v>
      </c>
      <c r="I392" s="1">
        <v>72541</v>
      </c>
      <c r="J392" s="1">
        <v>58997</v>
      </c>
      <c r="K392" s="1"/>
      <c r="L392" t="s">
        <v>76</v>
      </c>
      <c r="M392" t="s">
        <v>874</v>
      </c>
      <c r="N392" t="s">
        <v>457</v>
      </c>
      <c r="O392">
        <v>66764</v>
      </c>
      <c r="P392">
        <v>479</v>
      </c>
      <c r="Q392">
        <v>0</v>
      </c>
      <c r="R392">
        <v>0</v>
      </c>
      <c r="S392">
        <v>0</v>
      </c>
      <c r="T392">
        <v>39968</v>
      </c>
    </row>
    <row r="393" spans="1:20" x14ac:dyDescent="0.25">
      <c r="A393" t="s">
        <v>811</v>
      </c>
      <c r="B393" t="s">
        <v>874</v>
      </c>
      <c r="C393" t="s">
        <v>445</v>
      </c>
      <c r="D393" s="1">
        <v>138911</v>
      </c>
      <c r="E393" s="1">
        <v>42234</v>
      </c>
      <c r="F393" s="1">
        <v>0</v>
      </c>
      <c r="G393" s="1">
        <v>0</v>
      </c>
      <c r="H393" s="1">
        <v>0</v>
      </c>
      <c r="I393" s="1">
        <v>187189</v>
      </c>
      <c r="J393" s="1">
        <v>58052</v>
      </c>
      <c r="K393" s="1"/>
      <c r="L393" t="s">
        <v>146</v>
      </c>
      <c r="M393" t="s">
        <v>874</v>
      </c>
      <c r="N393" t="s">
        <v>458</v>
      </c>
      <c r="O393">
        <v>37675</v>
      </c>
      <c r="P393">
        <v>2831</v>
      </c>
      <c r="Q393">
        <v>0</v>
      </c>
      <c r="R393">
        <v>0</v>
      </c>
      <c r="S393">
        <v>0</v>
      </c>
      <c r="T393">
        <v>65358</v>
      </c>
    </row>
    <row r="394" spans="1:20" x14ac:dyDescent="0.25">
      <c r="A394" t="s">
        <v>848</v>
      </c>
      <c r="B394" t="s">
        <v>874</v>
      </c>
      <c r="C394" t="s">
        <v>446</v>
      </c>
      <c r="D394" s="1">
        <v>31759</v>
      </c>
      <c r="E394" s="1">
        <v>130</v>
      </c>
      <c r="F394" s="1">
        <v>0</v>
      </c>
      <c r="G394" s="1">
        <v>0</v>
      </c>
      <c r="H394" s="1">
        <v>0</v>
      </c>
      <c r="I394" s="1">
        <v>9847</v>
      </c>
      <c r="J394" s="1">
        <v>5207</v>
      </c>
      <c r="K394" s="1"/>
      <c r="L394" t="s">
        <v>83</v>
      </c>
      <c r="M394" t="s">
        <v>874</v>
      </c>
      <c r="N394" t="s">
        <v>459</v>
      </c>
      <c r="O394">
        <v>12130</v>
      </c>
      <c r="P394">
        <v>65</v>
      </c>
      <c r="Q394">
        <v>0</v>
      </c>
      <c r="R394">
        <v>0</v>
      </c>
      <c r="S394">
        <v>0</v>
      </c>
      <c r="T394">
        <v>13187</v>
      </c>
    </row>
    <row r="395" spans="1:20" x14ac:dyDescent="0.25">
      <c r="A395" t="s">
        <v>134</v>
      </c>
      <c r="B395" t="s">
        <v>874</v>
      </c>
      <c r="C395" t="s">
        <v>447</v>
      </c>
      <c r="D395" s="1">
        <v>172547</v>
      </c>
      <c r="E395" s="1">
        <v>173</v>
      </c>
      <c r="F395" s="1">
        <v>0</v>
      </c>
      <c r="G395" s="1">
        <v>0</v>
      </c>
      <c r="H395" s="1">
        <v>0</v>
      </c>
      <c r="I395" s="1">
        <v>48489</v>
      </c>
      <c r="J395" s="1">
        <v>26514</v>
      </c>
      <c r="K395" s="1"/>
      <c r="L395" t="s">
        <v>248</v>
      </c>
      <c r="M395" t="s">
        <v>874</v>
      </c>
      <c r="N395" t="s">
        <v>460</v>
      </c>
      <c r="O395">
        <v>113468</v>
      </c>
      <c r="P395">
        <v>1371</v>
      </c>
      <c r="Q395">
        <v>0</v>
      </c>
      <c r="R395">
        <v>0</v>
      </c>
      <c r="S395">
        <v>0</v>
      </c>
      <c r="T395">
        <v>365408</v>
      </c>
    </row>
    <row r="396" spans="1:20" x14ac:dyDescent="0.25">
      <c r="A396" t="s">
        <v>76</v>
      </c>
      <c r="B396" t="s">
        <v>874</v>
      </c>
      <c r="C396" t="s">
        <v>448</v>
      </c>
      <c r="D396" s="1">
        <v>149267</v>
      </c>
      <c r="E396" s="1">
        <v>315</v>
      </c>
      <c r="F396" s="1">
        <v>0</v>
      </c>
      <c r="G396" s="1">
        <v>0</v>
      </c>
      <c r="H396" s="1">
        <v>0</v>
      </c>
      <c r="I396" s="1">
        <v>111623</v>
      </c>
      <c r="J396" s="1">
        <v>17514</v>
      </c>
      <c r="K396" s="1"/>
      <c r="L396" t="s">
        <v>248</v>
      </c>
      <c r="M396" t="s">
        <v>874</v>
      </c>
      <c r="N396" t="s">
        <v>461</v>
      </c>
      <c r="O396">
        <v>110641</v>
      </c>
      <c r="P396">
        <v>243</v>
      </c>
      <c r="Q396">
        <v>0</v>
      </c>
      <c r="R396">
        <v>0</v>
      </c>
      <c r="S396">
        <v>0</v>
      </c>
      <c r="T396">
        <v>151534</v>
      </c>
    </row>
    <row r="397" spans="1:20" x14ac:dyDescent="0.25">
      <c r="A397" t="s">
        <v>801</v>
      </c>
      <c r="B397" t="s">
        <v>874</v>
      </c>
      <c r="C397" t="s">
        <v>449</v>
      </c>
      <c r="D397" s="1">
        <v>118616</v>
      </c>
      <c r="E397" s="1">
        <v>193</v>
      </c>
      <c r="F397" s="1">
        <v>0</v>
      </c>
      <c r="G397" s="1">
        <v>0</v>
      </c>
      <c r="H397" s="1">
        <v>0</v>
      </c>
      <c r="I397" s="1">
        <v>180023</v>
      </c>
      <c r="J397" s="1">
        <v>29162</v>
      </c>
      <c r="K397" s="1"/>
      <c r="L397" t="s">
        <v>226</v>
      </c>
      <c r="M397" t="s">
        <v>874</v>
      </c>
      <c r="N397" t="s">
        <v>462</v>
      </c>
      <c r="O397">
        <v>23665</v>
      </c>
      <c r="P397">
        <v>48</v>
      </c>
      <c r="Q397">
        <v>0</v>
      </c>
      <c r="R397">
        <v>0</v>
      </c>
      <c r="S397">
        <v>0</v>
      </c>
      <c r="T397">
        <v>2229</v>
      </c>
    </row>
    <row r="398" spans="1:20" x14ac:dyDescent="0.25">
      <c r="A398" t="s">
        <v>788</v>
      </c>
      <c r="B398" t="s">
        <v>874</v>
      </c>
      <c r="C398" t="s">
        <v>450</v>
      </c>
      <c r="D398" s="1">
        <v>41211</v>
      </c>
      <c r="E398" s="1">
        <v>586</v>
      </c>
      <c r="F398" s="1">
        <v>0</v>
      </c>
      <c r="G398" s="1">
        <v>0</v>
      </c>
      <c r="H398" s="1">
        <v>0</v>
      </c>
      <c r="I398" s="1">
        <v>28760</v>
      </c>
      <c r="J398" s="1">
        <v>10020</v>
      </c>
      <c r="K398" s="1"/>
      <c r="L398" t="s">
        <v>826</v>
      </c>
      <c r="M398" t="s">
        <v>874</v>
      </c>
      <c r="N398" t="s">
        <v>463</v>
      </c>
      <c r="O398">
        <v>21656</v>
      </c>
      <c r="P398">
        <v>716</v>
      </c>
      <c r="Q398">
        <v>0</v>
      </c>
      <c r="R398">
        <v>0</v>
      </c>
      <c r="S398">
        <v>0</v>
      </c>
      <c r="T398">
        <v>45130</v>
      </c>
    </row>
    <row r="399" spans="1:20" x14ac:dyDescent="0.25">
      <c r="A399" t="s">
        <v>795</v>
      </c>
      <c r="B399" t="s">
        <v>874</v>
      </c>
      <c r="C399" t="s">
        <v>451</v>
      </c>
      <c r="D399" s="1"/>
      <c r="E399" s="1"/>
      <c r="F399" s="1"/>
      <c r="G399" s="1"/>
      <c r="H399" s="1"/>
      <c r="I399" s="1"/>
      <c r="J399" s="1"/>
      <c r="K399" s="1"/>
      <c r="L399" t="s">
        <v>248</v>
      </c>
      <c r="M399" t="s">
        <v>874</v>
      </c>
      <c r="N399" t="s">
        <v>464</v>
      </c>
      <c r="O399">
        <v>38424</v>
      </c>
      <c r="P399">
        <v>111</v>
      </c>
      <c r="Q399">
        <v>0</v>
      </c>
      <c r="R399">
        <v>0</v>
      </c>
      <c r="S399">
        <v>0</v>
      </c>
      <c r="T399">
        <v>57858</v>
      </c>
    </row>
    <row r="400" spans="1:20" x14ac:dyDescent="0.25">
      <c r="A400" t="s">
        <v>825</v>
      </c>
      <c r="B400" t="s">
        <v>874</v>
      </c>
      <c r="C400" t="s">
        <v>452</v>
      </c>
      <c r="D400" s="1">
        <v>14314</v>
      </c>
      <c r="E400" s="1">
        <v>31</v>
      </c>
      <c r="F400" s="1">
        <v>0</v>
      </c>
      <c r="G400" s="1">
        <v>0</v>
      </c>
      <c r="H400" s="1">
        <v>0</v>
      </c>
      <c r="I400" s="1">
        <v>16199</v>
      </c>
      <c r="J400" s="1">
        <v>3154</v>
      </c>
      <c r="K400" s="1"/>
      <c r="L400" t="s">
        <v>101</v>
      </c>
      <c r="M400" t="s">
        <v>874</v>
      </c>
      <c r="N400" t="s">
        <v>465</v>
      </c>
      <c r="O400">
        <v>36581</v>
      </c>
      <c r="P400">
        <v>7</v>
      </c>
      <c r="Q400">
        <v>0</v>
      </c>
      <c r="R400">
        <v>0</v>
      </c>
      <c r="S400">
        <v>0</v>
      </c>
      <c r="T400">
        <v>84545</v>
      </c>
    </row>
    <row r="401" spans="1:20" x14ac:dyDescent="0.25">
      <c r="A401" t="s">
        <v>101</v>
      </c>
      <c r="B401" t="s">
        <v>874</v>
      </c>
      <c r="C401" t="s">
        <v>453</v>
      </c>
      <c r="D401" s="1">
        <v>67300</v>
      </c>
      <c r="E401" s="1">
        <v>239</v>
      </c>
      <c r="F401" s="1">
        <v>0</v>
      </c>
      <c r="G401" s="1">
        <v>0</v>
      </c>
      <c r="H401" s="1">
        <v>0</v>
      </c>
      <c r="I401" s="1">
        <v>51409</v>
      </c>
      <c r="J401" s="1">
        <v>13604</v>
      </c>
      <c r="K401" s="1"/>
      <c r="L401" t="s">
        <v>865</v>
      </c>
      <c r="M401" t="s">
        <v>874</v>
      </c>
      <c r="N401" t="s">
        <v>466</v>
      </c>
      <c r="O401">
        <v>101052</v>
      </c>
      <c r="P401">
        <v>130</v>
      </c>
      <c r="Q401">
        <v>0</v>
      </c>
      <c r="R401">
        <v>0</v>
      </c>
      <c r="S401">
        <v>0</v>
      </c>
      <c r="T401">
        <v>42981</v>
      </c>
    </row>
    <row r="402" spans="1:20" x14ac:dyDescent="0.25">
      <c r="A402" t="s">
        <v>265</v>
      </c>
      <c r="B402" t="s">
        <v>874</v>
      </c>
      <c r="C402" t="s">
        <v>454</v>
      </c>
      <c r="D402" s="1">
        <v>83211</v>
      </c>
      <c r="E402" s="1">
        <v>51</v>
      </c>
      <c r="F402" s="1">
        <v>0</v>
      </c>
      <c r="G402" s="1">
        <v>0</v>
      </c>
      <c r="H402" s="1">
        <v>0</v>
      </c>
      <c r="I402" s="1">
        <v>127318</v>
      </c>
      <c r="J402" s="1">
        <v>7670</v>
      </c>
      <c r="K402" s="1"/>
      <c r="L402" t="s">
        <v>512</v>
      </c>
      <c r="M402" t="s">
        <v>874</v>
      </c>
      <c r="N402" t="s">
        <v>467</v>
      </c>
      <c r="O402">
        <v>43659</v>
      </c>
      <c r="P402">
        <v>88</v>
      </c>
      <c r="Q402">
        <v>0</v>
      </c>
      <c r="R402">
        <v>0</v>
      </c>
      <c r="S402">
        <v>0</v>
      </c>
      <c r="T402">
        <v>26976</v>
      </c>
    </row>
    <row r="403" spans="1:20" x14ac:dyDescent="0.25">
      <c r="A403" t="s">
        <v>248</v>
      </c>
      <c r="B403" t="s">
        <v>874</v>
      </c>
      <c r="C403" t="s">
        <v>455</v>
      </c>
      <c r="D403" s="1">
        <v>22881</v>
      </c>
      <c r="E403" s="1">
        <v>449</v>
      </c>
      <c r="F403" s="1">
        <v>0</v>
      </c>
      <c r="G403" s="1">
        <v>0</v>
      </c>
      <c r="H403" s="1">
        <v>0</v>
      </c>
      <c r="I403" s="1">
        <v>79733</v>
      </c>
      <c r="J403" s="1">
        <v>4906</v>
      </c>
      <c r="K403" s="1"/>
      <c r="L403" t="s">
        <v>868</v>
      </c>
      <c r="M403" t="s">
        <v>874</v>
      </c>
      <c r="N403" t="s">
        <v>468</v>
      </c>
      <c r="O403">
        <v>24024</v>
      </c>
      <c r="P403">
        <v>177</v>
      </c>
      <c r="Q403">
        <v>0</v>
      </c>
      <c r="R403">
        <v>0</v>
      </c>
      <c r="S403">
        <v>0</v>
      </c>
      <c r="T403">
        <v>20819</v>
      </c>
    </row>
    <row r="404" spans="1:20" x14ac:dyDescent="0.25">
      <c r="A404" t="s">
        <v>76</v>
      </c>
      <c r="B404" t="s">
        <v>874</v>
      </c>
      <c r="C404" t="s">
        <v>456</v>
      </c>
      <c r="D404" s="1">
        <v>113421</v>
      </c>
      <c r="E404" s="1">
        <v>265</v>
      </c>
      <c r="F404" s="1">
        <v>0</v>
      </c>
      <c r="G404" s="1">
        <v>0</v>
      </c>
      <c r="H404" s="1">
        <v>0</v>
      </c>
      <c r="I404" s="1">
        <v>314850</v>
      </c>
      <c r="J404" s="1">
        <v>15737</v>
      </c>
      <c r="K404" s="1"/>
      <c r="L404" t="s">
        <v>817</v>
      </c>
      <c r="M404" t="s">
        <v>874</v>
      </c>
      <c r="N404" t="s">
        <v>469</v>
      </c>
      <c r="O404">
        <v>281424</v>
      </c>
      <c r="P404">
        <v>336</v>
      </c>
      <c r="Q404">
        <v>0</v>
      </c>
      <c r="R404">
        <v>0</v>
      </c>
      <c r="S404">
        <v>0</v>
      </c>
      <c r="T404">
        <v>51117</v>
      </c>
    </row>
    <row r="405" spans="1:20" x14ac:dyDescent="0.25">
      <c r="A405" t="s">
        <v>76</v>
      </c>
      <c r="B405" t="s">
        <v>874</v>
      </c>
      <c r="C405" t="s">
        <v>457</v>
      </c>
      <c r="D405" s="1">
        <v>66764</v>
      </c>
      <c r="E405" s="1">
        <v>479</v>
      </c>
      <c r="F405" s="1">
        <v>0</v>
      </c>
      <c r="G405" s="1">
        <v>0</v>
      </c>
      <c r="H405" s="1">
        <v>0</v>
      </c>
      <c r="I405" s="1">
        <v>39968</v>
      </c>
      <c r="J405" s="1">
        <v>20074</v>
      </c>
      <c r="K405" s="1"/>
      <c r="L405" t="s">
        <v>791</v>
      </c>
      <c r="M405" t="s">
        <v>874</v>
      </c>
      <c r="N405" t="s">
        <v>470</v>
      </c>
      <c r="O405">
        <v>29935</v>
      </c>
      <c r="P405">
        <v>1190</v>
      </c>
      <c r="Q405">
        <v>0</v>
      </c>
      <c r="R405">
        <v>0</v>
      </c>
      <c r="S405">
        <v>0</v>
      </c>
      <c r="T405">
        <v>14463</v>
      </c>
    </row>
    <row r="406" spans="1:20" x14ac:dyDescent="0.25">
      <c r="A406" t="s">
        <v>146</v>
      </c>
      <c r="B406" t="s">
        <v>874</v>
      </c>
      <c r="C406" t="s">
        <v>458</v>
      </c>
      <c r="D406" s="1">
        <v>37675</v>
      </c>
      <c r="E406" s="1">
        <v>2831</v>
      </c>
      <c r="F406" s="1">
        <v>0</v>
      </c>
      <c r="G406" s="1">
        <v>0</v>
      </c>
      <c r="H406" s="1">
        <v>0</v>
      </c>
      <c r="I406" s="1">
        <v>65358</v>
      </c>
      <c r="J406" s="1">
        <v>10079</v>
      </c>
      <c r="K406" s="1"/>
      <c r="L406" t="s">
        <v>788</v>
      </c>
      <c r="M406" t="s">
        <v>874</v>
      </c>
      <c r="N406" t="s">
        <v>471</v>
      </c>
      <c r="O406">
        <v>63582</v>
      </c>
      <c r="P406">
        <v>317</v>
      </c>
      <c r="Q406">
        <v>0</v>
      </c>
      <c r="R406">
        <v>0</v>
      </c>
      <c r="S406">
        <v>0</v>
      </c>
      <c r="T406">
        <v>20296</v>
      </c>
    </row>
    <row r="407" spans="1:20" x14ac:dyDescent="0.25">
      <c r="A407" t="s">
        <v>83</v>
      </c>
      <c r="B407" t="s">
        <v>874</v>
      </c>
      <c r="C407" t="s">
        <v>459</v>
      </c>
      <c r="D407" s="1">
        <v>12130</v>
      </c>
      <c r="E407" s="1">
        <v>65</v>
      </c>
      <c r="F407" s="1">
        <v>0</v>
      </c>
      <c r="G407" s="1">
        <v>0</v>
      </c>
      <c r="H407" s="1">
        <v>0</v>
      </c>
      <c r="I407" s="1">
        <v>13187</v>
      </c>
      <c r="J407" s="1">
        <v>2974</v>
      </c>
      <c r="K407" s="1"/>
      <c r="L407" t="s">
        <v>795</v>
      </c>
      <c r="M407" t="s">
        <v>874</v>
      </c>
      <c r="N407" t="s">
        <v>472</v>
      </c>
      <c r="O407">
        <v>59623</v>
      </c>
      <c r="P407">
        <v>1726</v>
      </c>
      <c r="Q407">
        <v>0</v>
      </c>
      <c r="R407">
        <v>0</v>
      </c>
      <c r="S407">
        <v>0</v>
      </c>
      <c r="T407">
        <v>33347</v>
      </c>
    </row>
    <row r="408" spans="1:20" x14ac:dyDescent="0.25">
      <c r="A408" t="s">
        <v>248</v>
      </c>
      <c r="B408" t="s">
        <v>874</v>
      </c>
      <c r="C408" t="s">
        <v>460</v>
      </c>
      <c r="D408" s="1">
        <v>113468</v>
      </c>
      <c r="E408" s="1">
        <v>1371</v>
      </c>
      <c r="F408" s="1">
        <v>0</v>
      </c>
      <c r="G408" s="1">
        <v>0</v>
      </c>
      <c r="H408" s="1">
        <v>0</v>
      </c>
      <c r="I408" s="1">
        <v>365408</v>
      </c>
      <c r="J408" s="1">
        <v>46740</v>
      </c>
      <c r="K408" s="1"/>
      <c r="L408" t="s">
        <v>788</v>
      </c>
      <c r="M408" t="s">
        <v>874</v>
      </c>
      <c r="N408" t="s">
        <v>473</v>
      </c>
      <c r="O408">
        <v>96957</v>
      </c>
      <c r="P408">
        <v>2231</v>
      </c>
      <c r="Q408">
        <v>0</v>
      </c>
      <c r="R408">
        <v>0</v>
      </c>
      <c r="S408">
        <v>0</v>
      </c>
      <c r="T408">
        <v>39551</v>
      </c>
    </row>
    <row r="409" spans="1:20" x14ac:dyDescent="0.25">
      <c r="A409" t="s">
        <v>248</v>
      </c>
      <c r="B409" t="s">
        <v>874</v>
      </c>
      <c r="C409" t="s">
        <v>461</v>
      </c>
      <c r="D409" s="1">
        <v>110641</v>
      </c>
      <c r="E409" s="1">
        <v>243</v>
      </c>
      <c r="F409" s="1">
        <v>0</v>
      </c>
      <c r="G409" s="1">
        <v>0</v>
      </c>
      <c r="H409" s="1">
        <v>0</v>
      </c>
      <c r="I409" s="1">
        <v>151534</v>
      </c>
      <c r="J409" s="1">
        <v>18875</v>
      </c>
      <c r="K409" s="1"/>
      <c r="L409" t="s">
        <v>817</v>
      </c>
      <c r="M409" t="s">
        <v>874</v>
      </c>
      <c r="N409" t="s">
        <v>474</v>
      </c>
      <c r="O409">
        <v>81168</v>
      </c>
      <c r="P409">
        <v>365</v>
      </c>
      <c r="Q409">
        <v>0</v>
      </c>
      <c r="R409">
        <v>0</v>
      </c>
      <c r="S409">
        <v>0</v>
      </c>
      <c r="T409">
        <v>404395</v>
      </c>
    </row>
    <row r="410" spans="1:20" x14ac:dyDescent="0.25">
      <c r="A410" t="s">
        <v>226</v>
      </c>
      <c r="B410" t="s">
        <v>874</v>
      </c>
      <c r="C410" t="s">
        <v>462</v>
      </c>
      <c r="D410" s="1">
        <v>23665</v>
      </c>
      <c r="E410" s="1">
        <v>48</v>
      </c>
      <c r="F410" s="1">
        <v>0</v>
      </c>
      <c r="G410" s="1">
        <v>0</v>
      </c>
      <c r="H410" s="1">
        <v>0</v>
      </c>
      <c r="I410" s="1">
        <v>2229</v>
      </c>
      <c r="J410" s="1">
        <v>2204</v>
      </c>
      <c r="K410" s="1"/>
      <c r="L410" t="s">
        <v>512</v>
      </c>
      <c r="M410" t="s">
        <v>874</v>
      </c>
      <c r="N410" t="s">
        <v>475</v>
      </c>
      <c r="O410">
        <v>19358</v>
      </c>
      <c r="P410">
        <v>76</v>
      </c>
      <c r="Q410">
        <v>0</v>
      </c>
      <c r="R410">
        <v>0</v>
      </c>
      <c r="S410">
        <v>0</v>
      </c>
      <c r="T410">
        <v>26567</v>
      </c>
    </row>
    <row r="411" spans="1:20" x14ac:dyDescent="0.25">
      <c r="A411" t="s">
        <v>826</v>
      </c>
      <c r="B411" t="s">
        <v>874</v>
      </c>
      <c r="C411" t="s">
        <v>463</v>
      </c>
      <c r="D411" s="1">
        <v>21656</v>
      </c>
      <c r="E411" s="1">
        <v>716</v>
      </c>
      <c r="F411" s="1">
        <v>0</v>
      </c>
      <c r="G411" s="1">
        <v>0</v>
      </c>
      <c r="H411" s="1">
        <v>0</v>
      </c>
      <c r="I411" s="1">
        <v>45130</v>
      </c>
      <c r="J411" s="1">
        <v>9567</v>
      </c>
      <c r="K411" s="1"/>
      <c r="L411" t="s">
        <v>146</v>
      </c>
      <c r="M411" t="s">
        <v>874</v>
      </c>
      <c r="N411" t="s">
        <v>476</v>
      </c>
      <c r="O411">
        <v>83464</v>
      </c>
      <c r="P411">
        <v>108</v>
      </c>
      <c r="Q411">
        <v>0</v>
      </c>
      <c r="R411">
        <v>0</v>
      </c>
      <c r="S411">
        <v>0</v>
      </c>
      <c r="T411">
        <v>32487</v>
      </c>
    </row>
    <row r="412" spans="1:20" x14ac:dyDescent="0.25">
      <c r="A412" t="s">
        <v>248</v>
      </c>
      <c r="B412" t="s">
        <v>874</v>
      </c>
      <c r="C412" t="s">
        <v>464</v>
      </c>
      <c r="D412" s="1">
        <v>38424</v>
      </c>
      <c r="E412" s="1">
        <v>111</v>
      </c>
      <c r="F412" s="1">
        <v>0</v>
      </c>
      <c r="G412" s="1">
        <v>0</v>
      </c>
      <c r="H412" s="1">
        <v>0</v>
      </c>
      <c r="I412" s="1">
        <v>57858</v>
      </c>
      <c r="J412" s="1">
        <v>8421</v>
      </c>
      <c r="K412" s="1"/>
      <c r="L412" t="s">
        <v>76</v>
      </c>
      <c r="M412" t="s">
        <v>874</v>
      </c>
      <c r="N412" t="s">
        <v>477</v>
      </c>
      <c r="O412">
        <v>107456</v>
      </c>
      <c r="P412">
        <v>1119</v>
      </c>
      <c r="Q412">
        <v>0</v>
      </c>
      <c r="R412">
        <v>0</v>
      </c>
      <c r="S412">
        <v>0</v>
      </c>
      <c r="T412">
        <v>87868</v>
      </c>
    </row>
    <row r="413" spans="1:20" x14ac:dyDescent="0.25">
      <c r="A413" t="s">
        <v>101</v>
      </c>
      <c r="B413" t="s">
        <v>874</v>
      </c>
      <c r="C413" t="s">
        <v>465</v>
      </c>
      <c r="D413" s="1">
        <v>36581</v>
      </c>
      <c r="E413" s="1">
        <v>7</v>
      </c>
      <c r="F413" s="1">
        <v>0</v>
      </c>
      <c r="G413" s="1">
        <v>0</v>
      </c>
      <c r="H413" s="1">
        <v>0</v>
      </c>
      <c r="I413" s="1">
        <v>84545</v>
      </c>
      <c r="J413" s="1">
        <v>11200</v>
      </c>
      <c r="K413" s="1"/>
      <c r="L413" t="s">
        <v>76</v>
      </c>
      <c r="M413" t="s">
        <v>874</v>
      </c>
      <c r="N413" t="s">
        <v>478</v>
      </c>
      <c r="O413">
        <v>103478</v>
      </c>
      <c r="P413">
        <v>711</v>
      </c>
      <c r="Q413">
        <v>0</v>
      </c>
      <c r="R413">
        <v>0</v>
      </c>
      <c r="S413">
        <v>0</v>
      </c>
      <c r="T413">
        <v>39161</v>
      </c>
    </row>
    <row r="414" spans="1:20" x14ac:dyDescent="0.25">
      <c r="A414" t="s">
        <v>865</v>
      </c>
      <c r="B414" t="s">
        <v>874</v>
      </c>
      <c r="C414" t="s">
        <v>466</v>
      </c>
      <c r="D414" s="1">
        <v>101052</v>
      </c>
      <c r="E414" s="1">
        <v>130</v>
      </c>
      <c r="F414" s="1">
        <v>0</v>
      </c>
      <c r="G414" s="1">
        <v>0</v>
      </c>
      <c r="H414" s="1">
        <v>0</v>
      </c>
      <c r="I414" s="1">
        <v>42981</v>
      </c>
      <c r="J414" s="1">
        <v>14240</v>
      </c>
      <c r="K414" s="1"/>
      <c r="L414" t="s">
        <v>823</v>
      </c>
      <c r="M414" t="s">
        <v>874</v>
      </c>
      <c r="N414" t="s">
        <v>479</v>
      </c>
      <c r="O414">
        <v>82151</v>
      </c>
      <c r="P414">
        <v>554</v>
      </c>
      <c r="Q414">
        <v>0</v>
      </c>
      <c r="R414">
        <v>0</v>
      </c>
      <c r="S414">
        <v>0</v>
      </c>
      <c r="T414">
        <v>29888</v>
      </c>
    </row>
    <row r="415" spans="1:20" x14ac:dyDescent="0.25">
      <c r="A415" t="s">
        <v>512</v>
      </c>
      <c r="B415" t="s">
        <v>874</v>
      </c>
      <c r="C415" t="s">
        <v>467</v>
      </c>
      <c r="D415" s="1">
        <v>43659</v>
      </c>
      <c r="E415" s="1">
        <v>88</v>
      </c>
      <c r="F415" s="1">
        <v>0</v>
      </c>
      <c r="G415" s="1">
        <v>0</v>
      </c>
      <c r="H415" s="1">
        <v>0</v>
      </c>
      <c r="I415" s="1">
        <v>26976</v>
      </c>
      <c r="J415" s="1">
        <v>13548</v>
      </c>
      <c r="K415" s="1"/>
      <c r="L415" t="s">
        <v>83</v>
      </c>
      <c r="M415" t="s">
        <v>874</v>
      </c>
      <c r="N415" t="s">
        <v>480</v>
      </c>
      <c r="O415">
        <v>35106</v>
      </c>
      <c r="P415">
        <v>93</v>
      </c>
      <c r="Q415">
        <v>0</v>
      </c>
      <c r="R415">
        <v>0</v>
      </c>
      <c r="S415">
        <v>0</v>
      </c>
      <c r="T415">
        <v>31778</v>
      </c>
    </row>
    <row r="416" spans="1:20" x14ac:dyDescent="0.25">
      <c r="A416" s="27" t="s">
        <v>10</v>
      </c>
      <c r="B416" s="27" t="s">
        <v>874</v>
      </c>
      <c r="C416" s="27" t="s">
        <v>781</v>
      </c>
      <c r="D416" s="32"/>
      <c r="E416" s="32"/>
      <c r="F416" s="32"/>
      <c r="G416" s="32"/>
      <c r="H416" s="32"/>
      <c r="I416" s="32"/>
      <c r="J416" s="32"/>
      <c r="K416" s="1"/>
      <c r="L416" t="s">
        <v>512</v>
      </c>
      <c r="M416" t="s">
        <v>874</v>
      </c>
      <c r="N416" t="s">
        <v>481</v>
      </c>
      <c r="O416">
        <v>38695</v>
      </c>
      <c r="P416">
        <v>255</v>
      </c>
      <c r="Q416">
        <v>0</v>
      </c>
      <c r="R416">
        <v>0</v>
      </c>
      <c r="S416">
        <v>0</v>
      </c>
      <c r="T416">
        <v>5287</v>
      </c>
    </row>
    <row r="417" spans="1:20" x14ac:dyDescent="0.25">
      <c r="A417" t="s">
        <v>868</v>
      </c>
      <c r="B417" t="s">
        <v>874</v>
      </c>
      <c r="C417" t="s">
        <v>468</v>
      </c>
      <c r="D417" s="1">
        <v>24024</v>
      </c>
      <c r="E417" s="1">
        <v>177</v>
      </c>
      <c r="F417" s="1">
        <v>0</v>
      </c>
      <c r="G417" s="1">
        <v>0</v>
      </c>
      <c r="H417" s="1">
        <v>0</v>
      </c>
      <c r="I417" s="1">
        <v>20819</v>
      </c>
      <c r="J417" s="1">
        <v>9918</v>
      </c>
      <c r="K417" s="1"/>
      <c r="L417" t="s">
        <v>824</v>
      </c>
      <c r="M417" t="s">
        <v>874</v>
      </c>
      <c r="N417" t="s">
        <v>482</v>
      </c>
      <c r="O417">
        <v>16622</v>
      </c>
      <c r="P417">
        <v>399</v>
      </c>
      <c r="Q417">
        <v>0</v>
      </c>
      <c r="R417">
        <v>0</v>
      </c>
      <c r="S417">
        <v>0</v>
      </c>
      <c r="T417">
        <v>9889</v>
      </c>
    </row>
    <row r="418" spans="1:20" x14ac:dyDescent="0.25">
      <c r="A418" t="s">
        <v>817</v>
      </c>
      <c r="B418" t="s">
        <v>874</v>
      </c>
      <c r="C418" t="s">
        <v>469</v>
      </c>
      <c r="D418" s="1">
        <v>281424</v>
      </c>
      <c r="E418" s="1">
        <v>336</v>
      </c>
      <c r="F418" s="1">
        <v>0</v>
      </c>
      <c r="G418" s="1">
        <v>0</v>
      </c>
      <c r="H418" s="1">
        <v>0</v>
      </c>
      <c r="I418" s="1">
        <v>51117</v>
      </c>
      <c r="J418" s="1">
        <v>2863</v>
      </c>
      <c r="K418" s="1"/>
      <c r="L418" t="s">
        <v>72</v>
      </c>
      <c r="M418" t="s">
        <v>874</v>
      </c>
      <c r="N418" t="s">
        <v>483</v>
      </c>
      <c r="O418">
        <v>55855</v>
      </c>
      <c r="P418">
        <v>101</v>
      </c>
      <c r="Q418">
        <v>0</v>
      </c>
      <c r="R418">
        <v>0</v>
      </c>
      <c r="S418">
        <v>0</v>
      </c>
      <c r="T418">
        <v>162884</v>
      </c>
    </row>
    <row r="419" spans="1:20" x14ac:dyDescent="0.25">
      <c r="A419" t="s">
        <v>791</v>
      </c>
      <c r="B419" t="s">
        <v>874</v>
      </c>
      <c r="C419" t="s">
        <v>470</v>
      </c>
      <c r="D419" s="1">
        <v>29935</v>
      </c>
      <c r="E419" s="1">
        <v>1190</v>
      </c>
      <c r="F419" s="1">
        <v>0</v>
      </c>
      <c r="G419" s="1">
        <v>0</v>
      </c>
      <c r="H419" s="1">
        <v>0</v>
      </c>
      <c r="I419" s="1">
        <v>14463</v>
      </c>
      <c r="J419" s="1">
        <v>19614</v>
      </c>
      <c r="K419" s="1"/>
      <c r="L419" t="s">
        <v>801</v>
      </c>
      <c r="M419" t="s">
        <v>874</v>
      </c>
      <c r="N419" t="s">
        <v>484</v>
      </c>
      <c r="O419">
        <v>63606</v>
      </c>
      <c r="P419">
        <v>25</v>
      </c>
      <c r="Q419">
        <v>0</v>
      </c>
      <c r="R419">
        <v>0</v>
      </c>
      <c r="S419">
        <v>0</v>
      </c>
      <c r="T419">
        <v>181437</v>
      </c>
    </row>
    <row r="420" spans="1:20" x14ac:dyDescent="0.25">
      <c r="A420" t="s">
        <v>788</v>
      </c>
      <c r="B420" t="s">
        <v>874</v>
      </c>
      <c r="C420" t="s">
        <v>471</v>
      </c>
      <c r="D420" s="1">
        <v>63582</v>
      </c>
      <c r="E420" s="1">
        <v>317</v>
      </c>
      <c r="F420" s="1">
        <v>0</v>
      </c>
      <c r="G420" s="1">
        <v>0</v>
      </c>
      <c r="H420" s="1">
        <v>0</v>
      </c>
      <c r="I420" s="1">
        <v>20296</v>
      </c>
      <c r="J420" s="1">
        <v>13105</v>
      </c>
      <c r="K420" s="1"/>
      <c r="L420" t="s">
        <v>818</v>
      </c>
      <c r="M420" t="s">
        <v>874</v>
      </c>
      <c r="N420" t="s">
        <v>485</v>
      </c>
      <c r="O420">
        <v>46174</v>
      </c>
      <c r="P420">
        <v>28</v>
      </c>
      <c r="Q420">
        <v>0</v>
      </c>
      <c r="R420">
        <v>0</v>
      </c>
      <c r="S420">
        <v>0</v>
      </c>
      <c r="T420">
        <v>29188</v>
      </c>
    </row>
    <row r="421" spans="1:20" x14ac:dyDescent="0.25">
      <c r="A421" t="s">
        <v>795</v>
      </c>
      <c r="B421" t="s">
        <v>874</v>
      </c>
      <c r="C421" t="s">
        <v>472</v>
      </c>
      <c r="D421" s="1">
        <v>59623</v>
      </c>
      <c r="E421" s="1">
        <v>1726</v>
      </c>
      <c r="F421" s="1">
        <v>0</v>
      </c>
      <c r="G421" s="1">
        <v>0</v>
      </c>
      <c r="H421" s="1">
        <v>0</v>
      </c>
      <c r="I421" s="1">
        <v>33347</v>
      </c>
      <c r="J421" s="1">
        <v>17582</v>
      </c>
      <c r="K421" s="1"/>
      <c r="L421" t="s">
        <v>797</v>
      </c>
      <c r="M421" t="s">
        <v>874</v>
      </c>
      <c r="N421" t="s">
        <v>486</v>
      </c>
      <c r="O421">
        <v>81791</v>
      </c>
      <c r="P421">
        <v>80</v>
      </c>
      <c r="Q421">
        <v>0</v>
      </c>
      <c r="R421">
        <v>0</v>
      </c>
      <c r="S421">
        <v>0</v>
      </c>
      <c r="T421">
        <v>20416</v>
      </c>
    </row>
    <row r="422" spans="1:20" x14ac:dyDescent="0.25">
      <c r="A422" t="s">
        <v>788</v>
      </c>
      <c r="B422" t="s">
        <v>874</v>
      </c>
      <c r="C422" t="s">
        <v>473</v>
      </c>
      <c r="D422" s="1">
        <v>96957</v>
      </c>
      <c r="E422" s="1">
        <v>2231</v>
      </c>
      <c r="F422" s="1">
        <v>0</v>
      </c>
      <c r="G422" s="1">
        <v>0</v>
      </c>
      <c r="H422" s="1">
        <v>0</v>
      </c>
      <c r="I422" s="1">
        <v>39551</v>
      </c>
      <c r="J422" s="1">
        <v>29021</v>
      </c>
      <c r="K422" s="1"/>
      <c r="L422" t="s">
        <v>804</v>
      </c>
      <c r="M422" t="s">
        <v>874</v>
      </c>
      <c r="N422" t="s">
        <v>487</v>
      </c>
      <c r="O422">
        <v>66741</v>
      </c>
      <c r="P422">
        <v>23</v>
      </c>
      <c r="Q422">
        <v>0</v>
      </c>
      <c r="R422">
        <v>0</v>
      </c>
      <c r="S422">
        <v>0</v>
      </c>
      <c r="T422">
        <v>36161</v>
      </c>
    </row>
    <row r="423" spans="1:20" x14ac:dyDescent="0.25">
      <c r="A423" t="s">
        <v>817</v>
      </c>
      <c r="B423" t="s">
        <v>874</v>
      </c>
      <c r="C423" t="s">
        <v>474</v>
      </c>
      <c r="D423" s="1">
        <v>81168</v>
      </c>
      <c r="E423" s="1">
        <v>365</v>
      </c>
      <c r="F423" s="1">
        <v>0</v>
      </c>
      <c r="G423" s="1">
        <v>0</v>
      </c>
      <c r="H423" s="1">
        <v>0</v>
      </c>
      <c r="I423" s="1">
        <v>404395</v>
      </c>
      <c r="J423" s="1">
        <v>45534</v>
      </c>
      <c r="K423" s="1"/>
      <c r="L423" t="s">
        <v>226</v>
      </c>
      <c r="M423" t="s">
        <v>874</v>
      </c>
      <c r="N423" t="s">
        <v>488</v>
      </c>
      <c r="O423">
        <v>67048</v>
      </c>
      <c r="P423">
        <v>296</v>
      </c>
      <c r="Q423">
        <v>0</v>
      </c>
      <c r="R423">
        <v>0</v>
      </c>
      <c r="S423">
        <v>0</v>
      </c>
      <c r="T423">
        <v>33036</v>
      </c>
    </row>
    <row r="424" spans="1:20" x14ac:dyDescent="0.25">
      <c r="A424" t="s">
        <v>512</v>
      </c>
      <c r="B424" t="s">
        <v>874</v>
      </c>
      <c r="C424" t="s">
        <v>475</v>
      </c>
      <c r="D424" s="1">
        <v>19358</v>
      </c>
      <c r="E424" s="1">
        <v>76</v>
      </c>
      <c r="F424" s="1">
        <v>0</v>
      </c>
      <c r="G424" s="1">
        <v>0</v>
      </c>
      <c r="H424" s="1">
        <v>0</v>
      </c>
      <c r="I424" s="1">
        <v>26567</v>
      </c>
      <c r="J424" s="1">
        <v>3721</v>
      </c>
      <c r="K424" s="1"/>
      <c r="L424" t="s">
        <v>265</v>
      </c>
      <c r="M424" t="s">
        <v>874</v>
      </c>
      <c r="N424" t="s">
        <v>489</v>
      </c>
      <c r="O424">
        <v>41306</v>
      </c>
      <c r="P424">
        <v>88</v>
      </c>
      <c r="Q424">
        <v>0</v>
      </c>
      <c r="R424">
        <v>0</v>
      </c>
      <c r="S424">
        <v>0</v>
      </c>
      <c r="T424">
        <v>50346</v>
      </c>
    </row>
    <row r="425" spans="1:20" x14ac:dyDescent="0.25">
      <c r="A425" t="s">
        <v>146</v>
      </c>
      <c r="B425" t="s">
        <v>874</v>
      </c>
      <c r="C425" t="s">
        <v>476</v>
      </c>
      <c r="D425" s="1">
        <v>83464</v>
      </c>
      <c r="E425" s="1">
        <v>108</v>
      </c>
      <c r="F425" s="1">
        <v>0</v>
      </c>
      <c r="G425" s="1">
        <v>0</v>
      </c>
      <c r="H425" s="1">
        <v>0</v>
      </c>
      <c r="I425" s="1">
        <v>32487</v>
      </c>
      <c r="J425" s="1">
        <v>19326</v>
      </c>
      <c r="K425" s="1"/>
      <c r="L425" t="s">
        <v>801</v>
      </c>
      <c r="M425" t="s">
        <v>874</v>
      </c>
      <c r="N425" t="s">
        <v>491</v>
      </c>
      <c r="O425">
        <v>56984</v>
      </c>
      <c r="P425">
        <v>1485</v>
      </c>
      <c r="Q425">
        <v>0</v>
      </c>
      <c r="R425">
        <v>0</v>
      </c>
      <c r="S425">
        <v>0</v>
      </c>
      <c r="T425">
        <v>96420</v>
      </c>
    </row>
    <row r="426" spans="1:20" x14ac:dyDescent="0.25">
      <c r="A426" t="s">
        <v>76</v>
      </c>
      <c r="B426" t="s">
        <v>874</v>
      </c>
      <c r="C426" t="s">
        <v>477</v>
      </c>
      <c r="D426" s="1">
        <v>107456</v>
      </c>
      <c r="E426" s="1">
        <v>1119</v>
      </c>
      <c r="F426" s="1">
        <v>0</v>
      </c>
      <c r="G426" s="1">
        <v>0</v>
      </c>
      <c r="H426" s="1">
        <v>0</v>
      </c>
      <c r="I426" s="1">
        <v>87868</v>
      </c>
      <c r="J426" s="1">
        <v>35421</v>
      </c>
      <c r="K426" s="1"/>
      <c r="L426" t="s">
        <v>818</v>
      </c>
      <c r="M426" t="s">
        <v>874</v>
      </c>
      <c r="N426" t="s">
        <v>492</v>
      </c>
      <c r="O426">
        <v>28384</v>
      </c>
      <c r="P426">
        <v>126</v>
      </c>
      <c r="Q426">
        <v>0</v>
      </c>
      <c r="R426">
        <v>0</v>
      </c>
      <c r="S426">
        <v>0</v>
      </c>
      <c r="T426">
        <v>37911</v>
      </c>
    </row>
    <row r="427" spans="1:20" x14ac:dyDescent="0.25">
      <c r="A427" t="s">
        <v>76</v>
      </c>
      <c r="B427" t="s">
        <v>874</v>
      </c>
      <c r="C427" t="s">
        <v>478</v>
      </c>
      <c r="D427" s="1">
        <v>103478</v>
      </c>
      <c r="E427" s="1">
        <v>711</v>
      </c>
      <c r="F427" s="1">
        <v>0</v>
      </c>
      <c r="G427" s="1">
        <v>0</v>
      </c>
      <c r="H427" s="1">
        <v>0</v>
      </c>
      <c r="I427" s="1">
        <v>39161</v>
      </c>
      <c r="J427" s="1">
        <v>28020</v>
      </c>
      <c r="K427" s="1"/>
      <c r="L427" t="s">
        <v>791</v>
      </c>
      <c r="M427" t="s">
        <v>874</v>
      </c>
      <c r="N427" t="s">
        <v>493</v>
      </c>
      <c r="O427">
        <v>30262</v>
      </c>
      <c r="P427">
        <v>538</v>
      </c>
      <c r="Q427">
        <v>0</v>
      </c>
      <c r="R427">
        <v>0</v>
      </c>
      <c r="S427">
        <v>0</v>
      </c>
      <c r="T427">
        <v>50769</v>
      </c>
    </row>
    <row r="428" spans="1:20" x14ac:dyDescent="0.25">
      <c r="A428" t="s">
        <v>823</v>
      </c>
      <c r="B428" t="s">
        <v>874</v>
      </c>
      <c r="C428" t="s">
        <v>479</v>
      </c>
      <c r="D428" s="1">
        <v>82151</v>
      </c>
      <c r="E428" s="1">
        <v>554</v>
      </c>
      <c r="F428" s="1">
        <v>0</v>
      </c>
      <c r="G428" s="1">
        <v>0</v>
      </c>
      <c r="H428" s="1">
        <v>0</v>
      </c>
      <c r="I428" s="1">
        <v>29888</v>
      </c>
      <c r="J428" s="1">
        <v>16935</v>
      </c>
      <c r="K428" s="1"/>
      <c r="L428" t="s">
        <v>138</v>
      </c>
      <c r="M428" t="s">
        <v>874</v>
      </c>
      <c r="N428" t="s">
        <v>494</v>
      </c>
      <c r="O428">
        <v>24739</v>
      </c>
      <c r="P428">
        <v>55</v>
      </c>
      <c r="Q428">
        <v>0</v>
      </c>
      <c r="R428">
        <v>0</v>
      </c>
      <c r="S428">
        <v>0</v>
      </c>
      <c r="T428">
        <v>57650</v>
      </c>
    </row>
    <row r="429" spans="1:20" x14ac:dyDescent="0.25">
      <c r="A429" t="s">
        <v>83</v>
      </c>
      <c r="B429" t="s">
        <v>874</v>
      </c>
      <c r="C429" t="s">
        <v>480</v>
      </c>
      <c r="D429" s="1">
        <v>35106</v>
      </c>
      <c r="E429" s="1">
        <v>93</v>
      </c>
      <c r="F429" s="1">
        <v>0</v>
      </c>
      <c r="G429" s="1">
        <v>0</v>
      </c>
      <c r="H429" s="1">
        <v>0</v>
      </c>
      <c r="I429" s="1">
        <v>31778</v>
      </c>
      <c r="J429" s="1">
        <v>13776</v>
      </c>
      <c r="K429" s="1"/>
      <c r="L429" t="s">
        <v>495</v>
      </c>
      <c r="M429" t="s">
        <v>874</v>
      </c>
      <c r="N429" t="s">
        <v>496</v>
      </c>
      <c r="O429">
        <v>263804</v>
      </c>
      <c r="P429">
        <v>792</v>
      </c>
      <c r="Q429">
        <v>0</v>
      </c>
      <c r="R429">
        <v>0</v>
      </c>
      <c r="S429">
        <v>0</v>
      </c>
      <c r="T429">
        <v>71249</v>
      </c>
    </row>
    <row r="430" spans="1:20" x14ac:dyDescent="0.25">
      <c r="A430" t="s">
        <v>512</v>
      </c>
      <c r="B430" t="s">
        <v>874</v>
      </c>
      <c r="C430" t="s">
        <v>481</v>
      </c>
      <c r="D430" s="1">
        <v>38695</v>
      </c>
      <c r="E430" s="1">
        <v>255</v>
      </c>
      <c r="F430" s="1">
        <v>0</v>
      </c>
      <c r="G430" s="1">
        <v>0</v>
      </c>
      <c r="H430" s="1">
        <v>0</v>
      </c>
      <c r="I430" s="1">
        <v>5287</v>
      </c>
      <c r="J430" s="1">
        <v>7464</v>
      </c>
      <c r="K430" s="1"/>
      <c r="L430" t="s">
        <v>791</v>
      </c>
      <c r="M430" t="s">
        <v>874</v>
      </c>
      <c r="N430" t="s">
        <v>497</v>
      </c>
      <c r="O430">
        <v>20424</v>
      </c>
      <c r="P430">
        <v>103</v>
      </c>
      <c r="Q430">
        <v>0</v>
      </c>
      <c r="R430">
        <v>0</v>
      </c>
      <c r="S430">
        <v>0</v>
      </c>
      <c r="T430">
        <v>18518</v>
      </c>
    </row>
    <row r="431" spans="1:20" x14ac:dyDescent="0.25">
      <c r="A431" t="s">
        <v>824</v>
      </c>
      <c r="B431" t="s">
        <v>874</v>
      </c>
      <c r="C431" t="s">
        <v>482</v>
      </c>
      <c r="D431" s="1">
        <v>16622</v>
      </c>
      <c r="E431" s="1">
        <v>399</v>
      </c>
      <c r="F431" s="1">
        <v>0</v>
      </c>
      <c r="G431" s="1">
        <v>0</v>
      </c>
      <c r="H431" s="1">
        <v>0</v>
      </c>
      <c r="I431" s="1">
        <v>9889</v>
      </c>
      <c r="J431" s="1">
        <v>4733</v>
      </c>
      <c r="K431" s="1"/>
      <c r="L431" t="s">
        <v>76</v>
      </c>
      <c r="M431" t="s">
        <v>878</v>
      </c>
      <c r="N431" t="s">
        <v>501</v>
      </c>
      <c r="O431">
        <v>14678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25">
      <c r="A432" t="s">
        <v>72</v>
      </c>
      <c r="B432" t="s">
        <v>874</v>
      </c>
      <c r="C432" t="s">
        <v>483</v>
      </c>
      <c r="D432" s="1">
        <v>55855</v>
      </c>
      <c r="E432" s="1">
        <v>101</v>
      </c>
      <c r="F432" s="1">
        <v>0</v>
      </c>
      <c r="G432" s="1">
        <v>0</v>
      </c>
      <c r="H432" s="1">
        <v>0</v>
      </c>
      <c r="I432" s="1">
        <v>162884</v>
      </c>
      <c r="J432" s="1">
        <v>6960</v>
      </c>
      <c r="K432" s="1"/>
      <c r="L432" t="s">
        <v>817</v>
      </c>
      <c r="M432" t="s">
        <v>878</v>
      </c>
      <c r="N432" t="s">
        <v>502</v>
      </c>
    </row>
    <row r="433" spans="1:20" x14ac:dyDescent="0.25">
      <c r="A433" t="s">
        <v>801</v>
      </c>
      <c r="B433" t="s">
        <v>874</v>
      </c>
      <c r="C433" t="s">
        <v>484</v>
      </c>
      <c r="D433" s="1">
        <v>63606</v>
      </c>
      <c r="E433" s="1">
        <v>25</v>
      </c>
      <c r="F433" s="1">
        <v>0</v>
      </c>
      <c r="G433" s="1">
        <v>0</v>
      </c>
      <c r="H433" s="1">
        <v>0</v>
      </c>
      <c r="I433" s="1">
        <v>181437</v>
      </c>
      <c r="J433" s="1">
        <v>26708</v>
      </c>
      <c r="K433" s="1"/>
      <c r="L433" t="s">
        <v>831</v>
      </c>
      <c r="M433" t="s">
        <v>878</v>
      </c>
      <c r="N433" t="s">
        <v>503</v>
      </c>
      <c r="O433">
        <v>1539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25">
      <c r="A434" t="s">
        <v>818</v>
      </c>
      <c r="B434" t="s">
        <v>874</v>
      </c>
      <c r="C434" t="s">
        <v>485</v>
      </c>
      <c r="D434" s="1">
        <v>46174</v>
      </c>
      <c r="E434" s="1">
        <v>28</v>
      </c>
      <c r="F434" s="1">
        <v>0</v>
      </c>
      <c r="G434" s="1">
        <v>0</v>
      </c>
      <c r="H434" s="1">
        <v>0</v>
      </c>
      <c r="I434" s="1">
        <v>29188</v>
      </c>
      <c r="J434" s="1">
        <v>10807</v>
      </c>
      <c r="K434" s="1"/>
      <c r="L434" t="s">
        <v>76</v>
      </c>
      <c r="M434" t="s">
        <v>878</v>
      </c>
      <c r="N434" t="s">
        <v>504</v>
      </c>
      <c r="O434">
        <v>29443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25">
      <c r="A435" t="s">
        <v>797</v>
      </c>
      <c r="B435" t="s">
        <v>874</v>
      </c>
      <c r="C435" t="s">
        <v>486</v>
      </c>
      <c r="D435" s="1">
        <v>81791</v>
      </c>
      <c r="E435" s="1">
        <v>80</v>
      </c>
      <c r="F435" s="1">
        <v>0</v>
      </c>
      <c r="G435" s="1">
        <v>0</v>
      </c>
      <c r="H435" s="1">
        <v>0</v>
      </c>
      <c r="I435" s="1">
        <v>20416</v>
      </c>
      <c r="J435" s="1">
        <v>9815</v>
      </c>
      <c r="K435" s="1"/>
      <c r="L435" t="s">
        <v>817</v>
      </c>
      <c r="M435" t="s">
        <v>878</v>
      </c>
      <c r="N435" t="s">
        <v>505</v>
      </c>
      <c r="O435">
        <v>9313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25">
      <c r="A436" t="s">
        <v>804</v>
      </c>
      <c r="B436" t="s">
        <v>874</v>
      </c>
      <c r="C436" t="s">
        <v>487</v>
      </c>
      <c r="D436" s="1">
        <v>66741</v>
      </c>
      <c r="E436" s="1">
        <v>23</v>
      </c>
      <c r="F436" s="1">
        <v>0</v>
      </c>
      <c r="G436" s="1">
        <v>0</v>
      </c>
      <c r="H436" s="1">
        <v>0</v>
      </c>
      <c r="I436" s="1">
        <v>36161</v>
      </c>
      <c r="J436" s="1">
        <v>19708</v>
      </c>
      <c r="K436" s="1"/>
      <c r="L436" t="s">
        <v>824</v>
      </c>
      <c r="M436" t="s">
        <v>878</v>
      </c>
      <c r="N436" t="s">
        <v>506</v>
      </c>
      <c r="O436">
        <v>6092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25">
      <c r="A437" t="s">
        <v>226</v>
      </c>
      <c r="B437" t="s">
        <v>874</v>
      </c>
      <c r="C437" t="s">
        <v>488</v>
      </c>
      <c r="D437" s="1">
        <v>67048</v>
      </c>
      <c r="E437" s="1">
        <v>296</v>
      </c>
      <c r="F437" s="1">
        <v>0</v>
      </c>
      <c r="G437" s="1">
        <v>0</v>
      </c>
      <c r="H437" s="1">
        <v>0</v>
      </c>
      <c r="I437" s="1">
        <v>33036</v>
      </c>
      <c r="J437" s="1">
        <v>15983</v>
      </c>
      <c r="K437" s="1"/>
      <c r="L437" t="s">
        <v>817</v>
      </c>
      <c r="M437" t="s">
        <v>878</v>
      </c>
      <c r="N437" t="s">
        <v>507</v>
      </c>
      <c r="O437">
        <v>14388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25">
      <c r="A438" t="s">
        <v>265</v>
      </c>
      <c r="B438" t="s">
        <v>874</v>
      </c>
      <c r="C438" t="s">
        <v>489</v>
      </c>
      <c r="D438" s="1">
        <v>41306</v>
      </c>
      <c r="E438" s="1">
        <v>88</v>
      </c>
      <c r="F438" s="1">
        <v>0</v>
      </c>
      <c r="G438" s="1">
        <v>0</v>
      </c>
      <c r="H438" s="1">
        <v>0</v>
      </c>
      <c r="I438" s="1">
        <v>50346</v>
      </c>
      <c r="J438" s="1">
        <v>6261</v>
      </c>
      <c r="K438" s="1"/>
      <c r="L438" t="s">
        <v>817</v>
      </c>
      <c r="M438" t="s">
        <v>878</v>
      </c>
      <c r="N438" t="s">
        <v>508</v>
      </c>
    </row>
    <row r="439" spans="1:20" x14ac:dyDescent="0.25">
      <c r="A439" t="s">
        <v>10</v>
      </c>
      <c r="B439" t="s">
        <v>874</v>
      </c>
      <c r="C439" t="s">
        <v>490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/>
      <c r="L439" t="s">
        <v>801</v>
      </c>
      <c r="M439" t="s">
        <v>878</v>
      </c>
      <c r="N439" t="s">
        <v>509</v>
      </c>
      <c r="O439">
        <v>726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25">
      <c r="A440" t="s">
        <v>801</v>
      </c>
      <c r="B440" t="s">
        <v>874</v>
      </c>
      <c r="C440" t="s">
        <v>491</v>
      </c>
      <c r="D440" s="1">
        <v>56984</v>
      </c>
      <c r="E440" s="1">
        <v>1485</v>
      </c>
      <c r="F440" s="1">
        <v>0</v>
      </c>
      <c r="G440" s="1">
        <v>0</v>
      </c>
      <c r="H440" s="1">
        <v>0</v>
      </c>
      <c r="I440" s="1">
        <v>96420</v>
      </c>
      <c r="J440" s="1">
        <v>26299</v>
      </c>
      <c r="K440" s="1"/>
      <c r="L440" t="s">
        <v>801</v>
      </c>
      <c r="M440" t="s">
        <v>878</v>
      </c>
      <c r="N440" t="s">
        <v>510</v>
      </c>
      <c r="O440">
        <v>26166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25">
      <c r="A441" t="s">
        <v>818</v>
      </c>
      <c r="B441" t="s">
        <v>874</v>
      </c>
      <c r="C441" t="s">
        <v>492</v>
      </c>
      <c r="D441" s="1">
        <v>28384</v>
      </c>
      <c r="E441" s="1">
        <v>126</v>
      </c>
      <c r="F441" s="1">
        <v>0</v>
      </c>
      <c r="G441" s="1">
        <v>0</v>
      </c>
      <c r="H441" s="1">
        <v>0</v>
      </c>
      <c r="I441" s="1">
        <v>37911</v>
      </c>
      <c r="J441" s="1">
        <v>6749</v>
      </c>
      <c r="K441" s="1"/>
      <c r="L441" t="s">
        <v>831</v>
      </c>
      <c r="M441" t="s">
        <v>878</v>
      </c>
      <c r="N441" t="s">
        <v>511</v>
      </c>
      <c r="O441">
        <v>3301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25">
      <c r="A442" t="s">
        <v>791</v>
      </c>
      <c r="B442" t="s">
        <v>874</v>
      </c>
      <c r="C442" t="s">
        <v>493</v>
      </c>
      <c r="D442" s="1">
        <v>30262</v>
      </c>
      <c r="E442" s="1">
        <v>538</v>
      </c>
      <c r="F442" s="1">
        <v>0</v>
      </c>
      <c r="G442" s="1">
        <v>0</v>
      </c>
      <c r="H442" s="1">
        <v>0</v>
      </c>
      <c r="I442" s="1">
        <v>50769</v>
      </c>
      <c r="J442" s="1">
        <v>4318</v>
      </c>
      <c r="K442" s="1"/>
      <c r="L442" t="s">
        <v>512</v>
      </c>
      <c r="M442" t="s">
        <v>878</v>
      </c>
      <c r="N442" t="s">
        <v>513</v>
      </c>
      <c r="O442">
        <v>5301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25">
      <c r="A443" t="s">
        <v>138</v>
      </c>
      <c r="B443" t="s">
        <v>874</v>
      </c>
      <c r="C443" t="s">
        <v>494</v>
      </c>
      <c r="D443" s="1">
        <v>24739</v>
      </c>
      <c r="E443" s="1">
        <v>55</v>
      </c>
      <c r="F443" s="1">
        <v>0</v>
      </c>
      <c r="G443" s="1">
        <v>0</v>
      </c>
      <c r="H443" s="1">
        <v>0</v>
      </c>
      <c r="I443" s="1">
        <v>57650</v>
      </c>
      <c r="J443" s="1">
        <v>5295</v>
      </c>
      <c r="K443" s="1"/>
      <c r="L443" t="s">
        <v>817</v>
      </c>
      <c r="M443" t="s">
        <v>878</v>
      </c>
      <c r="N443" t="s">
        <v>514</v>
      </c>
      <c r="O443">
        <v>7919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25">
      <c r="A444" t="s">
        <v>495</v>
      </c>
      <c r="B444" t="s">
        <v>874</v>
      </c>
      <c r="C444" t="s">
        <v>496</v>
      </c>
      <c r="D444" s="1">
        <v>263804</v>
      </c>
      <c r="E444" s="1">
        <v>792</v>
      </c>
      <c r="F444" s="1">
        <v>0</v>
      </c>
      <c r="G444" s="1">
        <v>0</v>
      </c>
      <c r="H444" s="1">
        <v>0</v>
      </c>
      <c r="I444" s="1">
        <v>71249</v>
      </c>
      <c r="J444" s="1">
        <v>71020</v>
      </c>
      <c r="K444" s="1"/>
      <c r="L444" t="s">
        <v>801</v>
      </c>
      <c r="M444" t="s">
        <v>878</v>
      </c>
      <c r="N444" t="s">
        <v>515</v>
      </c>
      <c r="O444">
        <v>3406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25">
      <c r="A445" t="s">
        <v>791</v>
      </c>
      <c r="B445" t="s">
        <v>874</v>
      </c>
      <c r="C445" t="s">
        <v>497</v>
      </c>
      <c r="D445" s="1">
        <v>20424</v>
      </c>
      <c r="E445" s="1">
        <v>103</v>
      </c>
      <c r="F445" s="1">
        <v>0</v>
      </c>
      <c r="G445" s="1">
        <v>0</v>
      </c>
      <c r="H445" s="1">
        <v>0</v>
      </c>
      <c r="I445" s="1">
        <v>18518</v>
      </c>
      <c r="J445" s="1">
        <v>8426</v>
      </c>
      <c r="K445" s="1"/>
      <c r="L445" t="s">
        <v>848</v>
      </c>
      <c r="M445" t="s">
        <v>878</v>
      </c>
      <c r="N445" t="s">
        <v>516</v>
      </c>
      <c r="O445">
        <v>4398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25">
      <c r="A446" s="27" t="s">
        <v>10</v>
      </c>
      <c r="B446" s="27" t="s">
        <v>874</v>
      </c>
      <c r="C446" s="27" t="s">
        <v>782</v>
      </c>
      <c r="D446" s="32"/>
      <c r="E446" s="32"/>
      <c r="F446" s="32"/>
      <c r="G446" s="32"/>
      <c r="H446" s="32"/>
      <c r="I446" s="32"/>
      <c r="J446" s="32"/>
      <c r="K446" s="1"/>
      <c r="L446" t="s">
        <v>797</v>
      </c>
      <c r="M446" t="s">
        <v>878</v>
      </c>
      <c r="N446" t="s">
        <v>517</v>
      </c>
      <c r="O446">
        <v>6645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25">
      <c r="A447" s="27" t="s">
        <v>10</v>
      </c>
      <c r="B447" s="27" t="s">
        <v>874</v>
      </c>
      <c r="C447" s="27" t="s">
        <v>783</v>
      </c>
      <c r="D447" s="32"/>
      <c r="E447" s="32"/>
      <c r="F447" s="32"/>
      <c r="G447" s="32"/>
      <c r="H447" s="32"/>
      <c r="I447" s="32"/>
      <c r="J447" s="32"/>
      <c r="K447" s="1"/>
      <c r="L447" t="s">
        <v>811</v>
      </c>
      <c r="M447" t="s">
        <v>878</v>
      </c>
      <c r="N447" t="s">
        <v>518</v>
      </c>
      <c r="O447">
        <v>27217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25">
      <c r="A448" s="27" t="s">
        <v>10</v>
      </c>
      <c r="B448" s="27" t="s">
        <v>874</v>
      </c>
      <c r="C448" s="27" t="s">
        <v>784</v>
      </c>
      <c r="D448" s="32"/>
      <c r="E448" s="32"/>
      <c r="F448" s="32"/>
      <c r="G448" s="32"/>
      <c r="H448" s="32"/>
      <c r="I448" s="32"/>
      <c r="J448" s="32"/>
      <c r="K448" s="1"/>
      <c r="L448" t="s">
        <v>226</v>
      </c>
      <c r="M448" t="s">
        <v>878</v>
      </c>
      <c r="N448" t="s">
        <v>519</v>
      </c>
    </row>
    <row r="449" spans="1:20" x14ac:dyDescent="0.25">
      <c r="A449" s="27" t="s">
        <v>10</v>
      </c>
      <c r="B449" s="27" t="s">
        <v>874</v>
      </c>
      <c r="C449" s="27" t="s">
        <v>785</v>
      </c>
      <c r="D449" s="32"/>
      <c r="E449" s="32"/>
      <c r="F449" s="32"/>
      <c r="G449" s="32"/>
      <c r="H449" s="32"/>
      <c r="I449" s="32"/>
      <c r="J449" s="32"/>
      <c r="K449" s="1"/>
      <c r="L449" t="s">
        <v>76</v>
      </c>
      <c r="M449" t="s">
        <v>878</v>
      </c>
      <c r="N449" t="s">
        <v>520</v>
      </c>
      <c r="O449">
        <v>14114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25">
      <c r="A450" t="s">
        <v>10</v>
      </c>
      <c r="B450" t="s">
        <v>874</v>
      </c>
      <c r="C450" t="s">
        <v>498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/>
      <c r="L450" t="s">
        <v>831</v>
      </c>
      <c r="M450" t="s">
        <v>878</v>
      </c>
      <c r="N450" t="s">
        <v>521</v>
      </c>
      <c r="O450">
        <v>28229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25">
      <c r="A451" s="27" t="s">
        <v>10</v>
      </c>
      <c r="B451" s="27" t="s">
        <v>874</v>
      </c>
      <c r="C451" s="27" t="s">
        <v>786</v>
      </c>
      <c r="D451" s="32"/>
      <c r="E451" s="32"/>
      <c r="F451" s="32"/>
      <c r="G451" s="32"/>
      <c r="H451" s="32"/>
      <c r="I451" s="32"/>
      <c r="J451" s="32"/>
      <c r="K451" s="1"/>
      <c r="L451" t="s">
        <v>72</v>
      </c>
      <c r="M451" t="s">
        <v>878</v>
      </c>
      <c r="N451" t="s">
        <v>522</v>
      </c>
      <c r="O451">
        <v>3215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25">
      <c r="A452" t="s">
        <v>10</v>
      </c>
      <c r="B452" t="s">
        <v>874</v>
      </c>
      <c r="C452" t="s">
        <v>499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/>
      <c r="L452" t="s">
        <v>823</v>
      </c>
      <c r="M452" t="s">
        <v>878</v>
      </c>
      <c r="N452" t="s">
        <v>523</v>
      </c>
      <c r="O452">
        <v>22733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25">
      <c r="A453" t="s">
        <v>10</v>
      </c>
      <c r="B453" t="s">
        <v>874</v>
      </c>
      <c r="C453" t="s">
        <v>500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/>
      <c r="L453" t="s">
        <v>248</v>
      </c>
      <c r="M453" t="s">
        <v>878</v>
      </c>
      <c r="N453" t="s">
        <v>524</v>
      </c>
      <c r="O453">
        <v>5306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25">
      <c r="A454" t="s">
        <v>76</v>
      </c>
      <c r="B454" t="s">
        <v>878</v>
      </c>
      <c r="C454" t="s">
        <v>501</v>
      </c>
      <c r="D454" s="1">
        <v>14678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/>
      <c r="L454" t="s">
        <v>231</v>
      </c>
      <c r="M454" t="s">
        <v>878</v>
      </c>
      <c r="N454" t="s">
        <v>525</v>
      </c>
      <c r="O454">
        <v>5197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25">
      <c r="A455" t="s">
        <v>817</v>
      </c>
      <c r="B455" t="s">
        <v>878</v>
      </c>
      <c r="C455" t="s">
        <v>502</v>
      </c>
      <c r="D455" s="1"/>
      <c r="E455" s="1"/>
      <c r="F455" s="1"/>
      <c r="G455" s="1"/>
      <c r="H455" s="1"/>
      <c r="I455" s="1"/>
      <c r="J455" s="1"/>
      <c r="K455" s="1"/>
      <c r="L455" t="s">
        <v>76</v>
      </c>
      <c r="M455" t="s">
        <v>878</v>
      </c>
      <c r="N455" t="s">
        <v>526</v>
      </c>
      <c r="O455">
        <v>2176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25">
      <c r="A456" t="s">
        <v>831</v>
      </c>
      <c r="B456" t="s">
        <v>878</v>
      </c>
      <c r="C456" t="s">
        <v>503</v>
      </c>
      <c r="D456" s="1">
        <v>1539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/>
      <c r="L456" t="s">
        <v>804</v>
      </c>
      <c r="M456" t="s">
        <v>878</v>
      </c>
      <c r="N456" t="s">
        <v>527</v>
      </c>
      <c r="O456">
        <v>33863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25">
      <c r="A457" t="s">
        <v>76</v>
      </c>
      <c r="B457" t="s">
        <v>878</v>
      </c>
      <c r="C457" t="s">
        <v>504</v>
      </c>
      <c r="D457" s="1">
        <v>29443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/>
      <c r="L457" t="s">
        <v>76</v>
      </c>
      <c r="M457" t="s">
        <v>878</v>
      </c>
      <c r="N457" t="s">
        <v>528</v>
      </c>
      <c r="O457">
        <v>1235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25">
      <c r="A458" t="s">
        <v>817</v>
      </c>
      <c r="B458" t="s">
        <v>878</v>
      </c>
      <c r="C458" t="s">
        <v>505</v>
      </c>
      <c r="D458" s="1">
        <v>9313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/>
      <c r="L458" t="s">
        <v>801</v>
      </c>
      <c r="M458" t="s">
        <v>878</v>
      </c>
      <c r="N458" t="s">
        <v>529</v>
      </c>
      <c r="O458">
        <v>13178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25">
      <c r="A459" s="9" t="s">
        <v>824</v>
      </c>
      <c r="B459" s="10" t="s">
        <v>878</v>
      </c>
      <c r="C459" s="10" t="s">
        <v>506</v>
      </c>
      <c r="D459" s="1">
        <v>6092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/>
      <c r="L459" t="s">
        <v>795</v>
      </c>
      <c r="M459" t="s">
        <v>878</v>
      </c>
      <c r="N459" t="s">
        <v>530</v>
      </c>
      <c r="O459">
        <v>118256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25">
      <c r="A460" t="s">
        <v>817</v>
      </c>
      <c r="B460" t="s">
        <v>878</v>
      </c>
      <c r="C460" t="s">
        <v>507</v>
      </c>
      <c r="D460" s="1">
        <v>14388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/>
      <c r="L460" t="s">
        <v>848</v>
      </c>
      <c r="M460" t="s">
        <v>878</v>
      </c>
      <c r="N460" t="s">
        <v>531</v>
      </c>
      <c r="O460">
        <v>4383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25">
      <c r="A461" t="s">
        <v>817</v>
      </c>
      <c r="B461" t="s">
        <v>878</v>
      </c>
      <c r="C461" t="s">
        <v>508</v>
      </c>
      <c r="D461" s="1"/>
      <c r="E461" s="1"/>
      <c r="F461" s="1"/>
      <c r="G461" s="1"/>
      <c r="H461" s="1"/>
      <c r="I461" s="1"/>
      <c r="J461" s="1"/>
      <c r="K461" s="1"/>
      <c r="L461" t="s">
        <v>824</v>
      </c>
      <c r="M461" t="s">
        <v>878</v>
      </c>
      <c r="N461" t="s">
        <v>532</v>
      </c>
      <c r="O461">
        <v>12649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25">
      <c r="A462" t="s">
        <v>801</v>
      </c>
      <c r="B462" t="s">
        <v>878</v>
      </c>
      <c r="C462" t="s">
        <v>509</v>
      </c>
      <c r="D462" s="1">
        <v>726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/>
      <c r="L462" t="s">
        <v>76</v>
      </c>
      <c r="M462" t="s">
        <v>878</v>
      </c>
      <c r="N462" t="s">
        <v>533</v>
      </c>
      <c r="O462">
        <v>1734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25">
      <c r="A463" t="s">
        <v>801</v>
      </c>
      <c r="B463" t="s">
        <v>878</v>
      </c>
      <c r="C463" t="s">
        <v>510</v>
      </c>
      <c r="D463" s="1">
        <v>26166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/>
      <c r="L463" t="s">
        <v>101</v>
      </c>
      <c r="M463" t="s">
        <v>878</v>
      </c>
      <c r="N463" t="s">
        <v>534</v>
      </c>
      <c r="O463">
        <v>9401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25">
      <c r="A464" t="s">
        <v>831</v>
      </c>
      <c r="B464" t="s">
        <v>878</v>
      </c>
      <c r="C464" t="s">
        <v>511</v>
      </c>
      <c r="D464" s="1">
        <v>3301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/>
      <c r="L464" t="s">
        <v>803</v>
      </c>
      <c r="M464" t="s">
        <v>878</v>
      </c>
      <c r="N464" t="s">
        <v>535</v>
      </c>
    </row>
    <row r="465" spans="1:20" x14ac:dyDescent="0.25">
      <c r="A465" t="s">
        <v>512</v>
      </c>
      <c r="B465" t="s">
        <v>878</v>
      </c>
      <c r="C465" t="s">
        <v>513</v>
      </c>
      <c r="D465" s="1">
        <v>5301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/>
      <c r="L465" t="s">
        <v>120</v>
      </c>
      <c r="M465" t="s">
        <v>878</v>
      </c>
      <c r="N465" t="s">
        <v>536</v>
      </c>
      <c r="O465">
        <v>5368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25">
      <c r="A466" t="s">
        <v>817</v>
      </c>
      <c r="B466" t="s">
        <v>878</v>
      </c>
      <c r="C466" t="s">
        <v>514</v>
      </c>
      <c r="D466" s="1">
        <v>7919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/>
      <c r="L466" t="s">
        <v>817</v>
      </c>
      <c r="M466" t="s">
        <v>878</v>
      </c>
      <c r="N466" t="s">
        <v>537</v>
      </c>
      <c r="O466">
        <v>38923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25">
      <c r="A467" t="s">
        <v>801</v>
      </c>
      <c r="B467" t="s">
        <v>878</v>
      </c>
      <c r="C467" t="s">
        <v>515</v>
      </c>
      <c r="D467" s="1">
        <v>3406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/>
      <c r="L467" t="s">
        <v>811</v>
      </c>
      <c r="M467" t="s">
        <v>878</v>
      </c>
      <c r="N467" t="s">
        <v>538</v>
      </c>
      <c r="O467">
        <v>132697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25">
      <c r="A468" t="s">
        <v>848</v>
      </c>
      <c r="B468" t="s">
        <v>878</v>
      </c>
      <c r="C468" t="s">
        <v>516</v>
      </c>
      <c r="D468" s="1">
        <v>4398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/>
      <c r="L468" t="s">
        <v>817</v>
      </c>
      <c r="M468" t="s">
        <v>878</v>
      </c>
      <c r="N468" t="s">
        <v>539</v>
      </c>
      <c r="O468">
        <v>11092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25">
      <c r="A469" t="s">
        <v>797</v>
      </c>
      <c r="B469" t="s">
        <v>878</v>
      </c>
      <c r="C469" t="s">
        <v>517</v>
      </c>
      <c r="D469" s="1">
        <v>6645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/>
      <c r="L469" t="s">
        <v>146</v>
      </c>
      <c r="M469" t="s">
        <v>878</v>
      </c>
      <c r="N469" t="s">
        <v>540</v>
      </c>
      <c r="O469">
        <v>17140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25">
      <c r="A470" t="s">
        <v>811</v>
      </c>
      <c r="B470" t="s">
        <v>878</v>
      </c>
      <c r="C470" t="s">
        <v>518</v>
      </c>
      <c r="D470" s="1">
        <v>27217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/>
      <c r="L470" t="s">
        <v>817</v>
      </c>
      <c r="M470" t="s">
        <v>878</v>
      </c>
      <c r="N470" t="s">
        <v>541</v>
      </c>
      <c r="O470">
        <v>21127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25">
      <c r="A471" t="s">
        <v>226</v>
      </c>
      <c r="B471" t="s">
        <v>878</v>
      </c>
      <c r="C471" t="s">
        <v>519</v>
      </c>
      <c r="D471" s="1"/>
      <c r="E471" s="1"/>
      <c r="F471" s="1"/>
      <c r="G471" s="1"/>
      <c r="H471" s="1"/>
      <c r="I471" s="1"/>
      <c r="J471" s="1"/>
      <c r="K471" s="1"/>
      <c r="L471" t="s">
        <v>72</v>
      </c>
      <c r="M471" t="s">
        <v>878</v>
      </c>
      <c r="N471" t="s">
        <v>542</v>
      </c>
      <c r="O471">
        <v>23484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25">
      <c r="A472" t="s">
        <v>76</v>
      </c>
      <c r="B472" t="s">
        <v>878</v>
      </c>
      <c r="C472" t="s">
        <v>520</v>
      </c>
      <c r="D472" s="1">
        <v>14114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/>
      <c r="L472" t="s">
        <v>795</v>
      </c>
      <c r="M472" t="s">
        <v>878</v>
      </c>
      <c r="N472" t="s">
        <v>543</v>
      </c>
      <c r="O472">
        <v>13603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25">
      <c r="A473" t="s">
        <v>831</v>
      </c>
      <c r="B473" t="s">
        <v>878</v>
      </c>
      <c r="C473" t="s">
        <v>521</v>
      </c>
      <c r="D473" s="1">
        <v>28229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/>
      <c r="L473" t="s">
        <v>83</v>
      </c>
      <c r="M473" t="s">
        <v>878</v>
      </c>
      <c r="N473" t="s">
        <v>544</v>
      </c>
      <c r="O473">
        <v>1090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25">
      <c r="A474" t="s">
        <v>72</v>
      </c>
      <c r="B474" t="s">
        <v>878</v>
      </c>
      <c r="C474" t="s">
        <v>522</v>
      </c>
      <c r="D474" s="1">
        <v>3215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/>
      <c r="L474" t="s">
        <v>134</v>
      </c>
      <c r="M474" t="s">
        <v>878</v>
      </c>
      <c r="N474" t="s">
        <v>545</v>
      </c>
    </row>
    <row r="475" spans="1:20" x14ac:dyDescent="0.25">
      <c r="A475" t="s">
        <v>823</v>
      </c>
      <c r="B475" t="s">
        <v>878</v>
      </c>
      <c r="C475" t="s">
        <v>523</v>
      </c>
      <c r="D475" s="1">
        <v>22733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/>
      <c r="L475" t="s">
        <v>76</v>
      </c>
      <c r="M475" t="s">
        <v>878</v>
      </c>
      <c r="N475" t="s">
        <v>546</v>
      </c>
      <c r="O475">
        <v>4406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25">
      <c r="A476" t="s">
        <v>248</v>
      </c>
      <c r="B476" t="s">
        <v>878</v>
      </c>
      <c r="C476" t="s">
        <v>524</v>
      </c>
      <c r="D476" s="1">
        <v>5306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/>
      <c r="L476" t="s">
        <v>495</v>
      </c>
      <c r="M476" t="s">
        <v>878</v>
      </c>
      <c r="N476" t="s">
        <v>547</v>
      </c>
      <c r="O476">
        <v>24814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25">
      <c r="A477" t="s">
        <v>231</v>
      </c>
      <c r="B477" t="s">
        <v>878</v>
      </c>
      <c r="C477" t="s">
        <v>525</v>
      </c>
      <c r="D477" s="1">
        <v>5197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/>
      <c r="L477" t="s">
        <v>825</v>
      </c>
      <c r="M477" t="s">
        <v>878</v>
      </c>
      <c r="N477" t="s">
        <v>548</v>
      </c>
      <c r="O477">
        <v>11050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25">
      <c r="A478" t="s">
        <v>76</v>
      </c>
      <c r="B478" t="s">
        <v>878</v>
      </c>
      <c r="C478" t="s">
        <v>526</v>
      </c>
      <c r="D478" s="1">
        <v>2176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/>
      <c r="L478" t="s">
        <v>72</v>
      </c>
      <c r="M478" t="s">
        <v>878</v>
      </c>
      <c r="N478" t="s">
        <v>549</v>
      </c>
      <c r="O478">
        <v>33224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25">
      <c r="A479" t="s">
        <v>804</v>
      </c>
      <c r="B479" t="s">
        <v>878</v>
      </c>
      <c r="C479" t="s">
        <v>527</v>
      </c>
      <c r="D479" s="1">
        <v>33863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/>
      <c r="L479" t="s">
        <v>134</v>
      </c>
      <c r="M479" t="s">
        <v>878</v>
      </c>
      <c r="N479" t="s">
        <v>550</v>
      </c>
      <c r="O479">
        <v>23707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25">
      <c r="A480" t="s">
        <v>76</v>
      </c>
      <c r="B480" t="s">
        <v>878</v>
      </c>
      <c r="C480" t="s">
        <v>528</v>
      </c>
      <c r="D480" s="1">
        <v>1235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/>
      <c r="L480" t="s">
        <v>795</v>
      </c>
      <c r="M480" t="s">
        <v>878</v>
      </c>
      <c r="N480" t="s">
        <v>551</v>
      </c>
      <c r="O480">
        <v>7522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25">
      <c r="A481" t="s">
        <v>801</v>
      </c>
      <c r="B481" t="s">
        <v>878</v>
      </c>
      <c r="C481" t="s">
        <v>529</v>
      </c>
      <c r="D481" s="1">
        <v>13178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/>
      <c r="L481" t="s">
        <v>76</v>
      </c>
      <c r="M481" t="s">
        <v>878</v>
      </c>
      <c r="N481" t="s">
        <v>552</v>
      </c>
      <c r="O481">
        <v>2213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25">
      <c r="A482" t="s">
        <v>795</v>
      </c>
      <c r="B482" t="s">
        <v>878</v>
      </c>
      <c r="C482" t="s">
        <v>530</v>
      </c>
      <c r="D482" s="1">
        <v>118256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/>
      <c r="L482" t="s">
        <v>824</v>
      </c>
      <c r="M482" t="s">
        <v>878</v>
      </c>
      <c r="N482" t="s">
        <v>553</v>
      </c>
      <c r="O482">
        <v>2257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25">
      <c r="A483" t="s">
        <v>848</v>
      </c>
      <c r="B483" t="s">
        <v>878</v>
      </c>
      <c r="C483" t="s">
        <v>531</v>
      </c>
      <c r="D483" s="1">
        <v>4383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/>
      <c r="L483" t="s">
        <v>512</v>
      </c>
      <c r="M483" t="s">
        <v>878</v>
      </c>
      <c r="N483" t="s">
        <v>554</v>
      </c>
      <c r="O483">
        <v>16617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25">
      <c r="A484" t="s">
        <v>824</v>
      </c>
      <c r="B484" t="s">
        <v>878</v>
      </c>
      <c r="C484" t="s">
        <v>532</v>
      </c>
      <c r="D484" s="1">
        <v>12649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/>
      <c r="L484" t="s">
        <v>788</v>
      </c>
      <c r="M484" t="s">
        <v>878</v>
      </c>
      <c r="N484" t="s">
        <v>555</v>
      </c>
      <c r="O484">
        <v>79173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25">
      <c r="A485" t="s">
        <v>76</v>
      </c>
      <c r="B485" t="s">
        <v>878</v>
      </c>
      <c r="C485" t="s">
        <v>533</v>
      </c>
      <c r="D485" s="1">
        <v>1734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/>
      <c r="L485" t="s">
        <v>101</v>
      </c>
      <c r="M485" t="s">
        <v>878</v>
      </c>
      <c r="N485" t="s">
        <v>556</v>
      </c>
      <c r="O485">
        <v>28544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25">
      <c r="A486" t="s">
        <v>101</v>
      </c>
      <c r="B486" t="s">
        <v>878</v>
      </c>
      <c r="C486" t="s">
        <v>534</v>
      </c>
      <c r="D486" s="1">
        <v>9401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/>
      <c r="L486" t="s">
        <v>796</v>
      </c>
      <c r="M486" t="s">
        <v>878</v>
      </c>
      <c r="N486" t="s">
        <v>557</v>
      </c>
      <c r="O486">
        <v>3663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x14ac:dyDescent="0.25">
      <c r="A487" t="s">
        <v>803</v>
      </c>
      <c r="B487" t="s">
        <v>878</v>
      </c>
      <c r="C487" t="s">
        <v>535</v>
      </c>
      <c r="D487" s="1"/>
      <c r="E487" s="1"/>
      <c r="F487" s="1"/>
      <c r="G487" s="1"/>
      <c r="H487" s="1"/>
      <c r="I487" s="1"/>
      <c r="J487" s="1"/>
      <c r="K487" s="1"/>
      <c r="L487" t="s">
        <v>817</v>
      </c>
      <c r="M487" t="s">
        <v>878</v>
      </c>
      <c r="N487" t="s">
        <v>558</v>
      </c>
      <c r="O487">
        <v>7407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25">
      <c r="A488" t="s">
        <v>120</v>
      </c>
      <c r="B488" t="s">
        <v>878</v>
      </c>
      <c r="C488" t="s">
        <v>536</v>
      </c>
      <c r="D488" s="1">
        <v>5368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/>
      <c r="L488" t="s">
        <v>76</v>
      </c>
      <c r="M488" t="s">
        <v>878</v>
      </c>
      <c r="N488" t="s">
        <v>559</v>
      </c>
      <c r="O488">
        <v>7406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25">
      <c r="A489" t="s">
        <v>817</v>
      </c>
      <c r="B489" t="s">
        <v>878</v>
      </c>
      <c r="C489" t="s">
        <v>537</v>
      </c>
      <c r="D489" s="1">
        <v>38923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/>
      <c r="L489" t="s">
        <v>801</v>
      </c>
      <c r="M489" t="s">
        <v>878</v>
      </c>
      <c r="N489" t="s">
        <v>560</v>
      </c>
      <c r="O489">
        <v>40205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25">
      <c r="A490" t="s">
        <v>811</v>
      </c>
      <c r="B490" t="s">
        <v>878</v>
      </c>
      <c r="C490" t="s">
        <v>538</v>
      </c>
      <c r="D490" s="1">
        <v>132697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/>
      <c r="L490" t="s">
        <v>796</v>
      </c>
      <c r="M490" t="s">
        <v>878</v>
      </c>
      <c r="N490" t="s">
        <v>561</v>
      </c>
      <c r="O490">
        <v>11074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25">
      <c r="A491" t="s">
        <v>817</v>
      </c>
      <c r="B491" t="s">
        <v>878</v>
      </c>
      <c r="C491" t="s">
        <v>539</v>
      </c>
      <c r="D491" s="1">
        <v>11092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/>
      <c r="L491" t="s">
        <v>817</v>
      </c>
      <c r="M491" t="s">
        <v>878</v>
      </c>
      <c r="N491" t="s">
        <v>562</v>
      </c>
      <c r="O491">
        <v>8173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25">
      <c r="A492" t="s">
        <v>146</v>
      </c>
      <c r="B492" t="s">
        <v>878</v>
      </c>
      <c r="C492" t="s">
        <v>540</v>
      </c>
      <c r="D492" s="1">
        <v>17140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/>
      <c r="L492" t="s">
        <v>248</v>
      </c>
      <c r="M492" t="s">
        <v>878</v>
      </c>
      <c r="N492" t="s">
        <v>563</v>
      </c>
      <c r="O492">
        <v>37065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25">
      <c r="A493" t="s">
        <v>817</v>
      </c>
      <c r="B493" t="s">
        <v>878</v>
      </c>
      <c r="C493" t="s">
        <v>541</v>
      </c>
      <c r="D493" s="1">
        <v>21127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/>
      <c r="L493" t="s">
        <v>791</v>
      </c>
      <c r="M493" t="s">
        <v>878</v>
      </c>
      <c r="N493" t="s">
        <v>564</v>
      </c>
      <c r="O493">
        <v>7687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25">
      <c r="A494" t="s">
        <v>72</v>
      </c>
      <c r="B494" t="s">
        <v>878</v>
      </c>
      <c r="C494" t="s">
        <v>542</v>
      </c>
      <c r="D494" s="1">
        <v>23484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/>
      <c r="L494" t="s">
        <v>69</v>
      </c>
      <c r="M494" t="s">
        <v>878</v>
      </c>
      <c r="N494" t="s">
        <v>565</v>
      </c>
      <c r="O494">
        <v>18569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25">
      <c r="A495" t="s">
        <v>795</v>
      </c>
      <c r="B495" t="s">
        <v>878</v>
      </c>
      <c r="C495" t="s">
        <v>543</v>
      </c>
      <c r="D495" s="1">
        <v>13603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/>
      <c r="L495" t="s">
        <v>794</v>
      </c>
      <c r="M495" t="s">
        <v>878</v>
      </c>
      <c r="N495" t="s">
        <v>566</v>
      </c>
      <c r="O495">
        <v>6288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25">
      <c r="A496" t="s">
        <v>83</v>
      </c>
      <c r="B496" t="s">
        <v>878</v>
      </c>
      <c r="C496" t="s">
        <v>544</v>
      </c>
      <c r="D496" s="1">
        <v>1090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/>
      <c r="L496" t="s">
        <v>797</v>
      </c>
      <c r="M496" t="s">
        <v>878</v>
      </c>
      <c r="N496" t="s">
        <v>567</v>
      </c>
      <c r="O496">
        <v>3049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25">
      <c r="A497" t="s">
        <v>134</v>
      </c>
      <c r="B497" t="s">
        <v>878</v>
      </c>
      <c r="C497" t="s">
        <v>545</v>
      </c>
      <c r="D497" s="1"/>
      <c r="E497" s="1"/>
      <c r="F497" s="1"/>
      <c r="G497" s="1"/>
      <c r="H497" s="1"/>
      <c r="I497" s="1"/>
      <c r="J497" s="1"/>
      <c r="K497" s="1"/>
      <c r="L497" t="s">
        <v>826</v>
      </c>
      <c r="M497" t="s">
        <v>878</v>
      </c>
      <c r="N497" t="s">
        <v>568</v>
      </c>
    </row>
    <row r="498" spans="1:20" x14ac:dyDescent="0.25">
      <c r="A498" t="s">
        <v>76</v>
      </c>
      <c r="B498" t="s">
        <v>878</v>
      </c>
      <c r="C498" t="s">
        <v>546</v>
      </c>
      <c r="D498" s="1">
        <v>4406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/>
      <c r="L498" t="s">
        <v>864</v>
      </c>
      <c r="M498" t="s">
        <v>878</v>
      </c>
      <c r="N498" t="s">
        <v>569</v>
      </c>
      <c r="O498">
        <v>23692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25">
      <c r="A499" t="s">
        <v>495</v>
      </c>
      <c r="B499" t="s">
        <v>878</v>
      </c>
      <c r="C499" t="s">
        <v>547</v>
      </c>
      <c r="D499" s="1">
        <v>24814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/>
      <c r="L499" t="s">
        <v>826</v>
      </c>
      <c r="M499" t="s">
        <v>878</v>
      </c>
      <c r="N499" t="s">
        <v>570</v>
      </c>
      <c r="O499">
        <v>2872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25">
      <c r="A500" t="s">
        <v>825</v>
      </c>
      <c r="B500" t="s">
        <v>878</v>
      </c>
      <c r="C500" t="s">
        <v>548</v>
      </c>
      <c r="D500" s="1">
        <v>11050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/>
      <c r="L500" t="s">
        <v>72</v>
      </c>
      <c r="M500" t="s">
        <v>878</v>
      </c>
      <c r="N500" t="s">
        <v>571</v>
      </c>
      <c r="O500">
        <v>22095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25">
      <c r="A501" t="s">
        <v>72</v>
      </c>
      <c r="B501" t="s">
        <v>878</v>
      </c>
      <c r="C501" t="s">
        <v>549</v>
      </c>
      <c r="D501" s="1">
        <v>33224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/>
      <c r="L501" t="s">
        <v>801</v>
      </c>
      <c r="M501" t="s">
        <v>878</v>
      </c>
      <c r="N501" t="s">
        <v>572</v>
      </c>
      <c r="O501">
        <v>27045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25">
      <c r="A502" t="s">
        <v>134</v>
      </c>
      <c r="B502" t="s">
        <v>878</v>
      </c>
      <c r="C502" t="s">
        <v>550</v>
      </c>
      <c r="D502" s="1">
        <v>23707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/>
      <c r="L502" t="s">
        <v>859</v>
      </c>
      <c r="M502" t="s">
        <v>878</v>
      </c>
      <c r="N502" t="s">
        <v>573</v>
      </c>
      <c r="O502">
        <v>8702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25">
      <c r="A503" t="s">
        <v>795</v>
      </c>
      <c r="B503" t="s">
        <v>878</v>
      </c>
      <c r="C503" t="s">
        <v>551</v>
      </c>
      <c r="D503" s="1">
        <v>7522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/>
      <c r="L503" t="s">
        <v>816</v>
      </c>
      <c r="M503" t="s">
        <v>878</v>
      </c>
      <c r="N503" t="s">
        <v>574</v>
      </c>
      <c r="O503">
        <v>24537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25">
      <c r="A504" t="s">
        <v>76</v>
      </c>
      <c r="B504" t="s">
        <v>878</v>
      </c>
      <c r="C504" t="s">
        <v>552</v>
      </c>
      <c r="D504" s="1">
        <v>2213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/>
      <c r="L504" t="s">
        <v>864</v>
      </c>
      <c r="M504" t="s">
        <v>878</v>
      </c>
      <c r="N504" t="s">
        <v>575</v>
      </c>
      <c r="O504">
        <v>28082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25">
      <c r="A505" t="s">
        <v>824</v>
      </c>
      <c r="B505" t="s">
        <v>878</v>
      </c>
      <c r="C505" t="s">
        <v>553</v>
      </c>
      <c r="D505" s="1">
        <v>2257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/>
      <c r="L505" t="s">
        <v>146</v>
      </c>
      <c r="M505" t="s">
        <v>878</v>
      </c>
      <c r="N505" t="s">
        <v>576</v>
      </c>
      <c r="O505">
        <v>6100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25">
      <c r="A506" t="s">
        <v>512</v>
      </c>
      <c r="B506" t="s">
        <v>878</v>
      </c>
      <c r="C506" t="s">
        <v>554</v>
      </c>
      <c r="D506" s="1">
        <v>16617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/>
      <c r="L506" t="s">
        <v>794</v>
      </c>
      <c r="M506" t="s">
        <v>878</v>
      </c>
      <c r="N506" t="s">
        <v>577</v>
      </c>
      <c r="O506">
        <v>36904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25">
      <c r="A507" t="s">
        <v>788</v>
      </c>
      <c r="B507" t="s">
        <v>878</v>
      </c>
      <c r="C507" t="s">
        <v>555</v>
      </c>
      <c r="D507" s="1">
        <v>79173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/>
      <c r="L507" t="s">
        <v>146</v>
      </c>
      <c r="M507" t="s">
        <v>878</v>
      </c>
      <c r="N507" t="s">
        <v>578</v>
      </c>
      <c r="O507">
        <v>26924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25">
      <c r="A508" t="s">
        <v>101</v>
      </c>
      <c r="B508" t="s">
        <v>878</v>
      </c>
      <c r="C508" t="s">
        <v>556</v>
      </c>
      <c r="D508" s="1">
        <v>28544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/>
      <c r="L508" t="s">
        <v>832</v>
      </c>
      <c r="M508" t="s">
        <v>878</v>
      </c>
      <c r="N508" t="s">
        <v>579</v>
      </c>
      <c r="O508">
        <v>8120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5">
      <c r="A509" t="s">
        <v>796</v>
      </c>
      <c r="B509" t="s">
        <v>878</v>
      </c>
      <c r="C509" t="s">
        <v>557</v>
      </c>
      <c r="D509" s="1">
        <v>3663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/>
      <c r="L509" t="s">
        <v>839</v>
      </c>
      <c r="M509" t="s">
        <v>878</v>
      </c>
      <c r="N509" t="s">
        <v>580</v>
      </c>
      <c r="O509">
        <v>35029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25">
      <c r="A510" t="s">
        <v>817</v>
      </c>
      <c r="B510" t="s">
        <v>878</v>
      </c>
      <c r="C510" t="s">
        <v>558</v>
      </c>
      <c r="D510" s="1">
        <v>7407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/>
      <c r="L510" t="s">
        <v>794</v>
      </c>
      <c r="M510" t="s">
        <v>878</v>
      </c>
      <c r="N510" t="s">
        <v>581</v>
      </c>
      <c r="O510">
        <v>72581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25">
      <c r="A511" t="s">
        <v>76</v>
      </c>
      <c r="B511" t="s">
        <v>878</v>
      </c>
      <c r="C511" t="s">
        <v>559</v>
      </c>
      <c r="D511" s="1">
        <v>7406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/>
      <c r="L511" t="s">
        <v>794</v>
      </c>
      <c r="M511" t="s">
        <v>878</v>
      </c>
      <c r="N511" t="s">
        <v>582</v>
      </c>
      <c r="O511">
        <v>25339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25">
      <c r="A512" t="s">
        <v>801</v>
      </c>
      <c r="B512" t="s">
        <v>878</v>
      </c>
      <c r="C512" t="s">
        <v>560</v>
      </c>
      <c r="D512" s="1">
        <v>40205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/>
      <c r="L512" t="s">
        <v>794</v>
      </c>
      <c r="M512" t="s">
        <v>878</v>
      </c>
      <c r="N512" t="s">
        <v>583</v>
      </c>
      <c r="O512">
        <v>14749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25">
      <c r="A513" t="s">
        <v>796</v>
      </c>
      <c r="B513" t="s">
        <v>878</v>
      </c>
      <c r="C513" t="s">
        <v>561</v>
      </c>
      <c r="D513" s="1">
        <v>11074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/>
      <c r="L513" t="s">
        <v>120</v>
      </c>
      <c r="M513" t="s">
        <v>878</v>
      </c>
      <c r="N513" t="s">
        <v>584</v>
      </c>
      <c r="O513">
        <v>2139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25">
      <c r="A514" t="s">
        <v>817</v>
      </c>
      <c r="B514" t="s">
        <v>878</v>
      </c>
      <c r="C514" t="s">
        <v>562</v>
      </c>
      <c r="D514" s="1">
        <v>8173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/>
      <c r="L514" t="s">
        <v>837</v>
      </c>
      <c r="M514" t="s">
        <v>878</v>
      </c>
      <c r="N514" t="s">
        <v>585</v>
      </c>
      <c r="O514">
        <v>8907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25">
      <c r="A515" t="s">
        <v>248</v>
      </c>
      <c r="B515" t="s">
        <v>878</v>
      </c>
      <c r="C515" t="s">
        <v>563</v>
      </c>
      <c r="D515" s="1">
        <v>37065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/>
      <c r="L515" t="s">
        <v>859</v>
      </c>
      <c r="M515" t="s">
        <v>878</v>
      </c>
      <c r="N515" t="s">
        <v>586</v>
      </c>
      <c r="O515">
        <v>22241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25">
      <c r="A516" t="s">
        <v>791</v>
      </c>
      <c r="B516" t="s">
        <v>878</v>
      </c>
      <c r="C516" t="s">
        <v>564</v>
      </c>
      <c r="D516" s="1">
        <v>7687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/>
      <c r="L516" t="s">
        <v>836</v>
      </c>
      <c r="M516" t="s">
        <v>878</v>
      </c>
      <c r="N516" t="s">
        <v>587</v>
      </c>
      <c r="O516">
        <v>28372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25">
      <c r="A517" t="s">
        <v>69</v>
      </c>
      <c r="B517" t="s">
        <v>878</v>
      </c>
      <c r="C517" t="s">
        <v>565</v>
      </c>
      <c r="D517" s="1">
        <v>18569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/>
      <c r="L517" t="s">
        <v>844</v>
      </c>
      <c r="M517" t="s">
        <v>878</v>
      </c>
      <c r="N517" t="s">
        <v>588</v>
      </c>
      <c r="O517">
        <v>16188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25">
      <c r="A518" t="s">
        <v>794</v>
      </c>
      <c r="B518" t="s">
        <v>878</v>
      </c>
      <c r="C518" t="s">
        <v>566</v>
      </c>
      <c r="D518" s="1">
        <v>6288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/>
      <c r="L518" t="s">
        <v>838</v>
      </c>
      <c r="M518" t="s">
        <v>878</v>
      </c>
      <c r="N518" t="s">
        <v>589</v>
      </c>
      <c r="O518">
        <v>10152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25">
      <c r="A519" t="s">
        <v>797</v>
      </c>
      <c r="B519" t="s">
        <v>878</v>
      </c>
      <c r="C519" t="s">
        <v>567</v>
      </c>
      <c r="D519" s="1">
        <v>3049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/>
      <c r="L519" t="s">
        <v>833</v>
      </c>
      <c r="M519" t="s">
        <v>878</v>
      </c>
      <c r="N519" t="s">
        <v>590</v>
      </c>
      <c r="O519">
        <v>17162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25">
      <c r="A520" t="s">
        <v>826</v>
      </c>
      <c r="B520" t="s">
        <v>878</v>
      </c>
      <c r="C520" t="s">
        <v>568</v>
      </c>
      <c r="D520" s="1"/>
      <c r="E520" s="1"/>
      <c r="F520" s="1"/>
      <c r="G520" s="1"/>
      <c r="H520" s="1"/>
      <c r="I520" s="1"/>
      <c r="J520" s="1"/>
      <c r="K520" s="1"/>
      <c r="L520" t="s">
        <v>845</v>
      </c>
      <c r="M520" t="s">
        <v>878</v>
      </c>
      <c r="N520" t="s">
        <v>591</v>
      </c>
      <c r="O520">
        <v>1965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25">
      <c r="A521" t="s">
        <v>864</v>
      </c>
      <c r="B521" t="s">
        <v>878</v>
      </c>
      <c r="C521" t="s">
        <v>569</v>
      </c>
      <c r="D521" s="1">
        <v>23692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/>
      <c r="L521" t="s">
        <v>794</v>
      </c>
      <c r="M521" t="s">
        <v>878</v>
      </c>
      <c r="N521" t="s">
        <v>592</v>
      </c>
      <c r="O521">
        <v>6250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25">
      <c r="A522" t="s">
        <v>826</v>
      </c>
      <c r="B522" t="s">
        <v>878</v>
      </c>
      <c r="C522" t="s">
        <v>570</v>
      </c>
      <c r="D522" s="1">
        <v>2872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/>
      <c r="L522" t="s">
        <v>843</v>
      </c>
      <c r="M522" t="s">
        <v>878</v>
      </c>
      <c r="N522" t="s">
        <v>593</v>
      </c>
      <c r="O522">
        <v>2596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25">
      <c r="A523" t="s">
        <v>72</v>
      </c>
      <c r="B523" t="s">
        <v>878</v>
      </c>
      <c r="C523" t="s">
        <v>571</v>
      </c>
      <c r="D523" s="1">
        <v>22095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/>
      <c r="L523" t="s">
        <v>863</v>
      </c>
      <c r="M523" t="s">
        <v>878</v>
      </c>
      <c r="N523" t="s">
        <v>594</v>
      </c>
      <c r="O523">
        <v>7658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25">
      <c r="A524" t="s">
        <v>801</v>
      </c>
      <c r="B524" t="s">
        <v>878</v>
      </c>
      <c r="C524" t="s">
        <v>572</v>
      </c>
      <c r="D524" s="1">
        <v>27045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/>
      <c r="L524" t="s">
        <v>804</v>
      </c>
      <c r="M524" t="s">
        <v>878</v>
      </c>
      <c r="N524" t="s">
        <v>595</v>
      </c>
      <c r="O524">
        <v>3465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25">
      <c r="A525" t="s">
        <v>859</v>
      </c>
      <c r="B525" t="s">
        <v>878</v>
      </c>
      <c r="C525" t="s">
        <v>573</v>
      </c>
      <c r="D525" s="1">
        <v>8702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/>
      <c r="L525" t="s">
        <v>795</v>
      </c>
      <c r="M525" t="s">
        <v>878</v>
      </c>
      <c r="N525" t="s">
        <v>596</v>
      </c>
      <c r="O525">
        <v>14449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25">
      <c r="A526" t="s">
        <v>816</v>
      </c>
      <c r="B526" t="s">
        <v>878</v>
      </c>
      <c r="C526" t="s">
        <v>574</v>
      </c>
      <c r="D526" s="1">
        <v>24537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/>
      <c r="L526" t="s">
        <v>101</v>
      </c>
      <c r="M526" t="s">
        <v>878</v>
      </c>
      <c r="N526" t="s">
        <v>597</v>
      </c>
      <c r="O526">
        <v>19446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25">
      <c r="A527" t="s">
        <v>864</v>
      </c>
      <c r="B527" t="s">
        <v>878</v>
      </c>
      <c r="C527" t="s">
        <v>575</v>
      </c>
      <c r="D527" s="1">
        <v>28082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/>
      <c r="L527" t="s">
        <v>835</v>
      </c>
      <c r="M527" t="s">
        <v>878</v>
      </c>
      <c r="N527" t="s">
        <v>598</v>
      </c>
      <c r="O527">
        <v>6209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25">
      <c r="A528" t="s">
        <v>146</v>
      </c>
      <c r="B528" t="s">
        <v>878</v>
      </c>
      <c r="C528" t="s">
        <v>576</v>
      </c>
      <c r="D528" s="1">
        <v>6100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/>
      <c r="L528" t="s">
        <v>842</v>
      </c>
      <c r="M528" t="s">
        <v>878</v>
      </c>
      <c r="N528" t="s">
        <v>599</v>
      </c>
      <c r="O528">
        <v>4379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25">
      <c r="A529" t="s">
        <v>794</v>
      </c>
      <c r="B529" t="s">
        <v>878</v>
      </c>
      <c r="C529" t="s">
        <v>577</v>
      </c>
      <c r="D529" s="1">
        <v>36904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/>
      <c r="L529" t="s">
        <v>226</v>
      </c>
      <c r="M529" t="s">
        <v>878</v>
      </c>
      <c r="N529" t="s">
        <v>600</v>
      </c>
      <c r="O529">
        <v>2988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25">
      <c r="A530" t="s">
        <v>146</v>
      </c>
      <c r="B530" t="s">
        <v>878</v>
      </c>
      <c r="C530" t="s">
        <v>578</v>
      </c>
      <c r="D530" s="1">
        <v>26924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/>
      <c r="L530" t="s">
        <v>817</v>
      </c>
      <c r="M530" t="s">
        <v>878</v>
      </c>
      <c r="N530" t="s">
        <v>601</v>
      </c>
      <c r="O530">
        <v>17470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25">
      <c r="A531" t="s">
        <v>832</v>
      </c>
      <c r="B531" t="s">
        <v>878</v>
      </c>
      <c r="C531" t="s">
        <v>579</v>
      </c>
      <c r="D531" s="1">
        <v>8120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/>
      <c r="L531" t="s">
        <v>788</v>
      </c>
      <c r="M531" t="s">
        <v>878</v>
      </c>
      <c r="N531" t="s">
        <v>602</v>
      </c>
      <c r="O531">
        <v>24052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25">
      <c r="A532" t="s">
        <v>839</v>
      </c>
      <c r="B532" t="s">
        <v>878</v>
      </c>
      <c r="C532" t="s">
        <v>580</v>
      </c>
      <c r="D532" s="1">
        <v>35029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/>
      <c r="L532" t="s">
        <v>859</v>
      </c>
      <c r="M532" t="s">
        <v>878</v>
      </c>
      <c r="N532" t="s">
        <v>603</v>
      </c>
      <c r="O532">
        <v>7551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25">
      <c r="A533" t="s">
        <v>794</v>
      </c>
      <c r="B533" t="s">
        <v>878</v>
      </c>
      <c r="C533" t="s">
        <v>581</v>
      </c>
      <c r="D533" s="1">
        <v>72581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/>
      <c r="L533" t="s">
        <v>831</v>
      </c>
      <c r="M533" t="s">
        <v>878</v>
      </c>
      <c r="N533" t="s">
        <v>604</v>
      </c>
      <c r="O533">
        <v>14828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25">
      <c r="A534" t="s">
        <v>794</v>
      </c>
      <c r="B534" t="s">
        <v>878</v>
      </c>
      <c r="C534" t="s">
        <v>582</v>
      </c>
      <c r="D534" s="1">
        <v>25339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/>
      <c r="L534" t="s">
        <v>809</v>
      </c>
      <c r="M534" t="s">
        <v>878</v>
      </c>
      <c r="N534" t="s">
        <v>605</v>
      </c>
      <c r="O534">
        <v>7114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25">
      <c r="A535" t="s">
        <v>794</v>
      </c>
      <c r="B535" t="s">
        <v>878</v>
      </c>
      <c r="C535" t="s">
        <v>583</v>
      </c>
      <c r="D535" s="1">
        <v>14749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/>
      <c r="L535" t="s">
        <v>817</v>
      </c>
      <c r="M535" t="s">
        <v>878</v>
      </c>
      <c r="N535" t="s">
        <v>606</v>
      </c>
      <c r="O535">
        <v>75055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25">
      <c r="A536" t="s">
        <v>120</v>
      </c>
      <c r="B536" t="s">
        <v>878</v>
      </c>
      <c r="C536" t="s">
        <v>584</v>
      </c>
      <c r="D536" s="1">
        <v>2139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/>
      <c r="L536" t="s">
        <v>824</v>
      </c>
      <c r="M536" t="s">
        <v>878</v>
      </c>
      <c r="N536" t="s">
        <v>607</v>
      </c>
      <c r="O536">
        <v>6897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25">
      <c r="A537" t="s">
        <v>837</v>
      </c>
      <c r="B537" t="s">
        <v>878</v>
      </c>
      <c r="C537" t="s">
        <v>585</v>
      </c>
      <c r="D537" s="1">
        <v>8907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/>
      <c r="L537" t="s">
        <v>138</v>
      </c>
      <c r="M537" t="s">
        <v>878</v>
      </c>
      <c r="N537" t="s">
        <v>608</v>
      </c>
      <c r="O537">
        <v>30249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25">
      <c r="A538" t="s">
        <v>859</v>
      </c>
      <c r="B538" t="s">
        <v>878</v>
      </c>
      <c r="C538" t="s">
        <v>586</v>
      </c>
      <c r="D538" s="1">
        <v>22241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/>
      <c r="L538" t="s">
        <v>859</v>
      </c>
      <c r="M538" t="s">
        <v>878</v>
      </c>
      <c r="N538" t="s">
        <v>609</v>
      </c>
      <c r="O538">
        <v>7061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25">
      <c r="A539" t="s">
        <v>836</v>
      </c>
      <c r="B539" t="s">
        <v>878</v>
      </c>
      <c r="C539" t="s">
        <v>587</v>
      </c>
      <c r="D539" s="1">
        <v>28372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/>
      <c r="L539" t="s">
        <v>817</v>
      </c>
      <c r="M539" t="s">
        <v>878</v>
      </c>
      <c r="N539" t="s">
        <v>610</v>
      </c>
      <c r="O539">
        <v>54883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25">
      <c r="A540" t="s">
        <v>844</v>
      </c>
      <c r="B540" t="s">
        <v>878</v>
      </c>
      <c r="C540" t="s">
        <v>588</v>
      </c>
      <c r="D540" s="1">
        <v>16188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/>
      <c r="L540" t="s">
        <v>817</v>
      </c>
      <c r="M540" t="s">
        <v>878</v>
      </c>
      <c r="N540" t="s">
        <v>611</v>
      </c>
      <c r="O540">
        <v>10908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25">
      <c r="A541" t="s">
        <v>838</v>
      </c>
      <c r="B541" t="s">
        <v>878</v>
      </c>
      <c r="C541" t="s">
        <v>589</v>
      </c>
      <c r="D541" s="1">
        <v>10152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/>
      <c r="L541" t="s">
        <v>134</v>
      </c>
      <c r="M541" t="s">
        <v>878</v>
      </c>
      <c r="N541" t="s">
        <v>612</v>
      </c>
      <c r="O541">
        <v>42562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25">
      <c r="A542" t="s">
        <v>833</v>
      </c>
      <c r="B542" t="s">
        <v>878</v>
      </c>
      <c r="C542" t="s">
        <v>590</v>
      </c>
      <c r="D542" s="1">
        <v>17162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/>
      <c r="L542" t="s">
        <v>817</v>
      </c>
      <c r="M542" t="s">
        <v>878</v>
      </c>
      <c r="N542" t="s">
        <v>613</v>
      </c>
      <c r="O542">
        <v>48262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25">
      <c r="A543" t="s">
        <v>845</v>
      </c>
      <c r="B543" t="s">
        <v>878</v>
      </c>
      <c r="C543" t="s">
        <v>591</v>
      </c>
      <c r="D543" s="1">
        <v>1965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/>
      <c r="L543" t="s">
        <v>817</v>
      </c>
      <c r="M543" t="s">
        <v>878</v>
      </c>
      <c r="N543" t="s">
        <v>614</v>
      </c>
      <c r="O543">
        <v>5989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25">
      <c r="A544" t="s">
        <v>794</v>
      </c>
      <c r="B544" t="s">
        <v>878</v>
      </c>
      <c r="C544" t="s">
        <v>592</v>
      </c>
      <c r="D544" s="1">
        <v>6250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/>
      <c r="L544" t="s">
        <v>826</v>
      </c>
      <c r="M544" t="s">
        <v>878</v>
      </c>
      <c r="N544" t="s">
        <v>615</v>
      </c>
      <c r="O544">
        <v>8175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25">
      <c r="A545" t="s">
        <v>843</v>
      </c>
      <c r="B545" t="s">
        <v>878</v>
      </c>
      <c r="C545" t="s">
        <v>593</v>
      </c>
      <c r="D545" s="1">
        <v>2596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/>
      <c r="L545" t="s">
        <v>101</v>
      </c>
      <c r="M545" t="s">
        <v>878</v>
      </c>
      <c r="N545" t="s">
        <v>616</v>
      </c>
      <c r="O545">
        <v>13300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25">
      <c r="A546" t="s">
        <v>863</v>
      </c>
      <c r="B546" t="s">
        <v>878</v>
      </c>
      <c r="C546" t="s">
        <v>594</v>
      </c>
      <c r="D546" s="1">
        <v>7658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/>
      <c r="L546" t="s">
        <v>811</v>
      </c>
      <c r="M546" t="s">
        <v>878</v>
      </c>
      <c r="N546" t="s">
        <v>617</v>
      </c>
      <c r="O546">
        <v>5751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25">
      <c r="A547" t="s">
        <v>804</v>
      </c>
      <c r="B547" t="s">
        <v>878</v>
      </c>
      <c r="C547" t="s">
        <v>595</v>
      </c>
      <c r="D547" s="1">
        <v>3465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/>
      <c r="L547" t="s">
        <v>101</v>
      </c>
      <c r="M547" t="s">
        <v>878</v>
      </c>
      <c r="N547" t="s">
        <v>618</v>
      </c>
      <c r="O547">
        <v>4705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25">
      <c r="A548" t="s">
        <v>795</v>
      </c>
      <c r="B548" t="s">
        <v>878</v>
      </c>
      <c r="C548" t="s">
        <v>596</v>
      </c>
      <c r="D548" s="1">
        <v>14449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/>
      <c r="L548" t="s">
        <v>788</v>
      </c>
      <c r="M548" t="s">
        <v>878</v>
      </c>
      <c r="N548" t="s">
        <v>619</v>
      </c>
      <c r="O548">
        <v>19369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25">
      <c r="A549" t="s">
        <v>101</v>
      </c>
      <c r="B549" t="s">
        <v>878</v>
      </c>
      <c r="C549" t="s">
        <v>597</v>
      </c>
      <c r="D549" s="1">
        <v>19446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/>
      <c r="L549" t="s">
        <v>817</v>
      </c>
      <c r="M549" t="s">
        <v>878</v>
      </c>
      <c r="N549" t="s">
        <v>620</v>
      </c>
      <c r="O549">
        <v>18725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25">
      <c r="A550" t="s">
        <v>835</v>
      </c>
      <c r="B550" t="s">
        <v>878</v>
      </c>
      <c r="C550" t="s">
        <v>598</v>
      </c>
      <c r="D550" s="1">
        <v>6209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/>
      <c r="L550" t="s">
        <v>248</v>
      </c>
      <c r="M550" t="s">
        <v>878</v>
      </c>
      <c r="N550" t="s">
        <v>621</v>
      </c>
      <c r="O550">
        <v>9358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25">
      <c r="A551" t="s">
        <v>842</v>
      </c>
      <c r="B551" t="s">
        <v>878</v>
      </c>
      <c r="C551" t="s">
        <v>599</v>
      </c>
      <c r="D551" s="1">
        <v>4379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/>
      <c r="L551" t="s">
        <v>831</v>
      </c>
      <c r="M551" t="s">
        <v>878</v>
      </c>
      <c r="N551" t="s">
        <v>622</v>
      </c>
      <c r="O551">
        <v>28954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25">
      <c r="A552" t="s">
        <v>226</v>
      </c>
      <c r="B552" t="s">
        <v>878</v>
      </c>
      <c r="C552" t="s">
        <v>600</v>
      </c>
      <c r="D552" s="1">
        <v>2988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/>
      <c r="L552" t="s">
        <v>823</v>
      </c>
      <c r="M552" t="s">
        <v>878</v>
      </c>
      <c r="N552" t="s">
        <v>623</v>
      </c>
      <c r="O552">
        <v>19758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25">
      <c r="A553" t="s">
        <v>817</v>
      </c>
      <c r="B553" t="s">
        <v>878</v>
      </c>
      <c r="C553" t="s">
        <v>601</v>
      </c>
      <c r="D553" s="1">
        <v>17470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/>
      <c r="L553" t="s">
        <v>817</v>
      </c>
      <c r="M553" t="s">
        <v>878</v>
      </c>
      <c r="N553" t="s">
        <v>624</v>
      </c>
      <c r="O553">
        <v>28916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25">
      <c r="A554" t="s">
        <v>788</v>
      </c>
      <c r="B554" t="s">
        <v>878</v>
      </c>
      <c r="C554" t="s">
        <v>602</v>
      </c>
      <c r="D554" s="1">
        <v>24052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/>
      <c r="L554" t="s">
        <v>76</v>
      </c>
      <c r="M554" t="s">
        <v>878</v>
      </c>
      <c r="N554" t="s">
        <v>625</v>
      </c>
      <c r="O554">
        <v>21710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25">
      <c r="A555" t="s">
        <v>859</v>
      </c>
      <c r="B555" t="s">
        <v>878</v>
      </c>
      <c r="C555" t="s">
        <v>603</v>
      </c>
      <c r="D555" s="1">
        <v>7551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/>
      <c r="L555" t="s">
        <v>69</v>
      </c>
      <c r="M555" t="s">
        <v>878</v>
      </c>
      <c r="N555" t="s">
        <v>626</v>
      </c>
      <c r="O555">
        <v>51082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25">
      <c r="A556" t="s">
        <v>831</v>
      </c>
      <c r="B556" t="s">
        <v>878</v>
      </c>
      <c r="C556" t="s">
        <v>604</v>
      </c>
      <c r="D556" s="1">
        <v>14828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/>
      <c r="L556" t="s">
        <v>83</v>
      </c>
      <c r="M556" t="s">
        <v>878</v>
      </c>
      <c r="N556" t="s">
        <v>627</v>
      </c>
      <c r="O556">
        <v>7933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25">
      <c r="A557" t="s">
        <v>809</v>
      </c>
      <c r="B557" t="s">
        <v>878</v>
      </c>
      <c r="C557" t="s">
        <v>605</v>
      </c>
      <c r="D557" s="1">
        <v>7114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/>
      <c r="L557" t="s">
        <v>791</v>
      </c>
      <c r="M557" t="s">
        <v>878</v>
      </c>
      <c r="N557" t="s">
        <v>628</v>
      </c>
      <c r="O557">
        <v>4782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x14ac:dyDescent="0.25">
      <c r="A558" t="s">
        <v>817</v>
      </c>
      <c r="B558" t="s">
        <v>878</v>
      </c>
      <c r="C558" t="s">
        <v>606</v>
      </c>
      <c r="D558" s="1">
        <v>75055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/>
      <c r="L558" t="s">
        <v>797</v>
      </c>
      <c r="M558" t="s">
        <v>878</v>
      </c>
      <c r="N558" t="s">
        <v>629</v>
      </c>
      <c r="O558">
        <v>950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25">
      <c r="A559" t="s">
        <v>824</v>
      </c>
      <c r="B559" t="s">
        <v>878</v>
      </c>
      <c r="C559" t="s">
        <v>607</v>
      </c>
      <c r="D559" s="1">
        <v>6897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/>
      <c r="L559" t="s">
        <v>69</v>
      </c>
      <c r="M559" t="s">
        <v>878</v>
      </c>
      <c r="N559" t="s">
        <v>630</v>
      </c>
      <c r="O559">
        <v>19570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25">
      <c r="A560" t="s">
        <v>138</v>
      </c>
      <c r="B560" t="s">
        <v>878</v>
      </c>
      <c r="C560" t="s">
        <v>608</v>
      </c>
      <c r="D560" s="1">
        <v>30249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/>
      <c r="L560" t="s">
        <v>69</v>
      </c>
      <c r="M560" t="s">
        <v>878</v>
      </c>
      <c r="N560" t="s">
        <v>631</v>
      </c>
      <c r="O560">
        <v>35169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25">
      <c r="A561" t="s">
        <v>859</v>
      </c>
      <c r="B561" t="s">
        <v>878</v>
      </c>
      <c r="C561" t="s">
        <v>609</v>
      </c>
      <c r="D561" s="1">
        <v>7061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/>
      <c r="L561" t="s">
        <v>823</v>
      </c>
      <c r="M561" t="s">
        <v>878</v>
      </c>
      <c r="N561" t="s">
        <v>632</v>
      </c>
      <c r="O561">
        <v>9772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25">
      <c r="A562" t="s">
        <v>817</v>
      </c>
      <c r="B562" t="s">
        <v>878</v>
      </c>
      <c r="C562" t="s">
        <v>610</v>
      </c>
      <c r="D562" s="1">
        <v>54883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/>
      <c r="L562" t="s">
        <v>76</v>
      </c>
      <c r="M562" t="s">
        <v>878</v>
      </c>
      <c r="N562" t="s">
        <v>633</v>
      </c>
      <c r="O562">
        <v>13419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25">
      <c r="A563" t="s">
        <v>817</v>
      </c>
      <c r="B563" t="s">
        <v>878</v>
      </c>
      <c r="C563" t="s">
        <v>611</v>
      </c>
      <c r="D563" s="1">
        <v>10908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/>
      <c r="L563" t="s">
        <v>817</v>
      </c>
      <c r="M563" t="s">
        <v>878</v>
      </c>
      <c r="N563" t="s">
        <v>634</v>
      </c>
    </row>
    <row r="564" spans="1:20" x14ac:dyDescent="0.25">
      <c r="A564" t="s">
        <v>134</v>
      </c>
      <c r="B564" t="s">
        <v>878</v>
      </c>
      <c r="C564" t="s">
        <v>612</v>
      </c>
      <c r="D564" s="1">
        <v>42562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/>
      <c r="L564" t="s">
        <v>801</v>
      </c>
      <c r="M564" t="s">
        <v>878</v>
      </c>
      <c r="N564" t="s">
        <v>635</v>
      </c>
      <c r="O564">
        <v>51819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25">
      <c r="A565" t="s">
        <v>817</v>
      </c>
      <c r="B565" t="s">
        <v>878</v>
      </c>
      <c r="C565" t="s">
        <v>613</v>
      </c>
      <c r="D565" s="1">
        <v>48262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/>
      <c r="L565" t="s">
        <v>817</v>
      </c>
      <c r="M565" t="s">
        <v>878</v>
      </c>
      <c r="N565" t="s">
        <v>636</v>
      </c>
      <c r="O565">
        <v>10354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25">
      <c r="A566" t="s">
        <v>817</v>
      </c>
      <c r="B566" t="s">
        <v>878</v>
      </c>
      <c r="C566" t="s">
        <v>614</v>
      </c>
      <c r="D566" s="1">
        <v>5989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/>
      <c r="L566" t="s">
        <v>824</v>
      </c>
      <c r="M566" t="s">
        <v>878</v>
      </c>
      <c r="N566" t="s">
        <v>637</v>
      </c>
      <c r="O566">
        <v>9669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25">
      <c r="A567" t="s">
        <v>826</v>
      </c>
      <c r="B567" t="s">
        <v>878</v>
      </c>
      <c r="C567" t="s">
        <v>615</v>
      </c>
      <c r="D567" s="1">
        <v>8175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/>
      <c r="L567" t="s">
        <v>818</v>
      </c>
      <c r="M567" t="s">
        <v>878</v>
      </c>
      <c r="N567" t="s">
        <v>638</v>
      </c>
      <c r="O567">
        <v>26326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25">
      <c r="A568" t="s">
        <v>101</v>
      </c>
      <c r="B568" t="s">
        <v>878</v>
      </c>
      <c r="C568" t="s">
        <v>616</v>
      </c>
      <c r="D568" s="1">
        <v>13300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/>
      <c r="L568" t="s">
        <v>817</v>
      </c>
      <c r="M568" t="s">
        <v>878</v>
      </c>
      <c r="N568" t="s">
        <v>639</v>
      </c>
      <c r="O568">
        <v>18026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25">
      <c r="A569" t="s">
        <v>811</v>
      </c>
      <c r="B569" t="s">
        <v>878</v>
      </c>
      <c r="C569" t="s">
        <v>617</v>
      </c>
      <c r="D569" s="1">
        <v>5751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/>
      <c r="L569" t="s">
        <v>811</v>
      </c>
      <c r="M569" t="s">
        <v>878</v>
      </c>
      <c r="N569" t="s">
        <v>640</v>
      </c>
      <c r="O569">
        <v>105526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25">
      <c r="A570" t="s">
        <v>101</v>
      </c>
      <c r="B570" t="s">
        <v>878</v>
      </c>
      <c r="C570" t="s">
        <v>618</v>
      </c>
      <c r="D570" s="1">
        <v>4705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/>
      <c r="L570" t="s">
        <v>811</v>
      </c>
      <c r="M570" t="s">
        <v>878</v>
      </c>
      <c r="N570" t="s">
        <v>641</v>
      </c>
      <c r="O570">
        <v>26891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25">
      <c r="A571" t="s">
        <v>788</v>
      </c>
      <c r="B571" t="s">
        <v>878</v>
      </c>
      <c r="C571" t="s">
        <v>619</v>
      </c>
      <c r="D571" s="1">
        <v>19369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/>
      <c r="L571" t="s">
        <v>76</v>
      </c>
      <c r="M571" t="s">
        <v>878</v>
      </c>
      <c r="N571" t="s">
        <v>642</v>
      </c>
      <c r="O571">
        <v>8059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25">
      <c r="A572" t="s">
        <v>817</v>
      </c>
      <c r="B572" t="s">
        <v>878</v>
      </c>
      <c r="C572" t="s">
        <v>620</v>
      </c>
      <c r="D572" s="1">
        <v>18725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/>
      <c r="L572" t="s">
        <v>817</v>
      </c>
      <c r="M572" t="s">
        <v>878</v>
      </c>
      <c r="N572" t="s">
        <v>643</v>
      </c>
    </row>
    <row r="573" spans="1:20" x14ac:dyDescent="0.25">
      <c r="A573" t="s">
        <v>248</v>
      </c>
      <c r="B573" t="s">
        <v>878</v>
      </c>
      <c r="C573" t="s">
        <v>621</v>
      </c>
      <c r="D573" s="1">
        <v>9358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/>
      <c r="L573" t="s">
        <v>76</v>
      </c>
      <c r="M573" t="s">
        <v>878</v>
      </c>
      <c r="N573" t="s">
        <v>644</v>
      </c>
      <c r="O573">
        <v>7295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25">
      <c r="A574" t="s">
        <v>831</v>
      </c>
      <c r="B574" t="s">
        <v>878</v>
      </c>
      <c r="C574" t="s">
        <v>622</v>
      </c>
      <c r="D574" s="1">
        <v>28954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/>
      <c r="L574" t="s">
        <v>817</v>
      </c>
      <c r="M574" t="s">
        <v>878</v>
      </c>
      <c r="N574" t="s">
        <v>645</v>
      </c>
      <c r="O574">
        <v>31685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25">
      <c r="A575" t="s">
        <v>823</v>
      </c>
      <c r="B575" t="s">
        <v>878</v>
      </c>
      <c r="C575" t="s">
        <v>623</v>
      </c>
      <c r="D575" s="1">
        <v>19758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/>
      <c r="L575" t="s">
        <v>817</v>
      </c>
      <c r="M575" t="s">
        <v>878</v>
      </c>
      <c r="N575" t="s">
        <v>646</v>
      </c>
      <c r="O575">
        <v>12856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25">
      <c r="A576" t="s">
        <v>817</v>
      </c>
      <c r="B576" t="s">
        <v>878</v>
      </c>
      <c r="C576" t="s">
        <v>624</v>
      </c>
      <c r="D576" s="1">
        <v>28916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/>
      <c r="L576" t="s">
        <v>226</v>
      </c>
      <c r="M576" t="s">
        <v>878</v>
      </c>
      <c r="N576" t="s">
        <v>647</v>
      </c>
      <c r="O576">
        <v>709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25">
      <c r="A577" t="s">
        <v>76</v>
      </c>
      <c r="B577" t="s">
        <v>878</v>
      </c>
      <c r="C577" t="s">
        <v>625</v>
      </c>
      <c r="D577" s="1">
        <v>21710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/>
      <c r="L577" t="s">
        <v>831</v>
      </c>
      <c r="M577" t="s">
        <v>878</v>
      </c>
      <c r="N577" t="s">
        <v>648</v>
      </c>
      <c r="O577">
        <v>25972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25">
      <c r="A578" t="s">
        <v>69</v>
      </c>
      <c r="B578" t="s">
        <v>878</v>
      </c>
      <c r="C578" t="s">
        <v>626</v>
      </c>
      <c r="D578" s="1">
        <v>51082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/>
      <c r="L578" t="s">
        <v>818</v>
      </c>
      <c r="M578" t="s">
        <v>878</v>
      </c>
      <c r="N578" t="s">
        <v>649</v>
      </c>
      <c r="O578">
        <v>12077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25">
      <c r="A579" t="s">
        <v>83</v>
      </c>
      <c r="B579" t="s">
        <v>878</v>
      </c>
      <c r="C579" t="s">
        <v>627</v>
      </c>
      <c r="D579" s="1">
        <v>7933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/>
      <c r="L579" t="s">
        <v>817</v>
      </c>
      <c r="M579" t="s">
        <v>878</v>
      </c>
      <c r="N579" t="s">
        <v>650</v>
      </c>
      <c r="O579">
        <v>25573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25">
      <c r="A580" t="s">
        <v>791</v>
      </c>
      <c r="B580" t="s">
        <v>878</v>
      </c>
      <c r="C580" t="s">
        <v>628</v>
      </c>
      <c r="D580" s="1">
        <v>4782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/>
      <c r="L580" t="s">
        <v>817</v>
      </c>
      <c r="M580" t="s">
        <v>878</v>
      </c>
      <c r="N580" t="s">
        <v>651</v>
      </c>
      <c r="O580">
        <v>11854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25">
      <c r="A581" t="s">
        <v>797</v>
      </c>
      <c r="B581" t="s">
        <v>878</v>
      </c>
      <c r="C581" t="s">
        <v>629</v>
      </c>
      <c r="D581" s="1">
        <v>950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/>
      <c r="L581" t="s">
        <v>817</v>
      </c>
      <c r="M581" t="s">
        <v>878</v>
      </c>
      <c r="N581" t="s">
        <v>652</v>
      </c>
    </row>
    <row r="582" spans="1:20" x14ac:dyDescent="0.25">
      <c r="A582" t="s">
        <v>69</v>
      </c>
      <c r="B582" t="s">
        <v>878</v>
      </c>
      <c r="C582" t="s">
        <v>630</v>
      </c>
      <c r="D582" s="1">
        <v>19570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/>
      <c r="L582" t="s">
        <v>817</v>
      </c>
      <c r="M582" t="s">
        <v>878</v>
      </c>
      <c r="N582" t="s">
        <v>653</v>
      </c>
      <c r="O582">
        <v>40464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25">
      <c r="A583" t="s">
        <v>69</v>
      </c>
      <c r="B583" t="s">
        <v>878</v>
      </c>
      <c r="C583" t="s">
        <v>631</v>
      </c>
      <c r="D583" s="1">
        <v>35169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/>
      <c r="L583" t="s">
        <v>817</v>
      </c>
      <c r="M583" t="s">
        <v>878</v>
      </c>
      <c r="N583" t="s">
        <v>654</v>
      </c>
      <c r="O583">
        <v>33497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25">
      <c r="A584" t="s">
        <v>823</v>
      </c>
      <c r="B584" t="s">
        <v>878</v>
      </c>
      <c r="C584" t="s">
        <v>632</v>
      </c>
      <c r="D584" s="1">
        <v>9772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/>
      <c r="L584" t="s">
        <v>826</v>
      </c>
      <c r="M584" t="s">
        <v>878</v>
      </c>
      <c r="N584" t="s">
        <v>655</v>
      </c>
      <c r="O584">
        <v>21695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25">
      <c r="A585" t="s">
        <v>76</v>
      </c>
      <c r="B585" t="s">
        <v>878</v>
      </c>
      <c r="C585" t="s">
        <v>633</v>
      </c>
      <c r="D585" s="1">
        <v>13419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/>
      <c r="L585" t="s">
        <v>817</v>
      </c>
      <c r="M585" t="s">
        <v>878</v>
      </c>
      <c r="N585" t="s">
        <v>656</v>
      </c>
      <c r="O585">
        <v>7243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25">
      <c r="A586" t="s">
        <v>817</v>
      </c>
      <c r="B586" t="s">
        <v>878</v>
      </c>
      <c r="C586" t="s">
        <v>634</v>
      </c>
      <c r="D586" s="1"/>
      <c r="E586" s="1"/>
      <c r="F586" s="1"/>
      <c r="G586" s="1"/>
      <c r="H586" s="1"/>
      <c r="I586" s="1"/>
      <c r="J586" s="1"/>
      <c r="K586" s="1"/>
      <c r="L586" t="s">
        <v>811</v>
      </c>
      <c r="M586" t="s">
        <v>878</v>
      </c>
      <c r="N586" t="s">
        <v>657</v>
      </c>
      <c r="O586">
        <v>43195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25">
      <c r="A587" t="s">
        <v>801</v>
      </c>
      <c r="B587" t="s">
        <v>878</v>
      </c>
      <c r="C587" t="s">
        <v>635</v>
      </c>
      <c r="D587" s="1">
        <v>51819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/>
      <c r="L587" t="s">
        <v>817</v>
      </c>
      <c r="M587" t="s">
        <v>878</v>
      </c>
      <c r="N587" t="s">
        <v>658</v>
      </c>
      <c r="O587">
        <v>41724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25">
      <c r="A588" t="s">
        <v>817</v>
      </c>
      <c r="B588" t="s">
        <v>878</v>
      </c>
      <c r="C588" t="s">
        <v>636</v>
      </c>
      <c r="D588" s="1">
        <v>10354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/>
      <c r="L588" t="s">
        <v>860</v>
      </c>
      <c r="M588" t="s">
        <v>878</v>
      </c>
      <c r="N588" t="s">
        <v>659</v>
      </c>
      <c r="O588">
        <v>8144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25">
      <c r="A589" t="s">
        <v>824</v>
      </c>
      <c r="B589" t="s">
        <v>878</v>
      </c>
      <c r="C589" t="s">
        <v>637</v>
      </c>
      <c r="D589" s="1">
        <v>9669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/>
      <c r="L589" t="s">
        <v>248</v>
      </c>
      <c r="M589" t="s">
        <v>878</v>
      </c>
      <c r="N589" t="s">
        <v>660</v>
      </c>
      <c r="O589">
        <v>12546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25">
      <c r="A590" t="s">
        <v>818</v>
      </c>
      <c r="B590" t="s">
        <v>878</v>
      </c>
      <c r="C590" t="s">
        <v>638</v>
      </c>
      <c r="D590" s="1">
        <v>26326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/>
      <c r="L590" t="s">
        <v>861</v>
      </c>
      <c r="M590" t="s">
        <v>878</v>
      </c>
      <c r="N590" t="s">
        <v>661</v>
      </c>
      <c r="O590">
        <v>8413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25">
      <c r="A591" t="s">
        <v>817</v>
      </c>
      <c r="B591" t="s">
        <v>878</v>
      </c>
      <c r="C591" t="s">
        <v>639</v>
      </c>
      <c r="D591" s="1">
        <v>18026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/>
      <c r="L591" t="s">
        <v>229</v>
      </c>
      <c r="M591" t="s">
        <v>878</v>
      </c>
      <c r="N591" t="s">
        <v>662</v>
      </c>
      <c r="O591">
        <v>9643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25">
      <c r="A592" t="s">
        <v>811</v>
      </c>
      <c r="B592" t="s">
        <v>878</v>
      </c>
      <c r="C592" t="s">
        <v>640</v>
      </c>
      <c r="D592" s="1">
        <v>105526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/>
      <c r="L592" t="s">
        <v>101</v>
      </c>
      <c r="M592" t="s">
        <v>878</v>
      </c>
      <c r="N592" t="s">
        <v>663</v>
      </c>
      <c r="O592">
        <v>7818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25">
      <c r="A593" t="s">
        <v>811</v>
      </c>
      <c r="B593" t="s">
        <v>878</v>
      </c>
      <c r="C593" t="s">
        <v>641</v>
      </c>
      <c r="D593" s="1">
        <v>26891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/>
      <c r="L593" t="s">
        <v>69</v>
      </c>
      <c r="M593" t="s">
        <v>878</v>
      </c>
      <c r="N593" t="s">
        <v>664</v>
      </c>
      <c r="O593">
        <v>16053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25">
      <c r="A594" t="s">
        <v>76</v>
      </c>
      <c r="B594" t="s">
        <v>878</v>
      </c>
      <c r="C594" t="s">
        <v>642</v>
      </c>
      <c r="D594" s="1">
        <v>8059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/>
      <c r="L594" t="s">
        <v>859</v>
      </c>
      <c r="M594" t="s">
        <v>878</v>
      </c>
      <c r="N594" t="s">
        <v>665</v>
      </c>
      <c r="O594">
        <v>14360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25">
      <c r="A595" t="s">
        <v>817</v>
      </c>
      <c r="B595" t="s">
        <v>878</v>
      </c>
      <c r="C595" t="s">
        <v>643</v>
      </c>
      <c r="D595" s="1"/>
      <c r="E595" s="1"/>
      <c r="F595" s="1"/>
      <c r="G595" s="1"/>
      <c r="H595" s="1"/>
      <c r="I595" s="1"/>
      <c r="J595" s="1"/>
      <c r="K595" s="1"/>
      <c r="L595" t="s">
        <v>804</v>
      </c>
      <c r="M595" t="s">
        <v>878</v>
      </c>
      <c r="N595" t="s">
        <v>666</v>
      </c>
      <c r="O595">
        <v>35409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25">
      <c r="A596" t="s">
        <v>76</v>
      </c>
      <c r="B596" t="s">
        <v>878</v>
      </c>
      <c r="C596" t="s">
        <v>644</v>
      </c>
      <c r="D596" s="1">
        <v>7295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/>
      <c r="L596" t="s">
        <v>853</v>
      </c>
      <c r="M596" t="s">
        <v>878</v>
      </c>
      <c r="N596" t="s">
        <v>667</v>
      </c>
      <c r="O596">
        <v>3693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25">
      <c r="A597" t="s">
        <v>817</v>
      </c>
      <c r="B597" t="s">
        <v>878</v>
      </c>
      <c r="C597" t="s">
        <v>645</v>
      </c>
      <c r="D597" s="1">
        <v>31685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/>
      <c r="L597" t="s">
        <v>862</v>
      </c>
      <c r="M597" t="s">
        <v>878</v>
      </c>
      <c r="N597" t="s">
        <v>668</v>
      </c>
      <c r="O597">
        <v>9796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25">
      <c r="A598" t="s">
        <v>817</v>
      </c>
      <c r="B598" t="s">
        <v>878</v>
      </c>
      <c r="C598" t="s">
        <v>646</v>
      </c>
      <c r="D598" s="1">
        <v>12856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/>
      <c r="L598" t="s">
        <v>847</v>
      </c>
      <c r="M598" t="s">
        <v>878</v>
      </c>
      <c r="N598" t="s">
        <v>669</v>
      </c>
      <c r="O598">
        <v>2286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25">
      <c r="A599" t="s">
        <v>226</v>
      </c>
      <c r="B599" t="s">
        <v>878</v>
      </c>
      <c r="C599" t="s">
        <v>647</v>
      </c>
      <c r="D599" s="1">
        <v>709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/>
      <c r="L599" t="s">
        <v>849</v>
      </c>
      <c r="M599" t="s">
        <v>878</v>
      </c>
      <c r="N599" t="s">
        <v>670</v>
      </c>
      <c r="O599">
        <v>2222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25">
      <c r="A600" t="s">
        <v>831</v>
      </c>
      <c r="B600" t="s">
        <v>878</v>
      </c>
      <c r="C600" t="s">
        <v>648</v>
      </c>
      <c r="D600" s="1">
        <v>25972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/>
      <c r="L600" t="s">
        <v>226</v>
      </c>
      <c r="M600" t="s">
        <v>878</v>
      </c>
      <c r="N600" t="s">
        <v>671</v>
      </c>
      <c r="O600">
        <v>575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25">
      <c r="A601" t="s">
        <v>818</v>
      </c>
      <c r="B601" t="s">
        <v>878</v>
      </c>
      <c r="C601" t="s">
        <v>649</v>
      </c>
      <c r="D601" s="1">
        <v>12077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/>
      <c r="L601" t="s">
        <v>795</v>
      </c>
      <c r="M601" t="s">
        <v>878</v>
      </c>
      <c r="N601" t="s">
        <v>672</v>
      </c>
      <c r="O601">
        <v>34396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25">
      <c r="A602" t="s">
        <v>817</v>
      </c>
      <c r="B602" t="s">
        <v>878</v>
      </c>
      <c r="C602" t="s">
        <v>650</v>
      </c>
      <c r="D602" s="1">
        <v>25573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/>
      <c r="L602" t="s">
        <v>830</v>
      </c>
      <c r="M602" t="s">
        <v>878</v>
      </c>
      <c r="N602" t="s">
        <v>673</v>
      </c>
      <c r="O602">
        <v>9726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25">
      <c r="A603" t="s">
        <v>817</v>
      </c>
      <c r="B603" t="s">
        <v>878</v>
      </c>
      <c r="C603" t="s">
        <v>651</v>
      </c>
      <c r="D603" s="1">
        <v>11854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/>
      <c r="L603" t="s">
        <v>795</v>
      </c>
      <c r="M603" t="s">
        <v>878</v>
      </c>
      <c r="N603" t="s">
        <v>674</v>
      </c>
      <c r="O603">
        <v>30027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25">
      <c r="A604" t="s">
        <v>817</v>
      </c>
      <c r="B604" t="s">
        <v>878</v>
      </c>
      <c r="C604" t="s">
        <v>652</v>
      </c>
      <c r="D604" s="1"/>
      <c r="E604" s="1"/>
      <c r="F604" s="1"/>
      <c r="G604" s="1"/>
      <c r="H604" s="1"/>
      <c r="I604" s="1"/>
      <c r="J604" s="1"/>
      <c r="K604" s="1"/>
      <c r="L604" t="s">
        <v>854</v>
      </c>
      <c r="M604" t="s">
        <v>878</v>
      </c>
      <c r="N604" t="s">
        <v>675</v>
      </c>
      <c r="O604">
        <v>6105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25">
      <c r="A605" t="s">
        <v>817</v>
      </c>
      <c r="B605" t="s">
        <v>878</v>
      </c>
      <c r="C605" t="s">
        <v>653</v>
      </c>
      <c r="D605" s="1">
        <v>40464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/>
      <c r="L605" t="s">
        <v>101</v>
      </c>
      <c r="M605" t="s">
        <v>878</v>
      </c>
      <c r="N605" t="s">
        <v>676</v>
      </c>
      <c r="O605">
        <v>21528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25">
      <c r="A606" t="s">
        <v>817</v>
      </c>
      <c r="B606" t="s">
        <v>878</v>
      </c>
      <c r="C606" t="s">
        <v>654</v>
      </c>
      <c r="D606" s="1">
        <v>33497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/>
      <c r="L606" t="s">
        <v>226</v>
      </c>
      <c r="M606" t="s">
        <v>878</v>
      </c>
      <c r="N606" t="s">
        <v>677</v>
      </c>
      <c r="O606">
        <v>5191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25">
      <c r="A607" t="s">
        <v>826</v>
      </c>
      <c r="B607" t="s">
        <v>878</v>
      </c>
      <c r="C607" t="s">
        <v>655</v>
      </c>
      <c r="D607" s="1">
        <v>21695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/>
      <c r="L607" t="s">
        <v>138</v>
      </c>
      <c r="M607" t="s">
        <v>878</v>
      </c>
      <c r="N607" t="s">
        <v>678</v>
      </c>
    </row>
    <row r="608" spans="1:20" x14ac:dyDescent="0.25">
      <c r="A608" t="s">
        <v>817</v>
      </c>
      <c r="B608" t="s">
        <v>878</v>
      </c>
      <c r="C608" t="s">
        <v>656</v>
      </c>
      <c r="D608" s="1">
        <v>7243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/>
      <c r="L608" t="s">
        <v>804</v>
      </c>
      <c r="M608" t="s">
        <v>878</v>
      </c>
      <c r="N608" t="s">
        <v>679</v>
      </c>
      <c r="O608">
        <v>56718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25">
      <c r="A609" t="s">
        <v>811</v>
      </c>
      <c r="B609" t="s">
        <v>878</v>
      </c>
      <c r="C609" t="s">
        <v>657</v>
      </c>
      <c r="D609" s="1">
        <v>43195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/>
      <c r="L609" t="s">
        <v>823</v>
      </c>
      <c r="M609" t="s">
        <v>878</v>
      </c>
      <c r="N609" t="s">
        <v>680</v>
      </c>
      <c r="O609">
        <v>34213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25">
      <c r="A610" t="s">
        <v>817</v>
      </c>
      <c r="B610" t="s">
        <v>878</v>
      </c>
      <c r="C610" t="s">
        <v>658</v>
      </c>
      <c r="D610" s="1">
        <v>41724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/>
      <c r="L610" t="s">
        <v>809</v>
      </c>
      <c r="M610" t="s">
        <v>878</v>
      </c>
      <c r="N610" t="s">
        <v>681</v>
      </c>
      <c r="O610">
        <v>47607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25">
      <c r="A611" t="s">
        <v>860</v>
      </c>
      <c r="B611" t="s">
        <v>878</v>
      </c>
      <c r="C611" t="s">
        <v>659</v>
      </c>
      <c r="D611" s="1">
        <v>8144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/>
      <c r="L611" t="s">
        <v>248</v>
      </c>
      <c r="M611" t="s">
        <v>878</v>
      </c>
      <c r="N611" t="s">
        <v>682</v>
      </c>
      <c r="O611">
        <v>20204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25">
      <c r="A612" t="s">
        <v>248</v>
      </c>
      <c r="B612" t="s">
        <v>878</v>
      </c>
      <c r="C612" t="s">
        <v>660</v>
      </c>
      <c r="D612" s="1">
        <v>12546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/>
      <c r="L612" t="s">
        <v>795</v>
      </c>
      <c r="M612" t="s">
        <v>878</v>
      </c>
      <c r="N612" t="s">
        <v>683</v>
      </c>
      <c r="O612">
        <v>26173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25">
      <c r="A613" t="s">
        <v>861</v>
      </c>
      <c r="B613" t="s">
        <v>878</v>
      </c>
      <c r="C613" t="s">
        <v>661</v>
      </c>
      <c r="D613" s="1">
        <v>8413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/>
      <c r="L613" t="s">
        <v>795</v>
      </c>
      <c r="M613" t="s">
        <v>878</v>
      </c>
      <c r="N613" t="s">
        <v>684</v>
      </c>
      <c r="O613">
        <v>71303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25">
      <c r="A614" t="s">
        <v>229</v>
      </c>
      <c r="B614" t="s">
        <v>878</v>
      </c>
      <c r="C614" t="s">
        <v>662</v>
      </c>
      <c r="D614" s="1">
        <v>9643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/>
      <c r="L614" t="s">
        <v>795</v>
      </c>
      <c r="M614" t="s">
        <v>878</v>
      </c>
      <c r="N614" t="s">
        <v>685</v>
      </c>
      <c r="O614">
        <v>14099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25">
      <c r="A615" t="s">
        <v>101</v>
      </c>
      <c r="B615" t="s">
        <v>878</v>
      </c>
      <c r="C615" t="s">
        <v>663</v>
      </c>
      <c r="D615" s="1">
        <v>7818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/>
      <c r="L615" t="s">
        <v>851</v>
      </c>
      <c r="M615" t="s">
        <v>878</v>
      </c>
      <c r="N615" t="s">
        <v>686</v>
      </c>
      <c r="O615">
        <v>3646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25">
      <c r="A616" t="s">
        <v>69</v>
      </c>
      <c r="B616" t="s">
        <v>878</v>
      </c>
      <c r="C616" t="s">
        <v>664</v>
      </c>
      <c r="D616" s="1">
        <v>16053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/>
      <c r="L616" t="s">
        <v>841</v>
      </c>
      <c r="M616" t="s">
        <v>878</v>
      </c>
      <c r="N616" t="s">
        <v>687</v>
      </c>
      <c r="O616">
        <v>12498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25">
      <c r="A617" t="s">
        <v>859</v>
      </c>
      <c r="B617" t="s">
        <v>878</v>
      </c>
      <c r="C617" t="s">
        <v>665</v>
      </c>
      <c r="D617" s="1">
        <v>14360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/>
      <c r="L617" t="s">
        <v>859</v>
      </c>
      <c r="M617" t="s">
        <v>878</v>
      </c>
      <c r="N617" t="s">
        <v>688</v>
      </c>
      <c r="O617">
        <v>5560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25">
      <c r="A618" t="s">
        <v>804</v>
      </c>
      <c r="B618" t="s">
        <v>878</v>
      </c>
      <c r="C618" t="s">
        <v>666</v>
      </c>
      <c r="D618" s="1">
        <v>35409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/>
      <c r="L618" t="s">
        <v>248</v>
      </c>
      <c r="M618" t="s">
        <v>878</v>
      </c>
      <c r="N618" t="s">
        <v>689</v>
      </c>
      <c r="O618">
        <v>39323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25">
      <c r="A619" t="s">
        <v>853</v>
      </c>
      <c r="B619" t="s">
        <v>878</v>
      </c>
      <c r="C619" t="s">
        <v>667</v>
      </c>
      <c r="D619" s="1">
        <v>3693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/>
      <c r="L619" t="s">
        <v>831</v>
      </c>
      <c r="M619" t="s">
        <v>878</v>
      </c>
      <c r="N619" t="s">
        <v>690</v>
      </c>
      <c r="O619">
        <v>12232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25">
      <c r="A620" t="s">
        <v>862</v>
      </c>
      <c r="B620" t="s">
        <v>878</v>
      </c>
      <c r="C620" t="s">
        <v>668</v>
      </c>
      <c r="D620" s="1">
        <v>9796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/>
      <c r="L620" t="s">
        <v>840</v>
      </c>
      <c r="M620" t="s">
        <v>878</v>
      </c>
      <c r="N620" t="s">
        <v>691</v>
      </c>
      <c r="O620">
        <v>18014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25">
      <c r="A621" t="s">
        <v>847</v>
      </c>
      <c r="B621" t="s">
        <v>878</v>
      </c>
      <c r="C621" t="s">
        <v>669</v>
      </c>
      <c r="D621" s="1">
        <v>2286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/>
      <c r="L621" t="s">
        <v>495</v>
      </c>
      <c r="M621" t="s">
        <v>878</v>
      </c>
      <c r="N621" t="s">
        <v>692</v>
      </c>
      <c r="O621">
        <v>18645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25">
      <c r="A622" t="s">
        <v>849</v>
      </c>
      <c r="B622" t="s">
        <v>878</v>
      </c>
      <c r="C622" t="s">
        <v>670</v>
      </c>
      <c r="D622" s="1">
        <v>2222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/>
      <c r="L622" t="s">
        <v>824</v>
      </c>
      <c r="M622" t="s">
        <v>878</v>
      </c>
      <c r="N622" t="s">
        <v>693</v>
      </c>
      <c r="O622">
        <v>16841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25">
      <c r="A623" t="s">
        <v>226</v>
      </c>
      <c r="B623" t="s">
        <v>878</v>
      </c>
      <c r="C623" t="s">
        <v>671</v>
      </c>
      <c r="D623" s="1">
        <v>575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/>
      <c r="L623" t="s">
        <v>795</v>
      </c>
      <c r="M623" t="s">
        <v>878</v>
      </c>
      <c r="N623" t="s">
        <v>694</v>
      </c>
      <c r="O623">
        <v>4705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25">
      <c r="A624" t="s">
        <v>795</v>
      </c>
      <c r="B624" t="s">
        <v>878</v>
      </c>
      <c r="C624" t="s">
        <v>672</v>
      </c>
      <c r="D624" s="1">
        <v>34396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/>
      <c r="L624" t="s">
        <v>72</v>
      </c>
      <c r="M624" t="s">
        <v>878</v>
      </c>
      <c r="N624" t="s">
        <v>695</v>
      </c>
      <c r="O624">
        <v>2422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25">
      <c r="A625" t="s">
        <v>830</v>
      </c>
      <c r="B625" t="s">
        <v>878</v>
      </c>
      <c r="C625" t="s">
        <v>673</v>
      </c>
      <c r="D625" s="1">
        <v>9726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/>
      <c r="L625" t="s">
        <v>795</v>
      </c>
      <c r="M625" t="s">
        <v>878</v>
      </c>
      <c r="N625" t="s">
        <v>696</v>
      </c>
      <c r="O625">
        <v>10552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25">
      <c r="A626" t="s">
        <v>795</v>
      </c>
      <c r="B626" t="s">
        <v>878</v>
      </c>
      <c r="C626" t="s">
        <v>674</v>
      </c>
      <c r="D626" s="1">
        <v>30027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/>
      <c r="L626" t="s">
        <v>831</v>
      </c>
      <c r="M626" t="s">
        <v>878</v>
      </c>
      <c r="N626" t="s">
        <v>697</v>
      </c>
      <c r="O626">
        <v>13515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25">
      <c r="A627" t="s">
        <v>854</v>
      </c>
      <c r="B627" t="s">
        <v>878</v>
      </c>
      <c r="C627" t="s">
        <v>675</v>
      </c>
      <c r="D627" s="1">
        <v>6105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/>
      <c r="L627" t="s">
        <v>829</v>
      </c>
      <c r="M627" t="s">
        <v>878</v>
      </c>
      <c r="N627" t="s">
        <v>698</v>
      </c>
      <c r="O627">
        <v>21900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25">
      <c r="A628" t="s">
        <v>101</v>
      </c>
      <c r="B628" t="s">
        <v>878</v>
      </c>
      <c r="C628" t="s">
        <v>676</v>
      </c>
      <c r="D628" s="1">
        <v>21528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/>
      <c r="L628" t="s">
        <v>811</v>
      </c>
      <c r="M628" t="s">
        <v>878</v>
      </c>
      <c r="N628" t="s">
        <v>699</v>
      </c>
      <c r="O628">
        <v>20054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25">
      <c r="A629" t="s">
        <v>226</v>
      </c>
      <c r="B629" t="s">
        <v>878</v>
      </c>
      <c r="C629" t="s">
        <v>677</v>
      </c>
      <c r="D629" s="1">
        <v>5191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/>
      <c r="L629" t="s">
        <v>856</v>
      </c>
      <c r="M629" t="s">
        <v>878</v>
      </c>
      <c r="N629" t="s">
        <v>700</v>
      </c>
      <c r="O629">
        <v>23408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25">
      <c r="A630" t="s">
        <v>138</v>
      </c>
      <c r="B630" t="s">
        <v>878</v>
      </c>
      <c r="C630" t="s">
        <v>678</v>
      </c>
      <c r="D630" s="1"/>
      <c r="E630" s="1"/>
      <c r="F630" s="1"/>
      <c r="G630" s="1"/>
      <c r="H630" s="1"/>
      <c r="I630" s="1"/>
      <c r="J630" s="1"/>
      <c r="K630" s="1"/>
      <c r="L630" t="s">
        <v>796</v>
      </c>
      <c r="M630" t="s">
        <v>878</v>
      </c>
      <c r="N630" t="s">
        <v>701</v>
      </c>
      <c r="O630">
        <v>20860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25">
      <c r="A631" t="s">
        <v>804</v>
      </c>
      <c r="B631" t="s">
        <v>878</v>
      </c>
      <c r="C631" t="s">
        <v>679</v>
      </c>
      <c r="D631" s="1">
        <v>56718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/>
      <c r="L631" t="s">
        <v>512</v>
      </c>
      <c r="M631" t="s">
        <v>878</v>
      </c>
      <c r="N631" t="s">
        <v>702</v>
      </c>
    </row>
    <row r="632" spans="1:20" x14ac:dyDescent="0.25">
      <c r="A632" t="s">
        <v>823</v>
      </c>
      <c r="B632" t="s">
        <v>878</v>
      </c>
      <c r="C632" t="s">
        <v>680</v>
      </c>
      <c r="D632" s="1">
        <v>34213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/>
      <c r="L632" t="s">
        <v>850</v>
      </c>
      <c r="M632" t="s">
        <v>878</v>
      </c>
      <c r="N632" t="s">
        <v>703</v>
      </c>
      <c r="O632">
        <v>2690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25">
      <c r="A633" t="s">
        <v>809</v>
      </c>
      <c r="B633" t="s">
        <v>878</v>
      </c>
      <c r="C633" t="s">
        <v>681</v>
      </c>
      <c r="D633" s="1">
        <v>47607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/>
      <c r="L633" t="s">
        <v>146</v>
      </c>
      <c r="M633" t="s">
        <v>878</v>
      </c>
      <c r="N633" t="s">
        <v>704</v>
      </c>
      <c r="O633">
        <v>16856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25">
      <c r="A634" t="s">
        <v>248</v>
      </c>
      <c r="B634" t="s">
        <v>878</v>
      </c>
      <c r="C634" t="s">
        <v>682</v>
      </c>
      <c r="D634" s="1">
        <v>20204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/>
      <c r="L634" t="s">
        <v>846</v>
      </c>
      <c r="M634" t="s">
        <v>878</v>
      </c>
      <c r="N634" t="s">
        <v>705</v>
      </c>
      <c r="O634">
        <v>5978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25">
      <c r="A635" t="s">
        <v>795</v>
      </c>
      <c r="B635" t="s">
        <v>878</v>
      </c>
      <c r="C635" t="s">
        <v>683</v>
      </c>
      <c r="D635" s="1">
        <v>26173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/>
      <c r="L635" t="s">
        <v>855</v>
      </c>
      <c r="M635" t="s">
        <v>878</v>
      </c>
      <c r="N635" t="s">
        <v>706</v>
      </c>
      <c r="O635">
        <v>6498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25">
      <c r="A636" t="s">
        <v>795</v>
      </c>
      <c r="B636" t="s">
        <v>878</v>
      </c>
      <c r="C636" t="s">
        <v>684</v>
      </c>
      <c r="D636" s="1">
        <v>71303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/>
      <c r="L636" t="s">
        <v>794</v>
      </c>
      <c r="M636" t="s">
        <v>878</v>
      </c>
      <c r="N636" t="s">
        <v>707</v>
      </c>
      <c r="O636">
        <v>9685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25">
      <c r="A637" t="s">
        <v>795</v>
      </c>
      <c r="B637" t="s">
        <v>878</v>
      </c>
      <c r="C637" t="s">
        <v>685</v>
      </c>
      <c r="D637" s="1">
        <v>14099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/>
      <c r="L637" t="s">
        <v>803</v>
      </c>
      <c r="M637" t="s">
        <v>878</v>
      </c>
      <c r="N637" t="s">
        <v>708</v>
      </c>
    </row>
    <row r="638" spans="1:20" x14ac:dyDescent="0.25">
      <c r="A638" t="s">
        <v>851</v>
      </c>
      <c r="B638" t="s">
        <v>878</v>
      </c>
      <c r="C638" t="s">
        <v>686</v>
      </c>
      <c r="D638" s="1">
        <v>3646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/>
      <c r="L638" t="s">
        <v>834</v>
      </c>
      <c r="M638" t="s">
        <v>878</v>
      </c>
      <c r="N638" t="s">
        <v>709</v>
      </c>
      <c r="O638">
        <v>7529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25">
      <c r="A639" t="s">
        <v>841</v>
      </c>
      <c r="B639" t="s">
        <v>878</v>
      </c>
      <c r="C639" t="s">
        <v>687</v>
      </c>
      <c r="D639" s="1">
        <v>12498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/>
      <c r="L639" t="s">
        <v>852</v>
      </c>
      <c r="M639" t="s">
        <v>878</v>
      </c>
      <c r="N639" t="s">
        <v>710</v>
      </c>
      <c r="O639">
        <v>7744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25">
      <c r="A640" t="s">
        <v>859</v>
      </c>
      <c r="B640" t="s">
        <v>878</v>
      </c>
      <c r="C640" t="s">
        <v>688</v>
      </c>
      <c r="D640" s="1">
        <v>5560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/>
      <c r="L640" t="s">
        <v>824</v>
      </c>
      <c r="M640" t="s">
        <v>878</v>
      </c>
      <c r="N640" t="s">
        <v>711</v>
      </c>
      <c r="O640">
        <v>11593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25">
      <c r="A641" t="s">
        <v>248</v>
      </c>
      <c r="B641" t="s">
        <v>878</v>
      </c>
      <c r="C641" t="s">
        <v>689</v>
      </c>
      <c r="D641" s="1">
        <v>39323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/>
      <c r="L641" t="s">
        <v>817</v>
      </c>
      <c r="M641" t="s">
        <v>878</v>
      </c>
      <c r="N641" t="s">
        <v>712</v>
      </c>
    </row>
    <row r="642" spans="1:20" x14ac:dyDescent="0.25">
      <c r="A642" t="s">
        <v>831</v>
      </c>
      <c r="B642" t="s">
        <v>878</v>
      </c>
      <c r="C642" t="s">
        <v>690</v>
      </c>
      <c r="D642" s="1">
        <v>12232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/>
      <c r="L642" t="s">
        <v>857</v>
      </c>
      <c r="M642" t="s">
        <v>878</v>
      </c>
      <c r="N642" t="s">
        <v>713</v>
      </c>
      <c r="O642">
        <v>6882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25">
      <c r="A643" t="s">
        <v>840</v>
      </c>
      <c r="B643" t="s">
        <v>878</v>
      </c>
      <c r="C643" t="s">
        <v>691</v>
      </c>
      <c r="D643" s="1">
        <v>18014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/>
      <c r="L643" t="s">
        <v>146</v>
      </c>
      <c r="M643" t="s">
        <v>878</v>
      </c>
      <c r="N643" t="s">
        <v>714</v>
      </c>
      <c r="O643">
        <v>28668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25">
      <c r="A644" t="s">
        <v>495</v>
      </c>
      <c r="B644" t="s">
        <v>878</v>
      </c>
      <c r="C644" t="s">
        <v>692</v>
      </c>
      <c r="D644" s="1">
        <v>18645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/>
      <c r="L644" t="s">
        <v>120</v>
      </c>
      <c r="M644" t="s">
        <v>878</v>
      </c>
      <c r="N644" t="s">
        <v>715</v>
      </c>
      <c r="O644">
        <v>8851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25">
      <c r="A645" t="s">
        <v>824</v>
      </c>
      <c r="B645" t="s">
        <v>878</v>
      </c>
      <c r="C645" t="s">
        <v>693</v>
      </c>
      <c r="D645" s="1">
        <v>16841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/>
      <c r="L645" t="s">
        <v>146</v>
      </c>
      <c r="M645" t="s">
        <v>878</v>
      </c>
      <c r="N645" t="s">
        <v>716</v>
      </c>
      <c r="O645">
        <v>6609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25">
      <c r="A646" t="s">
        <v>795</v>
      </c>
      <c r="B646" t="s">
        <v>878</v>
      </c>
      <c r="C646" t="s">
        <v>694</v>
      </c>
      <c r="D646" s="1">
        <v>4705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/>
      <c r="L646" t="s">
        <v>795</v>
      </c>
      <c r="M646" t="s">
        <v>878</v>
      </c>
      <c r="N646" t="s">
        <v>717</v>
      </c>
      <c r="O646">
        <v>8824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25">
      <c r="A647" t="s">
        <v>72</v>
      </c>
      <c r="B647" t="s">
        <v>878</v>
      </c>
      <c r="C647" t="s">
        <v>695</v>
      </c>
      <c r="D647" s="1">
        <v>2422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/>
      <c r="L647" t="s">
        <v>146</v>
      </c>
      <c r="M647" t="s">
        <v>878</v>
      </c>
      <c r="N647" t="s">
        <v>718</v>
      </c>
      <c r="O647">
        <v>21479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25">
      <c r="A648" t="s">
        <v>795</v>
      </c>
      <c r="B648" t="s">
        <v>878</v>
      </c>
      <c r="C648" t="s">
        <v>696</v>
      </c>
      <c r="D648" s="1">
        <v>10552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/>
      <c r="L648" t="s">
        <v>816</v>
      </c>
      <c r="M648" t="s">
        <v>878</v>
      </c>
      <c r="N648" t="s">
        <v>719</v>
      </c>
      <c r="O648">
        <v>6605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25">
      <c r="A649" t="s">
        <v>831</v>
      </c>
      <c r="B649" t="s">
        <v>878</v>
      </c>
      <c r="C649" t="s">
        <v>697</v>
      </c>
      <c r="D649" s="1">
        <v>13515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/>
      <c r="L649" t="s">
        <v>817</v>
      </c>
      <c r="M649" t="s">
        <v>878</v>
      </c>
      <c r="N649" t="s">
        <v>720</v>
      </c>
      <c r="O649">
        <v>31967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25">
      <c r="A650" t="s">
        <v>829</v>
      </c>
      <c r="B650" t="s">
        <v>878</v>
      </c>
      <c r="C650" t="s">
        <v>698</v>
      </c>
      <c r="D650" s="1">
        <v>21900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/>
      <c r="L650" t="s">
        <v>864</v>
      </c>
      <c r="M650" t="s">
        <v>878</v>
      </c>
      <c r="N650" t="s">
        <v>721</v>
      </c>
      <c r="O650">
        <v>58989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25">
      <c r="A651" t="s">
        <v>811</v>
      </c>
      <c r="B651" t="s">
        <v>878</v>
      </c>
      <c r="C651" t="s">
        <v>699</v>
      </c>
      <c r="D651" s="1">
        <v>20054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/>
      <c r="L651" t="s">
        <v>146</v>
      </c>
      <c r="M651" t="s">
        <v>878</v>
      </c>
      <c r="N651" t="s">
        <v>722</v>
      </c>
      <c r="O651">
        <v>8457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25">
      <c r="A652" t="s">
        <v>856</v>
      </c>
      <c r="B652" t="s">
        <v>878</v>
      </c>
      <c r="C652" t="s">
        <v>700</v>
      </c>
      <c r="D652" s="1">
        <v>23408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/>
      <c r="L652" t="s">
        <v>858</v>
      </c>
      <c r="M652" t="s">
        <v>878</v>
      </c>
      <c r="N652" t="s">
        <v>723</v>
      </c>
      <c r="O652">
        <v>8855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25">
      <c r="A653" t="s">
        <v>796</v>
      </c>
      <c r="B653" t="s">
        <v>878</v>
      </c>
      <c r="C653" t="s">
        <v>701</v>
      </c>
      <c r="D653" s="1">
        <v>20860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/>
      <c r="L653" t="s">
        <v>864</v>
      </c>
      <c r="M653" t="s">
        <v>878</v>
      </c>
      <c r="N653" t="s">
        <v>724</v>
      </c>
      <c r="O653">
        <v>98954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25">
      <c r="A654" t="s">
        <v>512</v>
      </c>
      <c r="B654" t="s">
        <v>878</v>
      </c>
      <c r="C654" t="s">
        <v>702</v>
      </c>
      <c r="D654" s="1"/>
      <c r="E654" s="1"/>
      <c r="F654" s="1"/>
      <c r="G654" s="1"/>
      <c r="H654" s="1"/>
      <c r="I654" s="1"/>
      <c r="J654" s="1"/>
      <c r="K654" s="1"/>
      <c r="L654" t="s">
        <v>794</v>
      </c>
      <c r="M654" t="s">
        <v>878</v>
      </c>
      <c r="N654" t="s">
        <v>725</v>
      </c>
      <c r="O654">
        <v>35098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25">
      <c r="A655" t="s">
        <v>850</v>
      </c>
      <c r="B655" t="s">
        <v>878</v>
      </c>
      <c r="C655" t="s">
        <v>703</v>
      </c>
      <c r="D655" s="1">
        <v>2690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/>
      <c r="L655" t="s">
        <v>864</v>
      </c>
      <c r="M655" t="s">
        <v>878</v>
      </c>
      <c r="N655" t="s">
        <v>726</v>
      </c>
      <c r="O655">
        <v>44042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25">
      <c r="A656" t="s">
        <v>146</v>
      </c>
      <c r="B656" t="s">
        <v>878</v>
      </c>
      <c r="C656" t="s">
        <v>704</v>
      </c>
      <c r="D656" s="1">
        <v>16856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/>
      <c r="L656" t="s">
        <v>824</v>
      </c>
      <c r="M656" t="s">
        <v>878</v>
      </c>
      <c r="N656" t="s">
        <v>727</v>
      </c>
      <c r="O656">
        <v>8240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25">
      <c r="A657" t="s">
        <v>846</v>
      </c>
      <c r="B657" t="s">
        <v>878</v>
      </c>
      <c r="C657" t="s">
        <v>705</v>
      </c>
      <c r="D657" s="1">
        <v>5978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/>
      <c r="L657" t="s">
        <v>134</v>
      </c>
      <c r="M657" t="s">
        <v>878</v>
      </c>
      <c r="N657" t="s">
        <v>728</v>
      </c>
      <c r="O657">
        <v>2518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25">
      <c r="A658" t="s">
        <v>855</v>
      </c>
      <c r="B658" t="s">
        <v>878</v>
      </c>
      <c r="C658" t="s">
        <v>706</v>
      </c>
      <c r="D658" s="1">
        <v>6498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/>
      <c r="L658" t="s">
        <v>138</v>
      </c>
      <c r="M658" t="s">
        <v>878</v>
      </c>
      <c r="N658" t="s">
        <v>729</v>
      </c>
      <c r="O658">
        <v>31520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25">
      <c r="A659" t="s">
        <v>794</v>
      </c>
      <c r="B659" t="s">
        <v>878</v>
      </c>
      <c r="C659" t="s">
        <v>707</v>
      </c>
      <c r="D659" s="1">
        <v>9685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/>
      <c r="L659" t="s">
        <v>788</v>
      </c>
      <c r="M659" t="s">
        <v>878</v>
      </c>
      <c r="N659" t="s">
        <v>730</v>
      </c>
      <c r="O659">
        <v>2125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25">
      <c r="A660" t="s">
        <v>803</v>
      </c>
      <c r="B660" t="s">
        <v>878</v>
      </c>
      <c r="C660" t="s">
        <v>708</v>
      </c>
      <c r="D660" s="1"/>
      <c r="E660" s="1"/>
      <c r="F660" s="1"/>
      <c r="G660" s="1"/>
      <c r="H660" s="1"/>
      <c r="I660" s="1"/>
      <c r="J660" s="1"/>
      <c r="K660" s="1"/>
      <c r="L660" t="s">
        <v>831</v>
      </c>
      <c r="M660" t="s">
        <v>878</v>
      </c>
      <c r="N660" t="s">
        <v>731</v>
      </c>
      <c r="O660">
        <v>3433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25">
      <c r="A661" t="s">
        <v>834</v>
      </c>
      <c r="B661" t="s">
        <v>878</v>
      </c>
      <c r="C661" t="s">
        <v>709</v>
      </c>
      <c r="D661" s="1">
        <v>7529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/>
      <c r="L661" t="s">
        <v>138</v>
      </c>
      <c r="M661" t="s">
        <v>878</v>
      </c>
      <c r="N661" t="s">
        <v>732</v>
      </c>
    </row>
    <row r="662" spans="1:20" x14ac:dyDescent="0.25">
      <c r="A662" t="s">
        <v>852</v>
      </c>
      <c r="B662" t="s">
        <v>878</v>
      </c>
      <c r="C662" t="s">
        <v>710</v>
      </c>
      <c r="D662" s="1">
        <v>7744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/>
      <c r="L662" t="s">
        <v>809</v>
      </c>
      <c r="M662" t="s">
        <v>878</v>
      </c>
      <c r="N662" t="s">
        <v>733</v>
      </c>
      <c r="O662">
        <v>25471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25">
      <c r="A663" t="s">
        <v>824</v>
      </c>
      <c r="B663" t="s">
        <v>878</v>
      </c>
      <c r="C663" t="s">
        <v>711</v>
      </c>
      <c r="D663" s="1">
        <v>11593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/>
      <c r="L663" t="s">
        <v>868</v>
      </c>
      <c r="M663" t="s">
        <v>878</v>
      </c>
      <c r="N663" t="s">
        <v>734</v>
      </c>
    </row>
    <row r="664" spans="1:20" x14ac:dyDescent="0.25">
      <c r="A664" t="s">
        <v>817</v>
      </c>
      <c r="B664" t="s">
        <v>878</v>
      </c>
      <c r="C664" t="s">
        <v>712</v>
      </c>
      <c r="D664" s="1"/>
      <c r="E664" s="1"/>
      <c r="F664" s="1"/>
      <c r="G664" s="1"/>
      <c r="H664" s="1"/>
      <c r="I664" s="1"/>
      <c r="J664" s="1"/>
      <c r="K664" s="1"/>
      <c r="L664" t="s">
        <v>817</v>
      </c>
      <c r="M664" t="s">
        <v>878</v>
      </c>
      <c r="N664" t="s">
        <v>735</v>
      </c>
      <c r="O664">
        <v>8862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25">
      <c r="A665" t="s">
        <v>857</v>
      </c>
      <c r="B665" t="s">
        <v>878</v>
      </c>
      <c r="C665" t="s">
        <v>713</v>
      </c>
      <c r="D665" s="1">
        <v>6882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/>
      <c r="L665" t="s">
        <v>801</v>
      </c>
      <c r="M665" t="s">
        <v>878</v>
      </c>
      <c r="N665" t="s">
        <v>736</v>
      </c>
      <c r="O665">
        <v>1687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25">
      <c r="A666" t="s">
        <v>146</v>
      </c>
      <c r="B666" t="s">
        <v>878</v>
      </c>
      <c r="C666" t="s">
        <v>714</v>
      </c>
      <c r="D666" s="1">
        <v>28668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/>
      <c r="L666" t="s">
        <v>138</v>
      </c>
      <c r="M666" t="s">
        <v>878</v>
      </c>
      <c r="N666" t="s">
        <v>737</v>
      </c>
      <c r="O666">
        <v>12677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25">
      <c r="A667" t="s">
        <v>120</v>
      </c>
      <c r="B667" t="s">
        <v>878</v>
      </c>
      <c r="C667" t="s">
        <v>715</v>
      </c>
      <c r="D667" s="1">
        <v>8851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/>
      <c r="L667" t="s">
        <v>138</v>
      </c>
      <c r="M667" t="s">
        <v>878</v>
      </c>
      <c r="N667" t="s">
        <v>738</v>
      </c>
      <c r="O667">
        <v>11230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25">
      <c r="A668" t="s">
        <v>146</v>
      </c>
      <c r="B668" t="s">
        <v>878</v>
      </c>
      <c r="C668" t="s">
        <v>716</v>
      </c>
      <c r="D668" s="1">
        <v>6609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/>
      <c r="L668" t="s">
        <v>248</v>
      </c>
      <c r="M668" t="s">
        <v>878</v>
      </c>
      <c r="N668" t="s">
        <v>739</v>
      </c>
      <c r="O668">
        <v>17810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25">
      <c r="A669" t="s">
        <v>795</v>
      </c>
      <c r="B669" t="s">
        <v>878</v>
      </c>
      <c r="C669" t="s">
        <v>717</v>
      </c>
      <c r="D669" s="1">
        <v>8824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/>
      <c r="L669" t="s">
        <v>138</v>
      </c>
      <c r="M669" t="s">
        <v>878</v>
      </c>
      <c r="N669" t="s">
        <v>740</v>
      </c>
      <c r="O669">
        <v>7045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25">
      <c r="A670" t="s">
        <v>146</v>
      </c>
      <c r="B670" t="s">
        <v>878</v>
      </c>
      <c r="C670" t="s">
        <v>718</v>
      </c>
      <c r="D670" s="1">
        <v>21479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/>
      <c r="L670" t="s">
        <v>134</v>
      </c>
      <c r="M670" t="s">
        <v>878</v>
      </c>
      <c r="N670" t="s">
        <v>741</v>
      </c>
      <c r="O670">
        <v>7130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25">
      <c r="A671" t="s">
        <v>816</v>
      </c>
      <c r="B671" t="s">
        <v>878</v>
      </c>
      <c r="C671" t="s">
        <v>719</v>
      </c>
      <c r="D671" s="1">
        <v>6605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/>
      <c r="L671" t="s">
        <v>231</v>
      </c>
      <c r="M671" t="s">
        <v>878</v>
      </c>
      <c r="N671" t="s">
        <v>742</v>
      </c>
      <c r="O671">
        <v>28433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25">
      <c r="A672" t="s">
        <v>817</v>
      </c>
      <c r="B672" t="s">
        <v>878</v>
      </c>
      <c r="C672" t="s">
        <v>720</v>
      </c>
      <c r="D672" s="1">
        <v>31967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/>
      <c r="L672" t="s">
        <v>83</v>
      </c>
      <c r="M672" t="s">
        <v>878</v>
      </c>
      <c r="N672" t="s">
        <v>743</v>
      </c>
      <c r="O672">
        <v>2614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25">
      <c r="A673" t="s">
        <v>864</v>
      </c>
      <c r="B673" t="s">
        <v>878</v>
      </c>
      <c r="C673" t="s">
        <v>721</v>
      </c>
      <c r="D673" s="1">
        <v>58989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/>
      <c r="L673" t="s">
        <v>826</v>
      </c>
      <c r="M673" t="s">
        <v>878</v>
      </c>
      <c r="N673" t="s">
        <v>744</v>
      </c>
    </row>
    <row r="674" spans="1:20" x14ac:dyDescent="0.25">
      <c r="A674" t="s">
        <v>146</v>
      </c>
      <c r="B674" t="s">
        <v>878</v>
      </c>
      <c r="C674" t="s">
        <v>722</v>
      </c>
      <c r="D674" s="1">
        <v>8457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/>
      <c r="L674" t="s">
        <v>811</v>
      </c>
      <c r="M674" t="s">
        <v>878</v>
      </c>
      <c r="N674" t="s">
        <v>745</v>
      </c>
      <c r="O674">
        <v>19964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25">
      <c r="A675" t="s">
        <v>858</v>
      </c>
      <c r="B675" t="s">
        <v>878</v>
      </c>
      <c r="C675" t="s">
        <v>723</v>
      </c>
      <c r="D675" s="1">
        <v>8855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/>
      <c r="L675" t="s">
        <v>248</v>
      </c>
      <c r="M675" t="s">
        <v>878</v>
      </c>
      <c r="N675" t="s">
        <v>746</v>
      </c>
      <c r="O675">
        <v>106574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25">
      <c r="A676" t="s">
        <v>864</v>
      </c>
      <c r="B676" t="s">
        <v>878</v>
      </c>
      <c r="C676" t="s">
        <v>724</v>
      </c>
      <c r="D676" s="1">
        <v>98954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/>
      <c r="L676" t="s">
        <v>801</v>
      </c>
      <c r="M676" t="s">
        <v>879</v>
      </c>
      <c r="N676" t="s">
        <v>747</v>
      </c>
      <c r="O676">
        <v>5440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25">
      <c r="A677" t="s">
        <v>794</v>
      </c>
      <c r="B677" t="s">
        <v>878</v>
      </c>
      <c r="C677" t="s">
        <v>725</v>
      </c>
      <c r="D677" s="1">
        <v>35098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/>
      <c r="L677" t="s">
        <v>809</v>
      </c>
      <c r="M677" t="s">
        <v>879</v>
      </c>
      <c r="N677" t="s">
        <v>748</v>
      </c>
      <c r="O677">
        <v>20877</v>
      </c>
      <c r="P677">
        <v>624</v>
      </c>
      <c r="Q677">
        <v>0</v>
      </c>
      <c r="R677">
        <v>0</v>
      </c>
      <c r="S677">
        <v>0</v>
      </c>
      <c r="T677">
        <v>0</v>
      </c>
    </row>
    <row r="678" spans="1:20" x14ac:dyDescent="0.25">
      <c r="A678" t="s">
        <v>864</v>
      </c>
      <c r="B678" t="s">
        <v>878</v>
      </c>
      <c r="C678" t="s">
        <v>726</v>
      </c>
      <c r="D678" s="1">
        <v>44042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/>
      <c r="L678" t="s">
        <v>823</v>
      </c>
      <c r="M678" t="s">
        <v>879</v>
      </c>
      <c r="N678" t="s">
        <v>749</v>
      </c>
      <c r="O678">
        <v>36056</v>
      </c>
      <c r="P678">
        <v>40</v>
      </c>
      <c r="Q678">
        <v>0</v>
      </c>
      <c r="R678">
        <v>0</v>
      </c>
      <c r="S678">
        <v>0</v>
      </c>
      <c r="T678">
        <v>0</v>
      </c>
    </row>
    <row r="679" spans="1:20" x14ac:dyDescent="0.25">
      <c r="A679" t="s">
        <v>824</v>
      </c>
      <c r="B679" t="s">
        <v>878</v>
      </c>
      <c r="C679" t="s">
        <v>727</v>
      </c>
      <c r="D679" s="1">
        <v>8240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/>
      <c r="L679" t="s">
        <v>226</v>
      </c>
      <c r="M679" t="s">
        <v>879</v>
      </c>
      <c r="N679" t="s">
        <v>750</v>
      </c>
      <c r="O679">
        <v>3192</v>
      </c>
      <c r="P679">
        <v>46</v>
      </c>
      <c r="Q679">
        <v>0</v>
      </c>
      <c r="R679">
        <v>0</v>
      </c>
      <c r="S679">
        <v>0</v>
      </c>
      <c r="T679">
        <v>0</v>
      </c>
    </row>
    <row r="680" spans="1:20" x14ac:dyDescent="0.25">
      <c r="A680" t="s">
        <v>134</v>
      </c>
      <c r="B680" t="s">
        <v>878</v>
      </c>
      <c r="C680" t="s">
        <v>728</v>
      </c>
      <c r="D680" s="1">
        <v>2518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/>
      <c r="L680" t="s">
        <v>811</v>
      </c>
      <c r="M680" t="s">
        <v>879</v>
      </c>
      <c r="N680" t="s">
        <v>751</v>
      </c>
      <c r="O680">
        <v>12507</v>
      </c>
      <c r="P680">
        <v>28</v>
      </c>
      <c r="Q680">
        <v>0</v>
      </c>
      <c r="R680">
        <v>0</v>
      </c>
      <c r="S680">
        <v>0</v>
      </c>
      <c r="T680">
        <v>0</v>
      </c>
    </row>
    <row r="681" spans="1:20" x14ac:dyDescent="0.25">
      <c r="A681" t="s">
        <v>138</v>
      </c>
      <c r="B681" t="s">
        <v>878</v>
      </c>
      <c r="C681" t="s">
        <v>729</v>
      </c>
      <c r="D681" s="1">
        <v>31520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/>
      <c r="L681" t="s">
        <v>797</v>
      </c>
      <c r="M681" t="s">
        <v>879</v>
      </c>
      <c r="N681" t="s">
        <v>752</v>
      </c>
      <c r="O681">
        <v>30094</v>
      </c>
      <c r="P681">
        <v>35</v>
      </c>
      <c r="Q681">
        <v>0</v>
      </c>
      <c r="R681">
        <v>0</v>
      </c>
      <c r="S681">
        <v>0</v>
      </c>
      <c r="T681">
        <v>0</v>
      </c>
    </row>
    <row r="682" spans="1:20" x14ac:dyDescent="0.25">
      <c r="A682" t="s">
        <v>788</v>
      </c>
      <c r="B682" t="s">
        <v>878</v>
      </c>
      <c r="C682" t="s">
        <v>730</v>
      </c>
      <c r="D682" s="1">
        <v>2125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/>
      <c r="L682" t="s">
        <v>69</v>
      </c>
      <c r="M682" t="s">
        <v>879</v>
      </c>
      <c r="N682" t="s">
        <v>753</v>
      </c>
      <c r="O682">
        <v>54312</v>
      </c>
      <c r="P682">
        <v>18</v>
      </c>
      <c r="Q682">
        <v>0</v>
      </c>
      <c r="R682">
        <v>0</v>
      </c>
      <c r="S682">
        <v>0</v>
      </c>
      <c r="T682">
        <v>0</v>
      </c>
    </row>
    <row r="683" spans="1:20" x14ac:dyDescent="0.25">
      <c r="A683" t="s">
        <v>831</v>
      </c>
      <c r="B683" t="s">
        <v>878</v>
      </c>
      <c r="C683" t="s">
        <v>731</v>
      </c>
      <c r="D683" s="1">
        <v>3433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/>
      <c r="L683" t="s">
        <v>824</v>
      </c>
      <c r="M683" t="s">
        <v>879</v>
      </c>
      <c r="N683" t="s">
        <v>754</v>
      </c>
      <c r="O683">
        <v>14252</v>
      </c>
      <c r="P683">
        <v>21</v>
      </c>
      <c r="Q683">
        <v>0</v>
      </c>
      <c r="R683">
        <v>0</v>
      </c>
      <c r="S683">
        <v>0</v>
      </c>
      <c r="T683">
        <v>0</v>
      </c>
    </row>
    <row r="684" spans="1:20" x14ac:dyDescent="0.25">
      <c r="A684" t="s">
        <v>138</v>
      </c>
      <c r="B684" t="s">
        <v>878</v>
      </c>
      <c r="C684" t="s">
        <v>732</v>
      </c>
      <c r="D684" s="1"/>
      <c r="E684" s="1"/>
      <c r="F684" s="1"/>
      <c r="G684" s="1"/>
      <c r="H684" s="1"/>
      <c r="I684" s="1"/>
      <c r="J684" s="1"/>
      <c r="K684" s="1"/>
      <c r="L684" t="s">
        <v>817</v>
      </c>
      <c r="M684" t="s">
        <v>879</v>
      </c>
      <c r="N684" t="s">
        <v>755</v>
      </c>
      <c r="O684">
        <v>58674</v>
      </c>
      <c r="P684">
        <v>103</v>
      </c>
      <c r="Q684">
        <v>0</v>
      </c>
      <c r="R684">
        <v>0</v>
      </c>
      <c r="S684">
        <v>0</v>
      </c>
      <c r="T684">
        <v>0</v>
      </c>
    </row>
    <row r="685" spans="1:20" x14ac:dyDescent="0.25">
      <c r="A685" t="s">
        <v>809</v>
      </c>
      <c r="B685" t="s">
        <v>878</v>
      </c>
      <c r="C685" t="s">
        <v>733</v>
      </c>
      <c r="D685" s="1">
        <v>25471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/>
      <c r="L685" t="s">
        <v>794</v>
      </c>
      <c r="M685" t="s">
        <v>879</v>
      </c>
      <c r="N685" t="s">
        <v>756</v>
      </c>
      <c r="O685">
        <v>48600</v>
      </c>
      <c r="P685">
        <v>220</v>
      </c>
      <c r="Q685">
        <v>0</v>
      </c>
      <c r="R685">
        <v>0</v>
      </c>
      <c r="S685">
        <v>0</v>
      </c>
      <c r="T685">
        <v>0</v>
      </c>
    </row>
    <row r="686" spans="1:20" x14ac:dyDescent="0.25">
      <c r="A686" t="s">
        <v>868</v>
      </c>
      <c r="B686" t="s">
        <v>878</v>
      </c>
      <c r="C686" t="s">
        <v>734</v>
      </c>
      <c r="D686" s="1"/>
      <c r="E686" s="1"/>
      <c r="F686" s="1"/>
      <c r="G686" s="1"/>
      <c r="H686" s="1"/>
      <c r="I686" s="1"/>
      <c r="J686" s="1"/>
      <c r="K686" s="1"/>
      <c r="L686" t="s">
        <v>120</v>
      </c>
      <c r="M686" t="s">
        <v>879</v>
      </c>
      <c r="N686" t="s">
        <v>757</v>
      </c>
      <c r="O686">
        <v>23921</v>
      </c>
      <c r="P686">
        <v>74</v>
      </c>
      <c r="Q686">
        <v>0</v>
      </c>
      <c r="R686">
        <v>0</v>
      </c>
      <c r="S686">
        <v>0</v>
      </c>
      <c r="T686">
        <v>0</v>
      </c>
    </row>
    <row r="687" spans="1:20" x14ac:dyDescent="0.25">
      <c r="A687" t="s">
        <v>817</v>
      </c>
      <c r="B687" t="s">
        <v>878</v>
      </c>
      <c r="C687" t="s">
        <v>735</v>
      </c>
      <c r="D687" s="1">
        <v>8862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/>
      <c r="L687" t="s">
        <v>788</v>
      </c>
      <c r="M687" t="s">
        <v>879</v>
      </c>
      <c r="N687" t="s">
        <v>758</v>
      </c>
      <c r="O687">
        <v>25784</v>
      </c>
      <c r="P687">
        <v>1</v>
      </c>
      <c r="Q687">
        <v>0</v>
      </c>
      <c r="R687">
        <v>0</v>
      </c>
      <c r="S687">
        <v>0</v>
      </c>
      <c r="T687">
        <v>0</v>
      </c>
    </row>
    <row r="688" spans="1:20" x14ac:dyDescent="0.25">
      <c r="A688" t="s">
        <v>801</v>
      </c>
      <c r="B688" t="s">
        <v>878</v>
      </c>
      <c r="C688" t="s">
        <v>736</v>
      </c>
      <c r="D688" s="1">
        <v>1687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/>
      <c r="L688" t="s">
        <v>146</v>
      </c>
      <c r="M688" t="s">
        <v>879</v>
      </c>
      <c r="N688" t="s">
        <v>759</v>
      </c>
      <c r="O688">
        <v>91293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x14ac:dyDescent="0.25">
      <c r="A689" t="s">
        <v>138</v>
      </c>
      <c r="B689" t="s">
        <v>878</v>
      </c>
      <c r="C689" t="s">
        <v>737</v>
      </c>
      <c r="D689" s="1">
        <v>12677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/>
      <c r="L689" t="s">
        <v>795</v>
      </c>
      <c r="M689" t="s">
        <v>879</v>
      </c>
      <c r="N689" t="s">
        <v>760</v>
      </c>
      <c r="O689">
        <v>63462</v>
      </c>
      <c r="P689">
        <v>90</v>
      </c>
      <c r="Q689">
        <v>0</v>
      </c>
      <c r="R689">
        <v>0</v>
      </c>
      <c r="S689">
        <v>0</v>
      </c>
      <c r="T689">
        <v>0</v>
      </c>
    </row>
    <row r="690" spans="1:20" x14ac:dyDescent="0.25">
      <c r="A690" t="s">
        <v>138</v>
      </c>
      <c r="B690" t="s">
        <v>878</v>
      </c>
      <c r="C690" t="s">
        <v>738</v>
      </c>
      <c r="D690" s="1">
        <v>11230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/>
      <c r="L690" t="s">
        <v>248</v>
      </c>
      <c r="M690" t="s">
        <v>879</v>
      </c>
      <c r="N690" t="s">
        <v>761</v>
      </c>
      <c r="O690">
        <v>39989</v>
      </c>
      <c r="P690">
        <v>6</v>
      </c>
      <c r="Q690">
        <v>0</v>
      </c>
      <c r="R690">
        <v>0</v>
      </c>
      <c r="S690">
        <v>0</v>
      </c>
      <c r="T690">
        <v>0</v>
      </c>
    </row>
    <row r="691" spans="1:20" x14ac:dyDescent="0.25">
      <c r="A691" t="s">
        <v>248</v>
      </c>
      <c r="B691" t="s">
        <v>878</v>
      </c>
      <c r="C691" t="s">
        <v>739</v>
      </c>
      <c r="D691" s="1">
        <v>17810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/>
      <c r="L691" t="s">
        <v>796</v>
      </c>
      <c r="M691" t="s">
        <v>879</v>
      </c>
      <c r="N691" t="s">
        <v>762</v>
      </c>
      <c r="O691">
        <v>9489</v>
      </c>
      <c r="P691">
        <v>14</v>
      </c>
      <c r="Q691">
        <v>0</v>
      </c>
      <c r="R691">
        <v>0</v>
      </c>
      <c r="S691">
        <v>0</v>
      </c>
      <c r="T691">
        <v>0</v>
      </c>
    </row>
    <row r="692" spans="1:20" x14ac:dyDescent="0.25">
      <c r="A692" t="s">
        <v>138</v>
      </c>
      <c r="B692" t="s">
        <v>878</v>
      </c>
      <c r="C692" t="s">
        <v>740</v>
      </c>
      <c r="D692" s="1">
        <v>7045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/>
      <c r="L692" t="s">
        <v>138</v>
      </c>
      <c r="M692" t="s">
        <v>879</v>
      </c>
      <c r="N692" t="s">
        <v>763</v>
      </c>
      <c r="O692">
        <v>30578</v>
      </c>
      <c r="P692">
        <v>59</v>
      </c>
      <c r="Q692">
        <v>0</v>
      </c>
      <c r="R692">
        <v>0</v>
      </c>
      <c r="S692">
        <v>0</v>
      </c>
      <c r="T692">
        <v>0</v>
      </c>
    </row>
    <row r="693" spans="1:20" x14ac:dyDescent="0.25">
      <c r="A693" t="s">
        <v>134</v>
      </c>
      <c r="B693" t="s">
        <v>878</v>
      </c>
      <c r="C693" t="s">
        <v>741</v>
      </c>
      <c r="D693" s="1">
        <v>7130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/>
      <c r="L693" t="s">
        <v>265</v>
      </c>
      <c r="M693" t="s">
        <v>879</v>
      </c>
      <c r="N693" t="s">
        <v>764</v>
      </c>
      <c r="O693">
        <v>8813</v>
      </c>
      <c r="P693">
        <v>2</v>
      </c>
      <c r="Q693">
        <v>0</v>
      </c>
      <c r="R693">
        <v>0</v>
      </c>
      <c r="S693">
        <v>0</v>
      </c>
      <c r="T693">
        <v>0</v>
      </c>
    </row>
    <row r="694" spans="1:20" x14ac:dyDescent="0.25">
      <c r="A694" t="s">
        <v>231</v>
      </c>
      <c r="B694" t="s">
        <v>878</v>
      </c>
      <c r="C694" t="s">
        <v>742</v>
      </c>
      <c r="D694" s="1">
        <v>28433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/>
      <c r="L694" t="s">
        <v>823</v>
      </c>
      <c r="M694" t="s">
        <v>879</v>
      </c>
      <c r="N694" t="s">
        <v>765</v>
      </c>
      <c r="O694">
        <v>32464</v>
      </c>
      <c r="P694">
        <v>555</v>
      </c>
      <c r="Q694">
        <v>0</v>
      </c>
      <c r="R694">
        <v>0</v>
      </c>
      <c r="S694">
        <v>0</v>
      </c>
      <c r="T694">
        <v>0</v>
      </c>
    </row>
    <row r="695" spans="1:20" x14ac:dyDescent="0.25">
      <c r="A695" t="s">
        <v>83</v>
      </c>
      <c r="B695" t="s">
        <v>878</v>
      </c>
      <c r="C695" t="s">
        <v>743</v>
      </c>
      <c r="D695" s="1">
        <v>2614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/>
      <c r="L695" t="s">
        <v>83</v>
      </c>
      <c r="M695" t="s">
        <v>879</v>
      </c>
      <c r="N695" t="s">
        <v>766</v>
      </c>
      <c r="O695">
        <v>8638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25">
      <c r="A696" t="s">
        <v>826</v>
      </c>
      <c r="B696" t="s">
        <v>878</v>
      </c>
      <c r="C696" t="s">
        <v>744</v>
      </c>
      <c r="D696" s="1"/>
      <c r="E696" s="1"/>
      <c r="F696" s="1"/>
      <c r="G696" s="1"/>
      <c r="H696" s="1"/>
      <c r="I696" s="1"/>
      <c r="J696" s="1"/>
      <c r="K696" s="1"/>
      <c r="L696" t="s">
        <v>864</v>
      </c>
      <c r="M696" t="s">
        <v>879</v>
      </c>
      <c r="N696" t="s">
        <v>767</v>
      </c>
      <c r="O696">
        <v>22456</v>
      </c>
      <c r="P696">
        <v>36</v>
      </c>
      <c r="Q696">
        <v>0</v>
      </c>
      <c r="R696">
        <v>0</v>
      </c>
      <c r="S696">
        <v>0</v>
      </c>
      <c r="T696">
        <v>0</v>
      </c>
    </row>
    <row r="697" spans="1:20" x14ac:dyDescent="0.25">
      <c r="A697" t="s">
        <v>811</v>
      </c>
      <c r="B697" t="s">
        <v>878</v>
      </c>
      <c r="C697" t="s">
        <v>745</v>
      </c>
      <c r="D697" s="1">
        <v>19964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/>
      <c r="L697" t="s">
        <v>76</v>
      </c>
      <c r="M697" t="s">
        <v>879</v>
      </c>
      <c r="N697" t="s">
        <v>768</v>
      </c>
      <c r="O697">
        <v>40763</v>
      </c>
      <c r="P697">
        <v>218</v>
      </c>
      <c r="Q697">
        <v>0</v>
      </c>
      <c r="R697">
        <v>0</v>
      </c>
      <c r="S697">
        <v>0</v>
      </c>
      <c r="T697">
        <v>0</v>
      </c>
    </row>
    <row r="698" spans="1:20" x14ac:dyDescent="0.25">
      <c r="A698" t="s">
        <v>248</v>
      </c>
      <c r="B698" t="s">
        <v>878</v>
      </c>
      <c r="C698" t="s">
        <v>746</v>
      </c>
      <c r="D698" s="1">
        <v>106574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/>
      <c r="L698" t="s">
        <v>101</v>
      </c>
      <c r="M698" t="s">
        <v>879</v>
      </c>
      <c r="N698" t="s">
        <v>769</v>
      </c>
      <c r="O698">
        <v>24301</v>
      </c>
      <c r="P698">
        <v>19</v>
      </c>
      <c r="Q698">
        <v>0</v>
      </c>
      <c r="R698">
        <v>0</v>
      </c>
      <c r="S698">
        <v>0</v>
      </c>
      <c r="T698">
        <v>0</v>
      </c>
    </row>
    <row r="699" spans="1:20" x14ac:dyDescent="0.25">
      <c r="A699" t="s">
        <v>801</v>
      </c>
      <c r="B699" t="s">
        <v>879</v>
      </c>
      <c r="C699" t="s">
        <v>747</v>
      </c>
      <c r="D699" s="1">
        <v>5440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/>
      <c r="L699" t="s">
        <v>831</v>
      </c>
      <c r="M699" t="s">
        <v>879</v>
      </c>
      <c r="N699" t="s">
        <v>770</v>
      </c>
      <c r="O699">
        <v>3961</v>
      </c>
      <c r="P699">
        <v>375</v>
      </c>
      <c r="Q699">
        <v>0</v>
      </c>
      <c r="R699">
        <v>0</v>
      </c>
      <c r="S699">
        <v>0</v>
      </c>
      <c r="T699">
        <v>0</v>
      </c>
    </row>
    <row r="700" spans="1:20" x14ac:dyDescent="0.25">
      <c r="A700" t="s">
        <v>809</v>
      </c>
      <c r="B700" t="s">
        <v>879</v>
      </c>
      <c r="C700" t="s">
        <v>748</v>
      </c>
      <c r="D700" s="1">
        <v>20877</v>
      </c>
      <c r="E700" s="1">
        <v>624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/>
      <c r="L700" t="s">
        <v>512</v>
      </c>
      <c r="M700" t="s">
        <v>879</v>
      </c>
      <c r="N700" t="s">
        <v>771</v>
      </c>
      <c r="O700">
        <v>10848</v>
      </c>
      <c r="P700">
        <v>1</v>
      </c>
      <c r="Q700">
        <v>0</v>
      </c>
      <c r="R700">
        <v>0</v>
      </c>
      <c r="S700">
        <v>0</v>
      </c>
      <c r="T700">
        <v>0</v>
      </c>
    </row>
    <row r="701" spans="1:20" x14ac:dyDescent="0.25">
      <c r="A701" t="s">
        <v>823</v>
      </c>
      <c r="B701" t="s">
        <v>879</v>
      </c>
      <c r="C701" t="s">
        <v>749</v>
      </c>
      <c r="D701" s="1">
        <v>36056</v>
      </c>
      <c r="E701" s="1">
        <v>40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/>
      <c r="L701" t="s">
        <v>848</v>
      </c>
      <c r="M701" t="s">
        <v>879</v>
      </c>
      <c r="N701" t="s">
        <v>772</v>
      </c>
      <c r="O701">
        <v>5668</v>
      </c>
      <c r="P701">
        <v>6</v>
      </c>
      <c r="Q701">
        <v>0</v>
      </c>
      <c r="R701">
        <v>0</v>
      </c>
      <c r="S701">
        <v>0</v>
      </c>
      <c r="T701">
        <v>0</v>
      </c>
    </row>
    <row r="702" spans="1:20" ht="15" customHeight="1" x14ac:dyDescent="0.25">
      <c r="A702" t="s">
        <v>226</v>
      </c>
      <c r="B702" t="s">
        <v>879</v>
      </c>
      <c r="C702" t="s">
        <v>750</v>
      </c>
      <c r="D702" s="1">
        <v>3192</v>
      </c>
      <c r="E702" s="1">
        <v>46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/>
      <c r="L702" t="s">
        <v>796</v>
      </c>
      <c r="M702" t="s">
        <v>879</v>
      </c>
      <c r="N702" t="s">
        <v>773</v>
      </c>
      <c r="O702">
        <v>16531</v>
      </c>
      <c r="P702">
        <v>22</v>
      </c>
      <c r="Q702">
        <v>0</v>
      </c>
      <c r="R702">
        <v>0</v>
      </c>
      <c r="S702">
        <v>0</v>
      </c>
      <c r="T702">
        <v>0</v>
      </c>
    </row>
    <row r="703" spans="1:20" ht="15" customHeight="1" x14ac:dyDescent="0.25">
      <c r="A703" t="s">
        <v>811</v>
      </c>
      <c r="B703" t="s">
        <v>879</v>
      </c>
      <c r="C703" t="s">
        <v>751</v>
      </c>
      <c r="D703" s="1">
        <v>12507</v>
      </c>
      <c r="E703" s="1">
        <v>28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/>
      <c r="L703" t="s">
        <v>826</v>
      </c>
      <c r="M703" t="s">
        <v>879</v>
      </c>
      <c r="N703" t="s">
        <v>774</v>
      </c>
      <c r="O703">
        <v>1831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ht="15" customHeight="1" x14ac:dyDescent="0.25">
      <c r="A704" t="s">
        <v>797</v>
      </c>
      <c r="B704" t="s">
        <v>879</v>
      </c>
      <c r="C704" t="s">
        <v>752</v>
      </c>
      <c r="D704" s="1">
        <v>30094</v>
      </c>
      <c r="E704" s="1">
        <v>35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/>
      <c r="L704" t="s">
        <v>801</v>
      </c>
      <c r="M704" t="s">
        <v>877</v>
      </c>
      <c r="N704" t="s">
        <v>775</v>
      </c>
      <c r="O704">
        <v>16</v>
      </c>
      <c r="P704">
        <v>0</v>
      </c>
      <c r="Q704">
        <v>0</v>
      </c>
      <c r="R704">
        <v>84</v>
      </c>
      <c r="S704">
        <v>0</v>
      </c>
      <c r="T704">
        <v>0</v>
      </c>
    </row>
    <row r="705" spans="1:20" ht="15" customHeight="1" x14ac:dyDescent="0.25">
      <c r="A705" t="s">
        <v>69</v>
      </c>
      <c r="B705" t="s">
        <v>879</v>
      </c>
      <c r="C705" t="s">
        <v>753</v>
      </c>
      <c r="D705" s="1">
        <v>54312</v>
      </c>
      <c r="E705" s="1">
        <v>18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/>
      <c r="L705" t="s">
        <v>823</v>
      </c>
      <c r="M705" t="s">
        <v>877</v>
      </c>
      <c r="N705" t="s">
        <v>776</v>
      </c>
      <c r="O705">
        <v>34</v>
      </c>
      <c r="P705">
        <v>0</v>
      </c>
      <c r="Q705">
        <v>0</v>
      </c>
      <c r="R705">
        <v>143</v>
      </c>
      <c r="S705">
        <v>6</v>
      </c>
      <c r="T705">
        <v>0</v>
      </c>
    </row>
    <row r="706" spans="1:20" ht="15" customHeight="1" x14ac:dyDescent="0.25">
      <c r="A706" t="s">
        <v>824</v>
      </c>
      <c r="B706" t="s">
        <v>879</v>
      </c>
      <c r="C706" t="s">
        <v>754</v>
      </c>
      <c r="D706" s="1">
        <v>14252</v>
      </c>
      <c r="E706" s="1">
        <v>21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/>
      <c r="L706" t="s">
        <v>801</v>
      </c>
      <c r="M706" t="s">
        <v>877</v>
      </c>
      <c r="N706" t="s">
        <v>777</v>
      </c>
      <c r="O706">
        <v>9</v>
      </c>
      <c r="P706">
        <v>0</v>
      </c>
      <c r="Q706">
        <v>0</v>
      </c>
      <c r="R706">
        <v>30</v>
      </c>
      <c r="S706">
        <v>0</v>
      </c>
      <c r="T706">
        <v>0</v>
      </c>
    </row>
    <row r="707" spans="1:20" ht="15" customHeight="1" x14ac:dyDescent="0.25">
      <c r="A707" t="s">
        <v>817</v>
      </c>
      <c r="B707" t="s">
        <v>879</v>
      </c>
      <c r="C707" t="s">
        <v>755</v>
      </c>
      <c r="D707" s="1">
        <v>58674</v>
      </c>
      <c r="E707" s="1">
        <v>103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</row>
    <row r="708" spans="1:20" ht="15" customHeight="1" x14ac:dyDescent="0.25">
      <c r="A708" t="s">
        <v>794</v>
      </c>
      <c r="B708" t="s">
        <v>879</v>
      </c>
      <c r="C708" t="s">
        <v>756</v>
      </c>
      <c r="D708" s="1">
        <v>48600</v>
      </c>
      <c r="E708" s="1">
        <v>220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</row>
    <row r="709" spans="1:20" ht="15" customHeight="1" x14ac:dyDescent="0.25">
      <c r="A709" t="s">
        <v>120</v>
      </c>
      <c r="B709" t="s">
        <v>879</v>
      </c>
      <c r="C709" t="s">
        <v>757</v>
      </c>
      <c r="D709" s="1">
        <v>23921</v>
      </c>
      <c r="E709" s="1">
        <v>74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</row>
    <row r="710" spans="1:20" ht="15" customHeight="1" x14ac:dyDescent="0.25">
      <c r="A710" t="s">
        <v>788</v>
      </c>
      <c r="B710" t="s">
        <v>879</v>
      </c>
      <c r="C710" t="s">
        <v>758</v>
      </c>
      <c r="D710" s="1">
        <v>25784</v>
      </c>
      <c r="E710" s="1">
        <v>1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</row>
    <row r="711" spans="1:20" ht="15" customHeight="1" x14ac:dyDescent="0.25">
      <c r="A711" t="s">
        <v>146</v>
      </c>
      <c r="B711" t="s">
        <v>879</v>
      </c>
      <c r="C711" t="s">
        <v>759</v>
      </c>
      <c r="D711" s="1">
        <v>91293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</row>
    <row r="712" spans="1:20" ht="15" customHeight="1" x14ac:dyDescent="0.25">
      <c r="A712" t="s">
        <v>795</v>
      </c>
      <c r="B712" t="s">
        <v>879</v>
      </c>
      <c r="C712" t="s">
        <v>760</v>
      </c>
      <c r="D712" s="1">
        <v>63462</v>
      </c>
      <c r="E712" s="1">
        <v>90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</row>
    <row r="713" spans="1:20" ht="15" customHeight="1" x14ac:dyDescent="0.25">
      <c r="A713" t="s">
        <v>248</v>
      </c>
      <c r="B713" t="s">
        <v>879</v>
      </c>
      <c r="C713" t="s">
        <v>761</v>
      </c>
      <c r="D713" s="1">
        <v>39989</v>
      </c>
      <c r="E713" s="1">
        <v>6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</row>
    <row r="714" spans="1:20" ht="15" customHeight="1" x14ac:dyDescent="0.25">
      <c r="A714" t="s">
        <v>796</v>
      </c>
      <c r="B714" t="s">
        <v>879</v>
      </c>
      <c r="C714" t="s">
        <v>762</v>
      </c>
      <c r="D714" s="1">
        <v>9489</v>
      </c>
      <c r="E714" s="1">
        <v>14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</row>
    <row r="715" spans="1:20" ht="15" customHeight="1" x14ac:dyDescent="0.25">
      <c r="A715" t="s">
        <v>138</v>
      </c>
      <c r="B715" t="s">
        <v>879</v>
      </c>
      <c r="C715" t="s">
        <v>763</v>
      </c>
      <c r="D715" s="1">
        <v>30578</v>
      </c>
      <c r="E715" s="1">
        <v>59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</row>
    <row r="716" spans="1:20" ht="15" customHeight="1" x14ac:dyDescent="0.25">
      <c r="A716" t="s">
        <v>265</v>
      </c>
      <c r="B716" t="s">
        <v>879</v>
      </c>
      <c r="C716" t="s">
        <v>764</v>
      </c>
      <c r="D716" s="1">
        <v>8813</v>
      </c>
      <c r="E716" s="1">
        <v>2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</row>
    <row r="717" spans="1:20" ht="15" customHeight="1" x14ac:dyDescent="0.25">
      <c r="A717" t="s">
        <v>823</v>
      </c>
      <c r="B717" t="s">
        <v>879</v>
      </c>
      <c r="C717" t="s">
        <v>765</v>
      </c>
      <c r="D717" s="1">
        <v>32464</v>
      </c>
      <c r="E717" s="1">
        <v>555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</row>
    <row r="718" spans="1:20" ht="15" customHeight="1" x14ac:dyDescent="0.25">
      <c r="A718" t="s">
        <v>83</v>
      </c>
      <c r="B718" t="s">
        <v>879</v>
      </c>
      <c r="C718" t="s">
        <v>766</v>
      </c>
      <c r="D718" s="1">
        <v>8638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</row>
    <row r="719" spans="1:20" ht="15" customHeight="1" x14ac:dyDescent="0.25">
      <c r="A719" t="s">
        <v>864</v>
      </c>
      <c r="B719" t="s">
        <v>879</v>
      </c>
      <c r="C719" t="s">
        <v>767</v>
      </c>
      <c r="D719" s="1">
        <v>22456</v>
      </c>
      <c r="E719" s="1">
        <v>36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</row>
    <row r="720" spans="1:20" ht="15" customHeight="1" x14ac:dyDescent="0.25">
      <c r="A720" t="s">
        <v>76</v>
      </c>
      <c r="B720" t="s">
        <v>879</v>
      </c>
      <c r="C720" t="s">
        <v>768</v>
      </c>
      <c r="D720" s="1">
        <v>40763</v>
      </c>
      <c r="E720" s="1">
        <v>218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</row>
    <row r="721" spans="1:10" ht="15" customHeight="1" x14ac:dyDescent="0.25">
      <c r="A721" s="53" t="s">
        <v>101</v>
      </c>
      <c r="B721" s="55" t="s">
        <v>879</v>
      </c>
      <c r="C721" s="55" t="s">
        <v>769</v>
      </c>
      <c r="D721" s="60">
        <v>24301</v>
      </c>
      <c r="E721" s="60">
        <v>19</v>
      </c>
      <c r="F721" s="60">
        <v>0</v>
      </c>
      <c r="G721" s="60">
        <v>0</v>
      </c>
      <c r="H721" s="60">
        <v>0</v>
      </c>
      <c r="I721" s="60">
        <v>0</v>
      </c>
      <c r="J721" s="60">
        <v>0</v>
      </c>
    </row>
    <row r="722" spans="1:10" ht="15" customHeight="1" x14ac:dyDescent="0.25">
      <c r="A722" s="53" t="s">
        <v>831</v>
      </c>
      <c r="B722" s="55" t="s">
        <v>879</v>
      </c>
      <c r="C722" s="55" t="s">
        <v>770</v>
      </c>
      <c r="D722" s="60">
        <v>3961</v>
      </c>
      <c r="E722" s="60">
        <v>375</v>
      </c>
      <c r="F722" s="60">
        <v>0</v>
      </c>
      <c r="G722" s="60">
        <v>0</v>
      </c>
      <c r="H722" s="60">
        <v>0</v>
      </c>
      <c r="I722" s="60">
        <v>0</v>
      </c>
      <c r="J722" s="60">
        <v>0</v>
      </c>
    </row>
    <row r="723" spans="1:10" ht="15" customHeight="1" x14ac:dyDescent="0.25">
      <c r="A723" s="53" t="s">
        <v>512</v>
      </c>
      <c r="B723" s="55" t="s">
        <v>879</v>
      </c>
      <c r="C723" s="55" t="s">
        <v>771</v>
      </c>
      <c r="D723" s="60">
        <v>10848</v>
      </c>
      <c r="E723" s="60">
        <v>1</v>
      </c>
      <c r="F723" s="60">
        <v>0</v>
      </c>
      <c r="G723" s="60">
        <v>0</v>
      </c>
      <c r="H723" s="60">
        <v>0</v>
      </c>
      <c r="I723" s="60">
        <v>0</v>
      </c>
      <c r="J723" s="60">
        <v>0</v>
      </c>
    </row>
    <row r="724" spans="1:10" ht="15" customHeight="1" x14ac:dyDescent="0.25">
      <c r="A724" s="53" t="s">
        <v>848</v>
      </c>
      <c r="B724" s="55" t="s">
        <v>879</v>
      </c>
      <c r="C724" s="55" t="s">
        <v>772</v>
      </c>
      <c r="D724" s="60">
        <v>5668</v>
      </c>
      <c r="E724" s="60">
        <v>6</v>
      </c>
      <c r="F724" s="60">
        <v>0</v>
      </c>
      <c r="G724" s="60">
        <v>0</v>
      </c>
      <c r="H724" s="60">
        <v>0</v>
      </c>
      <c r="I724" s="60">
        <v>0</v>
      </c>
      <c r="J724" s="60">
        <v>0</v>
      </c>
    </row>
    <row r="725" spans="1:10" ht="15" customHeight="1" x14ac:dyDescent="0.25">
      <c r="A725" s="53" t="s">
        <v>796</v>
      </c>
      <c r="B725" s="55" t="s">
        <v>879</v>
      </c>
      <c r="C725" s="55" t="s">
        <v>773</v>
      </c>
      <c r="D725" s="60">
        <v>16531</v>
      </c>
      <c r="E725" s="60">
        <v>22</v>
      </c>
      <c r="F725" s="60">
        <v>0</v>
      </c>
      <c r="G725" s="60">
        <v>0</v>
      </c>
      <c r="H725" s="60">
        <v>0</v>
      </c>
      <c r="I725" s="60">
        <v>0</v>
      </c>
      <c r="J725" s="60">
        <v>0</v>
      </c>
    </row>
    <row r="726" spans="1:10" ht="15" customHeight="1" x14ac:dyDescent="0.25">
      <c r="A726" s="53" t="s">
        <v>826</v>
      </c>
      <c r="B726" s="55" t="s">
        <v>879</v>
      </c>
      <c r="C726" s="55" t="s">
        <v>774</v>
      </c>
      <c r="D726" s="60">
        <v>1831</v>
      </c>
      <c r="E726" s="60">
        <v>0</v>
      </c>
      <c r="F726" s="60">
        <v>0</v>
      </c>
      <c r="G726" s="60">
        <v>0</v>
      </c>
      <c r="H726" s="60">
        <v>0</v>
      </c>
      <c r="I726" s="60">
        <v>0</v>
      </c>
      <c r="J726" s="60">
        <v>0</v>
      </c>
    </row>
    <row r="727" spans="1:10" ht="15" customHeight="1" x14ac:dyDescent="0.25">
      <c r="A727" s="53" t="s">
        <v>801</v>
      </c>
      <c r="B727" s="55" t="s">
        <v>877</v>
      </c>
      <c r="C727" s="55" t="s">
        <v>775</v>
      </c>
      <c r="D727" s="60">
        <v>16</v>
      </c>
      <c r="E727" s="60">
        <v>0</v>
      </c>
      <c r="F727" s="60">
        <v>0</v>
      </c>
      <c r="G727" s="60">
        <v>84</v>
      </c>
      <c r="H727" s="60">
        <v>0</v>
      </c>
      <c r="I727" s="60">
        <v>0</v>
      </c>
      <c r="J727" s="60">
        <v>0</v>
      </c>
    </row>
    <row r="728" spans="1:10" ht="15" customHeight="1" x14ac:dyDescent="0.25">
      <c r="A728" s="53" t="s">
        <v>823</v>
      </c>
      <c r="B728" s="55" t="s">
        <v>877</v>
      </c>
      <c r="C728" s="55" t="s">
        <v>776</v>
      </c>
      <c r="D728" s="60">
        <v>34</v>
      </c>
      <c r="E728" s="60">
        <v>0</v>
      </c>
      <c r="F728" s="60">
        <v>0</v>
      </c>
      <c r="G728" s="60">
        <v>143</v>
      </c>
      <c r="H728" s="60">
        <v>6</v>
      </c>
      <c r="I728" s="60">
        <v>0</v>
      </c>
      <c r="J728" s="60">
        <v>0</v>
      </c>
    </row>
    <row r="729" spans="1:10" ht="15" customHeight="1" x14ac:dyDescent="0.25">
      <c r="A729" s="54" t="s">
        <v>801</v>
      </c>
      <c r="B729" s="56" t="s">
        <v>877</v>
      </c>
      <c r="C729" s="56" t="s">
        <v>777</v>
      </c>
      <c r="D729" s="61">
        <v>9</v>
      </c>
      <c r="E729" s="61">
        <v>0</v>
      </c>
      <c r="F729" s="61">
        <v>0</v>
      </c>
      <c r="G729" s="61">
        <v>30</v>
      </c>
      <c r="H729" s="61">
        <v>0</v>
      </c>
      <c r="I729" s="61">
        <v>0</v>
      </c>
      <c r="J729" s="61">
        <v>0</v>
      </c>
    </row>
  </sheetData>
  <phoneticPr fontId="2" type="noConversion"/>
  <conditionalFormatting sqref="A709:C709">
    <cfRule type="expression" dxfId="36" priority="7">
      <formula>A709&lt;&gt;N709</formula>
    </cfRule>
  </conditionalFormatting>
  <conditionalFormatting sqref="A2:I729">
    <cfRule type="expression" dxfId="35" priority="9">
      <formula>A2&lt;&gt;L2</formula>
    </cfRule>
  </conditionalFormatting>
  <conditionalFormatting sqref="C709:C710">
    <cfRule type="expression" dxfId="34" priority="4">
      <formula>C709&lt;&gt;#REF!</formula>
    </cfRule>
  </conditionalFormatting>
  <conditionalFormatting sqref="C712">
    <cfRule type="expression" dxfId="33" priority="3">
      <formula>C712&lt;&gt;#REF!</formula>
    </cfRule>
  </conditionalFormatting>
  <conditionalFormatting sqref="C721:J729">
    <cfRule type="expression" dxfId="32" priority="1">
      <formula>C721&lt;&gt;N721</formula>
    </cfRule>
  </conditionalFormatting>
  <conditionalFormatting sqref="L2:T706">
    <cfRule type="expression" dxfId="31" priority="8">
      <formula>L2&lt;&gt;A2</formula>
    </cfRule>
  </conditionalFormatting>
  <pageMargins left="0.7" right="0.7" top="0.75" bottom="0.75" header="0.3" footer="0.3"/>
  <pageSetup paperSize="9" orientation="portrait"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9" id="{ADFF3F6E-AC52-44AE-A437-D91887E9D384}">
            <xm:f>A706&lt;&gt;'202209 SEPTIEMBRE'!#REF!</xm:f>
            <x14:dxf>
              <fill>
                <patternFill>
                  <bgColor theme="7" tint="0.39994506668294322"/>
                </patternFill>
              </fill>
            </x14:dxf>
          </x14:cfRule>
          <xm:sqref>A706</xm:sqref>
        </x14:conditionalFormatting>
        <x14:conditionalFormatting xmlns:xm="http://schemas.microsoft.com/office/excel/2006/main">
          <x14:cfRule type="expression" priority="20" id="{78737037-9DFC-4960-98C7-B816BC4F2417}">
            <xm:f>A706&lt;&gt;'202209 SEPTIEMBRE'!#REF!</xm:f>
            <x14:dxf>
              <fill>
                <patternFill>
                  <bgColor theme="7" tint="0.39994506668294322"/>
                </patternFill>
              </fill>
            </x14:dxf>
          </x14:cfRule>
          <xm:sqref>A706:C706</xm:sqref>
        </x14:conditionalFormatting>
        <x14:conditionalFormatting xmlns:xm="http://schemas.microsoft.com/office/excel/2006/main">
          <x14:cfRule type="expression" priority="5" id="{3743C467-BA88-4A73-B7B4-73593B157E04}">
            <xm:f>A710&lt;&gt;'202210 OCTUBRE'!#REF!</xm:f>
            <x14:dxf>
              <fill>
                <patternFill>
                  <bgColor theme="7" tint="0.39994506668294322"/>
                </patternFill>
              </fill>
            </x14:dxf>
          </x14:cfRule>
          <xm:sqref>A710:J720</xm:sqref>
        </x14:conditionalFormatting>
        <x14:conditionalFormatting xmlns:xm="http://schemas.microsoft.com/office/excel/2006/main">
          <x14:cfRule type="expression" priority="2" id="{F6E48591-E7CF-4512-8F6E-77E6D53A4F0B}">
            <xm:f>A721&lt;&gt;'202212 DICIEMBRE'!#REF!</xm:f>
            <x14:dxf>
              <fill>
                <patternFill>
                  <bgColor theme="7" tint="0.39994506668294322"/>
                </patternFill>
              </fill>
            </x14:dxf>
          </x14:cfRule>
          <xm:sqref>A721:J729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A52A2-077D-4720-BDFF-1F727FAC9898}">
  <sheetPr>
    <tabColor theme="1"/>
  </sheetPr>
  <dimension ref="A1:J729"/>
  <sheetViews>
    <sheetView topLeftCell="A334" zoomScaleNormal="100" workbookViewId="0">
      <selection activeCell="C335" sqref="C335"/>
    </sheetView>
  </sheetViews>
  <sheetFormatPr baseColWidth="10" defaultColWidth="11.42578125" defaultRowHeight="15" x14ac:dyDescent="0.25"/>
  <cols>
    <col min="1" max="1" width="11.85546875" bestFit="1" customWidth="1"/>
    <col min="2" max="2" width="9" bestFit="1" customWidth="1"/>
    <col min="3" max="3" width="13.85546875" bestFit="1" customWidth="1"/>
    <col min="4" max="4" width="12.140625" bestFit="1" customWidth="1"/>
    <col min="5" max="5" width="12.42578125" bestFit="1" customWidth="1"/>
    <col min="6" max="6" width="8.7109375" bestFit="1" customWidth="1"/>
    <col min="7" max="7" width="15.5703125" bestFit="1" customWidth="1"/>
    <col min="8" max="8" width="15.85546875" bestFit="1" customWidth="1"/>
    <col min="9" max="10" width="10" bestFit="1" customWidth="1"/>
  </cols>
  <sheetData>
    <row r="1" spans="1:10" x14ac:dyDescent="0.25">
      <c r="A1" t="s">
        <v>0</v>
      </c>
      <c r="B1" t="s">
        <v>869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 t="s">
        <v>76</v>
      </c>
      <c r="B2" t="s">
        <v>870</v>
      </c>
      <c r="C2" t="s">
        <v>11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47307</v>
      </c>
      <c r="J2" s="1">
        <v>0</v>
      </c>
    </row>
    <row r="3" spans="1:10" x14ac:dyDescent="0.25">
      <c r="A3" t="s">
        <v>69</v>
      </c>
      <c r="B3" t="s">
        <v>870</v>
      </c>
      <c r="C3" t="s">
        <v>12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100148</v>
      </c>
      <c r="J3" s="1">
        <v>0</v>
      </c>
    </row>
    <row r="4" spans="1:10" x14ac:dyDescent="0.25">
      <c r="A4" t="s">
        <v>76</v>
      </c>
      <c r="B4" t="s">
        <v>870</v>
      </c>
      <c r="C4" t="s">
        <v>13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12647</v>
      </c>
      <c r="J4" s="1">
        <v>0</v>
      </c>
    </row>
    <row r="5" spans="1:10" x14ac:dyDescent="0.25">
      <c r="A5" t="s">
        <v>801</v>
      </c>
      <c r="B5" t="s">
        <v>870</v>
      </c>
      <c r="C5" t="s">
        <v>14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3768</v>
      </c>
      <c r="J5" s="1">
        <v>0</v>
      </c>
    </row>
    <row r="6" spans="1:10" x14ac:dyDescent="0.25">
      <c r="A6" t="s">
        <v>826</v>
      </c>
      <c r="B6" t="s">
        <v>870</v>
      </c>
      <c r="C6" t="s">
        <v>15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9446</v>
      </c>
      <c r="J6" s="1">
        <v>0</v>
      </c>
    </row>
    <row r="7" spans="1:10" x14ac:dyDescent="0.25">
      <c r="A7" t="s">
        <v>796</v>
      </c>
      <c r="B7" t="s">
        <v>870</v>
      </c>
      <c r="C7" t="s">
        <v>16</v>
      </c>
      <c r="D7" s="1"/>
      <c r="E7" s="1"/>
      <c r="F7" s="1"/>
      <c r="G7" s="1"/>
      <c r="H7" s="1"/>
      <c r="I7" s="1"/>
      <c r="J7" s="1"/>
    </row>
    <row r="8" spans="1:10" x14ac:dyDescent="0.25">
      <c r="A8" t="s">
        <v>83</v>
      </c>
      <c r="B8" t="s">
        <v>870</v>
      </c>
      <c r="C8" t="s">
        <v>17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842</v>
      </c>
      <c r="J8" s="1">
        <v>0</v>
      </c>
    </row>
    <row r="9" spans="1:10" x14ac:dyDescent="0.25">
      <c r="A9" t="s">
        <v>803</v>
      </c>
      <c r="B9" t="s">
        <v>870</v>
      </c>
      <c r="C9" t="s">
        <v>18</v>
      </c>
      <c r="D9" s="1"/>
      <c r="E9" s="1"/>
      <c r="F9" s="1"/>
      <c r="G9" s="1"/>
      <c r="H9" s="1"/>
      <c r="I9" s="1"/>
      <c r="J9" s="1"/>
    </row>
    <row r="10" spans="1:10" x14ac:dyDescent="0.25">
      <c r="A10" t="s">
        <v>76</v>
      </c>
      <c r="B10" t="s">
        <v>870</v>
      </c>
      <c r="C10" t="s">
        <v>19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26528</v>
      </c>
      <c r="J10" s="1">
        <v>0</v>
      </c>
    </row>
    <row r="11" spans="1:10" x14ac:dyDescent="0.25">
      <c r="A11" t="s">
        <v>83</v>
      </c>
      <c r="B11" t="s">
        <v>870</v>
      </c>
      <c r="C11" t="s">
        <v>20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842</v>
      </c>
      <c r="J11" s="1">
        <v>0</v>
      </c>
    </row>
    <row r="12" spans="1:10" x14ac:dyDescent="0.25">
      <c r="A12" t="s">
        <v>248</v>
      </c>
      <c r="B12" t="s">
        <v>870</v>
      </c>
      <c r="C12" t="s">
        <v>21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9222</v>
      </c>
      <c r="J12" s="1">
        <v>0</v>
      </c>
    </row>
    <row r="13" spans="1:10" x14ac:dyDescent="0.25">
      <c r="A13" t="s">
        <v>83</v>
      </c>
      <c r="B13" t="s">
        <v>870</v>
      </c>
      <c r="C13" t="s">
        <v>22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2706</v>
      </c>
      <c r="J13" s="1">
        <v>0</v>
      </c>
    </row>
    <row r="14" spans="1:10" x14ac:dyDescent="0.25">
      <c r="A14" t="s">
        <v>801</v>
      </c>
      <c r="B14" t="s">
        <v>870</v>
      </c>
      <c r="C14" t="s">
        <v>23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1391</v>
      </c>
      <c r="J14" s="1">
        <v>0</v>
      </c>
    </row>
    <row r="15" spans="1:10" x14ac:dyDescent="0.25">
      <c r="A15" t="s">
        <v>69</v>
      </c>
      <c r="B15" t="s">
        <v>870</v>
      </c>
      <c r="C15" t="s">
        <v>24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4073</v>
      </c>
      <c r="J15" s="1">
        <v>0</v>
      </c>
    </row>
    <row r="16" spans="1:10" x14ac:dyDescent="0.25">
      <c r="A16" t="s">
        <v>804</v>
      </c>
      <c r="B16" t="s">
        <v>870</v>
      </c>
      <c r="C16" t="s">
        <v>25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2606</v>
      </c>
      <c r="J16" s="1">
        <v>0</v>
      </c>
    </row>
    <row r="17" spans="1:10" x14ac:dyDescent="0.25">
      <c r="A17" t="s">
        <v>788</v>
      </c>
      <c r="B17" t="s">
        <v>871</v>
      </c>
      <c r="C17" t="s">
        <v>26</v>
      </c>
      <c r="D17" s="1"/>
      <c r="E17" s="1"/>
      <c r="F17" s="1"/>
      <c r="G17" s="1"/>
      <c r="H17" s="1"/>
      <c r="I17" s="1"/>
      <c r="J17" s="1"/>
    </row>
    <row r="18" spans="1:10" x14ac:dyDescent="0.25">
      <c r="A18" t="s">
        <v>849</v>
      </c>
      <c r="B18" t="s">
        <v>872</v>
      </c>
      <c r="C18" t="s">
        <v>27</v>
      </c>
      <c r="D18" s="1">
        <v>42336</v>
      </c>
      <c r="E18" s="1">
        <v>668</v>
      </c>
      <c r="F18" s="1">
        <v>0</v>
      </c>
      <c r="G18" s="1">
        <v>0</v>
      </c>
      <c r="H18" s="1">
        <v>0</v>
      </c>
      <c r="I18" s="1">
        <v>94969</v>
      </c>
      <c r="J18" s="1">
        <v>16744</v>
      </c>
    </row>
    <row r="19" spans="1:10" x14ac:dyDescent="0.25">
      <c r="A19" t="s">
        <v>805</v>
      </c>
      <c r="B19" t="s">
        <v>872</v>
      </c>
      <c r="C19" t="s">
        <v>28</v>
      </c>
      <c r="D19" s="1"/>
      <c r="E19" s="1"/>
      <c r="F19" s="1"/>
      <c r="G19" s="1"/>
      <c r="H19" s="1"/>
      <c r="I19" s="1"/>
      <c r="J19" s="1"/>
    </row>
    <row r="20" spans="1:10" x14ac:dyDescent="0.25">
      <c r="A20" t="s">
        <v>806</v>
      </c>
      <c r="B20" t="s">
        <v>872</v>
      </c>
      <c r="C20" t="s">
        <v>29</v>
      </c>
      <c r="D20" s="1"/>
      <c r="E20" s="1"/>
      <c r="F20" s="1"/>
      <c r="G20" s="1"/>
      <c r="H20" s="1"/>
      <c r="I20" s="1"/>
      <c r="J20" s="1"/>
    </row>
    <row r="21" spans="1:10" x14ac:dyDescent="0.25">
      <c r="A21" t="s">
        <v>817</v>
      </c>
      <c r="B21" t="s">
        <v>872</v>
      </c>
      <c r="C21" s="1" t="s">
        <v>30</v>
      </c>
      <c r="D21" s="1">
        <v>50041</v>
      </c>
      <c r="E21" s="1">
        <v>483</v>
      </c>
      <c r="F21" s="1">
        <v>0</v>
      </c>
      <c r="G21" s="1">
        <v>0</v>
      </c>
      <c r="H21" s="1">
        <v>0</v>
      </c>
      <c r="I21" s="1">
        <v>58072</v>
      </c>
      <c r="J21" s="1">
        <v>9831</v>
      </c>
    </row>
    <row r="22" spans="1:10" x14ac:dyDescent="0.25">
      <c r="A22" t="s">
        <v>829</v>
      </c>
      <c r="B22" t="s">
        <v>872</v>
      </c>
      <c r="C22" t="s">
        <v>32</v>
      </c>
      <c r="D22" s="1">
        <v>29491</v>
      </c>
      <c r="E22" s="1">
        <v>16</v>
      </c>
      <c r="F22" s="1">
        <v>0</v>
      </c>
      <c r="G22" s="1">
        <v>0</v>
      </c>
      <c r="H22" s="1">
        <v>0</v>
      </c>
      <c r="I22" s="1">
        <v>21218</v>
      </c>
      <c r="J22" s="1">
        <v>5063</v>
      </c>
    </row>
    <row r="23" spans="1:10" x14ac:dyDescent="0.25">
      <c r="A23" t="s">
        <v>830</v>
      </c>
      <c r="B23" t="s">
        <v>872</v>
      </c>
      <c r="C23" t="s">
        <v>34</v>
      </c>
      <c r="D23" s="1">
        <v>13835</v>
      </c>
      <c r="E23" s="1">
        <v>72</v>
      </c>
      <c r="F23" s="1">
        <v>0</v>
      </c>
      <c r="G23" s="1">
        <v>0</v>
      </c>
      <c r="H23" s="1">
        <v>0</v>
      </c>
      <c r="I23" s="1">
        <v>8572</v>
      </c>
      <c r="J23" s="1">
        <v>5358</v>
      </c>
    </row>
    <row r="24" spans="1:10" x14ac:dyDescent="0.25">
      <c r="A24" t="s">
        <v>831</v>
      </c>
      <c r="B24" t="s">
        <v>872</v>
      </c>
      <c r="C24" t="s">
        <v>35</v>
      </c>
      <c r="D24" s="1">
        <v>13988</v>
      </c>
      <c r="E24" s="1">
        <v>1</v>
      </c>
      <c r="F24" s="1">
        <v>0</v>
      </c>
      <c r="G24" s="1">
        <v>0</v>
      </c>
      <c r="H24" s="1">
        <v>0</v>
      </c>
      <c r="I24" s="1">
        <v>4974</v>
      </c>
      <c r="J24" s="1">
        <v>1642</v>
      </c>
    </row>
    <row r="25" spans="1:10" x14ac:dyDescent="0.25">
      <c r="A25" t="s">
        <v>832</v>
      </c>
      <c r="B25" t="s">
        <v>872</v>
      </c>
      <c r="C25" t="s">
        <v>37</v>
      </c>
      <c r="D25" s="1">
        <v>14354</v>
      </c>
      <c r="E25" s="1">
        <v>42</v>
      </c>
      <c r="F25" s="1">
        <v>0</v>
      </c>
      <c r="G25" s="1">
        <v>0</v>
      </c>
      <c r="H25" s="1">
        <v>0</v>
      </c>
      <c r="I25" s="1">
        <v>10448</v>
      </c>
      <c r="J25" s="1">
        <v>3168</v>
      </c>
    </row>
    <row r="26" spans="1:10" x14ac:dyDescent="0.25">
      <c r="A26" t="s">
        <v>833</v>
      </c>
      <c r="B26" t="s">
        <v>872</v>
      </c>
      <c r="C26" t="s">
        <v>39</v>
      </c>
      <c r="D26" s="1">
        <v>8395</v>
      </c>
      <c r="E26" s="1">
        <v>9</v>
      </c>
      <c r="F26" s="1">
        <v>0</v>
      </c>
      <c r="G26" s="1">
        <v>0</v>
      </c>
      <c r="H26" s="1">
        <v>0</v>
      </c>
      <c r="I26" s="1">
        <v>17235</v>
      </c>
      <c r="J26" s="1">
        <v>3874</v>
      </c>
    </row>
    <row r="27" spans="1:10" x14ac:dyDescent="0.25">
      <c r="A27" t="s">
        <v>834</v>
      </c>
      <c r="B27" t="s">
        <v>872</v>
      </c>
      <c r="C27" t="s">
        <v>41</v>
      </c>
      <c r="D27" s="1">
        <v>29764</v>
      </c>
      <c r="E27" s="1">
        <v>156</v>
      </c>
      <c r="F27" s="1">
        <v>0</v>
      </c>
      <c r="G27" s="1">
        <v>0</v>
      </c>
      <c r="H27" s="1">
        <v>0</v>
      </c>
      <c r="I27" s="1">
        <v>8471</v>
      </c>
      <c r="J27" s="1">
        <v>7202</v>
      </c>
    </row>
    <row r="28" spans="1:10" x14ac:dyDescent="0.25">
      <c r="A28" t="s">
        <v>835</v>
      </c>
      <c r="B28" t="s">
        <v>872</v>
      </c>
      <c r="C28" t="s">
        <v>42</v>
      </c>
      <c r="D28" s="1">
        <v>10930</v>
      </c>
      <c r="E28" s="1">
        <v>66</v>
      </c>
      <c r="F28" s="1">
        <v>0</v>
      </c>
      <c r="G28" s="1">
        <v>0</v>
      </c>
      <c r="H28" s="1">
        <v>0</v>
      </c>
      <c r="I28" s="1">
        <v>6009</v>
      </c>
      <c r="J28" s="1">
        <v>2632</v>
      </c>
    </row>
    <row r="29" spans="1:10" x14ac:dyDescent="0.25">
      <c r="A29" t="s">
        <v>836</v>
      </c>
      <c r="B29" t="s">
        <v>872</v>
      </c>
      <c r="C29" t="s">
        <v>44</v>
      </c>
      <c r="D29" s="1">
        <v>33305</v>
      </c>
      <c r="E29" s="1">
        <v>53</v>
      </c>
      <c r="F29" s="1">
        <v>0</v>
      </c>
      <c r="G29" s="1">
        <v>0</v>
      </c>
      <c r="H29" s="1">
        <v>0</v>
      </c>
      <c r="I29" s="1">
        <v>16237</v>
      </c>
      <c r="J29" s="1">
        <v>9389</v>
      </c>
    </row>
    <row r="30" spans="1:10" x14ac:dyDescent="0.25">
      <c r="A30" t="s">
        <v>837</v>
      </c>
      <c r="B30" t="s">
        <v>872</v>
      </c>
      <c r="C30" t="s">
        <v>46</v>
      </c>
      <c r="D30" s="1">
        <v>14983</v>
      </c>
      <c r="E30" s="1">
        <v>0</v>
      </c>
      <c r="F30" s="1">
        <v>0</v>
      </c>
      <c r="G30" s="1">
        <v>0</v>
      </c>
      <c r="H30" s="1">
        <v>0</v>
      </c>
      <c r="I30" s="1">
        <v>13581</v>
      </c>
      <c r="J30" s="1">
        <v>3102</v>
      </c>
    </row>
    <row r="31" spans="1:10" x14ac:dyDescent="0.25">
      <c r="A31" t="s">
        <v>838</v>
      </c>
      <c r="B31" t="s">
        <v>872</v>
      </c>
      <c r="C31" t="s">
        <v>48</v>
      </c>
      <c r="D31" s="1">
        <v>29723</v>
      </c>
      <c r="E31" s="1">
        <v>27</v>
      </c>
      <c r="F31" s="1">
        <v>0</v>
      </c>
      <c r="G31" s="1">
        <v>0</v>
      </c>
      <c r="H31" s="1">
        <v>0</v>
      </c>
      <c r="I31" s="1">
        <v>19413</v>
      </c>
      <c r="J31" s="1">
        <v>9415</v>
      </c>
    </row>
    <row r="32" spans="1:10" x14ac:dyDescent="0.25">
      <c r="A32" t="s">
        <v>839</v>
      </c>
      <c r="B32" t="s">
        <v>872</v>
      </c>
      <c r="C32" t="s">
        <v>49</v>
      </c>
      <c r="D32" s="1">
        <v>23629</v>
      </c>
      <c r="E32" s="1">
        <v>14</v>
      </c>
      <c r="F32" s="1">
        <v>0</v>
      </c>
      <c r="G32" s="1">
        <v>0</v>
      </c>
      <c r="H32" s="1">
        <v>0</v>
      </c>
      <c r="I32" s="1">
        <v>13843</v>
      </c>
      <c r="J32" s="1">
        <v>10059</v>
      </c>
    </row>
    <row r="33" spans="1:10" x14ac:dyDescent="0.25">
      <c r="A33" t="s">
        <v>840</v>
      </c>
      <c r="B33" t="s">
        <v>872</v>
      </c>
      <c r="C33" t="s">
        <v>51</v>
      </c>
      <c r="D33" s="1">
        <v>10083</v>
      </c>
      <c r="E33" s="1">
        <v>31</v>
      </c>
      <c r="F33" s="1">
        <v>0</v>
      </c>
      <c r="G33" s="1">
        <v>0</v>
      </c>
      <c r="H33" s="1">
        <v>0</v>
      </c>
      <c r="I33" s="1">
        <v>2951</v>
      </c>
      <c r="J33" s="1">
        <v>3080</v>
      </c>
    </row>
    <row r="34" spans="1:10" x14ac:dyDescent="0.25">
      <c r="A34" t="s">
        <v>841</v>
      </c>
      <c r="B34" t="s">
        <v>872</v>
      </c>
      <c r="C34" t="s">
        <v>53</v>
      </c>
      <c r="D34" s="1">
        <v>26672</v>
      </c>
      <c r="E34" s="1">
        <v>0</v>
      </c>
      <c r="F34" s="1">
        <v>0</v>
      </c>
      <c r="G34" s="1">
        <v>0</v>
      </c>
      <c r="H34" s="1">
        <v>0</v>
      </c>
      <c r="I34" s="1">
        <v>11896</v>
      </c>
      <c r="J34" s="1">
        <v>12253</v>
      </c>
    </row>
    <row r="35" spans="1:10" x14ac:dyDescent="0.25">
      <c r="A35" t="s">
        <v>842</v>
      </c>
      <c r="B35" t="s">
        <v>872</v>
      </c>
      <c r="C35" t="s">
        <v>55</v>
      </c>
      <c r="D35" s="1">
        <v>23243</v>
      </c>
      <c r="E35" s="1">
        <v>377</v>
      </c>
      <c r="F35" s="1">
        <v>0</v>
      </c>
      <c r="G35" s="1">
        <v>0</v>
      </c>
      <c r="H35" s="1">
        <v>0</v>
      </c>
      <c r="I35" s="1">
        <v>19174</v>
      </c>
      <c r="J35" s="1">
        <v>6959</v>
      </c>
    </row>
    <row r="36" spans="1:10" x14ac:dyDescent="0.25">
      <c r="A36" t="s">
        <v>788</v>
      </c>
      <c r="B36" t="s">
        <v>872</v>
      </c>
      <c r="C36" t="s">
        <v>56</v>
      </c>
      <c r="D36" s="1">
        <v>76537</v>
      </c>
      <c r="E36" s="1">
        <v>181</v>
      </c>
      <c r="F36" s="1">
        <v>0</v>
      </c>
      <c r="G36" s="1">
        <v>0</v>
      </c>
      <c r="H36" s="1">
        <v>0</v>
      </c>
      <c r="I36" s="1">
        <v>17733</v>
      </c>
      <c r="J36" s="1">
        <v>21353</v>
      </c>
    </row>
    <row r="37" spans="1:10" x14ac:dyDescent="0.25">
      <c r="A37" t="s">
        <v>495</v>
      </c>
      <c r="B37" t="s">
        <v>872</v>
      </c>
      <c r="C37" t="s">
        <v>57</v>
      </c>
      <c r="D37" s="1">
        <v>26972</v>
      </c>
      <c r="E37" s="1">
        <v>8</v>
      </c>
      <c r="F37" s="1">
        <v>0</v>
      </c>
      <c r="G37" s="1">
        <v>0</v>
      </c>
      <c r="H37" s="1">
        <v>0</v>
      </c>
      <c r="I37" s="1">
        <v>4824</v>
      </c>
      <c r="J37" s="1">
        <v>1106</v>
      </c>
    </row>
    <row r="38" spans="1:10" x14ac:dyDescent="0.25">
      <c r="A38" t="s">
        <v>248</v>
      </c>
      <c r="B38" t="s">
        <v>872</v>
      </c>
      <c r="C38" t="s">
        <v>58</v>
      </c>
      <c r="D38" s="1">
        <v>35420</v>
      </c>
      <c r="E38" s="1">
        <v>433</v>
      </c>
      <c r="F38" s="1">
        <v>0</v>
      </c>
      <c r="G38" s="1">
        <v>0</v>
      </c>
      <c r="H38" s="1">
        <v>0</v>
      </c>
      <c r="I38" s="1">
        <v>27337</v>
      </c>
      <c r="J38" s="1">
        <v>5685</v>
      </c>
    </row>
    <row r="39" spans="1:10" x14ac:dyDescent="0.25">
      <c r="A39" t="s">
        <v>843</v>
      </c>
      <c r="B39" t="s">
        <v>872</v>
      </c>
      <c r="C39" t="s">
        <v>60</v>
      </c>
      <c r="D39" s="1">
        <v>10566</v>
      </c>
      <c r="E39" s="1">
        <v>0</v>
      </c>
      <c r="F39" s="1">
        <v>0</v>
      </c>
      <c r="G39" s="1">
        <v>0</v>
      </c>
      <c r="H39" s="1">
        <v>0</v>
      </c>
      <c r="I39" s="1">
        <v>11031</v>
      </c>
      <c r="J39" s="1">
        <v>3282</v>
      </c>
    </row>
    <row r="40" spans="1:10" x14ac:dyDescent="0.25">
      <c r="A40" t="s">
        <v>844</v>
      </c>
      <c r="B40" t="s">
        <v>872</v>
      </c>
      <c r="C40" t="s">
        <v>62</v>
      </c>
      <c r="D40" s="1">
        <v>15641</v>
      </c>
      <c r="E40" s="1">
        <v>27</v>
      </c>
      <c r="F40" s="1">
        <v>0</v>
      </c>
      <c r="G40" s="1">
        <v>0</v>
      </c>
      <c r="H40" s="1">
        <v>0</v>
      </c>
      <c r="I40" s="1">
        <v>9117</v>
      </c>
      <c r="J40" s="1">
        <v>4240</v>
      </c>
    </row>
    <row r="41" spans="1:10" x14ac:dyDescent="0.25">
      <c r="A41" t="s">
        <v>845</v>
      </c>
      <c r="B41" t="s">
        <v>872</v>
      </c>
      <c r="C41" t="s">
        <v>63</v>
      </c>
      <c r="D41" s="1">
        <v>44897</v>
      </c>
      <c r="E41" s="1">
        <v>210</v>
      </c>
      <c r="F41" s="1">
        <v>0</v>
      </c>
      <c r="G41" s="1">
        <v>0</v>
      </c>
      <c r="H41" s="1">
        <v>0</v>
      </c>
      <c r="I41" s="1">
        <v>24045</v>
      </c>
      <c r="J41" s="1">
        <v>8195</v>
      </c>
    </row>
    <row r="42" spans="1:10" x14ac:dyDescent="0.25">
      <c r="A42" t="s">
        <v>846</v>
      </c>
      <c r="B42" t="s">
        <v>872</v>
      </c>
      <c r="C42" t="s">
        <v>64</v>
      </c>
      <c r="D42" s="1">
        <v>11018</v>
      </c>
      <c r="E42" s="1">
        <v>0</v>
      </c>
      <c r="F42" s="1">
        <v>0</v>
      </c>
      <c r="G42" s="1">
        <v>0</v>
      </c>
      <c r="H42" s="1">
        <v>0</v>
      </c>
      <c r="I42" s="1">
        <v>17986</v>
      </c>
      <c r="J42" s="1">
        <v>3102</v>
      </c>
    </row>
    <row r="43" spans="1:10" x14ac:dyDescent="0.25">
      <c r="A43" t="s">
        <v>788</v>
      </c>
      <c r="B43" t="s">
        <v>872</v>
      </c>
      <c r="C43" t="s">
        <v>65</v>
      </c>
      <c r="D43" s="1">
        <v>26428</v>
      </c>
      <c r="E43" s="1">
        <v>148</v>
      </c>
      <c r="F43" s="1">
        <v>0</v>
      </c>
      <c r="G43" s="1">
        <v>0</v>
      </c>
      <c r="H43" s="1">
        <v>0</v>
      </c>
      <c r="I43" s="1">
        <v>25825</v>
      </c>
      <c r="J43" s="1">
        <v>8145</v>
      </c>
    </row>
    <row r="44" spans="1:10" x14ac:dyDescent="0.25">
      <c r="A44" t="s">
        <v>76</v>
      </c>
      <c r="B44" t="s">
        <v>872</v>
      </c>
      <c r="C44" t="s">
        <v>66</v>
      </c>
      <c r="D44" s="1">
        <v>18000</v>
      </c>
      <c r="E44" s="1">
        <v>87</v>
      </c>
      <c r="F44" s="1">
        <v>0</v>
      </c>
      <c r="G44" s="1">
        <v>0</v>
      </c>
      <c r="H44" s="1">
        <v>0</v>
      </c>
      <c r="I44" s="1">
        <v>2011</v>
      </c>
      <c r="J44" s="1">
        <v>4554</v>
      </c>
    </row>
    <row r="45" spans="1:10" x14ac:dyDescent="0.25">
      <c r="A45" t="s">
        <v>67</v>
      </c>
      <c r="B45" t="s">
        <v>872</v>
      </c>
      <c r="C45" t="s">
        <v>68</v>
      </c>
      <c r="D45" s="1">
        <v>25126</v>
      </c>
      <c r="E45" s="1">
        <v>425</v>
      </c>
      <c r="F45" s="1">
        <v>0</v>
      </c>
      <c r="G45" s="1">
        <v>0</v>
      </c>
      <c r="H45" s="1">
        <v>0</v>
      </c>
      <c r="I45" s="1">
        <v>22950</v>
      </c>
      <c r="J45" s="1">
        <v>3000</v>
      </c>
    </row>
    <row r="46" spans="1:10" x14ac:dyDescent="0.25">
      <c r="A46" t="s">
        <v>76</v>
      </c>
      <c r="B46" t="s">
        <v>872</v>
      </c>
      <c r="C46" t="s">
        <v>70</v>
      </c>
      <c r="D46" s="1">
        <v>134221</v>
      </c>
      <c r="E46" s="1">
        <v>726</v>
      </c>
      <c r="F46" s="1">
        <v>0</v>
      </c>
      <c r="G46" s="1">
        <v>0</v>
      </c>
      <c r="H46" s="1">
        <v>0</v>
      </c>
      <c r="I46" s="1">
        <v>95391</v>
      </c>
      <c r="J46" s="1">
        <v>29329</v>
      </c>
    </row>
    <row r="47" spans="1:10" x14ac:dyDescent="0.25">
      <c r="A47" t="s">
        <v>803</v>
      </c>
      <c r="B47" t="s">
        <v>872</v>
      </c>
      <c r="C47" t="s">
        <v>71</v>
      </c>
      <c r="D47" s="1"/>
      <c r="E47" s="1"/>
      <c r="F47" s="1"/>
      <c r="G47" s="1"/>
      <c r="H47" s="1"/>
      <c r="I47" s="1"/>
      <c r="J47" s="1"/>
    </row>
    <row r="48" spans="1:10" x14ac:dyDescent="0.25">
      <c r="A48" t="s">
        <v>72</v>
      </c>
      <c r="B48" t="s">
        <v>872</v>
      </c>
      <c r="C48" t="s">
        <v>73</v>
      </c>
      <c r="D48" s="1">
        <v>23545</v>
      </c>
      <c r="E48" s="1">
        <v>104</v>
      </c>
      <c r="F48" s="1">
        <v>0</v>
      </c>
      <c r="G48" s="1">
        <v>0</v>
      </c>
      <c r="H48" s="1">
        <v>0</v>
      </c>
      <c r="I48" s="1">
        <v>14233</v>
      </c>
      <c r="J48" s="1">
        <v>3971</v>
      </c>
    </row>
    <row r="49" spans="1:10" x14ac:dyDescent="0.25">
      <c r="A49" t="s">
        <v>809</v>
      </c>
      <c r="B49" t="s">
        <v>872</v>
      </c>
      <c r="C49" t="s">
        <v>74</v>
      </c>
      <c r="D49" s="1">
        <v>59880</v>
      </c>
      <c r="E49" s="1">
        <v>579</v>
      </c>
      <c r="F49" s="1">
        <v>0</v>
      </c>
      <c r="G49" s="1">
        <v>0</v>
      </c>
      <c r="H49" s="1">
        <v>0</v>
      </c>
      <c r="I49" s="1">
        <v>29038</v>
      </c>
      <c r="J49" s="1">
        <v>8685</v>
      </c>
    </row>
    <row r="50" spans="1:10" x14ac:dyDescent="0.25">
      <c r="A50" t="s">
        <v>146</v>
      </c>
      <c r="B50" t="s">
        <v>872</v>
      </c>
      <c r="C50" t="s">
        <v>75</v>
      </c>
      <c r="D50" s="1">
        <v>32648</v>
      </c>
      <c r="E50" s="1">
        <v>152</v>
      </c>
      <c r="F50" s="1">
        <v>0</v>
      </c>
      <c r="G50" s="1">
        <v>0</v>
      </c>
      <c r="H50" s="1">
        <v>0</v>
      </c>
      <c r="I50" s="1">
        <v>17975</v>
      </c>
      <c r="J50" s="1">
        <v>19484</v>
      </c>
    </row>
    <row r="51" spans="1:10" x14ac:dyDescent="0.25">
      <c r="A51" t="s">
        <v>76</v>
      </c>
      <c r="B51" t="s">
        <v>872</v>
      </c>
      <c r="C51" t="s">
        <v>77</v>
      </c>
      <c r="D51" s="1">
        <v>55228</v>
      </c>
      <c r="E51" s="1">
        <v>214</v>
      </c>
      <c r="F51" s="1">
        <v>0</v>
      </c>
      <c r="G51" s="1">
        <v>0</v>
      </c>
      <c r="H51" s="1">
        <v>0</v>
      </c>
      <c r="I51" s="1">
        <v>15468</v>
      </c>
      <c r="J51" s="1">
        <v>15307</v>
      </c>
    </row>
    <row r="52" spans="1:10" x14ac:dyDescent="0.25">
      <c r="A52" t="s">
        <v>801</v>
      </c>
      <c r="B52" t="s">
        <v>872</v>
      </c>
      <c r="C52" t="s">
        <v>78</v>
      </c>
      <c r="D52" s="1">
        <v>48140</v>
      </c>
      <c r="E52" s="1">
        <v>49</v>
      </c>
      <c r="F52" s="1">
        <v>0</v>
      </c>
      <c r="G52" s="1">
        <v>0</v>
      </c>
      <c r="H52" s="1">
        <v>0</v>
      </c>
      <c r="I52" s="1">
        <v>71952</v>
      </c>
      <c r="J52" s="1">
        <v>13549</v>
      </c>
    </row>
    <row r="53" spans="1:10" x14ac:dyDescent="0.25">
      <c r="A53" t="s">
        <v>847</v>
      </c>
      <c r="B53" t="s">
        <v>872</v>
      </c>
      <c r="C53" t="s">
        <v>79</v>
      </c>
      <c r="D53" s="1">
        <v>13550</v>
      </c>
      <c r="E53" s="1">
        <v>0</v>
      </c>
      <c r="F53" s="1">
        <v>0</v>
      </c>
      <c r="G53" s="1">
        <v>0</v>
      </c>
      <c r="H53" s="1">
        <v>0</v>
      </c>
      <c r="I53" s="1">
        <v>2885</v>
      </c>
      <c r="J53" s="1">
        <v>2398</v>
      </c>
    </row>
    <row r="54" spans="1:10" x14ac:dyDescent="0.25">
      <c r="A54" t="s">
        <v>226</v>
      </c>
      <c r="B54" t="s">
        <v>872</v>
      </c>
      <c r="C54" t="s">
        <v>80</v>
      </c>
      <c r="D54" s="1">
        <v>10510</v>
      </c>
      <c r="E54" s="1">
        <v>7</v>
      </c>
      <c r="F54" s="1">
        <v>0</v>
      </c>
      <c r="G54" s="1">
        <v>0</v>
      </c>
      <c r="H54" s="1">
        <v>0</v>
      </c>
      <c r="I54" s="1">
        <v>5777</v>
      </c>
      <c r="J54" s="1">
        <v>2556</v>
      </c>
    </row>
    <row r="55" spans="1:10" x14ac:dyDescent="0.25">
      <c r="A55" t="s">
        <v>826</v>
      </c>
      <c r="B55" t="s">
        <v>872</v>
      </c>
      <c r="C55" t="s">
        <v>81</v>
      </c>
      <c r="D55" s="1">
        <v>17774</v>
      </c>
      <c r="E55" s="1">
        <v>0</v>
      </c>
      <c r="F55" s="1">
        <v>0</v>
      </c>
      <c r="G55" s="1">
        <v>0</v>
      </c>
      <c r="H55" s="1">
        <v>0</v>
      </c>
      <c r="I55" s="1">
        <v>4560</v>
      </c>
      <c r="J55" s="1">
        <v>3659</v>
      </c>
    </row>
    <row r="56" spans="1:10" x14ac:dyDescent="0.25">
      <c r="A56" t="s">
        <v>76</v>
      </c>
      <c r="B56" t="s">
        <v>872</v>
      </c>
      <c r="C56" t="s">
        <v>82</v>
      </c>
      <c r="D56" s="1">
        <v>75810</v>
      </c>
      <c r="E56" s="1">
        <v>767</v>
      </c>
      <c r="F56" s="1">
        <v>0</v>
      </c>
      <c r="G56" s="1">
        <v>0</v>
      </c>
      <c r="H56" s="1">
        <v>0</v>
      </c>
      <c r="I56" s="1">
        <v>10599</v>
      </c>
      <c r="J56" s="1">
        <v>7792</v>
      </c>
    </row>
    <row r="57" spans="1:10" x14ac:dyDescent="0.25">
      <c r="A57" t="s">
        <v>83</v>
      </c>
      <c r="B57" t="s">
        <v>872</v>
      </c>
      <c r="C57" t="s">
        <v>84</v>
      </c>
      <c r="D57" s="1">
        <v>32010</v>
      </c>
      <c r="E57" s="1">
        <v>21</v>
      </c>
      <c r="F57" s="1">
        <v>0</v>
      </c>
      <c r="G57" s="1">
        <v>0</v>
      </c>
      <c r="H57" s="1">
        <v>0</v>
      </c>
      <c r="I57" s="1">
        <v>24885</v>
      </c>
      <c r="J57" s="1">
        <v>21989</v>
      </c>
    </row>
    <row r="58" spans="1:10" x14ac:dyDescent="0.25">
      <c r="A58" t="s">
        <v>809</v>
      </c>
      <c r="B58" t="s">
        <v>872</v>
      </c>
      <c r="C58" t="s">
        <v>85</v>
      </c>
      <c r="D58" s="1">
        <v>10466</v>
      </c>
      <c r="E58" s="1">
        <v>173</v>
      </c>
      <c r="F58" s="1">
        <v>0</v>
      </c>
      <c r="G58" s="1">
        <v>0</v>
      </c>
      <c r="H58" s="1">
        <v>0</v>
      </c>
      <c r="I58" s="1">
        <v>5145</v>
      </c>
      <c r="J58" s="1">
        <v>1092</v>
      </c>
    </row>
    <row r="59" spans="1:10" x14ac:dyDescent="0.25">
      <c r="A59" t="s">
        <v>811</v>
      </c>
      <c r="B59" t="s">
        <v>872</v>
      </c>
      <c r="C59" t="s">
        <v>86</v>
      </c>
      <c r="D59" s="1">
        <v>90674</v>
      </c>
      <c r="E59" s="1">
        <v>22994</v>
      </c>
      <c r="F59" s="1">
        <v>0</v>
      </c>
      <c r="G59" s="1">
        <v>0</v>
      </c>
      <c r="H59" s="1">
        <v>0</v>
      </c>
      <c r="I59" s="1">
        <v>16714</v>
      </c>
      <c r="J59" s="1">
        <v>53406</v>
      </c>
    </row>
    <row r="60" spans="1:10" x14ac:dyDescent="0.25">
      <c r="A60" t="s">
        <v>811</v>
      </c>
      <c r="B60" t="s">
        <v>872</v>
      </c>
      <c r="C60" t="s">
        <v>87</v>
      </c>
      <c r="D60" s="1">
        <v>40747</v>
      </c>
      <c r="E60" s="1">
        <v>2254</v>
      </c>
      <c r="F60" s="1">
        <v>0</v>
      </c>
      <c r="G60" s="1">
        <v>0</v>
      </c>
      <c r="H60" s="1">
        <v>0</v>
      </c>
      <c r="I60" s="1">
        <v>14028</v>
      </c>
      <c r="J60" s="1">
        <v>8218</v>
      </c>
    </row>
    <row r="61" spans="1:10" x14ac:dyDescent="0.25">
      <c r="A61" t="s">
        <v>791</v>
      </c>
      <c r="B61" t="s">
        <v>872</v>
      </c>
      <c r="C61" t="s">
        <v>88</v>
      </c>
      <c r="D61" s="1">
        <v>27350</v>
      </c>
      <c r="E61" s="1">
        <v>521</v>
      </c>
      <c r="F61" s="1">
        <v>0</v>
      </c>
      <c r="G61" s="1">
        <v>0</v>
      </c>
      <c r="H61" s="1">
        <v>0</v>
      </c>
      <c r="I61" s="1">
        <v>7070</v>
      </c>
      <c r="J61" s="1">
        <v>10128</v>
      </c>
    </row>
    <row r="62" spans="1:10" x14ac:dyDescent="0.25">
      <c r="A62" t="s">
        <v>809</v>
      </c>
      <c r="B62" t="s">
        <v>872</v>
      </c>
      <c r="C62" t="s">
        <v>89</v>
      </c>
      <c r="D62" s="1">
        <v>5413</v>
      </c>
      <c r="E62" s="1">
        <v>48</v>
      </c>
      <c r="F62" s="1">
        <v>0</v>
      </c>
      <c r="G62" s="1">
        <v>0</v>
      </c>
      <c r="H62" s="1">
        <v>0</v>
      </c>
      <c r="I62" s="1">
        <v>7408</v>
      </c>
      <c r="J62" s="1">
        <v>315</v>
      </c>
    </row>
    <row r="63" spans="1:10" x14ac:dyDescent="0.25">
      <c r="A63" t="s">
        <v>848</v>
      </c>
      <c r="B63" t="s">
        <v>872</v>
      </c>
      <c r="C63" t="s">
        <v>90</v>
      </c>
      <c r="D63" s="1">
        <v>44356</v>
      </c>
      <c r="E63" s="1">
        <v>140</v>
      </c>
      <c r="F63" s="1">
        <v>0</v>
      </c>
      <c r="G63" s="1">
        <v>0</v>
      </c>
      <c r="H63" s="1">
        <v>0</v>
      </c>
      <c r="I63" s="1">
        <v>8096</v>
      </c>
      <c r="J63" s="1">
        <v>22159</v>
      </c>
    </row>
    <row r="64" spans="1:10" x14ac:dyDescent="0.25">
      <c r="A64" t="s">
        <v>248</v>
      </c>
      <c r="B64" t="s">
        <v>872</v>
      </c>
      <c r="C64" t="s">
        <v>91</v>
      </c>
      <c r="D64" s="1">
        <v>260595</v>
      </c>
      <c r="E64" s="1">
        <v>5205</v>
      </c>
      <c r="F64" s="1">
        <v>0</v>
      </c>
      <c r="G64" s="1">
        <v>0</v>
      </c>
      <c r="H64" s="1">
        <v>0</v>
      </c>
      <c r="I64" s="1">
        <v>94753</v>
      </c>
      <c r="J64" s="1">
        <v>121180</v>
      </c>
    </row>
    <row r="65" spans="1:10" x14ac:dyDescent="0.25">
      <c r="A65" t="s">
        <v>826</v>
      </c>
      <c r="B65" t="s">
        <v>872</v>
      </c>
      <c r="C65" t="s">
        <v>92</v>
      </c>
      <c r="D65" s="1">
        <v>47823</v>
      </c>
      <c r="E65" s="1">
        <v>1988</v>
      </c>
      <c r="F65" s="1">
        <v>0</v>
      </c>
      <c r="G65" s="1">
        <v>0</v>
      </c>
      <c r="H65" s="1">
        <v>0</v>
      </c>
      <c r="I65" s="1">
        <v>9074</v>
      </c>
      <c r="J65" s="1">
        <v>7529</v>
      </c>
    </row>
    <row r="66" spans="1:10" x14ac:dyDescent="0.25">
      <c r="A66" t="s">
        <v>805</v>
      </c>
      <c r="B66" t="s">
        <v>872</v>
      </c>
      <c r="C66" t="s">
        <v>93</v>
      </c>
      <c r="D66" s="1"/>
      <c r="E66" s="1"/>
      <c r="F66" s="1"/>
      <c r="G66" s="1"/>
      <c r="H66" s="1"/>
      <c r="I66" s="1"/>
      <c r="J66" s="1"/>
    </row>
    <row r="67" spans="1:10" x14ac:dyDescent="0.25">
      <c r="A67" t="s">
        <v>791</v>
      </c>
      <c r="B67" t="s">
        <v>872</v>
      </c>
      <c r="C67" t="s">
        <v>94</v>
      </c>
      <c r="D67" s="1">
        <v>17616</v>
      </c>
      <c r="E67" s="1">
        <v>214</v>
      </c>
      <c r="F67" s="1">
        <v>0</v>
      </c>
      <c r="G67" s="1">
        <v>0</v>
      </c>
      <c r="H67" s="1">
        <v>0</v>
      </c>
      <c r="I67" s="1">
        <v>7485</v>
      </c>
      <c r="J67" s="1">
        <v>1654</v>
      </c>
    </row>
    <row r="68" spans="1:10" x14ac:dyDescent="0.25">
      <c r="A68" t="s">
        <v>848</v>
      </c>
      <c r="B68" t="s">
        <v>872</v>
      </c>
      <c r="C68" t="s">
        <v>95</v>
      </c>
      <c r="D68" s="1">
        <v>4931</v>
      </c>
      <c r="E68" s="1">
        <v>136</v>
      </c>
      <c r="F68" s="1">
        <v>0</v>
      </c>
      <c r="G68" s="1">
        <v>0</v>
      </c>
      <c r="H68" s="1">
        <v>0</v>
      </c>
      <c r="I68" s="1">
        <v>1996</v>
      </c>
      <c r="J68" s="1">
        <v>813</v>
      </c>
    </row>
    <row r="69" spans="1:10" x14ac:dyDescent="0.25">
      <c r="A69" t="s">
        <v>826</v>
      </c>
      <c r="B69" t="s">
        <v>872</v>
      </c>
      <c r="C69" t="s">
        <v>96</v>
      </c>
      <c r="D69" s="1">
        <v>12711</v>
      </c>
      <c r="E69" s="1">
        <v>138</v>
      </c>
      <c r="F69" s="1">
        <v>0</v>
      </c>
      <c r="G69" s="1">
        <v>0</v>
      </c>
      <c r="H69" s="1">
        <v>0</v>
      </c>
      <c r="I69" s="1">
        <v>2545</v>
      </c>
      <c r="J69" s="1">
        <v>2484</v>
      </c>
    </row>
    <row r="70" spans="1:10" x14ac:dyDescent="0.25">
      <c r="A70" t="s">
        <v>850</v>
      </c>
      <c r="B70" t="s">
        <v>872</v>
      </c>
      <c r="C70" t="s">
        <v>98</v>
      </c>
      <c r="D70" s="1">
        <v>13513</v>
      </c>
      <c r="E70" s="1">
        <v>24</v>
      </c>
      <c r="F70" s="1">
        <v>0</v>
      </c>
      <c r="G70" s="1">
        <v>0</v>
      </c>
      <c r="H70" s="1">
        <v>0</v>
      </c>
      <c r="I70" s="1">
        <v>8606</v>
      </c>
      <c r="J70" s="1">
        <v>3860</v>
      </c>
    </row>
    <row r="71" spans="1:10" x14ac:dyDescent="0.25">
      <c r="A71" t="s">
        <v>851</v>
      </c>
      <c r="B71" t="s">
        <v>872</v>
      </c>
      <c r="C71" t="s">
        <v>100</v>
      </c>
      <c r="D71" s="1">
        <v>8873</v>
      </c>
      <c r="E71" s="1">
        <v>324</v>
      </c>
      <c r="F71" s="1">
        <v>0</v>
      </c>
      <c r="G71" s="1">
        <v>0</v>
      </c>
      <c r="H71" s="1">
        <v>0</v>
      </c>
      <c r="I71" s="1">
        <v>5842</v>
      </c>
      <c r="J71" s="1">
        <v>2287</v>
      </c>
    </row>
    <row r="72" spans="1:10" x14ac:dyDescent="0.25">
      <c r="A72" t="s">
        <v>101</v>
      </c>
      <c r="B72" t="s">
        <v>872</v>
      </c>
      <c r="C72" t="s">
        <v>102</v>
      </c>
      <c r="D72" s="1">
        <v>51907</v>
      </c>
      <c r="E72" s="1">
        <v>2</v>
      </c>
      <c r="F72" s="1">
        <v>0</v>
      </c>
      <c r="G72" s="1">
        <v>0</v>
      </c>
      <c r="H72" s="1">
        <v>0</v>
      </c>
      <c r="I72" s="1">
        <v>56436</v>
      </c>
      <c r="J72" s="1">
        <v>7774</v>
      </c>
    </row>
    <row r="73" spans="1:10" x14ac:dyDescent="0.25">
      <c r="A73" t="s">
        <v>512</v>
      </c>
      <c r="B73" t="s">
        <v>872</v>
      </c>
      <c r="C73" t="s">
        <v>103</v>
      </c>
      <c r="D73" s="1">
        <v>25239</v>
      </c>
      <c r="E73" s="1">
        <v>0</v>
      </c>
      <c r="F73" s="1">
        <v>0</v>
      </c>
      <c r="G73" s="1">
        <v>0</v>
      </c>
      <c r="H73" s="1">
        <v>0</v>
      </c>
      <c r="I73" s="1">
        <v>1301</v>
      </c>
      <c r="J73" s="1">
        <v>4579</v>
      </c>
    </row>
    <row r="74" spans="1:10" x14ac:dyDescent="0.25">
      <c r="A74" t="s">
        <v>852</v>
      </c>
      <c r="B74" t="s">
        <v>872</v>
      </c>
      <c r="C74" t="s">
        <v>105</v>
      </c>
      <c r="D74" s="1">
        <v>15541</v>
      </c>
      <c r="E74" s="1">
        <v>111</v>
      </c>
      <c r="F74" s="1">
        <v>0</v>
      </c>
      <c r="G74" s="1">
        <v>0</v>
      </c>
      <c r="H74" s="1">
        <v>0</v>
      </c>
      <c r="I74" s="1">
        <v>10471</v>
      </c>
      <c r="J74" s="1">
        <v>5248</v>
      </c>
    </row>
    <row r="75" spans="1:10" x14ac:dyDescent="0.25">
      <c r="A75" t="s">
        <v>853</v>
      </c>
      <c r="B75" t="s">
        <v>872</v>
      </c>
      <c r="C75" t="s">
        <v>107</v>
      </c>
      <c r="D75" s="1">
        <v>43028</v>
      </c>
      <c r="E75" s="1">
        <v>277</v>
      </c>
      <c r="F75" s="1">
        <v>0</v>
      </c>
      <c r="G75" s="1">
        <v>0</v>
      </c>
      <c r="H75" s="1">
        <v>0</v>
      </c>
      <c r="I75" s="1">
        <v>36315</v>
      </c>
      <c r="J75" s="1">
        <v>9971</v>
      </c>
    </row>
    <row r="76" spans="1:10" x14ac:dyDescent="0.25">
      <c r="A76" t="s">
        <v>854</v>
      </c>
      <c r="B76" t="s">
        <v>872</v>
      </c>
      <c r="C76" t="s">
        <v>109</v>
      </c>
      <c r="D76" s="1">
        <v>23803</v>
      </c>
      <c r="E76" s="1">
        <v>1305</v>
      </c>
      <c r="F76" s="1">
        <v>0</v>
      </c>
      <c r="G76" s="1">
        <v>0</v>
      </c>
      <c r="H76" s="1">
        <v>0</v>
      </c>
      <c r="I76" s="1">
        <v>25037</v>
      </c>
      <c r="J76" s="1">
        <v>7299</v>
      </c>
    </row>
    <row r="77" spans="1:10" x14ac:dyDescent="0.25">
      <c r="A77" t="s">
        <v>855</v>
      </c>
      <c r="B77" t="s">
        <v>872</v>
      </c>
      <c r="C77" t="s">
        <v>111</v>
      </c>
      <c r="D77" s="1">
        <v>13401</v>
      </c>
      <c r="E77" s="1">
        <v>167</v>
      </c>
      <c r="F77" s="1">
        <v>0</v>
      </c>
      <c r="G77" s="1">
        <v>0</v>
      </c>
      <c r="H77" s="1">
        <v>0</v>
      </c>
      <c r="I77" s="1">
        <v>15381</v>
      </c>
      <c r="J77" s="1">
        <v>4640</v>
      </c>
    </row>
    <row r="78" spans="1:10" x14ac:dyDescent="0.25">
      <c r="A78" t="s">
        <v>101</v>
      </c>
      <c r="B78" t="s">
        <v>872</v>
      </c>
      <c r="C78" t="s">
        <v>112</v>
      </c>
      <c r="D78" s="1">
        <v>40272</v>
      </c>
      <c r="E78" s="1">
        <v>9</v>
      </c>
      <c r="F78" s="1">
        <v>0</v>
      </c>
      <c r="G78" s="1">
        <v>0</v>
      </c>
      <c r="H78" s="1">
        <v>0</v>
      </c>
      <c r="I78" s="1">
        <v>94756</v>
      </c>
      <c r="J78" s="1">
        <v>3846</v>
      </c>
    </row>
    <row r="79" spans="1:10" x14ac:dyDescent="0.25">
      <c r="A79" t="s">
        <v>856</v>
      </c>
      <c r="B79" t="s">
        <v>872</v>
      </c>
      <c r="C79" t="s">
        <v>114</v>
      </c>
      <c r="D79" s="1">
        <v>15049</v>
      </c>
      <c r="E79" s="1">
        <v>407</v>
      </c>
      <c r="F79" s="1">
        <v>0</v>
      </c>
      <c r="G79" s="1">
        <v>0</v>
      </c>
      <c r="H79" s="1">
        <v>0</v>
      </c>
      <c r="I79" s="1">
        <v>23759</v>
      </c>
      <c r="J79" s="1">
        <v>10797</v>
      </c>
    </row>
    <row r="80" spans="1:10" x14ac:dyDescent="0.25">
      <c r="A80" t="s">
        <v>857</v>
      </c>
      <c r="B80" t="s">
        <v>872</v>
      </c>
      <c r="C80" t="s">
        <v>116</v>
      </c>
      <c r="D80" s="1">
        <v>19458</v>
      </c>
      <c r="E80" s="1">
        <v>279</v>
      </c>
      <c r="F80" s="1">
        <v>0</v>
      </c>
      <c r="G80" s="1">
        <v>0</v>
      </c>
      <c r="H80" s="1">
        <v>0</v>
      </c>
      <c r="I80" s="1">
        <v>4076</v>
      </c>
      <c r="J80" s="1">
        <v>5863</v>
      </c>
    </row>
    <row r="81" spans="1:10" x14ac:dyDescent="0.25">
      <c r="A81" t="s">
        <v>823</v>
      </c>
      <c r="B81" t="s">
        <v>872</v>
      </c>
      <c r="C81" t="s">
        <v>117</v>
      </c>
      <c r="D81" s="1">
        <v>26330</v>
      </c>
      <c r="E81" s="1">
        <v>33</v>
      </c>
      <c r="F81" s="1">
        <v>0</v>
      </c>
      <c r="G81" s="1">
        <v>0</v>
      </c>
      <c r="H81" s="1">
        <v>0</v>
      </c>
      <c r="I81" s="1">
        <v>9281</v>
      </c>
      <c r="J81" s="1">
        <v>5537</v>
      </c>
    </row>
    <row r="82" spans="1:10" x14ac:dyDescent="0.25">
      <c r="A82" t="s">
        <v>858</v>
      </c>
      <c r="B82" t="s">
        <v>872</v>
      </c>
      <c r="C82" t="s">
        <v>119</v>
      </c>
      <c r="D82" s="1">
        <v>21950</v>
      </c>
      <c r="E82" s="1">
        <v>265</v>
      </c>
      <c r="F82" s="1">
        <v>0</v>
      </c>
      <c r="G82" s="1">
        <v>0</v>
      </c>
      <c r="H82" s="1">
        <v>0</v>
      </c>
      <c r="I82" s="1">
        <v>9651</v>
      </c>
      <c r="J82" s="1">
        <v>7347</v>
      </c>
    </row>
    <row r="83" spans="1:10" x14ac:dyDescent="0.25">
      <c r="A83" t="s">
        <v>859</v>
      </c>
      <c r="B83" t="s">
        <v>872</v>
      </c>
      <c r="C83" t="s">
        <v>121</v>
      </c>
      <c r="D83" s="1">
        <v>25872</v>
      </c>
      <c r="E83" s="1">
        <v>79</v>
      </c>
      <c r="F83" s="1">
        <v>0</v>
      </c>
      <c r="G83" s="1">
        <v>0</v>
      </c>
      <c r="H83" s="1">
        <v>0</v>
      </c>
      <c r="I83" s="1">
        <v>15395</v>
      </c>
      <c r="J83" s="1">
        <v>3463</v>
      </c>
    </row>
    <row r="84" spans="1:10" x14ac:dyDescent="0.25">
      <c r="A84" t="s">
        <v>860</v>
      </c>
      <c r="B84" t="s">
        <v>872</v>
      </c>
      <c r="C84" t="s">
        <v>122</v>
      </c>
      <c r="D84" s="1">
        <v>20224</v>
      </c>
      <c r="E84" s="1">
        <v>41</v>
      </c>
      <c r="F84" s="1">
        <v>0</v>
      </c>
      <c r="G84" s="1">
        <v>0</v>
      </c>
      <c r="H84" s="1">
        <v>0</v>
      </c>
      <c r="I84" s="1">
        <v>11262</v>
      </c>
      <c r="J84" s="1">
        <v>5292</v>
      </c>
    </row>
    <row r="85" spans="1:10" x14ac:dyDescent="0.25">
      <c r="A85" t="s">
        <v>861</v>
      </c>
      <c r="B85" t="s">
        <v>872</v>
      </c>
      <c r="C85" t="s">
        <v>124</v>
      </c>
      <c r="D85" s="1">
        <v>20862</v>
      </c>
      <c r="E85" s="1">
        <v>0</v>
      </c>
      <c r="F85" s="1">
        <v>0</v>
      </c>
      <c r="G85" s="1">
        <v>0</v>
      </c>
      <c r="H85" s="1">
        <v>0</v>
      </c>
      <c r="I85" s="1">
        <v>10732</v>
      </c>
      <c r="J85" s="1">
        <v>4967</v>
      </c>
    </row>
    <row r="86" spans="1:10" x14ac:dyDescent="0.25">
      <c r="A86" t="s">
        <v>823</v>
      </c>
      <c r="B86" t="s">
        <v>872</v>
      </c>
      <c r="C86" t="s">
        <v>125</v>
      </c>
      <c r="D86" s="1">
        <v>82494</v>
      </c>
      <c r="E86" s="1">
        <v>35</v>
      </c>
      <c r="F86" s="1">
        <v>0</v>
      </c>
      <c r="G86" s="1">
        <v>0</v>
      </c>
      <c r="H86" s="1">
        <v>0</v>
      </c>
      <c r="I86" s="1">
        <v>4107</v>
      </c>
      <c r="J86" s="1">
        <v>6945</v>
      </c>
    </row>
    <row r="87" spans="1:10" x14ac:dyDescent="0.25">
      <c r="A87" t="s">
        <v>248</v>
      </c>
      <c r="B87" t="s">
        <v>872</v>
      </c>
      <c r="C87" t="s">
        <v>126</v>
      </c>
      <c r="D87" s="1">
        <v>27449</v>
      </c>
      <c r="E87" s="1">
        <v>58</v>
      </c>
      <c r="F87" s="1">
        <v>0</v>
      </c>
      <c r="G87" s="1">
        <v>0</v>
      </c>
      <c r="H87" s="1">
        <v>0</v>
      </c>
      <c r="I87" s="1">
        <v>45962</v>
      </c>
      <c r="J87" s="1">
        <v>5313</v>
      </c>
    </row>
    <row r="88" spans="1:10" x14ac:dyDescent="0.25">
      <c r="A88" t="s">
        <v>862</v>
      </c>
      <c r="B88" t="s">
        <v>872</v>
      </c>
      <c r="C88" t="s">
        <v>127</v>
      </c>
      <c r="D88" s="1">
        <v>9449</v>
      </c>
      <c r="E88" s="1">
        <v>102</v>
      </c>
      <c r="F88" s="1">
        <v>0</v>
      </c>
      <c r="G88" s="1">
        <v>0</v>
      </c>
      <c r="H88" s="1">
        <v>0</v>
      </c>
      <c r="I88" s="1">
        <v>6077</v>
      </c>
      <c r="J88" s="1">
        <v>3124</v>
      </c>
    </row>
    <row r="89" spans="1:10" x14ac:dyDescent="0.25">
      <c r="A89" t="s">
        <v>863</v>
      </c>
      <c r="B89" t="s">
        <v>872</v>
      </c>
      <c r="C89" t="s">
        <v>129</v>
      </c>
      <c r="D89" s="1">
        <v>27486</v>
      </c>
      <c r="E89" s="1">
        <v>401</v>
      </c>
      <c r="F89" s="1">
        <v>0</v>
      </c>
      <c r="G89" s="1">
        <v>0</v>
      </c>
      <c r="H89" s="1">
        <v>0</v>
      </c>
      <c r="I89" s="1">
        <v>9624</v>
      </c>
      <c r="J89" s="1">
        <v>7248</v>
      </c>
    </row>
    <row r="90" spans="1:10" x14ac:dyDescent="0.25">
      <c r="A90" t="s">
        <v>794</v>
      </c>
      <c r="B90" t="s">
        <v>872</v>
      </c>
      <c r="C90" t="s">
        <v>130</v>
      </c>
      <c r="D90" s="1">
        <v>52239</v>
      </c>
      <c r="E90" s="1">
        <v>132</v>
      </c>
      <c r="F90" s="1">
        <v>0</v>
      </c>
      <c r="G90" s="1">
        <v>0</v>
      </c>
      <c r="H90" s="1">
        <v>0</v>
      </c>
      <c r="I90" s="1">
        <v>5966</v>
      </c>
      <c r="J90" s="1">
        <v>5475</v>
      </c>
    </row>
    <row r="91" spans="1:10" x14ac:dyDescent="0.25">
      <c r="A91" t="s">
        <v>864</v>
      </c>
      <c r="B91" t="s">
        <v>872</v>
      </c>
      <c r="C91" t="s">
        <v>132</v>
      </c>
      <c r="D91" s="1">
        <v>51728</v>
      </c>
      <c r="E91" s="1">
        <v>99</v>
      </c>
      <c r="F91" s="1">
        <v>0</v>
      </c>
      <c r="G91" s="1">
        <v>0</v>
      </c>
      <c r="H91" s="1">
        <v>0</v>
      </c>
      <c r="I91" s="1">
        <v>44392</v>
      </c>
      <c r="J91" s="1">
        <v>26462</v>
      </c>
    </row>
    <row r="92" spans="1:10" x14ac:dyDescent="0.25">
      <c r="A92" t="s">
        <v>512</v>
      </c>
      <c r="B92" t="s">
        <v>872</v>
      </c>
      <c r="C92" t="s">
        <v>133</v>
      </c>
      <c r="D92" s="1">
        <v>13810</v>
      </c>
      <c r="E92" s="1">
        <v>700</v>
      </c>
      <c r="F92" s="1">
        <v>0</v>
      </c>
      <c r="G92" s="1">
        <v>0</v>
      </c>
      <c r="H92" s="1">
        <v>0</v>
      </c>
      <c r="I92" s="1">
        <v>6539</v>
      </c>
      <c r="J92" s="1">
        <v>2841</v>
      </c>
    </row>
    <row r="93" spans="1:10" x14ac:dyDescent="0.25">
      <c r="A93" t="s">
        <v>134</v>
      </c>
      <c r="B93" t="s">
        <v>872</v>
      </c>
      <c r="C93" t="s">
        <v>135</v>
      </c>
      <c r="D93" s="1">
        <v>34678</v>
      </c>
      <c r="E93" s="1">
        <v>10</v>
      </c>
      <c r="F93" s="1">
        <v>0</v>
      </c>
      <c r="G93" s="1">
        <v>0</v>
      </c>
      <c r="H93" s="1">
        <v>0</v>
      </c>
      <c r="I93" s="1">
        <v>45153</v>
      </c>
      <c r="J93" s="1">
        <v>9794</v>
      </c>
    </row>
    <row r="94" spans="1:10" x14ac:dyDescent="0.25">
      <c r="A94" t="s">
        <v>795</v>
      </c>
      <c r="B94" t="s">
        <v>872</v>
      </c>
      <c r="C94" t="s">
        <v>136</v>
      </c>
      <c r="D94" s="1">
        <v>18614</v>
      </c>
      <c r="E94" s="1">
        <v>362</v>
      </c>
      <c r="F94" s="1">
        <v>0</v>
      </c>
      <c r="G94" s="1">
        <v>0</v>
      </c>
      <c r="H94" s="1">
        <v>0</v>
      </c>
      <c r="I94" s="1">
        <v>21758</v>
      </c>
      <c r="J94" s="1">
        <v>4793</v>
      </c>
    </row>
    <row r="95" spans="1:10" x14ac:dyDescent="0.25">
      <c r="A95" t="s">
        <v>120</v>
      </c>
      <c r="B95" t="s">
        <v>872</v>
      </c>
      <c r="C95" t="s">
        <v>137</v>
      </c>
      <c r="D95" s="1">
        <v>55787</v>
      </c>
      <c r="E95" s="1">
        <v>95</v>
      </c>
      <c r="F95" s="1">
        <v>0</v>
      </c>
      <c r="G95" s="1">
        <v>0</v>
      </c>
      <c r="H95" s="1">
        <v>0</v>
      </c>
      <c r="I95" s="1">
        <v>27107</v>
      </c>
      <c r="J95" s="1">
        <v>4109</v>
      </c>
    </row>
    <row r="96" spans="1:10" x14ac:dyDescent="0.25">
      <c r="A96" t="s">
        <v>138</v>
      </c>
      <c r="B96" t="s">
        <v>872</v>
      </c>
      <c r="C96" t="s">
        <v>139</v>
      </c>
      <c r="D96" s="1">
        <v>45695</v>
      </c>
      <c r="E96" s="1">
        <v>28</v>
      </c>
      <c r="F96" s="1">
        <v>0</v>
      </c>
      <c r="G96" s="1">
        <v>0</v>
      </c>
      <c r="H96" s="1">
        <v>0</v>
      </c>
      <c r="I96" s="1">
        <v>54401</v>
      </c>
      <c r="J96" s="1">
        <v>9810</v>
      </c>
    </row>
    <row r="97" spans="1:10" x14ac:dyDescent="0.25">
      <c r="A97" t="s">
        <v>868</v>
      </c>
      <c r="B97" t="s">
        <v>872</v>
      </c>
      <c r="C97" t="s">
        <v>141</v>
      </c>
      <c r="D97" s="1">
        <v>3449</v>
      </c>
      <c r="E97" s="1">
        <v>4</v>
      </c>
      <c r="F97" s="1">
        <v>0</v>
      </c>
      <c r="G97" s="1">
        <v>0</v>
      </c>
      <c r="H97" s="1">
        <v>0</v>
      </c>
      <c r="I97" s="1">
        <v>1923</v>
      </c>
      <c r="J97" s="1">
        <v>265</v>
      </c>
    </row>
    <row r="98" spans="1:10" x14ac:dyDescent="0.25">
      <c r="A98" t="s">
        <v>67</v>
      </c>
      <c r="B98" t="s">
        <v>872</v>
      </c>
      <c r="C98" t="s">
        <v>142</v>
      </c>
      <c r="D98" s="1">
        <v>35988</v>
      </c>
      <c r="E98" s="1">
        <v>59</v>
      </c>
      <c r="F98" s="1">
        <v>0</v>
      </c>
      <c r="G98" s="1">
        <v>0</v>
      </c>
      <c r="H98" s="1">
        <v>0</v>
      </c>
      <c r="I98" s="1">
        <v>8598</v>
      </c>
      <c r="J98" s="1">
        <v>2224</v>
      </c>
    </row>
    <row r="99" spans="1:10" x14ac:dyDescent="0.25">
      <c r="A99" t="s">
        <v>823</v>
      </c>
      <c r="B99" t="s">
        <v>872</v>
      </c>
      <c r="C99" t="s">
        <v>143</v>
      </c>
      <c r="D99" s="1">
        <v>24981</v>
      </c>
      <c r="E99" s="1">
        <v>0</v>
      </c>
      <c r="F99" s="1">
        <v>0</v>
      </c>
      <c r="G99" s="1">
        <v>0</v>
      </c>
      <c r="H99" s="1">
        <v>0</v>
      </c>
      <c r="I99" s="1">
        <v>1163</v>
      </c>
      <c r="J99" s="1">
        <v>3869</v>
      </c>
    </row>
    <row r="100" spans="1:10" x14ac:dyDescent="0.25">
      <c r="A100" t="s">
        <v>848</v>
      </c>
      <c r="B100" t="s">
        <v>872</v>
      </c>
      <c r="C100" t="s">
        <v>144</v>
      </c>
      <c r="D100" s="1">
        <v>11380</v>
      </c>
      <c r="E100" s="1">
        <v>475</v>
      </c>
      <c r="F100" s="1">
        <v>0</v>
      </c>
      <c r="G100" s="1">
        <v>0</v>
      </c>
      <c r="H100" s="1">
        <v>0</v>
      </c>
      <c r="I100" s="1">
        <v>1644</v>
      </c>
      <c r="J100" s="1">
        <v>3649</v>
      </c>
    </row>
    <row r="101" spans="1:10" x14ac:dyDescent="0.25">
      <c r="A101" t="s">
        <v>816</v>
      </c>
      <c r="B101" t="s">
        <v>872</v>
      </c>
      <c r="C101" t="s">
        <v>145</v>
      </c>
      <c r="D101" s="1">
        <v>70608</v>
      </c>
      <c r="E101" s="1">
        <v>121</v>
      </c>
      <c r="F101" s="1">
        <v>0</v>
      </c>
      <c r="G101" s="1">
        <v>0</v>
      </c>
      <c r="H101" s="1">
        <v>0</v>
      </c>
      <c r="I101" s="1">
        <v>52131</v>
      </c>
      <c r="J101" s="1">
        <v>24407</v>
      </c>
    </row>
    <row r="102" spans="1:10" x14ac:dyDescent="0.25">
      <c r="A102" t="s">
        <v>146</v>
      </c>
      <c r="B102" t="s">
        <v>872</v>
      </c>
      <c r="C102" t="s">
        <v>147</v>
      </c>
      <c r="D102" s="1">
        <v>98368</v>
      </c>
      <c r="E102" s="1">
        <v>68</v>
      </c>
      <c r="F102" s="1">
        <v>0</v>
      </c>
      <c r="G102" s="1">
        <v>0</v>
      </c>
      <c r="H102" s="1">
        <v>0</v>
      </c>
      <c r="I102" s="1">
        <v>49369</v>
      </c>
      <c r="J102" s="1">
        <v>24723</v>
      </c>
    </row>
    <row r="103" spans="1:10" x14ac:dyDescent="0.25">
      <c r="A103" t="s">
        <v>804</v>
      </c>
      <c r="B103" t="s">
        <v>872</v>
      </c>
      <c r="C103" t="s">
        <v>148</v>
      </c>
      <c r="D103" s="1">
        <v>104435</v>
      </c>
      <c r="E103" s="1">
        <v>106</v>
      </c>
      <c r="F103" s="1">
        <v>0</v>
      </c>
      <c r="G103" s="1">
        <v>0</v>
      </c>
      <c r="H103" s="1">
        <v>0</v>
      </c>
      <c r="I103" s="1">
        <v>119099</v>
      </c>
      <c r="J103" s="1">
        <v>20699</v>
      </c>
    </row>
    <row r="104" spans="1:10" x14ac:dyDescent="0.25">
      <c r="A104" t="s">
        <v>817</v>
      </c>
      <c r="B104" t="s">
        <v>872</v>
      </c>
      <c r="C104" t="s">
        <v>149</v>
      </c>
      <c r="D104" s="1">
        <v>25498</v>
      </c>
      <c r="E104" s="1">
        <v>853</v>
      </c>
      <c r="F104" s="1">
        <v>0</v>
      </c>
      <c r="G104" s="1">
        <v>0</v>
      </c>
      <c r="H104" s="1">
        <v>0</v>
      </c>
      <c r="I104" s="1">
        <v>27613</v>
      </c>
      <c r="J104" s="1">
        <v>10399</v>
      </c>
    </row>
    <row r="105" spans="1:10" x14ac:dyDescent="0.25">
      <c r="A105" t="s">
        <v>831</v>
      </c>
      <c r="B105" t="s">
        <v>872</v>
      </c>
      <c r="C105" t="s">
        <v>151</v>
      </c>
      <c r="D105" s="1">
        <v>6744</v>
      </c>
      <c r="E105" s="1">
        <v>47</v>
      </c>
      <c r="F105" s="1">
        <v>0</v>
      </c>
      <c r="G105" s="1">
        <v>0</v>
      </c>
      <c r="H105" s="1">
        <v>0</v>
      </c>
      <c r="I105" s="1">
        <v>3256</v>
      </c>
      <c r="J105" s="1">
        <v>1391</v>
      </c>
    </row>
    <row r="106" spans="1:10" x14ac:dyDescent="0.25">
      <c r="A106" t="s">
        <v>146</v>
      </c>
      <c r="B106" t="s">
        <v>872</v>
      </c>
      <c r="C106" t="s">
        <v>152</v>
      </c>
      <c r="D106" s="1">
        <v>30428</v>
      </c>
      <c r="E106" s="1">
        <v>61</v>
      </c>
      <c r="F106" s="1">
        <v>0</v>
      </c>
      <c r="G106" s="1">
        <v>0</v>
      </c>
      <c r="H106" s="1">
        <v>0</v>
      </c>
      <c r="I106" s="1">
        <v>34655</v>
      </c>
      <c r="J106" s="1">
        <v>11343</v>
      </c>
    </row>
    <row r="107" spans="1:10" x14ac:dyDescent="0.25">
      <c r="A107" t="s">
        <v>495</v>
      </c>
      <c r="B107" t="s">
        <v>872</v>
      </c>
      <c r="C107" t="s">
        <v>153</v>
      </c>
      <c r="D107" s="1">
        <v>8442</v>
      </c>
      <c r="E107" s="1">
        <v>6</v>
      </c>
      <c r="F107" s="1">
        <v>0</v>
      </c>
      <c r="G107" s="1">
        <v>0</v>
      </c>
      <c r="H107" s="1">
        <v>0</v>
      </c>
      <c r="I107" s="1">
        <v>10490</v>
      </c>
      <c r="J107" s="1">
        <v>1174</v>
      </c>
    </row>
    <row r="108" spans="1:10" x14ac:dyDescent="0.25">
      <c r="A108" t="s">
        <v>76</v>
      </c>
      <c r="B108" t="s">
        <v>872</v>
      </c>
      <c r="C108" t="s">
        <v>154</v>
      </c>
      <c r="D108" s="1">
        <v>51355</v>
      </c>
      <c r="E108" s="1">
        <v>507</v>
      </c>
      <c r="F108" s="1">
        <v>0</v>
      </c>
      <c r="G108" s="1">
        <v>0</v>
      </c>
      <c r="H108" s="1">
        <v>0</v>
      </c>
      <c r="I108" s="1">
        <v>6387</v>
      </c>
      <c r="J108" s="1">
        <v>19271</v>
      </c>
    </row>
    <row r="109" spans="1:10" x14ac:dyDescent="0.25">
      <c r="A109" t="s">
        <v>83</v>
      </c>
      <c r="B109" t="s">
        <v>872</v>
      </c>
      <c r="C109" t="s">
        <v>155</v>
      </c>
      <c r="D109" s="1">
        <v>17811</v>
      </c>
      <c r="E109" s="1">
        <v>18</v>
      </c>
      <c r="F109" s="1">
        <v>0</v>
      </c>
      <c r="G109" s="1">
        <v>0</v>
      </c>
      <c r="H109" s="1">
        <v>0</v>
      </c>
      <c r="I109" s="1">
        <v>66843</v>
      </c>
      <c r="J109" s="1">
        <v>3135</v>
      </c>
    </row>
    <row r="110" spans="1:10" x14ac:dyDescent="0.25">
      <c r="A110" t="s">
        <v>138</v>
      </c>
      <c r="B110" t="s">
        <v>872</v>
      </c>
      <c r="C110" t="s">
        <v>156</v>
      </c>
      <c r="D110" s="1">
        <v>57114</v>
      </c>
      <c r="E110" s="1">
        <v>221</v>
      </c>
      <c r="F110" s="1">
        <v>0</v>
      </c>
      <c r="G110" s="1">
        <v>0</v>
      </c>
      <c r="H110" s="1">
        <v>0</v>
      </c>
      <c r="I110" s="1">
        <v>63510</v>
      </c>
      <c r="J110" s="1">
        <v>12426</v>
      </c>
    </row>
    <row r="111" spans="1:10" x14ac:dyDescent="0.25">
      <c r="A111" t="s">
        <v>831</v>
      </c>
      <c r="B111" t="s">
        <v>872</v>
      </c>
      <c r="C111" t="s">
        <v>157</v>
      </c>
      <c r="D111" s="1">
        <v>8758</v>
      </c>
      <c r="E111" s="1">
        <v>23</v>
      </c>
      <c r="F111" s="1">
        <v>0</v>
      </c>
      <c r="G111" s="1">
        <v>0</v>
      </c>
      <c r="H111" s="1">
        <v>0</v>
      </c>
      <c r="I111" s="1">
        <v>3630</v>
      </c>
      <c r="J111" s="1">
        <v>2315</v>
      </c>
    </row>
    <row r="112" spans="1:10" x14ac:dyDescent="0.25">
      <c r="A112" t="s">
        <v>818</v>
      </c>
      <c r="B112" t="s">
        <v>872</v>
      </c>
      <c r="C112" t="s">
        <v>158</v>
      </c>
      <c r="D112" s="1">
        <v>25142</v>
      </c>
      <c r="E112" s="1">
        <v>14</v>
      </c>
      <c r="F112" s="1">
        <v>0</v>
      </c>
      <c r="G112" s="1">
        <v>0</v>
      </c>
      <c r="H112" s="1">
        <v>0</v>
      </c>
      <c r="I112" s="1">
        <v>15889</v>
      </c>
      <c r="J112" s="1">
        <v>3940</v>
      </c>
    </row>
    <row r="113" spans="1:10" x14ac:dyDescent="0.25">
      <c r="A113" t="s">
        <v>134</v>
      </c>
      <c r="B113" t="s">
        <v>872</v>
      </c>
      <c r="C113" t="s">
        <v>159</v>
      </c>
      <c r="D113" s="1">
        <v>7772</v>
      </c>
      <c r="E113" s="1">
        <v>87</v>
      </c>
      <c r="F113" s="1">
        <v>0</v>
      </c>
      <c r="G113" s="1">
        <v>0</v>
      </c>
      <c r="H113" s="1">
        <v>0</v>
      </c>
      <c r="I113" s="1">
        <v>7861</v>
      </c>
      <c r="J113" s="1">
        <v>1150</v>
      </c>
    </row>
    <row r="114" spans="1:10" x14ac:dyDescent="0.25">
      <c r="A114" t="s">
        <v>795</v>
      </c>
      <c r="B114" t="s">
        <v>872</v>
      </c>
      <c r="C114" t="s">
        <v>160</v>
      </c>
      <c r="D114" s="1">
        <v>75058</v>
      </c>
      <c r="E114" s="1">
        <v>1774</v>
      </c>
      <c r="F114" s="1">
        <v>0</v>
      </c>
      <c r="G114" s="1">
        <v>0</v>
      </c>
      <c r="H114" s="1">
        <v>0</v>
      </c>
      <c r="I114" s="1">
        <v>12513</v>
      </c>
      <c r="J114" s="1">
        <v>24524</v>
      </c>
    </row>
    <row r="115" spans="1:10" x14ac:dyDescent="0.25">
      <c r="A115" t="s">
        <v>226</v>
      </c>
      <c r="B115" t="s">
        <v>872</v>
      </c>
      <c r="C115" t="s">
        <v>161</v>
      </c>
      <c r="D115" s="1">
        <v>5253</v>
      </c>
      <c r="E115" s="1">
        <v>1</v>
      </c>
      <c r="F115" s="1">
        <v>0</v>
      </c>
      <c r="G115" s="1">
        <v>0</v>
      </c>
      <c r="H115" s="1">
        <v>0</v>
      </c>
      <c r="I115" s="1">
        <v>1176</v>
      </c>
      <c r="J115" s="1">
        <v>312</v>
      </c>
    </row>
    <row r="116" spans="1:10" x14ac:dyDescent="0.25">
      <c r="A116" t="s">
        <v>791</v>
      </c>
      <c r="B116" t="s">
        <v>872</v>
      </c>
      <c r="C116" t="s">
        <v>162</v>
      </c>
      <c r="D116" s="1">
        <v>21277</v>
      </c>
      <c r="E116" s="1">
        <v>125</v>
      </c>
      <c r="F116" s="1">
        <v>0</v>
      </c>
      <c r="G116" s="1">
        <v>0</v>
      </c>
      <c r="H116" s="1">
        <v>0</v>
      </c>
      <c r="I116" s="1">
        <v>8387</v>
      </c>
      <c r="J116" s="1">
        <v>6253</v>
      </c>
    </row>
    <row r="117" spans="1:10" x14ac:dyDescent="0.25">
      <c r="A117" t="s">
        <v>811</v>
      </c>
      <c r="B117" t="s">
        <v>872</v>
      </c>
      <c r="C117" t="s">
        <v>163</v>
      </c>
      <c r="D117" s="1">
        <v>62916</v>
      </c>
      <c r="E117" s="1">
        <v>1515</v>
      </c>
      <c r="F117" s="1">
        <v>0</v>
      </c>
      <c r="G117" s="1">
        <v>0</v>
      </c>
      <c r="H117" s="1">
        <v>0</v>
      </c>
      <c r="I117" s="1">
        <v>60803</v>
      </c>
      <c r="J117" s="1">
        <v>23769</v>
      </c>
    </row>
    <row r="118" spans="1:10" x14ac:dyDescent="0.25">
      <c r="A118" t="s">
        <v>791</v>
      </c>
      <c r="B118" t="s">
        <v>872</v>
      </c>
      <c r="C118" t="s">
        <v>164</v>
      </c>
      <c r="D118" s="1">
        <v>68924</v>
      </c>
      <c r="E118" s="1">
        <v>179</v>
      </c>
      <c r="F118" s="1">
        <v>0</v>
      </c>
      <c r="G118" s="1">
        <v>0</v>
      </c>
      <c r="H118" s="1">
        <v>0</v>
      </c>
      <c r="I118" s="1">
        <v>34431</v>
      </c>
      <c r="J118" s="1">
        <v>15376</v>
      </c>
    </row>
    <row r="119" spans="1:10" x14ac:dyDescent="0.25">
      <c r="A119" t="s">
        <v>83</v>
      </c>
      <c r="B119" t="s">
        <v>872</v>
      </c>
      <c r="C119" t="s">
        <v>165</v>
      </c>
      <c r="D119" s="1">
        <v>12657</v>
      </c>
      <c r="E119" s="1">
        <v>142</v>
      </c>
      <c r="F119" s="1">
        <v>0</v>
      </c>
      <c r="G119" s="1">
        <v>0</v>
      </c>
      <c r="H119" s="1">
        <v>0</v>
      </c>
      <c r="I119" s="1">
        <v>5406</v>
      </c>
      <c r="J119" s="1">
        <v>2474</v>
      </c>
    </row>
    <row r="120" spans="1:10" x14ac:dyDescent="0.25">
      <c r="A120" t="s">
        <v>818</v>
      </c>
      <c r="B120" t="s">
        <v>872</v>
      </c>
      <c r="C120" t="s">
        <v>166</v>
      </c>
      <c r="D120" s="1">
        <v>9661</v>
      </c>
      <c r="E120" s="1">
        <v>11</v>
      </c>
      <c r="F120" s="1">
        <v>0</v>
      </c>
      <c r="G120" s="1">
        <v>0</v>
      </c>
      <c r="H120" s="1">
        <v>0</v>
      </c>
      <c r="I120" s="1">
        <v>10997</v>
      </c>
      <c r="J120" s="1">
        <v>691</v>
      </c>
    </row>
    <row r="121" spans="1:10" x14ac:dyDescent="0.25">
      <c r="A121" t="s">
        <v>801</v>
      </c>
      <c r="B121" t="s">
        <v>872</v>
      </c>
      <c r="C121" t="s">
        <v>167</v>
      </c>
      <c r="D121" s="1">
        <v>30524</v>
      </c>
      <c r="E121" s="1">
        <v>5</v>
      </c>
      <c r="F121" s="1">
        <v>0</v>
      </c>
      <c r="G121" s="1">
        <v>0</v>
      </c>
      <c r="H121" s="1">
        <v>0</v>
      </c>
      <c r="I121" s="1">
        <v>28013</v>
      </c>
      <c r="J121" s="1">
        <v>3131</v>
      </c>
    </row>
    <row r="122" spans="1:10" x14ac:dyDescent="0.25">
      <c r="A122" t="s">
        <v>826</v>
      </c>
      <c r="B122" t="s">
        <v>872</v>
      </c>
      <c r="C122" t="s">
        <v>168</v>
      </c>
      <c r="D122" s="1">
        <v>44589</v>
      </c>
      <c r="E122" s="1">
        <v>269</v>
      </c>
      <c r="F122" s="1">
        <v>0</v>
      </c>
      <c r="G122" s="1">
        <v>0</v>
      </c>
      <c r="H122" s="1">
        <v>0</v>
      </c>
      <c r="I122" s="1">
        <v>15074</v>
      </c>
      <c r="J122" s="1">
        <v>2430</v>
      </c>
    </row>
    <row r="123" spans="1:10" x14ac:dyDescent="0.25">
      <c r="A123" t="s">
        <v>848</v>
      </c>
      <c r="B123" t="s">
        <v>872</v>
      </c>
      <c r="C123" t="s">
        <v>169</v>
      </c>
      <c r="D123" s="1">
        <v>8777</v>
      </c>
      <c r="E123" s="1">
        <v>99</v>
      </c>
      <c r="F123" s="1">
        <v>0</v>
      </c>
      <c r="G123" s="1">
        <v>0</v>
      </c>
      <c r="H123" s="1">
        <v>0</v>
      </c>
      <c r="I123" s="1">
        <v>1560</v>
      </c>
      <c r="J123" s="1">
        <v>2635</v>
      </c>
    </row>
    <row r="124" spans="1:10" x14ac:dyDescent="0.25">
      <c r="A124" t="s">
        <v>811</v>
      </c>
      <c r="B124" t="s">
        <v>872</v>
      </c>
      <c r="C124" t="s">
        <v>170</v>
      </c>
      <c r="D124" s="1">
        <v>37005</v>
      </c>
      <c r="E124" s="1">
        <v>703</v>
      </c>
      <c r="F124" s="1">
        <v>0</v>
      </c>
      <c r="G124" s="1">
        <v>0</v>
      </c>
      <c r="H124" s="1">
        <v>0</v>
      </c>
      <c r="I124" s="1">
        <v>14072</v>
      </c>
      <c r="J124" s="1">
        <v>10716</v>
      </c>
    </row>
    <row r="125" spans="1:10" x14ac:dyDescent="0.25">
      <c r="A125" t="s">
        <v>512</v>
      </c>
      <c r="B125" t="s">
        <v>872</v>
      </c>
      <c r="C125" t="s">
        <v>171</v>
      </c>
      <c r="D125" s="1">
        <v>11438</v>
      </c>
      <c r="E125" s="1">
        <v>3</v>
      </c>
      <c r="F125" s="1">
        <v>0</v>
      </c>
      <c r="G125" s="1">
        <v>0</v>
      </c>
      <c r="H125" s="1">
        <v>0</v>
      </c>
      <c r="I125" s="1">
        <v>4597</v>
      </c>
      <c r="J125" s="1">
        <v>2629</v>
      </c>
    </row>
    <row r="126" spans="1:10" x14ac:dyDescent="0.25">
      <c r="A126" t="s">
        <v>848</v>
      </c>
      <c r="B126" t="s">
        <v>872</v>
      </c>
      <c r="C126" t="s">
        <v>172</v>
      </c>
      <c r="D126" s="1">
        <v>6691</v>
      </c>
      <c r="E126" s="1">
        <v>5</v>
      </c>
      <c r="F126" s="1">
        <v>0</v>
      </c>
      <c r="G126" s="1">
        <v>0</v>
      </c>
      <c r="H126" s="1">
        <v>0</v>
      </c>
      <c r="I126" s="1">
        <v>1114</v>
      </c>
      <c r="J126" s="1">
        <v>711</v>
      </c>
    </row>
    <row r="127" spans="1:10" x14ac:dyDescent="0.25">
      <c r="A127" t="s">
        <v>801</v>
      </c>
      <c r="B127" t="s">
        <v>872</v>
      </c>
      <c r="C127" t="s">
        <v>173</v>
      </c>
      <c r="D127" s="1">
        <v>61234</v>
      </c>
      <c r="E127" s="1">
        <v>1573</v>
      </c>
      <c r="F127" s="1">
        <v>0</v>
      </c>
      <c r="G127" s="1">
        <v>0</v>
      </c>
      <c r="H127" s="1">
        <v>0</v>
      </c>
      <c r="I127" s="1">
        <v>48541</v>
      </c>
      <c r="J127" s="1">
        <v>22651</v>
      </c>
    </row>
    <row r="128" spans="1:10" x14ac:dyDescent="0.25">
      <c r="A128" t="s">
        <v>864</v>
      </c>
      <c r="B128" t="s">
        <v>872</v>
      </c>
      <c r="C128" t="s">
        <v>174</v>
      </c>
      <c r="D128" s="1">
        <v>21699</v>
      </c>
      <c r="E128" s="1">
        <v>58</v>
      </c>
      <c r="F128" s="1">
        <v>0</v>
      </c>
      <c r="G128" s="1">
        <v>0</v>
      </c>
      <c r="H128" s="1">
        <v>0</v>
      </c>
      <c r="I128" s="1">
        <v>16535</v>
      </c>
      <c r="J128" s="1">
        <v>4817</v>
      </c>
    </row>
    <row r="129" spans="1:10" x14ac:dyDescent="0.25">
      <c r="A129" t="s">
        <v>226</v>
      </c>
      <c r="B129" t="s">
        <v>872</v>
      </c>
      <c r="C129" t="s">
        <v>175</v>
      </c>
      <c r="D129" s="1">
        <v>4241</v>
      </c>
      <c r="E129" s="1">
        <v>344</v>
      </c>
      <c r="F129" s="1">
        <v>0</v>
      </c>
      <c r="G129" s="1">
        <v>0</v>
      </c>
      <c r="H129" s="1">
        <v>0</v>
      </c>
      <c r="I129" s="1">
        <v>1580</v>
      </c>
      <c r="J129" s="1">
        <v>814</v>
      </c>
    </row>
    <row r="130" spans="1:10" x14ac:dyDescent="0.25">
      <c r="A130" t="s">
        <v>794</v>
      </c>
      <c r="B130" t="s">
        <v>872</v>
      </c>
      <c r="C130" t="s">
        <v>176</v>
      </c>
      <c r="D130" s="1">
        <v>106517</v>
      </c>
      <c r="E130" s="1">
        <v>60</v>
      </c>
      <c r="F130" s="1">
        <v>0</v>
      </c>
      <c r="G130" s="1">
        <v>0</v>
      </c>
      <c r="H130" s="1">
        <v>0</v>
      </c>
      <c r="I130" s="1">
        <v>20323</v>
      </c>
      <c r="J130" s="1">
        <v>7346</v>
      </c>
    </row>
    <row r="131" spans="1:10" x14ac:dyDescent="0.25">
      <c r="A131" t="s">
        <v>248</v>
      </c>
      <c r="B131" t="s">
        <v>872</v>
      </c>
      <c r="C131" t="s">
        <v>177</v>
      </c>
      <c r="D131" s="1">
        <v>22333</v>
      </c>
      <c r="E131" s="1">
        <v>28</v>
      </c>
      <c r="F131" s="1">
        <v>0</v>
      </c>
      <c r="G131" s="1">
        <v>0</v>
      </c>
      <c r="H131" s="1">
        <v>0</v>
      </c>
      <c r="I131" s="1">
        <v>19079</v>
      </c>
      <c r="J131" s="1">
        <v>3495</v>
      </c>
    </row>
    <row r="132" spans="1:10" x14ac:dyDescent="0.25">
      <c r="A132" t="s">
        <v>83</v>
      </c>
      <c r="B132" t="s">
        <v>872</v>
      </c>
      <c r="C132" t="s">
        <v>178</v>
      </c>
      <c r="D132" s="1">
        <v>50059</v>
      </c>
      <c r="E132" s="1">
        <v>250</v>
      </c>
      <c r="F132" s="1">
        <v>0</v>
      </c>
      <c r="G132" s="1">
        <v>0</v>
      </c>
      <c r="H132" s="1">
        <v>0</v>
      </c>
      <c r="I132" s="1">
        <v>64088</v>
      </c>
      <c r="J132" s="1">
        <v>7785</v>
      </c>
    </row>
    <row r="133" spans="1:10" x14ac:dyDescent="0.25">
      <c r="A133" t="s">
        <v>823</v>
      </c>
      <c r="B133" t="s">
        <v>872</v>
      </c>
      <c r="C133" t="s">
        <v>179</v>
      </c>
      <c r="D133" s="1">
        <v>56648</v>
      </c>
      <c r="E133" s="1">
        <v>588</v>
      </c>
      <c r="F133" s="1">
        <v>0</v>
      </c>
      <c r="G133" s="1">
        <v>0</v>
      </c>
      <c r="H133" s="1">
        <v>0</v>
      </c>
      <c r="I133" s="1">
        <v>13769</v>
      </c>
      <c r="J133" s="1">
        <v>18448</v>
      </c>
    </row>
    <row r="134" spans="1:10" x14ac:dyDescent="0.25">
      <c r="A134" t="s">
        <v>795</v>
      </c>
      <c r="B134" t="s">
        <v>872</v>
      </c>
      <c r="C134" t="s">
        <v>180</v>
      </c>
      <c r="D134" s="1">
        <v>126878</v>
      </c>
      <c r="E134" s="1">
        <v>47</v>
      </c>
      <c r="F134" s="1">
        <v>0</v>
      </c>
      <c r="G134" s="1">
        <v>0</v>
      </c>
      <c r="H134" s="1">
        <v>0</v>
      </c>
      <c r="I134" s="1">
        <v>58559</v>
      </c>
      <c r="J134" s="1">
        <v>39829</v>
      </c>
    </row>
    <row r="135" spans="1:10" x14ac:dyDescent="0.25">
      <c r="A135" t="s">
        <v>791</v>
      </c>
      <c r="B135" t="s">
        <v>872</v>
      </c>
      <c r="C135" t="s">
        <v>181</v>
      </c>
      <c r="D135" s="1">
        <v>7216</v>
      </c>
      <c r="E135" s="1">
        <v>548</v>
      </c>
      <c r="F135" s="1">
        <v>0</v>
      </c>
      <c r="G135" s="1">
        <v>0</v>
      </c>
      <c r="H135" s="1">
        <v>0</v>
      </c>
      <c r="I135" s="1">
        <v>10516</v>
      </c>
      <c r="J135" s="1">
        <v>2191</v>
      </c>
    </row>
    <row r="136" spans="1:10" x14ac:dyDescent="0.25">
      <c r="A136" t="s">
        <v>83</v>
      </c>
      <c r="B136" t="s">
        <v>872</v>
      </c>
      <c r="C136" t="s">
        <v>182</v>
      </c>
      <c r="D136" s="1">
        <v>31045</v>
      </c>
      <c r="E136" s="1">
        <v>81</v>
      </c>
      <c r="F136" s="1">
        <v>0</v>
      </c>
      <c r="G136" s="1">
        <v>0</v>
      </c>
      <c r="H136" s="1">
        <v>0</v>
      </c>
      <c r="I136" s="1">
        <v>4353</v>
      </c>
      <c r="J136" s="1">
        <v>7702</v>
      </c>
    </row>
    <row r="137" spans="1:10" x14ac:dyDescent="0.25">
      <c r="A137" t="s">
        <v>803</v>
      </c>
      <c r="B137" t="s">
        <v>872</v>
      </c>
      <c r="C137" t="s">
        <v>183</v>
      </c>
      <c r="D137" s="1"/>
      <c r="E137" s="1"/>
      <c r="F137" s="1"/>
      <c r="G137" s="1"/>
      <c r="H137" s="1"/>
      <c r="I137" s="1"/>
      <c r="J137" s="1"/>
    </row>
    <row r="138" spans="1:10" x14ac:dyDescent="0.25">
      <c r="A138" t="s">
        <v>67</v>
      </c>
      <c r="B138" t="s">
        <v>872</v>
      </c>
      <c r="C138" t="s">
        <v>184</v>
      </c>
      <c r="D138" s="1">
        <v>54203</v>
      </c>
      <c r="E138" s="1">
        <v>293</v>
      </c>
      <c r="F138" s="1">
        <v>0</v>
      </c>
      <c r="G138" s="1">
        <v>0</v>
      </c>
      <c r="H138" s="1">
        <v>0</v>
      </c>
      <c r="I138" s="1">
        <v>54696</v>
      </c>
      <c r="J138" s="1">
        <v>7512</v>
      </c>
    </row>
    <row r="139" spans="1:10" x14ac:dyDescent="0.25">
      <c r="A139" t="s">
        <v>865</v>
      </c>
      <c r="B139" t="s">
        <v>872</v>
      </c>
      <c r="C139" t="s">
        <v>186</v>
      </c>
      <c r="D139" s="1">
        <v>23154</v>
      </c>
      <c r="E139" s="1">
        <v>18</v>
      </c>
      <c r="F139" s="1">
        <v>0</v>
      </c>
      <c r="G139" s="1">
        <v>0</v>
      </c>
      <c r="H139" s="1">
        <v>0</v>
      </c>
      <c r="I139" s="1">
        <v>30663</v>
      </c>
      <c r="J139" s="1">
        <v>5563</v>
      </c>
    </row>
    <row r="140" spans="1:10" x14ac:dyDescent="0.25">
      <c r="A140" t="s">
        <v>512</v>
      </c>
      <c r="B140" t="s">
        <v>872</v>
      </c>
      <c r="C140" t="s">
        <v>187</v>
      </c>
      <c r="D140" s="1">
        <v>32434</v>
      </c>
      <c r="E140" s="1">
        <v>6</v>
      </c>
      <c r="F140" s="1">
        <v>0</v>
      </c>
      <c r="G140" s="1">
        <v>0</v>
      </c>
      <c r="H140" s="1">
        <v>0</v>
      </c>
      <c r="I140" s="1">
        <v>16773</v>
      </c>
      <c r="J140" s="1">
        <v>4202</v>
      </c>
    </row>
    <row r="141" spans="1:10" x14ac:dyDescent="0.25">
      <c r="A141" t="s">
        <v>231</v>
      </c>
      <c r="B141" t="s">
        <v>872</v>
      </c>
      <c r="C141" t="s">
        <v>189</v>
      </c>
      <c r="D141" s="1">
        <v>55447</v>
      </c>
      <c r="E141" s="1">
        <v>125</v>
      </c>
      <c r="F141" s="1">
        <v>0</v>
      </c>
      <c r="G141" s="1">
        <v>0</v>
      </c>
      <c r="H141" s="1">
        <v>0</v>
      </c>
      <c r="I141" s="1">
        <v>6158</v>
      </c>
      <c r="J141" s="1">
        <v>7226</v>
      </c>
    </row>
    <row r="142" spans="1:10" x14ac:dyDescent="0.25">
      <c r="A142" t="s">
        <v>83</v>
      </c>
      <c r="B142" t="s">
        <v>872</v>
      </c>
      <c r="C142" t="s">
        <v>190</v>
      </c>
      <c r="D142" s="1">
        <v>32690</v>
      </c>
      <c r="E142" s="1">
        <v>96</v>
      </c>
      <c r="F142" s="1">
        <v>0</v>
      </c>
      <c r="G142" s="1">
        <v>0</v>
      </c>
      <c r="H142" s="1">
        <v>0</v>
      </c>
      <c r="I142" s="1">
        <v>3343</v>
      </c>
      <c r="J142" s="1">
        <v>1873</v>
      </c>
    </row>
    <row r="143" spans="1:10" x14ac:dyDescent="0.25">
      <c r="A143" t="s">
        <v>76</v>
      </c>
      <c r="B143" t="s">
        <v>872</v>
      </c>
      <c r="C143" t="s">
        <v>191</v>
      </c>
      <c r="D143" s="1">
        <v>74979</v>
      </c>
      <c r="E143" s="1">
        <v>2791</v>
      </c>
      <c r="F143" s="1">
        <v>0</v>
      </c>
      <c r="G143" s="1">
        <v>0</v>
      </c>
      <c r="H143" s="1">
        <v>0</v>
      </c>
      <c r="I143" s="1">
        <v>2653</v>
      </c>
      <c r="J143" s="1">
        <v>15191</v>
      </c>
    </row>
    <row r="144" spans="1:10" x14ac:dyDescent="0.25">
      <c r="A144" t="s">
        <v>101</v>
      </c>
      <c r="B144" t="s">
        <v>872</v>
      </c>
      <c r="C144" t="s">
        <v>192</v>
      </c>
      <c r="D144" s="1">
        <v>54850</v>
      </c>
      <c r="E144" s="1">
        <v>361</v>
      </c>
      <c r="F144" s="1">
        <v>0</v>
      </c>
      <c r="G144" s="1">
        <v>0</v>
      </c>
      <c r="H144" s="1">
        <v>0</v>
      </c>
      <c r="I144" s="1">
        <v>69838</v>
      </c>
      <c r="J144" s="1">
        <v>7801</v>
      </c>
    </row>
    <row r="145" spans="1:10" x14ac:dyDescent="0.25">
      <c r="A145" t="s">
        <v>831</v>
      </c>
      <c r="B145" t="s">
        <v>872</v>
      </c>
      <c r="C145" t="s">
        <v>193</v>
      </c>
      <c r="D145" s="1">
        <v>2396</v>
      </c>
      <c r="E145" s="1">
        <v>0</v>
      </c>
      <c r="F145" s="1">
        <v>0</v>
      </c>
      <c r="G145" s="1">
        <v>0</v>
      </c>
      <c r="H145" s="1">
        <v>0</v>
      </c>
      <c r="I145" s="1">
        <v>1044</v>
      </c>
      <c r="J145" s="1">
        <v>309</v>
      </c>
    </row>
    <row r="146" spans="1:10" x14ac:dyDescent="0.25">
      <c r="A146" t="s">
        <v>811</v>
      </c>
      <c r="B146" t="s">
        <v>872</v>
      </c>
      <c r="C146" t="s">
        <v>194</v>
      </c>
      <c r="D146" s="1">
        <v>95773</v>
      </c>
      <c r="E146" s="1">
        <v>661</v>
      </c>
      <c r="F146" s="1">
        <v>0</v>
      </c>
      <c r="G146" s="1">
        <v>0</v>
      </c>
      <c r="H146" s="1">
        <v>0</v>
      </c>
      <c r="I146" s="1">
        <v>2513</v>
      </c>
      <c r="J146" s="1">
        <v>8753</v>
      </c>
    </row>
    <row r="147" spans="1:10" x14ac:dyDescent="0.25">
      <c r="A147" t="s">
        <v>76</v>
      </c>
      <c r="B147" t="s">
        <v>872</v>
      </c>
      <c r="C147" t="s">
        <v>195</v>
      </c>
      <c r="D147" s="1">
        <v>74789</v>
      </c>
      <c r="E147" s="1">
        <v>1104</v>
      </c>
      <c r="F147" s="1">
        <v>0</v>
      </c>
      <c r="G147" s="1">
        <v>0</v>
      </c>
      <c r="H147" s="1">
        <v>0</v>
      </c>
      <c r="I147" s="1">
        <v>47944</v>
      </c>
      <c r="J147" s="1">
        <v>13295</v>
      </c>
    </row>
    <row r="148" spans="1:10" x14ac:dyDescent="0.25">
      <c r="A148" t="s">
        <v>788</v>
      </c>
      <c r="B148" t="s">
        <v>872</v>
      </c>
      <c r="C148" t="s">
        <v>196</v>
      </c>
      <c r="D148" s="1">
        <v>52115</v>
      </c>
      <c r="E148" s="1">
        <v>667</v>
      </c>
      <c r="F148" s="1">
        <v>0</v>
      </c>
      <c r="G148" s="1">
        <v>0</v>
      </c>
      <c r="H148" s="1">
        <v>0</v>
      </c>
      <c r="I148" s="1">
        <v>81789</v>
      </c>
      <c r="J148" s="1">
        <v>20651</v>
      </c>
    </row>
    <row r="149" spans="1:10" x14ac:dyDescent="0.25">
      <c r="A149" t="s">
        <v>817</v>
      </c>
      <c r="B149" t="s">
        <v>872</v>
      </c>
      <c r="C149" t="s">
        <v>197</v>
      </c>
      <c r="D149" s="1">
        <v>28748</v>
      </c>
      <c r="E149" s="1">
        <v>138</v>
      </c>
      <c r="F149" s="1">
        <v>0</v>
      </c>
      <c r="G149" s="1">
        <v>0</v>
      </c>
      <c r="H149" s="1">
        <v>0</v>
      </c>
      <c r="I149" s="1">
        <v>64278</v>
      </c>
      <c r="J149" s="1">
        <v>18942</v>
      </c>
    </row>
    <row r="150" spans="1:10" x14ac:dyDescent="0.25">
      <c r="A150" t="s">
        <v>817</v>
      </c>
      <c r="B150" t="s">
        <v>872</v>
      </c>
      <c r="C150" t="s">
        <v>198</v>
      </c>
      <c r="D150" s="1">
        <v>22397</v>
      </c>
      <c r="E150" s="1">
        <v>487</v>
      </c>
      <c r="F150" s="1">
        <v>0</v>
      </c>
      <c r="G150" s="1">
        <v>0</v>
      </c>
      <c r="H150" s="1">
        <v>0</v>
      </c>
      <c r="I150" s="1">
        <v>25063</v>
      </c>
      <c r="J150" s="1">
        <v>14563</v>
      </c>
    </row>
    <row r="151" spans="1:10" x14ac:dyDescent="0.25">
      <c r="A151" t="s">
        <v>69</v>
      </c>
      <c r="B151" t="s">
        <v>872</v>
      </c>
      <c r="C151" t="s">
        <v>199</v>
      </c>
      <c r="D151" s="1">
        <v>84322</v>
      </c>
      <c r="E151" s="1">
        <v>79</v>
      </c>
      <c r="F151" s="1">
        <v>0</v>
      </c>
      <c r="G151" s="1">
        <v>0</v>
      </c>
      <c r="H151" s="1">
        <v>0</v>
      </c>
      <c r="I151" s="1">
        <v>137537</v>
      </c>
      <c r="J151" s="1">
        <v>16335</v>
      </c>
    </row>
    <row r="152" spans="1:10" x14ac:dyDescent="0.25">
      <c r="A152" t="s">
        <v>76</v>
      </c>
      <c r="B152" t="s">
        <v>872</v>
      </c>
      <c r="C152" t="s">
        <v>200</v>
      </c>
      <c r="D152" s="1">
        <v>13335</v>
      </c>
      <c r="E152" s="1">
        <v>239</v>
      </c>
      <c r="F152" s="1">
        <v>0</v>
      </c>
      <c r="G152" s="1">
        <v>0</v>
      </c>
      <c r="H152" s="1">
        <v>0</v>
      </c>
      <c r="I152" s="1">
        <v>6146</v>
      </c>
      <c r="J152" s="1">
        <v>2848</v>
      </c>
    </row>
    <row r="153" spans="1:10" x14ac:dyDescent="0.25">
      <c r="A153" t="s">
        <v>120</v>
      </c>
      <c r="B153" t="s">
        <v>872</v>
      </c>
      <c r="C153" t="s">
        <v>201</v>
      </c>
      <c r="D153" s="1">
        <v>28064</v>
      </c>
      <c r="E153" s="1">
        <v>423</v>
      </c>
      <c r="F153" s="1">
        <v>0</v>
      </c>
      <c r="G153" s="1">
        <v>0</v>
      </c>
      <c r="H153" s="1">
        <v>0</v>
      </c>
      <c r="I153" s="1">
        <v>7559</v>
      </c>
      <c r="J153" s="1">
        <v>4410</v>
      </c>
    </row>
    <row r="154" spans="1:10" x14ac:dyDescent="0.25">
      <c r="A154" t="s">
        <v>495</v>
      </c>
      <c r="B154" t="s">
        <v>872</v>
      </c>
      <c r="C154" t="s">
        <v>202</v>
      </c>
      <c r="D154" s="1">
        <v>62279</v>
      </c>
      <c r="E154" s="1">
        <v>69</v>
      </c>
      <c r="F154" s="1">
        <v>0</v>
      </c>
      <c r="G154" s="1">
        <v>0</v>
      </c>
      <c r="H154" s="1">
        <v>0</v>
      </c>
      <c r="I154" s="1">
        <v>35665</v>
      </c>
      <c r="J154" s="1">
        <v>13040</v>
      </c>
    </row>
    <row r="155" spans="1:10" x14ac:dyDescent="0.25">
      <c r="A155" t="s">
        <v>788</v>
      </c>
      <c r="B155" t="s">
        <v>872</v>
      </c>
      <c r="C155" t="s">
        <v>203</v>
      </c>
      <c r="D155" s="1">
        <v>82299</v>
      </c>
      <c r="E155" s="1">
        <v>112</v>
      </c>
      <c r="F155" s="1">
        <v>0</v>
      </c>
      <c r="G155" s="1">
        <v>0</v>
      </c>
      <c r="H155" s="1">
        <v>0</v>
      </c>
      <c r="I155" s="1">
        <v>19203</v>
      </c>
      <c r="J155" s="1">
        <v>12900</v>
      </c>
    </row>
    <row r="156" spans="1:10" x14ac:dyDescent="0.25">
      <c r="A156" t="s">
        <v>72</v>
      </c>
      <c r="B156" t="s">
        <v>872</v>
      </c>
      <c r="C156" t="s">
        <v>204</v>
      </c>
      <c r="D156" s="1">
        <v>25991</v>
      </c>
      <c r="E156" s="1">
        <v>108</v>
      </c>
      <c r="F156" s="1">
        <v>0</v>
      </c>
      <c r="G156" s="1">
        <v>0</v>
      </c>
      <c r="H156" s="1">
        <v>0</v>
      </c>
      <c r="I156" s="1">
        <v>8485</v>
      </c>
      <c r="J156" s="1">
        <v>3140</v>
      </c>
    </row>
    <row r="157" spans="1:10" x14ac:dyDescent="0.25">
      <c r="A157" t="s">
        <v>76</v>
      </c>
      <c r="B157" t="s">
        <v>873</v>
      </c>
      <c r="C157" t="s">
        <v>205</v>
      </c>
      <c r="D157" s="1">
        <v>37305</v>
      </c>
      <c r="E157" s="1">
        <v>210</v>
      </c>
      <c r="F157" s="1">
        <v>0</v>
      </c>
      <c r="G157" s="1">
        <v>0</v>
      </c>
      <c r="H157" s="1">
        <v>0</v>
      </c>
      <c r="I157" s="1">
        <v>24120</v>
      </c>
      <c r="J157" s="1">
        <v>16385</v>
      </c>
    </row>
    <row r="158" spans="1:10" x14ac:dyDescent="0.25">
      <c r="A158" t="s">
        <v>864</v>
      </c>
      <c r="B158" t="s">
        <v>872</v>
      </c>
      <c r="C158" t="s">
        <v>206</v>
      </c>
      <c r="D158" s="1">
        <v>41456</v>
      </c>
      <c r="E158" s="1">
        <v>16</v>
      </c>
      <c r="F158" s="1">
        <v>0</v>
      </c>
      <c r="G158" s="1">
        <v>0</v>
      </c>
      <c r="H158" s="1">
        <v>0</v>
      </c>
      <c r="I158" s="1">
        <v>20866</v>
      </c>
      <c r="J158" s="1">
        <v>25613</v>
      </c>
    </row>
    <row r="159" spans="1:10" x14ac:dyDescent="0.25">
      <c r="A159" t="s">
        <v>76</v>
      </c>
      <c r="B159" t="s">
        <v>872</v>
      </c>
      <c r="C159" t="s">
        <v>207</v>
      </c>
      <c r="D159" s="1">
        <v>49931</v>
      </c>
      <c r="E159" s="1">
        <v>45</v>
      </c>
      <c r="F159" s="1">
        <v>0</v>
      </c>
      <c r="G159" s="1">
        <v>0</v>
      </c>
      <c r="H159" s="1">
        <v>0</v>
      </c>
      <c r="I159" s="1">
        <v>37233</v>
      </c>
      <c r="J159" s="1">
        <v>17275</v>
      </c>
    </row>
    <row r="160" spans="1:10" x14ac:dyDescent="0.25">
      <c r="A160" t="s">
        <v>265</v>
      </c>
      <c r="B160" t="s">
        <v>872</v>
      </c>
      <c r="C160" t="s">
        <v>208</v>
      </c>
      <c r="D160" s="1">
        <v>12830</v>
      </c>
      <c r="E160" s="1">
        <v>183</v>
      </c>
      <c r="F160" s="1">
        <v>0</v>
      </c>
      <c r="G160" s="1">
        <v>0</v>
      </c>
      <c r="H160" s="1">
        <v>0</v>
      </c>
      <c r="I160" s="1">
        <v>9556</v>
      </c>
      <c r="J160" s="1">
        <v>3054</v>
      </c>
    </row>
    <row r="161" spans="1:10" x14ac:dyDescent="0.25">
      <c r="A161" t="s">
        <v>801</v>
      </c>
      <c r="B161" t="s">
        <v>872</v>
      </c>
      <c r="C161" t="s">
        <v>209</v>
      </c>
      <c r="D161" s="1">
        <v>40177</v>
      </c>
      <c r="E161" s="1">
        <v>487</v>
      </c>
      <c r="F161" s="1">
        <v>0</v>
      </c>
      <c r="G161" s="1">
        <v>0</v>
      </c>
      <c r="H161" s="1">
        <v>0</v>
      </c>
      <c r="I161" s="1">
        <v>58982</v>
      </c>
      <c r="J161" s="1">
        <v>19953</v>
      </c>
    </row>
    <row r="162" spans="1:10" x14ac:dyDescent="0.25">
      <c r="A162" t="s">
        <v>72</v>
      </c>
      <c r="B162" t="s">
        <v>872</v>
      </c>
      <c r="C162" t="s">
        <v>210</v>
      </c>
      <c r="D162" s="1">
        <v>50730</v>
      </c>
      <c r="E162" s="1">
        <v>78</v>
      </c>
      <c r="F162" s="1">
        <v>0</v>
      </c>
      <c r="G162" s="1">
        <v>0</v>
      </c>
      <c r="H162" s="1">
        <v>0</v>
      </c>
      <c r="I162" s="1">
        <v>33377</v>
      </c>
      <c r="J162" s="1">
        <v>14778</v>
      </c>
    </row>
    <row r="163" spans="1:10" x14ac:dyDescent="0.25">
      <c r="A163" t="s">
        <v>817</v>
      </c>
      <c r="B163" t="s">
        <v>872</v>
      </c>
      <c r="C163" t="s">
        <v>211</v>
      </c>
      <c r="D163" s="1">
        <v>91135</v>
      </c>
      <c r="E163" s="1">
        <v>359</v>
      </c>
      <c r="F163" s="1">
        <v>0</v>
      </c>
      <c r="G163" s="1">
        <v>0</v>
      </c>
      <c r="H163" s="1">
        <v>0</v>
      </c>
      <c r="I163" s="1">
        <v>63905</v>
      </c>
      <c r="J163" s="1">
        <v>82472</v>
      </c>
    </row>
    <row r="164" spans="1:10" x14ac:dyDescent="0.25">
      <c r="A164" t="s">
        <v>72</v>
      </c>
      <c r="B164" t="s">
        <v>872</v>
      </c>
      <c r="C164" t="s">
        <v>212</v>
      </c>
      <c r="D164" s="1">
        <v>31524</v>
      </c>
      <c r="E164" s="1">
        <v>1</v>
      </c>
      <c r="F164" s="1">
        <v>0</v>
      </c>
      <c r="G164" s="1">
        <v>0</v>
      </c>
      <c r="H164" s="1">
        <v>0</v>
      </c>
      <c r="I164" s="1">
        <v>4743</v>
      </c>
      <c r="J164" s="1">
        <v>3679</v>
      </c>
    </row>
    <row r="165" spans="1:10" x14ac:dyDescent="0.25">
      <c r="A165" t="s">
        <v>134</v>
      </c>
      <c r="B165" t="s">
        <v>872</v>
      </c>
      <c r="C165" t="s">
        <v>213</v>
      </c>
      <c r="D165" s="1">
        <v>30155</v>
      </c>
      <c r="E165" s="1">
        <v>0</v>
      </c>
      <c r="F165" s="1">
        <v>0</v>
      </c>
      <c r="G165" s="1">
        <v>0</v>
      </c>
      <c r="H165" s="1">
        <v>0</v>
      </c>
      <c r="I165" s="1">
        <v>37939</v>
      </c>
      <c r="J165" s="1">
        <v>858</v>
      </c>
    </row>
    <row r="166" spans="1:10" x14ac:dyDescent="0.25">
      <c r="A166" t="s">
        <v>495</v>
      </c>
      <c r="B166" t="s">
        <v>872</v>
      </c>
      <c r="C166" t="s">
        <v>214</v>
      </c>
      <c r="D166" s="1">
        <v>56137</v>
      </c>
      <c r="E166" s="1">
        <v>3585</v>
      </c>
      <c r="F166" s="1">
        <v>0</v>
      </c>
      <c r="G166" s="1">
        <v>0</v>
      </c>
      <c r="H166" s="1">
        <v>0</v>
      </c>
      <c r="I166" s="1">
        <v>31387</v>
      </c>
      <c r="J166" s="1">
        <v>12701</v>
      </c>
    </row>
    <row r="167" spans="1:10" x14ac:dyDescent="0.25">
      <c r="A167" t="s">
        <v>146</v>
      </c>
      <c r="B167" t="s">
        <v>872</v>
      </c>
      <c r="C167" t="s">
        <v>215</v>
      </c>
      <c r="D167" s="1">
        <v>74386</v>
      </c>
      <c r="E167" s="1">
        <v>3622</v>
      </c>
      <c r="F167" s="1">
        <v>0</v>
      </c>
      <c r="G167" s="1">
        <v>0</v>
      </c>
      <c r="H167" s="1">
        <v>0</v>
      </c>
      <c r="I167" s="1">
        <v>56992</v>
      </c>
      <c r="J167" s="1">
        <v>17911</v>
      </c>
    </row>
    <row r="168" spans="1:10" x14ac:dyDescent="0.25">
      <c r="A168" t="s">
        <v>138</v>
      </c>
      <c r="B168" t="s">
        <v>872</v>
      </c>
      <c r="C168" t="s">
        <v>216</v>
      </c>
      <c r="D168" s="1">
        <v>31678</v>
      </c>
      <c r="E168" s="1">
        <v>23</v>
      </c>
      <c r="F168" s="1">
        <v>0</v>
      </c>
      <c r="G168" s="1">
        <v>0</v>
      </c>
      <c r="H168" s="1">
        <v>0</v>
      </c>
      <c r="I168" s="1">
        <v>53508</v>
      </c>
      <c r="J168" s="1">
        <v>9826</v>
      </c>
    </row>
    <row r="169" spans="1:10" x14ac:dyDescent="0.25">
      <c r="A169" t="s">
        <v>794</v>
      </c>
      <c r="B169" t="s">
        <v>872</v>
      </c>
      <c r="C169" t="s">
        <v>217</v>
      </c>
      <c r="D169" s="1">
        <v>18354</v>
      </c>
      <c r="E169" s="1">
        <v>0</v>
      </c>
      <c r="F169" s="1">
        <v>0</v>
      </c>
      <c r="G169" s="1">
        <v>0</v>
      </c>
      <c r="H169" s="1">
        <v>0</v>
      </c>
      <c r="I169" s="1">
        <v>21850</v>
      </c>
      <c r="J169" s="1">
        <v>3964</v>
      </c>
    </row>
    <row r="170" spans="1:10" x14ac:dyDescent="0.25">
      <c r="A170" t="s">
        <v>265</v>
      </c>
      <c r="B170" t="s">
        <v>872</v>
      </c>
      <c r="C170" t="s">
        <v>218</v>
      </c>
      <c r="D170" s="1">
        <v>10650</v>
      </c>
      <c r="E170" s="1">
        <v>0</v>
      </c>
      <c r="F170" s="1">
        <v>0</v>
      </c>
      <c r="G170" s="1">
        <v>0</v>
      </c>
      <c r="H170" s="1">
        <v>0</v>
      </c>
      <c r="I170" s="1">
        <v>50943</v>
      </c>
      <c r="J170" s="1">
        <v>1213</v>
      </c>
    </row>
    <row r="171" spans="1:10" x14ac:dyDescent="0.25">
      <c r="A171" t="s">
        <v>801</v>
      </c>
      <c r="B171" t="s">
        <v>872</v>
      </c>
      <c r="C171" t="s">
        <v>219</v>
      </c>
      <c r="D171" s="1">
        <v>55060</v>
      </c>
      <c r="E171" s="1">
        <v>265</v>
      </c>
      <c r="F171" s="1">
        <v>0</v>
      </c>
      <c r="G171" s="1">
        <v>0</v>
      </c>
      <c r="H171" s="1">
        <v>0</v>
      </c>
      <c r="I171" s="1">
        <v>20264</v>
      </c>
      <c r="J171" s="1">
        <v>6844</v>
      </c>
    </row>
    <row r="172" spans="1:10" x14ac:dyDescent="0.25">
      <c r="A172" t="s">
        <v>831</v>
      </c>
      <c r="B172" t="s">
        <v>872</v>
      </c>
      <c r="C172" t="s">
        <v>220</v>
      </c>
      <c r="D172" s="1">
        <v>3744</v>
      </c>
      <c r="E172" s="1">
        <v>3</v>
      </c>
      <c r="F172" s="1">
        <v>0</v>
      </c>
      <c r="G172" s="1">
        <v>0</v>
      </c>
      <c r="H172" s="1">
        <v>0</v>
      </c>
      <c r="I172" s="1">
        <v>5201</v>
      </c>
      <c r="J172" s="1">
        <v>815</v>
      </c>
    </row>
    <row r="173" spans="1:10" x14ac:dyDescent="0.25">
      <c r="A173" t="s">
        <v>794</v>
      </c>
      <c r="B173" t="s">
        <v>872</v>
      </c>
      <c r="C173" t="s">
        <v>221</v>
      </c>
      <c r="D173" s="1">
        <v>45988</v>
      </c>
      <c r="E173" s="1">
        <v>47</v>
      </c>
      <c r="F173" s="1">
        <v>0</v>
      </c>
      <c r="G173" s="1">
        <v>0</v>
      </c>
      <c r="H173" s="1">
        <v>0</v>
      </c>
      <c r="I173" s="1">
        <v>25021</v>
      </c>
      <c r="J173" s="1">
        <v>15208</v>
      </c>
    </row>
    <row r="174" spans="1:10" x14ac:dyDescent="0.25">
      <c r="A174" t="s">
        <v>120</v>
      </c>
      <c r="B174" t="s">
        <v>872</v>
      </c>
      <c r="C174" t="s">
        <v>222</v>
      </c>
      <c r="D174" s="1">
        <v>73445</v>
      </c>
      <c r="E174" s="1">
        <v>29</v>
      </c>
      <c r="F174" s="1">
        <v>0</v>
      </c>
      <c r="G174" s="1">
        <v>0</v>
      </c>
      <c r="H174" s="1">
        <v>0</v>
      </c>
      <c r="I174" s="1">
        <v>6288</v>
      </c>
      <c r="J174" s="1">
        <v>5897</v>
      </c>
    </row>
    <row r="175" spans="1:10" x14ac:dyDescent="0.25">
      <c r="A175" t="s">
        <v>848</v>
      </c>
      <c r="B175" t="s">
        <v>872</v>
      </c>
      <c r="C175" t="s">
        <v>223</v>
      </c>
      <c r="D175" s="1">
        <v>11854</v>
      </c>
      <c r="E175" s="1">
        <v>13</v>
      </c>
      <c r="F175" s="1">
        <v>0</v>
      </c>
      <c r="G175" s="1">
        <v>0</v>
      </c>
      <c r="H175" s="1">
        <v>0</v>
      </c>
      <c r="I175" s="1">
        <v>2059</v>
      </c>
      <c r="J175" s="1">
        <v>1751</v>
      </c>
    </row>
    <row r="176" spans="1:10" x14ac:dyDescent="0.25">
      <c r="A176" t="s">
        <v>825</v>
      </c>
      <c r="B176" t="s">
        <v>872</v>
      </c>
      <c r="C176" t="s">
        <v>224</v>
      </c>
      <c r="D176" s="1">
        <v>15595</v>
      </c>
      <c r="E176" s="1">
        <v>74</v>
      </c>
      <c r="F176" s="1">
        <v>0</v>
      </c>
      <c r="G176" s="1">
        <v>0</v>
      </c>
      <c r="H176" s="1">
        <v>0</v>
      </c>
      <c r="I176" s="1">
        <v>9055</v>
      </c>
      <c r="J176" s="1">
        <v>1926</v>
      </c>
    </row>
    <row r="177" spans="1:10" x14ac:dyDescent="0.25">
      <c r="A177" t="s">
        <v>788</v>
      </c>
      <c r="B177" t="s">
        <v>872</v>
      </c>
      <c r="C177" t="s">
        <v>225</v>
      </c>
      <c r="D177" s="1">
        <v>56356</v>
      </c>
      <c r="E177" s="1">
        <v>39</v>
      </c>
      <c r="F177" s="1">
        <v>0</v>
      </c>
      <c r="G177" s="1">
        <v>0</v>
      </c>
      <c r="H177" s="1">
        <v>0</v>
      </c>
      <c r="I177" s="1">
        <v>133259</v>
      </c>
      <c r="J177" s="1">
        <v>28639</v>
      </c>
    </row>
    <row r="178" spans="1:10" x14ac:dyDescent="0.25">
      <c r="A178" t="s">
        <v>226</v>
      </c>
      <c r="B178" t="s">
        <v>872</v>
      </c>
      <c r="C178" t="s">
        <v>227</v>
      </c>
      <c r="D178" s="1">
        <v>27871</v>
      </c>
      <c r="E178" s="1">
        <v>17</v>
      </c>
      <c r="F178" s="1">
        <v>0</v>
      </c>
      <c r="G178" s="1">
        <v>0</v>
      </c>
      <c r="H178" s="1">
        <v>0</v>
      </c>
      <c r="I178" s="1">
        <v>11736</v>
      </c>
      <c r="J178" s="1">
        <v>6626</v>
      </c>
    </row>
    <row r="179" spans="1:10" x14ac:dyDescent="0.25">
      <c r="A179" t="s">
        <v>226</v>
      </c>
      <c r="B179" t="s">
        <v>872</v>
      </c>
      <c r="C179" t="s">
        <v>228</v>
      </c>
      <c r="D179" s="1">
        <v>18830</v>
      </c>
      <c r="E179" s="1">
        <v>23</v>
      </c>
      <c r="F179" s="1">
        <v>0</v>
      </c>
      <c r="G179" s="1">
        <v>0</v>
      </c>
      <c r="H179" s="1">
        <v>0</v>
      </c>
      <c r="I179" s="1">
        <v>15908</v>
      </c>
      <c r="J179" s="1">
        <v>3189</v>
      </c>
    </row>
    <row r="180" spans="1:10" x14ac:dyDescent="0.25">
      <c r="A180" t="s">
        <v>229</v>
      </c>
      <c r="B180" t="s">
        <v>872</v>
      </c>
      <c r="C180" t="s">
        <v>230</v>
      </c>
      <c r="D180" s="1">
        <v>18460</v>
      </c>
      <c r="E180" s="1">
        <v>25</v>
      </c>
      <c r="F180" s="1">
        <v>0</v>
      </c>
      <c r="G180" s="1">
        <v>0</v>
      </c>
      <c r="H180" s="1">
        <v>0</v>
      </c>
      <c r="I180" s="1">
        <v>10954</v>
      </c>
      <c r="J180" s="1">
        <v>5425</v>
      </c>
    </row>
    <row r="181" spans="1:10" x14ac:dyDescent="0.25">
      <c r="A181" t="s">
        <v>231</v>
      </c>
      <c r="B181" t="s">
        <v>872</v>
      </c>
      <c r="C181" t="s">
        <v>232</v>
      </c>
      <c r="D181" s="1">
        <v>14606</v>
      </c>
      <c r="E181" s="1">
        <v>0</v>
      </c>
      <c r="F181" s="1">
        <v>0</v>
      </c>
      <c r="G181" s="1">
        <v>0</v>
      </c>
      <c r="H181" s="1">
        <v>0</v>
      </c>
      <c r="I181" s="1">
        <v>1273</v>
      </c>
      <c r="J181" s="1">
        <v>1419</v>
      </c>
    </row>
    <row r="182" spans="1:10" x14ac:dyDescent="0.25">
      <c r="A182" t="s">
        <v>248</v>
      </c>
      <c r="B182" t="s">
        <v>872</v>
      </c>
      <c r="C182" t="s">
        <v>233</v>
      </c>
      <c r="D182" s="1">
        <v>16449</v>
      </c>
      <c r="E182" s="1">
        <v>81</v>
      </c>
      <c r="F182" s="1">
        <v>0</v>
      </c>
      <c r="G182" s="1">
        <v>0</v>
      </c>
      <c r="H182" s="1">
        <v>0</v>
      </c>
      <c r="I182" s="1">
        <v>20669</v>
      </c>
      <c r="J182" s="1">
        <v>1267</v>
      </c>
    </row>
    <row r="183" spans="1:10" x14ac:dyDescent="0.25">
      <c r="A183" t="s">
        <v>69</v>
      </c>
      <c r="B183" t="s">
        <v>872</v>
      </c>
      <c r="C183" t="s">
        <v>234</v>
      </c>
      <c r="D183" s="1">
        <v>123133</v>
      </c>
      <c r="E183" s="1">
        <v>135</v>
      </c>
      <c r="F183" s="1">
        <v>0</v>
      </c>
      <c r="G183" s="1">
        <v>0</v>
      </c>
      <c r="H183" s="1">
        <v>0</v>
      </c>
      <c r="I183" s="1">
        <v>215040</v>
      </c>
      <c r="J183" s="1">
        <v>18080</v>
      </c>
    </row>
    <row r="184" spans="1:10" x14ac:dyDescent="0.25">
      <c r="A184" t="s">
        <v>795</v>
      </c>
      <c r="B184" t="s">
        <v>872</v>
      </c>
      <c r="C184" t="s">
        <v>235</v>
      </c>
      <c r="D184" s="1">
        <v>43176</v>
      </c>
      <c r="E184" s="1">
        <v>30</v>
      </c>
      <c r="F184" s="1">
        <v>0</v>
      </c>
      <c r="G184" s="1">
        <v>0</v>
      </c>
      <c r="H184" s="1">
        <v>0</v>
      </c>
      <c r="I184" s="1">
        <v>894</v>
      </c>
      <c r="J184" s="1">
        <v>22520</v>
      </c>
    </row>
    <row r="185" spans="1:10" x14ac:dyDescent="0.25">
      <c r="A185" t="s">
        <v>795</v>
      </c>
      <c r="B185" t="s">
        <v>872</v>
      </c>
      <c r="C185" t="s">
        <v>236</v>
      </c>
      <c r="D185" s="1">
        <v>31377</v>
      </c>
      <c r="E185" s="1">
        <v>225</v>
      </c>
      <c r="F185" s="1">
        <v>0</v>
      </c>
      <c r="G185" s="1">
        <v>0</v>
      </c>
      <c r="H185" s="1">
        <v>0</v>
      </c>
      <c r="I185" s="1">
        <v>29001</v>
      </c>
      <c r="J185" s="1">
        <v>14365</v>
      </c>
    </row>
    <row r="186" spans="1:10" x14ac:dyDescent="0.25">
      <c r="A186" t="s">
        <v>801</v>
      </c>
      <c r="B186" t="s">
        <v>872</v>
      </c>
      <c r="C186" t="s">
        <v>237</v>
      </c>
      <c r="D186" s="1">
        <v>44993</v>
      </c>
      <c r="E186" s="1">
        <v>288</v>
      </c>
      <c r="F186" s="1">
        <v>0</v>
      </c>
      <c r="G186" s="1">
        <v>0</v>
      </c>
      <c r="H186" s="1">
        <v>0</v>
      </c>
      <c r="I186" s="1">
        <v>27399</v>
      </c>
      <c r="J186" s="1">
        <v>4698</v>
      </c>
    </row>
    <row r="187" spans="1:10" x14ac:dyDescent="0.25">
      <c r="A187" t="s">
        <v>788</v>
      </c>
      <c r="B187" t="s">
        <v>872</v>
      </c>
      <c r="C187" t="s">
        <v>238</v>
      </c>
      <c r="D187" s="1">
        <v>26724</v>
      </c>
      <c r="E187" s="1">
        <v>0</v>
      </c>
      <c r="F187" s="1">
        <v>0</v>
      </c>
      <c r="G187" s="1">
        <v>0</v>
      </c>
      <c r="H187" s="1">
        <v>0</v>
      </c>
      <c r="I187" s="1">
        <v>20353</v>
      </c>
      <c r="J187" s="1">
        <v>5138</v>
      </c>
    </row>
    <row r="188" spans="1:10" x14ac:dyDescent="0.25">
      <c r="A188" t="s">
        <v>791</v>
      </c>
      <c r="B188" t="s">
        <v>872</v>
      </c>
      <c r="C188" t="s">
        <v>239</v>
      </c>
      <c r="D188" s="1">
        <v>10301</v>
      </c>
      <c r="E188" s="1">
        <v>2</v>
      </c>
      <c r="F188" s="1">
        <v>0</v>
      </c>
      <c r="G188" s="1">
        <v>0</v>
      </c>
      <c r="H188" s="1">
        <v>0</v>
      </c>
      <c r="I188" s="1">
        <v>3650</v>
      </c>
      <c r="J188" s="1">
        <v>2733</v>
      </c>
    </row>
    <row r="189" spans="1:10" x14ac:dyDescent="0.25">
      <c r="A189" t="s">
        <v>801</v>
      </c>
      <c r="B189" t="s">
        <v>872</v>
      </c>
      <c r="C189" t="s">
        <v>240</v>
      </c>
      <c r="D189" s="1">
        <v>64360</v>
      </c>
      <c r="E189" s="1">
        <v>255</v>
      </c>
      <c r="F189" s="1">
        <v>0</v>
      </c>
      <c r="G189" s="1">
        <v>0</v>
      </c>
      <c r="H189" s="1">
        <v>0</v>
      </c>
      <c r="I189" s="1">
        <v>18687</v>
      </c>
      <c r="J189" s="1">
        <v>2250</v>
      </c>
    </row>
    <row r="190" spans="1:10" x14ac:dyDescent="0.25">
      <c r="A190" t="s">
        <v>788</v>
      </c>
      <c r="B190" t="s">
        <v>872</v>
      </c>
      <c r="C190" t="s">
        <v>241</v>
      </c>
      <c r="D190" s="1">
        <v>88229</v>
      </c>
      <c r="E190" s="1">
        <v>49</v>
      </c>
      <c r="F190" s="1">
        <v>0</v>
      </c>
      <c r="G190" s="1">
        <v>0</v>
      </c>
      <c r="H190" s="1">
        <v>0</v>
      </c>
      <c r="I190" s="1">
        <v>39336</v>
      </c>
      <c r="J190" s="1">
        <v>19582</v>
      </c>
    </row>
    <row r="191" spans="1:10" x14ac:dyDescent="0.25">
      <c r="A191" t="s">
        <v>138</v>
      </c>
      <c r="B191" t="s">
        <v>872</v>
      </c>
      <c r="C191" t="s">
        <v>242</v>
      </c>
      <c r="D191" s="1">
        <v>46507</v>
      </c>
      <c r="E191" s="1">
        <v>36</v>
      </c>
      <c r="F191" s="1">
        <v>0</v>
      </c>
      <c r="G191" s="1">
        <v>0</v>
      </c>
      <c r="H191" s="1">
        <v>0</v>
      </c>
      <c r="I191" s="1">
        <v>14149</v>
      </c>
      <c r="J191" s="1">
        <v>5826</v>
      </c>
    </row>
    <row r="192" spans="1:10" x14ac:dyDescent="0.25">
      <c r="A192" t="s">
        <v>512</v>
      </c>
      <c r="B192" t="s">
        <v>872</v>
      </c>
      <c r="C192" t="s">
        <v>243</v>
      </c>
      <c r="D192" s="1">
        <v>9158</v>
      </c>
      <c r="E192" s="1">
        <v>6</v>
      </c>
      <c r="F192" s="1">
        <v>0</v>
      </c>
      <c r="G192" s="1">
        <v>0</v>
      </c>
      <c r="H192" s="1">
        <v>0</v>
      </c>
      <c r="I192" s="1">
        <v>570</v>
      </c>
      <c r="J192" s="1">
        <v>1129</v>
      </c>
    </row>
    <row r="193" spans="1:10" x14ac:dyDescent="0.25">
      <c r="A193" t="s">
        <v>796</v>
      </c>
      <c r="B193" t="s">
        <v>872</v>
      </c>
      <c r="C193" t="s">
        <v>244</v>
      </c>
      <c r="D193" s="1">
        <v>76435</v>
      </c>
      <c r="E193" s="1">
        <v>557</v>
      </c>
      <c r="F193" s="1">
        <v>0</v>
      </c>
      <c r="G193" s="1">
        <v>0</v>
      </c>
      <c r="H193" s="1">
        <v>0</v>
      </c>
      <c r="I193" s="1">
        <v>98987</v>
      </c>
      <c r="J193" s="1">
        <v>15992</v>
      </c>
    </row>
    <row r="194" spans="1:10" x14ac:dyDescent="0.25">
      <c r="A194" t="s">
        <v>146</v>
      </c>
      <c r="B194" t="s">
        <v>872</v>
      </c>
      <c r="C194" t="s">
        <v>245</v>
      </c>
      <c r="D194" s="1">
        <v>26371</v>
      </c>
      <c r="E194" s="1">
        <v>82</v>
      </c>
      <c r="F194" s="1">
        <v>0</v>
      </c>
      <c r="G194" s="1">
        <v>0</v>
      </c>
      <c r="H194" s="1">
        <v>0</v>
      </c>
      <c r="I194" s="1">
        <v>30364</v>
      </c>
      <c r="J194" s="1">
        <v>5757</v>
      </c>
    </row>
    <row r="195" spans="1:10" x14ac:dyDescent="0.25">
      <c r="A195" t="s">
        <v>831</v>
      </c>
      <c r="B195" t="s">
        <v>872</v>
      </c>
      <c r="C195" t="s">
        <v>246</v>
      </c>
      <c r="D195" s="1">
        <v>4397</v>
      </c>
      <c r="E195" s="1">
        <v>8</v>
      </c>
      <c r="F195" s="1">
        <v>0</v>
      </c>
      <c r="G195" s="1">
        <v>0</v>
      </c>
      <c r="H195" s="1">
        <v>0</v>
      </c>
      <c r="I195" s="1">
        <v>1610</v>
      </c>
      <c r="J195" s="1">
        <v>1120</v>
      </c>
    </row>
    <row r="196" spans="1:10" x14ac:dyDescent="0.25">
      <c r="A196" t="s">
        <v>791</v>
      </c>
      <c r="B196" t="s">
        <v>872</v>
      </c>
      <c r="C196" t="s">
        <v>247</v>
      </c>
      <c r="D196" s="1">
        <v>9978</v>
      </c>
      <c r="E196" s="1">
        <v>309</v>
      </c>
      <c r="F196" s="1">
        <v>0</v>
      </c>
      <c r="G196" s="1">
        <v>0</v>
      </c>
      <c r="H196" s="1">
        <v>0</v>
      </c>
      <c r="I196" s="1">
        <v>3091</v>
      </c>
      <c r="J196" s="1">
        <v>5146</v>
      </c>
    </row>
    <row r="197" spans="1:10" x14ac:dyDescent="0.25">
      <c r="A197" t="s">
        <v>248</v>
      </c>
      <c r="B197" t="s">
        <v>872</v>
      </c>
      <c r="C197" t="s">
        <v>249</v>
      </c>
      <c r="D197" s="1">
        <v>54619</v>
      </c>
      <c r="E197" s="1">
        <v>337</v>
      </c>
      <c r="F197" s="1">
        <v>0</v>
      </c>
      <c r="G197" s="1">
        <v>0</v>
      </c>
      <c r="H197" s="1">
        <v>0</v>
      </c>
      <c r="I197" s="1">
        <v>63349</v>
      </c>
      <c r="J197" s="1">
        <v>10277</v>
      </c>
    </row>
    <row r="198" spans="1:10" x14ac:dyDescent="0.25">
      <c r="A198" t="s">
        <v>865</v>
      </c>
      <c r="B198" t="s">
        <v>872</v>
      </c>
      <c r="C198" t="s">
        <v>250</v>
      </c>
      <c r="D198" s="1">
        <v>19053</v>
      </c>
      <c r="E198" s="1">
        <v>36</v>
      </c>
      <c r="F198" s="1">
        <v>0</v>
      </c>
      <c r="G198" s="1">
        <v>0</v>
      </c>
      <c r="H198" s="1">
        <v>0</v>
      </c>
      <c r="I198" s="1">
        <v>9485</v>
      </c>
      <c r="J198" s="1">
        <v>2488</v>
      </c>
    </row>
    <row r="199" spans="1:10" x14ac:dyDescent="0.25">
      <c r="A199" t="s">
        <v>248</v>
      </c>
      <c r="B199" t="s">
        <v>872</v>
      </c>
      <c r="C199" t="s">
        <v>251</v>
      </c>
      <c r="D199" s="1">
        <v>35524</v>
      </c>
      <c r="E199" s="1">
        <v>687</v>
      </c>
      <c r="F199" s="1">
        <v>0</v>
      </c>
      <c r="G199" s="1">
        <v>0</v>
      </c>
      <c r="H199" s="1">
        <v>0</v>
      </c>
      <c r="I199" s="1">
        <v>31125</v>
      </c>
      <c r="J199" s="1">
        <v>6312</v>
      </c>
    </row>
    <row r="200" spans="1:10" x14ac:dyDescent="0.25">
      <c r="A200" t="s">
        <v>795</v>
      </c>
      <c r="B200" t="s">
        <v>872</v>
      </c>
      <c r="C200" t="s">
        <v>252</v>
      </c>
      <c r="D200" s="1">
        <v>37205</v>
      </c>
      <c r="E200" s="1">
        <v>99</v>
      </c>
      <c r="F200" s="1">
        <v>0</v>
      </c>
      <c r="G200" s="1">
        <v>0</v>
      </c>
      <c r="H200" s="1">
        <v>0</v>
      </c>
      <c r="I200" s="1">
        <v>15952</v>
      </c>
      <c r="J200" s="1">
        <v>11252</v>
      </c>
    </row>
    <row r="201" spans="1:10" x14ac:dyDescent="0.25">
      <c r="A201" t="s">
        <v>248</v>
      </c>
      <c r="B201" t="s">
        <v>872</v>
      </c>
      <c r="C201" t="s">
        <v>253</v>
      </c>
      <c r="D201" s="1">
        <v>64772</v>
      </c>
      <c r="E201" s="1">
        <v>253</v>
      </c>
      <c r="F201" s="1">
        <v>0</v>
      </c>
      <c r="G201" s="1">
        <v>0</v>
      </c>
      <c r="H201" s="1">
        <v>0</v>
      </c>
      <c r="I201" s="1">
        <v>25854</v>
      </c>
      <c r="J201" s="1">
        <v>11495</v>
      </c>
    </row>
    <row r="202" spans="1:10" x14ac:dyDescent="0.25">
      <c r="A202" t="s">
        <v>823</v>
      </c>
      <c r="B202" t="s">
        <v>872</v>
      </c>
      <c r="C202" t="s">
        <v>254</v>
      </c>
      <c r="D202" s="1">
        <v>40438</v>
      </c>
      <c r="E202" s="1">
        <v>201</v>
      </c>
      <c r="F202" s="1">
        <v>0</v>
      </c>
      <c r="G202" s="1">
        <v>0</v>
      </c>
      <c r="H202" s="1">
        <v>0</v>
      </c>
      <c r="I202" s="1">
        <v>8334</v>
      </c>
      <c r="J202" s="1">
        <v>13246</v>
      </c>
    </row>
    <row r="203" spans="1:10" x14ac:dyDescent="0.25">
      <c r="A203" t="s">
        <v>67</v>
      </c>
      <c r="B203" t="s">
        <v>872</v>
      </c>
      <c r="C203" t="s">
        <v>255</v>
      </c>
      <c r="D203" s="1">
        <v>34908</v>
      </c>
      <c r="E203" s="1">
        <v>114</v>
      </c>
      <c r="F203" s="1">
        <v>0</v>
      </c>
      <c r="G203" s="1">
        <v>0</v>
      </c>
      <c r="H203" s="1">
        <v>0</v>
      </c>
      <c r="I203" s="1">
        <v>29974</v>
      </c>
      <c r="J203" s="1">
        <v>5481</v>
      </c>
    </row>
    <row r="204" spans="1:10" x14ac:dyDescent="0.25">
      <c r="A204" t="s">
        <v>72</v>
      </c>
      <c r="B204" t="s">
        <v>872</v>
      </c>
      <c r="C204" t="s">
        <v>256</v>
      </c>
      <c r="D204" s="1">
        <v>19987</v>
      </c>
      <c r="E204" s="1">
        <v>16</v>
      </c>
      <c r="F204" s="1">
        <v>0</v>
      </c>
      <c r="G204" s="1">
        <v>0</v>
      </c>
      <c r="H204" s="1">
        <v>0</v>
      </c>
      <c r="I204" s="1">
        <v>17008</v>
      </c>
      <c r="J204" s="1">
        <v>3227</v>
      </c>
    </row>
    <row r="205" spans="1:10" x14ac:dyDescent="0.25">
      <c r="A205" t="s">
        <v>138</v>
      </c>
      <c r="B205" t="s">
        <v>872</v>
      </c>
      <c r="C205" t="s">
        <v>257</v>
      </c>
      <c r="D205" s="1">
        <v>56531</v>
      </c>
      <c r="E205" s="1">
        <v>2771</v>
      </c>
      <c r="F205" s="1">
        <v>0</v>
      </c>
      <c r="G205" s="1">
        <v>0</v>
      </c>
      <c r="H205" s="1">
        <v>0</v>
      </c>
      <c r="I205" s="1">
        <v>9970</v>
      </c>
      <c r="J205" s="1">
        <v>10346</v>
      </c>
    </row>
    <row r="206" spans="1:10" x14ac:dyDescent="0.25">
      <c r="A206" t="s">
        <v>817</v>
      </c>
      <c r="B206" t="s">
        <v>872</v>
      </c>
      <c r="C206" t="s">
        <v>258</v>
      </c>
      <c r="D206" s="1">
        <v>40751</v>
      </c>
      <c r="E206" s="1">
        <v>722</v>
      </c>
      <c r="F206" s="1">
        <v>0</v>
      </c>
      <c r="G206" s="1">
        <v>0</v>
      </c>
      <c r="H206" s="1">
        <v>0</v>
      </c>
      <c r="I206" s="1">
        <v>86436</v>
      </c>
      <c r="J206" s="1">
        <v>13825</v>
      </c>
    </row>
    <row r="207" spans="1:10" x14ac:dyDescent="0.25">
      <c r="A207" t="s">
        <v>795</v>
      </c>
      <c r="B207" t="s">
        <v>872</v>
      </c>
      <c r="C207" t="s">
        <v>259</v>
      </c>
      <c r="D207" s="1">
        <v>91446</v>
      </c>
      <c r="E207" s="1">
        <v>535</v>
      </c>
      <c r="F207" s="1">
        <v>0</v>
      </c>
      <c r="G207" s="1">
        <v>0</v>
      </c>
      <c r="H207" s="1">
        <v>0</v>
      </c>
      <c r="I207" s="1">
        <v>28042</v>
      </c>
      <c r="J207" s="1">
        <v>24737</v>
      </c>
    </row>
    <row r="208" spans="1:10" x14ac:dyDescent="0.25">
      <c r="A208" t="s">
        <v>864</v>
      </c>
      <c r="B208" t="s">
        <v>872</v>
      </c>
      <c r="C208" t="s">
        <v>260</v>
      </c>
      <c r="D208" s="1">
        <v>42663</v>
      </c>
      <c r="E208" s="1">
        <v>522</v>
      </c>
      <c r="F208" s="1">
        <v>0</v>
      </c>
      <c r="G208" s="1">
        <v>0</v>
      </c>
      <c r="H208" s="1">
        <v>0</v>
      </c>
      <c r="I208" s="1">
        <v>37253</v>
      </c>
      <c r="J208" s="1">
        <v>15275</v>
      </c>
    </row>
    <row r="209" spans="1:10" x14ac:dyDescent="0.25">
      <c r="A209" t="s">
        <v>826</v>
      </c>
      <c r="B209" t="s">
        <v>872</v>
      </c>
      <c r="C209" t="s">
        <v>261</v>
      </c>
      <c r="D209" s="1">
        <v>2074</v>
      </c>
      <c r="E209" s="1">
        <v>15</v>
      </c>
      <c r="F209" s="1">
        <v>0</v>
      </c>
      <c r="G209" s="1">
        <v>0</v>
      </c>
      <c r="H209" s="1">
        <v>0</v>
      </c>
      <c r="I209" s="1">
        <v>1011</v>
      </c>
      <c r="J209" s="1">
        <v>1044</v>
      </c>
    </row>
    <row r="210" spans="1:10" x14ac:dyDescent="0.25">
      <c r="A210" t="s">
        <v>801</v>
      </c>
      <c r="B210" t="s">
        <v>872</v>
      </c>
      <c r="C210" t="s">
        <v>262</v>
      </c>
      <c r="D210" s="1">
        <v>60711</v>
      </c>
      <c r="E210" s="1">
        <v>777</v>
      </c>
      <c r="F210" s="1">
        <v>0</v>
      </c>
      <c r="G210" s="1">
        <v>0</v>
      </c>
      <c r="H210" s="1">
        <v>0</v>
      </c>
      <c r="I210" s="1">
        <v>84257</v>
      </c>
      <c r="J210" s="1">
        <v>17569</v>
      </c>
    </row>
    <row r="211" spans="1:10" x14ac:dyDescent="0.25">
      <c r="A211" t="s">
        <v>120</v>
      </c>
      <c r="B211" t="s">
        <v>872</v>
      </c>
      <c r="C211" t="s">
        <v>263</v>
      </c>
      <c r="D211" s="1">
        <v>30179</v>
      </c>
      <c r="E211" s="1">
        <v>16</v>
      </c>
      <c r="F211" s="1">
        <v>0</v>
      </c>
      <c r="G211" s="1">
        <v>0</v>
      </c>
      <c r="H211" s="1">
        <v>0</v>
      </c>
      <c r="I211" s="1">
        <v>2575</v>
      </c>
      <c r="J211" s="1">
        <v>1852</v>
      </c>
    </row>
    <row r="212" spans="1:10" x14ac:dyDescent="0.25">
      <c r="A212" t="s">
        <v>868</v>
      </c>
      <c r="B212" t="s">
        <v>872</v>
      </c>
      <c r="C212" t="s">
        <v>264</v>
      </c>
      <c r="D212" s="1">
        <v>14706</v>
      </c>
      <c r="E212" s="1">
        <v>25</v>
      </c>
      <c r="F212" s="1">
        <v>0</v>
      </c>
      <c r="G212" s="1">
        <v>0</v>
      </c>
      <c r="H212" s="1">
        <v>0</v>
      </c>
      <c r="I212" s="1">
        <v>7470</v>
      </c>
      <c r="J212" s="1">
        <v>2818</v>
      </c>
    </row>
    <row r="213" spans="1:10" x14ac:dyDescent="0.25">
      <c r="A213" t="s">
        <v>265</v>
      </c>
      <c r="B213" t="s">
        <v>872</v>
      </c>
      <c r="C213" t="s">
        <v>266</v>
      </c>
      <c r="D213" s="1">
        <v>88215</v>
      </c>
      <c r="E213" s="1">
        <v>497</v>
      </c>
      <c r="F213" s="1">
        <v>0</v>
      </c>
      <c r="G213" s="1">
        <v>0</v>
      </c>
      <c r="H213" s="1">
        <v>0</v>
      </c>
      <c r="I213" s="1">
        <v>45809</v>
      </c>
      <c r="J213" s="1">
        <v>18219</v>
      </c>
    </row>
    <row r="214" spans="1:10" x14ac:dyDescent="0.25">
      <c r="A214" t="s">
        <v>797</v>
      </c>
      <c r="B214" t="s">
        <v>872</v>
      </c>
      <c r="C214" t="s">
        <v>267</v>
      </c>
      <c r="D214" s="1">
        <v>80913</v>
      </c>
      <c r="E214" s="1">
        <v>1550</v>
      </c>
      <c r="F214" s="1">
        <v>0</v>
      </c>
      <c r="G214" s="1">
        <v>0</v>
      </c>
      <c r="H214" s="1">
        <v>0</v>
      </c>
      <c r="I214" s="1">
        <v>48309</v>
      </c>
      <c r="J214" s="1">
        <v>42736</v>
      </c>
    </row>
    <row r="215" spans="1:10" x14ac:dyDescent="0.25">
      <c r="A215" t="s">
        <v>831</v>
      </c>
      <c r="B215" t="s">
        <v>872</v>
      </c>
      <c r="C215" t="s">
        <v>268</v>
      </c>
      <c r="D215" s="1">
        <v>28129</v>
      </c>
      <c r="E215" s="1">
        <v>317</v>
      </c>
      <c r="F215" s="1">
        <v>0</v>
      </c>
      <c r="G215" s="1">
        <v>0</v>
      </c>
      <c r="H215" s="1">
        <v>0</v>
      </c>
      <c r="I215" s="1">
        <v>13446</v>
      </c>
      <c r="J215" s="1">
        <v>7083</v>
      </c>
    </row>
    <row r="216" spans="1:10" x14ac:dyDescent="0.25">
      <c r="A216" t="s">
        <v>794</v>
      </c>
      <c r="B216" t="s">
        <v>872</v>
      </c>
      <c r="C216" t="s">
        <v>269</v>
      </c>
      <c r="D216" s="1">
        <v>28783</v>
      </c>
      <c r="E216" s="1">
        <v>94</v>
      </c>
      <c r="F216" s="1">
        <v>0</v>
      </c>
      <c r="G216" s="1">
        <v>0</v>
      </c>
      <c r="H216" s="1">
        <v>0</v>
      </c>
      <c r="I216" s="1">
        <v>18033</v>
      </c>
      <c r="J216" s="1">
        <v>4618</v>
      </c>
    </row>
    <row r="217" spans="1:10" x14ac:dyDescent="0.25">
      <c r="A217" t="s">
        <v>809</v>
      </c>
      <c r="B217" t="s">
        <v>872</v>
      </c>
      <c r="C217" t="s">
        <v>270</v>
      </c>
      <c r="D217" s="1">
        <v>28329</v>
      </c>
      <c r="E217" s="1">
        <v>114</v>
      </c>
      <c r="F217" s="1">
        <v>0</v>
      </c>
      <c r="G217" s="1">
        <v>0</v>
      </c>
      <c r="H217" s="1">
        <v>0</v>
      </c>
      <c r="I217" s="1">
        <v>13204</v>
      </c>
      <c r="J217" s="1">
        <v>6155</v>
      </c>
    </row>
    <row r="218" spans="1:10" x14ac:dyDescent="0.25">
      <c r="A218" t="s">
        <v>248</v>
      </c>
      <c r="B218" t="s">
        <v>872</v>
      </c>
      <c r="C218" t="s">
        <v>271</v>
      </c>
      <c r="D218" s="1">
        <v>121879</v>
      </c>
      <c r="E218" s="1">
        <v>2182</v>
      </c>
      <c r="F218" s="1">
        <v>0</v>
      </c>
      <c r="G218" s="1">
        <v>0</v>
      </c>
      <c r="H218" s="1">
        <v>0</v>
      </c>
      <c r="I218" s="1">
        <v>134340</v>
      </c>
      <c r="J218" s="1">
        <v>19771</v>
      </c>
    </row>
    <row r="219" spans="1:10" x14ac:dyDescent="0.25">
      <c r="A219" t="s">
        <v>823</v>
      </c>
      <c r="B219" t="s">
        <v>872</v>
      </c>
      <c r="C219" t="s">
        <v>272</v>
      </c>
      <c r="D219" s="1">
        <v>60820</v>
      </c>
      <c r="E219" s="1">
        <v>255</v>
      </c>
      <c r="F219" s="1">
        <v>0</v>
      </c>
      <c r="G219" s="1">
        <v>0</v>
      </c>
      <c r="H219" s="1">
        <v>0</v>
      </c>
      <c r="I219" s="1">
        <v>23937</v>
      </c>
      <c r="J219" s="1">
        <v>19501</v>
      </c>
    </row>
    <row r="220" spans="1:10" x14ac:dyDescent="0.25">
      <c r="A220" t="s">
        <v>146</v>
      </c>
      <c r="B220" t="s">
        <v>872</v>
      </c>
      <c r="C220" t="s">
        <v>273</v>
      </c>
      <c r="D220" s="1">
        <v>37624</v>
      </c>
      <c r="E220" s="1">
        <v>336</v>
      </c>
      <c r="F220" s="1">
        <v>0</v>
      </c>
      <c r="G220" s="1">
        <v>0</v>
      </c>
      <c r="H220" s="1">
        <v>0</v>
      </c>
      <c r="I220" s="1">
        <v>83130</v>
      </c>
      <c r="J220" s="1">
        <v>16119</v>
      </c>
    </row>
    <row r="221" spans="1:10" x14ac:dyDescent="0.25">
      <c r="A221" t="s">
        <v>788</v>
      </c>
      <c r="B221" t="s">
        <v>872</v>
      </c>
      <c r="C221" t="s">
        <v>274</v>
      </c>
      <c r="D221" s="1">
        <v>36263</v>
      </c>
      <c r="E221" s="1">
        <v>45</v>
      </c>
      <c r="F221" s="1">
        <v>0</v>
      </c>
      <c r="G221" s="1">
        <v>0</v>
      </c>
      <c r="H221" s="1">
        <v>0</v>
      </c>
      <c r="I221" s="1">
        <v>30500</v>
      </c>
      <c r="J221" s="1">
        <v>8509</v>
      </c>
    </row>
    <row r="222" spans="1:10" x14ac:dyDescent="0.25">
      <c r="A222" t="s">
        <v>495</v>
      </c>
      <c r="B222" t="s">
        <v>874</v>
      </c>
      <c r="C222" t="s">
        <v>275</v>
      </c>
      <c r="D222" s="1">
        <v>453409</v>
      </c>
      <c r="E222" s="1">
        <v>4382</v>
      </c>
      <c r="F222" s="1">
        <v>0</v>
      </c>
      <c r="G222" s="1">
        <v>0</v>
      </c>
      <c r="H222" s="1">
        <v>0</v>
      </c>
      <c r="I222" s="1">
        <v>38950</v>
      </c>
      <c r="J222" s="1">
        <v>132840</v>
      </c>
    </row>
    <row r="223" spans="1:10" x14ac:dyDescent="0.25">
      <c r="A223" t="s">
        <v>120</v>
      </c>
      <c r="B223" t="s">
        <v>874</v>
      </c>
      <c r="C223" t="s">
        <v>276</v>
      </c>
      <c r="D223" s="1">
        <v>305134</v>
      </c>
      <c r="E223" s="1">
        <v>3123</v>
      </c>
      <c r="F223" s="1">
        <v>0</v>
      </c>
      <c r="G223" s="1">
        <v>0</v>
      </c>
      <c r="H223" s="1">
        <v>0</v>
      </c>
      <c r="I223" s="1">
        <v>35609</v>
      </c>
      <c r="J223" s="1">
        <v>81767</v>
      </c>
    </row>
    <row r="224" spans="1:10" x14ac:dyDescent="0.25">
      <c r="A224" t="s">
        <v>76</v>
      </c>
      <c r="B224" t="s">
        <v>875</v>
      </c>
      <c r="C224" t="s">
        <v>277</v>
      </c>
      <c r="D224" s="1">
        <v>98952</v>
      </c>
      <c r="E224" s="1">
        <v>579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</row>
    <row r="225" spans="1:10" x14ac:dyDescent="0.25">
      <c r="A225" t="s">
        <v>823</v>
      </c>
      <c r="B225" t="s">
        <v>875</v>
      </c>
      <c r="C225" t="s">
        <v>278</v>
      </c>
      <c r="D225" s="1">
        <v>51326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</row>
    <row r="226" spans="1:10" x14ac:dyDescent="0.25">
      <c r="A226" t="s">
        <v>120</v>
      </c>
      <c r="B226" t="s">
        <v>876</v>
      </c>
      <c r="C226" t="s">
        <v>279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50263</v>
      </c>
      <c r="J226" s="1">
        <v>0</v>
      </c>
    </row>
    <row r="227" spans="1:10" x14ac:dyDescent="0.25">
      <c r="A227" t="s">
        <v>817</v>
      </c>
      <c r="B227" t="s">
        <v>875</v>
      </c>
      <c r="C227" t="s">
        <v>280</v>
      </c>
      <c r="D227" s="1">
        <v>121678</v>
      </c>
      <c r="E227" s="1">
        <v>536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</row>
    <row r="228" spans="1:10" x14ac:dyDescent="0.25">
      <c r="A228" t="s">
        <v>791</v>
      </c>
      <c r="B228" t="s">
        <v>875</v>
      </c>
      <c r="C228" t="s">
        <v>281</v>
      </c>
      <c r="D228" s="1">
        <v>12520</v>
      </c>
      <c r="E228" s="1">
        <v>6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</row>
    <row r="229" spans="1:10" x14ac:dyDescent="0.25">
      <c r="A229" t="s">
        <v>801</v>
      </c>
      <c r="B229" t="s">
        <v>875</v>
      </c>
      <c r="C229" t="s">
        <v>282</v>
      </c>
      <c r="D229" s="1">
        <v>20182</v>
      </c>
      <c r="E229" s="1">
        <v>138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</row>
    <row r="230" spans="1:10" x14ac:dyDescent="0.25">
      <c r="A230" t="s">
        <v>795</v>
      </c>
      <c r="B230" t="s">
        <v>875</v>
      </c>
      <c r="C230" t="s">
        <v>283</v>
      </c>
      <c r="D230" s="1">
        <v>186982</v>
      </c>
      <c r="E230" s="1">
        <v>52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</row>
    <row r="231" spans="1:10" x14ac:dyDescent="0.25">
      <c r="A231" t="s">
        <v>811</v>
      </c>
      <c r="B231" t="s">
        <v>875</v>
      </c>
      <c r="C231" t="s">
        <v>284</v>
      </c>
      <c r="D231" s="1">
        <v>122430</v>
      </c>
      <c r="E231" s="1">
        <v>3713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</row>
    <row r="232" spans="1:10" x14ac:dyDescent="0.25">
      <c r="A232" t="s">
        <v>120</v>
      </c>
      <c r="B232" t="s">
        <v>875</v>
      </c>
      <c r="C232" t="s">
        <v>285</v>
      </c>
      <c r="D232" s="1">
        <v>31163</v>
      </c>
      <c r="E232" s="1">
        <v>164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</row>
    <row r="233" spans="1:10" x14ac:dyDescent="0.25">
      <c r="A233" t="s">
        <v>101</v>
      </c>
      <c r="B233" t="s">
        <v>875</v>
      </c>
      <c r="C233" t="s">
        <v>286</v>
      </c>
      <c r="D233" s="1">
        <v>26998</v>
      </c>
      <c r="E233" s="1">
        <v>296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</row>
    <row r="234" spans="1:10" x14ac:dyDescent="0.25">
      <c r="A234" t="s">
        <v>226</v>
      </c>
      <c r="B234" t="s">
        <v>875</v>
      </c>
      <c r="C234" t="s">
        <v>287</v>
      </c>
      <c r="D234" s="1">
        <v>12847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</row>
    <row r="235" spans="1:10" x14ac:dyDescent="0.25">
      <c r="A235" t="s">
        <v>120</v>
      </c>
      <c r="B235" t="s">
        <v>877</v>
      </c>
      <c r="C235" t="s">
        <v>288</v>
      </c>
      <c r="D235" s="1">
        <v>5497</v>
      </c>
      <c r="E235" s="1">
        <v>2</v>
      </c>
      <c r="F235" s="1">
        <v>0</v>
      </c>
      <c r="G235" s="1">
        <v>44511</v>
      </c>
      <c r="H235" s="1">
        <v>46</v>
      </c>
      <c r="I235" s="1">
        <v>0</v>
      </c>
      <c r="J235" s="1">
        <v>0</v>
      </c>
    </row>
    <row r="236" spans="1:10" x14ac:dyDescent="0.25">
      <c r="A236" t="s">
        <v>826</v>
      </c>
      <c r="B236" t="s">
        <v>877</v>
      </c>
      <c r="C236" t="s">
        <v>289</v>
      </c>
      <c r="D236" s="1">
        <v>2579</v>
      </c>
      <c r="E236" s="1">
        <v>122</v>
      </c>
      <c r="F236" s="1">
        <v>0</v>
      </c>
      <c r="G236" s="1">
        <v>8125</v>
      </c>
      <c r="H236" s="1">
        <v>172</v>
      </c>
      <c r="I236" s="1">
        <v>0</v>
      </c>
      <c r="J236" s="1">
        <v>0</v>
      </c>
    </row>
    <row r="237" spans="1:10" x14ac:dyDescent="0.25">
      <c r="A237" t="s">
        <v>791</v>
      </c>
      <c r="B237" t="s">
        <v>877</v>
      </c>
      <c r="C237" t="s">
        <v>290</v>
      </c>
      <c r="D237" s="1">
        <v>4786</v>
      </c>
      <c r="E237" s="1">
        <v>1653</v>
      </c>
      <c r="F237" s="1">
        <v>0</v>
      </c>
      <c r="G237" s="1">
        <v>17037</v>
      </c>
      <c r="H237" s="1">
        <v>287</v>
      </c>
      <c r="I237" s="1">
        <v>0</v>
      </c>
      <c r="J237" s="1">
        <v>0</v>
      </c>
    </row>
    <row r="238" spans="1:10" x14ac:dyDescent="0.25">
      <c r="A238" t="s">
        <v>826</v>
      </c>
      <c r="B238" t="s">
        <v>877</v>
      </c>
      <c r="C238" t="s">
        <v>291</v>
      </c>
      <c r="D238" s="1">
        <v>1276</v>
      </c>
      <c r="E238" s="1">
        <v>49</v>
      </c>
      <c r="F238" s="1">
        <v>0</v>
      </c>
      <c r="G238" s="1">
        <v>9516</v>
      </c>
      <c r="H238" s="1">
        <v>60</v>
      </c>
      <c r="I238" s="1">
        <v>0</v>
      </c>
      <c r="J238" s="1">
        <v>0</v>
      </c>
    </row>
    <row r="239" spans="1:10" x14ac:dyDescent="0.25">
      <c r="A239" t="s">
        <v>226</v>
      </c>
      <c r="B239" t="s">
        <v>877</v>
      </c>
      <c r="C239" t="s">
        <v>292</v>
      </c>
      <c r="D239" s="1">
        <v>971</v>
      </c>
      <c r="E239" s="1">
        <v>28</v>
      </c>
      <c r="F239" s="1">
        <v>0</v>
      </c>
      <c r="G239" s="1">
        <v>11935</v>
      </c>
      <c r="H239" s="1">
        <v>69</v>
      </c>
      <c r="I239" s="1">
        <v>0</v>
      </c>
      <c r="J239" s="1">
        <v>0</v>
      </c>
    </row>
    <row r="240" spans="1:10" x14ac:dyDescent="0.25">
      <c r="A240" t="s">
        <v>495</v>
      </c>
      <c r="B240" t="s">
        <v>877</v>
      </c>
      <c r="C240" t="s">
        <v>293</v>
      </c>
      <c r="D240" s="1">
        <v>5629</v>
      </c>
      <c r="E240" s="1">
        <v>47</v>
      </c>
      <c r="F240" s="1">
        <v>0</v>
      </c>
      <c r="G240" s="1">
        <v>6863</v>
      </c>
      <c r="H240" s="1">
        <v>6</v>
      </c>
      <c r="I240" s="1">
        <v>0</v>
      </c>
      <c r="J240" s="1">
        <v>0</v>
      </c>
    </row>
    <row r="241" spans="1:10" x14ac:dyDescent="0.25">
      <c r="A241" t="s">
        <v>248</v>
      </c>
      <c r="B241" t="s">
        <v>877</v>
      </c>
      <c r="C241" t="s">
        <v>294</v>
      </c>
      <c r="D241" s="1">
        <v>1825</v>
      </c>
      <c r="E241" s="1">
        <v>0</v>
      </c>
      <c r="F241" s="1">
        <v>0</v>
      </c>
      <c r="G241" s="1">
        <v>12032</v>
      </c>
      <c r="H241" s="1">
        <v>0</v>
      </c>
      <c r="I241" s="1">
        <v>0</v>
      </c>
      <c r="J241" s="1">
        <v>0</v>
      </c>
    </row>
    <row r="242" spans="1:10" x14ac:dyDescent="0.25">
      <c r="A242" t="s">
        <v>865</v>
      </c>
      <c r="B242" t="s">
        <v>877</v>
      </c>
      <c r="C242" t="s">
        <v>295</v>
      </c>
      <c r="D242" s="1">
        <v>1276</v>
      </c>
      <c r="E242" s="1">
        <v>22</v>
      </c>
      <c r="F242" s="1">
        <v>0</v>
      </c>
      <c r="G242" s="1">
        <v>19723</v>
      </c>
      <c r="H242" s="1">
        <v>74</v>
      </c>
      <c r="I242" s="1">
        <v>0</v>
      </c>
      <c r="J242" s="1">
        <v>0</v>
      </c>
    </row>
    <row r="243" spans="1:10" x14ac:dyDescent="0.25">
      <c r="A243" t="s">
        <v>831</v>
      </c>
      <c r="B243" t="s">
        <v>877</v>
      </c>
      <c r="C243" t="s">
        <v>296</v>
      </c>
      <c r="D243" s="1">
        <v>1159</v>
      </c>
      <c r="E243" s="1">
        <v>13</v>
      </c>
      <c r="F243" s="1">
        <v>0</v>
      </c>
      <c r="G243" s="1">
        <v>20328</v>
      </c>
      <c r="H243" s="1">
        <v>43</v>
      </c>
      <c r="I243" s="1">
        <v>0</v>
      </c>
      <c r="J243" s="1">
        <v>0</v>
      </c>
    </row>
    <row r="244" spans="1:10" x14ac:dyDescent="0.25">
      <c r="A244" t="s">
        <v>818</v>
      </c>
      <c r="B244" t="s">
        <v>877</v>
      </c>
      <c r="C244" t="s">
        <v>297</v>
      </c>
      <c r="D244" s="1">
        <v>4850</v>
      </c>
      <c r="E244" s="1">
        <v>0</v>
      </c>
      <c r="F244" s="1">
        <v>0</v>
      </c>
      <c r="G244" s="1">
        <v>12167</v>
      </c>
      <c r="H244" s="1">
        <v>54</v>
      </c>
      <c r="I244" s="1">
        <v>0</v>
      </c>
      <c r="J244" s="1">
        <v>0</v>
      </c>
    </row>
    <row r="245" spans="1:10" x14ac:dyDescent="0.25">
      <c r="A245" t="s">
        <v>811</v>
      </c>
      <c r="B245" t="s">
        <v>877</v>
      </c>
      <c r="C245" t="s">
        <v>298</v>
      </c>
      <c r="D245" s="1">
        <v>3419</v>
      </c>
      <c r="E245" s="1">
        <v>78</v>
      </c>
      <c r="F245" s="1">
        <v>0</v>
      </c>
      <c r="G245" s="1">
        <v>10473</v>
      </c>
      <c r="H245" s="1">
        <v>34</v>
      </c>
      <c r="I245" s="1">
        <v>0</v>
      </c>
      <c r="J245" s="1">
        <v>0</v>
      </c>
    </row>
    <row r="246" spans="1:10" x14ac:dyDescent="0.25">
      <c r="A246" t="s">
        <v>72</v>
      </c>
      <c r="B246" t="s">
        <v>877</v>
      </c>
      <c r="C246" t="s">
        <v>299</v>
      </c>
      <c r="D246" s="1">
        <v>2883</v>
      </c>
      <c r="E246" s="1">
        <v>0</v>
      </c>
      <c r="F246" s="1">
        <v>0</v>
      </c>
      <c r="G246" s="1">
        <v>12974</v>
      </c>
      <c r="H246" s="1">
        <v>19</v>
      </c>
      <c r="I246" s="1">
        <v>0</v>
      </c>
      <c r="J246" s="1">
        <v>0</v>
      </c>
    </row>
    <row r="247" spans="1:10" x14ac:dyDescent="0.25">
      <c r="A247" t="s">
        <v>67</v>
      </c>
      <c r="B247" t="s">
        <v>877</v>
      </c>
      <c r="C247" t="s">
        <v>300</v>
      </c>
      <c r="D247" s="1">
        <v>2666</v>
      </c>
      <c r="E247" s="1">
        <v>0</v>
      </c>
      <c r="F247" s="1">
        <v>0</v>
      </c>
      <c r="G247" s="1">
        <v>6714</v>
      </c>
      <c r="H247" s="1">
        <v>8</v>
      </c>
      <c r="I247" s="1">
        <v>0</v>
      </c>
      <c r="J247" s="1">
        <v>0</v>
      </c>
    </row>
    <row r="248" spans="1:10" x14ac:dyDescent="0.25">
      <c r="A248" t="s">
        <v>798</v>
      </c>
      <c r="B248" t="s">
        <v>877</v>
      </c>
      <c r="C248" t="s">
        <v>301</v>
      </c>
      <c r="D248" s="1">
        <v>2994</v>
      </c>
      <c r="E248" s="1">
        <v>26</v>
      </c>
      <c r="F248" s="1">
        <v>0</v>
      </c>
      <c r="G248" s="1">
        <v>17363</v>
      </c>
      <c r="H248" s="1">
        <v>105</v>
      </c>
      <c r="I248" s="1">
        <v>0</v>
      </c>
      <c r="J248" s="1">
        <v>0</v>
      </c>
    </row>
    <row r="249" spans="1:10" x14ac:dyDescent="0.25">
      <c r="A249" t="s">
        <v>824</v>
      </c>
      <c r="B249" t="s">
        <v>877</v>
      </c>
      <c r="C249" t="s">
        <v>302</v>
      </c>
      <c r="D249" s="1">
        <v>10450</v>
      </c>
      <c r="E249" s="1">
        <v>15</v>
      </c>
      <c r="F249" s="1">
        <v>0</v>
      </c>
      <c r="G249" s="1">
        <v>36744</v>
      </c>
      <c r="H249" s="1">
        <v>60</v>
      </c>
      <c r="I249" s="1">
        <v>0</v>
      </c>
      <c r="J249" s="1">
        <v>0</v>
      </c>
    </row>
    <row r="250" spans="1:10" x14ac:dyDescent="0.25">
      <c r="A250" t="s">
        <v>788</v>
      </c>
      <c r="B250" t="s">
        <v>877</v>
      </c>
      <c r="C250" t="s">
        <v>303</v>
      </c>
      <c r="D250" s="1">
        <v>1867</v>
      </c>
      <c r="E250" s="1">
        <v>6</v>
      </c>
      <c r="F250" s="1">
        <v>0</v>
      </c>
      <c r="G250" s="1">
        <v>14604</v>
      </c>
      <c r="H250" s="1">
        <v>71</v>
      </c>
      <c r="I250" s="1">
        <v>0</v>
      </c>
      <c r="J250" s="1">
        <v>0</v>
      </c>
    </row>
    <row r="251" spans="1:10" x14ac:dyDescent="0.25">
      <c r="A251" t="s">
        <v>120</v>
      </c>
      <c r="B251" t="s">
        <v>877</v>
      </c>
      <c r="C251" t="s">
        <v>304</v>
      </c>
      <c r="D251" s="1">
        <v>2488</v>
      </c>
      <c r="E251" s="1">
        <v>2</v>
      </c>
      <c r="F251" s="1">
        <v>0</v>
      </c>
      <c r="G251" s="1">
        <v>23315</v>
      </c>
      <c r="H251" s="1">
        <v>42</v>
      </c>
      <c r="I251" s="1">
        <v>0</v>
      </c>
      <c r="J251" s="1">
        <v>0</v>
      </c>
    </row>
    <row r="252" spans="1:10" x14ac:dyDescent="0.25">
      <c r="A252" t="s">
        <v>229</v>
      </c>
      <c r="B252" t="s">
        <v>877</v>
      </c>
      <c r="C252" t="s">
        <v>306</v>
      </c>
      <c r="D252" s="1">
        <v>3713</v>
      </c>
      <c r="E252" s="1">
        <v>0</v>
      </c>
      <c r="F252" s="1">
        <v>0</v>
      </c>
      <c r="G252" s="1">
        <v>8461</v>
      </c>
      <c r="H252" s="1">
        <v>59</v>
      </c>
      <c r="I252" s="1">
        <v>0</v>
      </c>
      <c r="J252" s="1">
        <v>0</v>
      </c>
    </row>
    <row r="253" spans="1:10" x14ac:dyDescent="0.25">
      <c r="A253" t="s">
        <v>512</v>
      </c>
      <c r="B253" t="s">
        <v>877</v>
      </c>
      <c r="C253" t="s">
        <v>307</v>
      </c>
      <c r="D253" s="1">
        <v>562</v>
      </c>
      <c r="E253" s="1">
        <v>9</v>
      </c>
      <c r="F253" s="1">
        <v>0</v>
      </c>
      <c r="G253" s="1">
        <v>10383</v>
      </c>
      <c r="H253" s="1">
        <v>43</v>
      </c>
      <c r="I253" s="1">
        <v>0</v>
      </c>
      <c r="J253" s="1">
        <v>0</v>
      </c>
    </row>
    <row r="254" spans="1:10" x14ac:dyDescent="0.25">
      <c r="A254" t="s">
        <v>791</v>
      </c>
      <c r="B254" t="s">
        <v>877</v>
      </c>
      <c r="C254" t="s">
        <v>308</v>
      </c>
      <c r="D254" s="1">
        <v>924</v>
      </c>
      <c r="E254" s="1">
        <v>0</v>
      </c>
      <c r="F254" s="1">
        <v>0</v>
      </c>
      <c r="G254" s="1">
        <v>6319</v>
      </c>
      <c r="H254" s="1">
        <v>0</v>
      </c>
      <c r="I254" s="1">
        <v>0</v>
      </c>
      <c r="J254" s="1">
        <v>0</v>
      </c>
    </row>
    <row r="255" spans="1:10" x14ac:dyDescent="0.25">
      <c r="A255" t="s">
        <v>841</v>
      </c>
      <c r="B255" t="s">
        <v>877</v>
      </c>
      <c r="C255" t="s">
        <v>309</v>
      </c>
      <c r="D255" s="1">
        <v>5364</v>
      </c>
      <c r="E255" s="1">
        <v>3</v>
      </c>
      <c r="F255" s="1">
        <v>0</v>
      </c>
      <c r="G255" s="1">
        <v>41432</v>
      </c>
      <c r="H255" s="1">
        <v>23</v>
      </c>
      <c r="I255" s="1">
        <v>0</v>
      </c>
      <c r="J255" s="1">
        <v>0</v>
      </c>
    </row>
    <row r="256" spans="1:10" x14ac:dyDescent="0.25">
      <c r="A256" t="s">
        <v>831</v>
      </c>
      <c r="B256" t="s">
        <v>877</v>
      </c>
      <c r="C256" t="s">
        <v>310</v>
      </c>
      <c r="D256" s="1">
        <v>406</v>
      </c>
      <c r="E256" s="1">
        <v>0</v>
      </c>
      <c r="F256" s="1">
        <v>0</v>
      </c>
      <c r="G256" s="1">
        <v>3452</v>
      </c>
      <c r="H256" s="1">
        <v>12</v>
      </c>
      <c r="I256" s="1">
        <v>0</v>
      </c>
      <c r="J256" s="1">
        <v>0</v>
      </c>
    </row>
    <row r="257" spans="1:10" x14ac:dyDescent="0.25">
      <c r="A257" t="s">
        <v>864</v>
      </c>
      <c r="B257" t="s">
        <v>877</v>
      </c>
      <c r="C257" t="s">
        <v>311</v>
      </c>
      <c r="D257" s="1">
        <v>1416</v>
      </c>
      <c r="E257" s="1">
        <v>0</v>
      </c>
      <c r="F257" s="1">
        <v>0</v>
      </c>
      <c r="G257" s="1">
        <v>8856</v>
      </c>
      <c r="H257" s="1">
        <v>2</v>
      </c>
      <c r="I257" s="1">
        <v>0</v>
      </c>
      <c r="J257" s="1">
        <v>0</v>
      </c>
    </row>
    <row r="258" spans="1:10" x14ac:dyDescent="0.25">
      <c r="A258" t="s">
        <v>838</v>
      </c>
      <c r="B258" t="s">
        <v>877</v>
      </c>
      <c r="C258" t="s">
        <v>312</v>
      </c>
      <c r="D258" s="1">
        <v>11799</v>
      </c>
      <c r="E258" s="1">
        <v>25</v>
      </c>
      <c r="F258" s="1">
        <v>0</v>
      </c>
      <c r="G258" s="1">
        <v>1452</v>
      </c>
      <c r="H258" s="1">
        <v>0</v>
      </c>
      <c r="I258" s="1">
        <v>0</v>
      </c>
      <c r="J258" s="1">
        <v>0</v>
      </c>
    </row>
    <row r="259" spans="1:10" x14ac:dyDescent="0.25">
      <c r="A259" t="s">
        <v>794</v>
      </c>
      <c r="B259" t="s">
        <v>877</v>
      </c>
      <c r="C259" t="s">
        <v>313</v>
      </c>
      <c r="D259" s="1">
        <v>4828</v>
      </c>
      <c r="E259" s="1">
        <v>0</v>
      </c>
      <c r="F259" s="1">
        <v>0</v>
      </c>
      <c r="G259" s="1">
        <v>9252</v>
      </c>
      <c r="H259" s="1">
        <v>6</v>
      </c>
      <c r="I259" s="1">
        <v>0</v>
      </c>
      <c r="J259" s="1">
        <v>0</v>
      </c>
    </row>
    <row r="260" spans="1:10" x14ac:dyDescent="0.25">
      <c r="A260" t="s">
        <v>830</v>
      </c>
      <c r="B260" t="s">
        <v>877</v>
      </c>
      <c r="C260" t="s">
        <v>314</v>
      </c>
      <c r="D260" s="1">
        <v>2576</v>
      </c>
      <c r="E260" s="1">
        <v>205</v>
      </c>
      <c r="F260" s="1">
        <v>0</v>
      </c>
      <c r="G260" s="1">
        <v>2462</v>
      </c>
      <c r="H260" s="1">
        <v>55</v>
      </c>
      <c r="I260" s="1">
        <v>0</v>
      </c>
      <c r="J260" s="1">
        <v>0</v>
      </c>
    </row>
    <row r="261" spans="1:10" x14ac:dyDescent="0.25">
      <c r="A261" t="s">
        <v>844</v>
      </c>
      <c r="B261" t="s">
        <v>877</v>
      </c>
      <c r="C261" t="s">
        <v>315</v>
      </c>
      <c r="D261" s="1">
        <v>1003</v>
      </c>
      <c r="E261" s="1">
        <v>0</v>
      </c>
      <c r="F261" s="1">
        <v>0</v>
      </c>
      <c r="G261" s="1">
        <v>5606</v>
      </c>
      <c r="H261" s="1">
        <v>0</v>
      </c>
      <c r="I261" s="1">
        <v>0</v>
      </c>
      <c r="J261" s="1">
        <v>0</v>
      </c>
    </row>
    <row r="262" spans="1:10" x14ac:dyDescent="0.25">
      <c r="A262" t="s">
        <v>836</v>
      </c>
      <c r="B262" t="s">
        <v>877</v>
      </c>
      <c r="C262" t="s">
        <v>316</v>
      </c>
      <c r="D262" s="1">
        <v>1590</v>
      </c>
      <c r="E262" s="1">
        <v>0</v>
      </c>
      <c r="F262" s="1">
        <v>0</v>
      </c>
      <c r="G262" s="1">
        <v>7271</v>
      </c>
      <c r="H262" s="1">
        <v>18</v>
      </c>
      <c r="I262" s="1">
        <v>0</v>
      </c>
      <c r="J262" s="1">
        <v>0</v>
      </c>
    </row>
    <row r="263" spans="1:10" x14ac:dyDescent="0.25">
      <c r="A263" t="s">
        <v>845</v>
      </c>
      <c r="B263" t="s">
        <v>877</v>
      </c>
      <c r="C263" t="s">
        <v>317</v>
      </c>
      <c r="D263" s="1">
        <v>8394</v>
      </c>
      <c r="E263" s="1">
        <v>2</v>
      </c>
      <c r="F263" s="1">
        <v>0</v>
      </c>
      <c r="G263" s="1">
        <v>4647</v>
      </c>
      <c r="H263" s="1">
        <v>32</v>
      </c>
      <c r="I263" s="1">
        <v>0</v>
      </c>
      <c r="J263" s="1">
        <v>0</v>
      </c>
    </row>
    <row r="264" spans="1:10" x14ac:dyDescent="0.25">
      <c r="A264" t="s">
        <v>846</v>
      </c>
      <c r="B264" t="s">
        <v>877</v>
      </c>
      <c r="C264" t="s">
        <v>318</v>
      </c>
      <c r="D264" s="1">
        <v>1904</v>
      </c>
      <c r="E264" s="1">
        <v>13</v>
      </c>
      <c r="F264" s="1">
        <v>0</v>
      </c>
      <c r="G264" s="1">
        <v>4336</v>
      </c>
      <c r="H264" s="1">
        <v>6</v>
      </c>
      <c r="I264" s="1">
        <v>0</v>
      </c>
      <c r="J264" s="1">
        <v>0</v>
      </c>
    </row>
    <row r="265" spans="1:10" x14ac:dyDescent="0.25">
      <c r="A265" t="s">
        <v>804</v>
      </c>
      <c r="B265" t="s">
        <v>877</v>
      </c>
      <c r="C265" t="s">
        <v>319</v>
      </c>
      <c r="D265" s="1">
        <v>6126</v>
      </c>
      <c r="E265" s="1">
        <v>23</v>
      </c>
      <c r="F265" s="1">
        <v>0</v>
      </c>
      <c r="G265" s="1">
        <v>15769</v>
      </c>
      <c r="H265" s="1">
        <v>55</v>
      </c>
      <c r="I265" s="1">
        <v>0</v>
      </c>
      <c r="J265" s="1">
        <v>0</v>
      </c>
    </row>
    <row r="266" spans="1:10" x14ac:dyDescent="0.25">
      <c r="A266" t="s">
        <v>809</v>
      </c>
      <c r="B266" t="s">
        <v>877</v>
      </c>
      <c r="C266" t="s">
        <v>320</v>
      </c>
      <c r="D266" s="1">
        <v>11373</v>
      </c>
      <c r="E266" s="1">
        <v>0</v>
      </c>
      <c r="F266" s="1">
        <v>0</v>
      </c>
      <c r="G266" s="1">
        <v>9075</v>
      </c>
      <c r="H266" s="1">
        <v>11</v>
      </c>
      <c r="I266" s="1">
        <v>0</v>
      </c>
      <c r="J266" s="1">
        <v>0</v>
      </c>
    </row>
    <row r="267" spans="1:10" x14ac:dyDescent="0.25">
      <c r="A267" t="s">
        <v>801</v>
      </c>
      <c r="B267" t="s">
        <v>877</v>
      </c>
      <c r="C267" t="s">
        <v>321</v>
      </c>
      <c r="D267" s="1">
        <v>8113</v>
      </c>
      <c r="E267" s="1">
        <v>37</v>
      </c>
      <c r="F267" s="1">
        <v>0</v>
      </c>
      <c r="G267" s="1">
        <v>22288</v>
      </c>
      <c r="H267" s="1">
        <v>354</v>
      </c>
      <c r="I267" s="1">
        <v>0</v>
      </c>
      <c r="J267" s="1">
        <v>0</v>
      </c>
    </row>
    <row r="268" spans="1:10" x14ac:dyDescent="0.25">
      <c r="A268" t="s">
        <v>138</v>
      </c>
      <c r="B268" t="s">
        <v>877</v>
      </c>
      <c r="C268" t="s">
        <v>322</v>
      </c>
      <c r="D268" s="1">
        <v>13210</v>
      </c>
      <c r="E268" s="1">
        <v>35</v>
      </c>
      <c r="F268" s="1">
        <v>0</v>
      </c>
      <c r="G268" s="1">
        <v>72497</v>
      </c>
      <c r="H268" s="1">
        <v>389</v>
      </c>
      <c r="I268" s="1">
        <v>0</v>
      </c>
      <c r="J268" s="1">
        <v>0</v>
      </c>
    </row>
    <row r="269" spans="1:10" x14ac:dyDescent="0.25">
      <c r="A269" t="s">
        <v>83</v>
      </c>
      <c r="B269" t="s">
        <v>877</v>
      </c>
      <c r="C269" t="s">
        <v>323</v>
      </c>
      <c r="D269" s="1">
        <v>16539</v>
      </c>
      <c r="E269" s="1">
        <v>51</v>
      </c>
      <c r="F269" s="1">
        <v>0</v>
      </c>
      <c r="G269" s="1">
        <v>9708</v>
      </c>
      <c r="H269" s="1">
        <v>111</v>
      </c>
      <c r="I269" s="1">
        <v>0</v>
      </c>
      <c r="J269" s="1">
        <v>0</v>
      </c>
    </row>
    <row r="270" spans="1:10" x14ac:dyDescent="0.25">
      <c r="A270" t="s">
        <v>825</v>
      </c>
      <c r="B270" t="s">
        <v>877</v>
      </c>
      <c r="C270" t="s">
        <v>324</v>
      </c>
      <c r="D270" s="1">
        <v>3675</v>
      </c>
      <c r="E270" s="1">
        <v>25</v>
      </c>
      <c r="F270" s="1">
        <v>0</v>
      </c>
      <c r="G270" s="1">
        <v>10429</v>
      </c>
      <c r="H270" s="1">
        <v>164</v>
      </c>
      <c r="I270" s="1">
        <v>0</v>
      </c>
      <c r="J270" s="1">
        <v>0</v>
      </c>
    </row>
    <row r="271" spans="1:10" x14ac:dyDescent="0.25">
      <c r="A271" t="s">
        <v>248</v>
      </c>
      <c r="B271" t="s">
        <v>877</v>
      </c>
      <c r="C271" t="s">
        <v>325</v>
      </c>
      <c r="D271" s="1">
        <v>1428</v>
      </c>
      <c r="E271" s="1">
        <v>0</v>
      </c>
      <c r="F271" s="1">
        <v>0</v>
      </c>
      <c r="G271" s="1">
        <v>3734</v>
      </c>
      <c r="H271" s="1">
        <v>0</v>
      </c>
      <c r="I271" s="1">
        <v>0</v>
      </c>
      <c r="J271" s="1">
        <v>0</v>
      </c>
    </row>
    <row r="272" spans="1:10" x14ac:dyDescent="0.25">
      <c r="A272" t="s">
        <v>83</v>
      </c>
      <c r="B272" t="s">
        <v>877</v>
      </c>
      <c r="C272" t="s">
        <v>326</v>
      </c>
      <c r="D272" s="1">
        <v>1194</v>
      </c>
      <c r="E272" s="1">
        <v>0</v>
      </c>
      <c r="F272" s="1">
        <v>0</v>
      </c>
      <c r="G272" s="1">
        <v>5601</v>
      </c>
      <c r="H272" s="1">
        <v>40</v>
      </c>
      <c r="I272" s="1">
        <v>0</v>
      </c>
      <c r="J272" s="1">
        <v>0</v>
      </c>
    </row>
    <row r="273" spans="1:10" x14ac:dyDescent="0.25">
      <c r="A273" t="s">
        <v>795</v>
      </c>
      <c r="B273" t="s">
        <v>877</v>
      </c>
      <c r="C273" t="s">
        <v>327</v>
      </c>
      <c r="D273" s="1">
        <v>335</v>
      </c>
      <c r="E273" s="1">
        <v>0</v>
      </c>
      <c r="F273" s="1">
        <v>0</v>
      </c>
      <c r="G273" s="1">
        <v>1323</v>
      </c>
      <c r="H273" s="1">
        <v>43</v>
      </c>
      <c r="I273" s="1">
        <v>0</v>
      </c>
      <c r="J273" s="1">
        <v>0</v>
      </c>
    </row>
    <row r="274" spans="1:10" x14ac:dyDescent="0.25">
      <c r="A274" t="s">
        <v>76</v>
      </c>
      <c r="B274" t="s">
        <v>877</v>
      </c>
      <c r="C274" t="s">
        <v>329</v>
      </c>
      <c r="D274" s="1">
        <v>4283</v>
      </c>
      <c r="E274" s="1">
        <v>35</v>
      </c>
      <c r="F274" s="1">
        <v>0</v>
      </c>
      <c r="G274" s="1">
        <v>26072</v>
      </c>
      <c r="H274" s="1">
        <v>524</v>
      </c>
      <c r="I274" s="1">
        <v>0</v>
      </c>
      <c r="J274" s="1">
        <v>0</v>
      </c>
    </row>
    <row r="275" spans="1:10" x14ac:dyDescent="0.25">
      <c r="A275" t="s">
        <v>809</v>
      </c>
      <c r="B275" t="s">
        <v>877</v>
      </c>
      <c r="C275" t="s">
        <v>330</v>
      </c>
      <c r="D275" s="1">
        <v>6635</v>
      </c>
      <c r="E275" s="1">
        <v>601</v>
      </c>
      <c r="F275" s="1">
        <v>0</v>
      </c>
      <c r="G275" s="1">
        <v>30699</v>
      </c>
      <c r="H275" s="1">
        <v>501</v>
      </c>
      <c r="I275" s="1">
        <v>0</v>
      </c>
      <c r="J275" s="1">
        <v>0</v>
      </c>
    </row>
    <row r="276" spans="1:10" x14ac:dyDescent="0.25">
      <c r="A276" t="s">
        <v>839</v>
      </c>
      <c r="B276" t="s">
        <v>877</v>
      </c>
      <c r="C276" t="s">
        <v>331</v>
      </c>
      <c r="D276" s="1">
        <v>1050</v>
      </c>
      <c r="E276" s="1">
        <v>2</v>
      </c>
      <c r="F276" s="1">
        <v>0</v>
      </c>
      <c r="G276" s="1">
        <v>6607</v>
      </c>
      <c r="H276" s="1">
        <v>29</v>
      </c>
      <c r="I276" s="1">
        <v>0</v>
      </c>
      <c r="J276" s="1">
        <v>0</v>
      </c>
    </row>
    <row r="277" spans="1:10" x14ac:dyDescent="0.25">
      <c r="A277" t="s">
        <v>248</v>
      </c>
      <c r="B277" t="s">
        <v>877</v>
      </c>
      <c r="C277" t="s">
        <v>332</v>
      </c>
      <c r="D277" s="1">
        <v>4604</v>
      </c>
      <c r="E277" s="1">
        <v>0</v>
      </c>
      <c r="F277" s="1">
        <v>0</v>
      </c>
      <c r="G277" s="1">
        <v>9148</v>
      </c>
      <c r="H277" s="1">
        <v>93</v>
      </c>
      <c r="I277" s="1">
        <v>0</v>
      </c>
      <c r="J277" s="1">
        <v>0</v>
      </c>
    </row>
    <row r="278" spans="1:10" x14ac:dyDescent="0.25">
      <c r="A278" t="s">
        <v>862</v>
      </c>
      <c r="B278" t="s">
        <v>877</v>
      </c>
      <c r="C278" t="s">
        <v>333</v>
      </c>
      <c r="D278" s="1">
        <v>392</v>
      </c>
      <c r="E278" s="1">
        <v>0</v>
      </c>
      <c r="F278" s="1">
        <v>0</v>
      </c>
      <c r="G278" s="1">
        <v>5379</v>
      </c>
      <c r="H278" s="1">
        <v>0</v>
      </c>
      <c r="I278" s="1">
        <v>0</v>
      </c>
      <c r="J278" s="1">
        <v>0</v>
      </c>
    </row>
    <row r="279" spans="1:10" x14ac:dyDescent="0.25">
      <c r="A279" t="s">
        <v>857</v>
      </c>
      <c r="B279" t="s">
        <v>877</v>
      </c>
      <c r="C279" t="s">
        <v>334</v>
      </c>
      <c r="D279" s="1">
        <v>4623</v>
      </c>
      <c r="E279" s="1">
        <v>0</v>
      </c>
      <c r="F279" s="1">
        <v>0</v>
      </c>
      <c r="G279" s="1">
        <v>2029</v>
      </c>
      <c r="H279" s="1">
        <v>0</v>
      </c>
      <c r="I279" s="1">
        <v>0</v>
      </c>
      <c r="J279" s="1">
        <v>0</v>
      </c>
    </row>
    <row r="280" spans="1:10" x14ac:dyDescent="0.25">
      <c r="A280" t="s">
        <v>265</v>
      </c>
      <c r="B280" t="s">
        <v>877</v>
      </c>
      <c r="C280" t="s">
        <v>335</v>
      </c>
      <c r="D280" s="1">
        <v>3351</v>
      </c>
      <c r="E280" s="1">
        <v>0</v>
      </c>
      <c r="F280" s="1">
        <v>0</v>
      </c>
      <c r="G280" s="1">
        <v>12207</v>
      </c>
      <c r="H280" s="1">
        <v>32</v>
      </c>
      <c r="I280" s="1">
        <v>0</v>
      </c>
      <c r="J280" s="1">
        <v>0</v>
      </c>
    </row>
    <row r="281" spans="1:10" x14ac:dyDescent="0.25">
      <c r="A281" t="s">
        <v>855</v>
      </c>
      <c r="B281" t="s">
        <v>877</v>
      </c>
      <c r="C281" t="s">
        <v>336</v>
      </c>
      <c r="D281" s="1">
        <v>2850</v>
      </c>
      <c r="E281" s="1">
        <v>69</v>
      </c>
      <c r="F281" s="1">
        <v>0</v>
      </c>
      <c r="G281" s="1">
        <v>9288</v>
      </c>
      <c r="H281" s="1">
        <v>17</v>
      </c>
      <c r="I281" s="1">
        <v>0</v>
      </c>
      <c r="J281" s="1">
        <v>0</v>
      </c>
    </row>
    <row r="282" spans="1:10" x14ac:dyDescent="0.25">
      <c r="A282" t="s">
        <v>868</v>
      </c>
      <c r="B282" t="s">
        <v>877</v>
      </c>
      <c r="C282" t="s">
        <v>337</v>
      </c>
      <c r="D282" s="1">
        <v>7378</v>
      </c>
      <c r="E282" s="1">
        <v>51</v>
      </c>
      <c r="F282" s="1">
        <v>0</v>
      </c>
      <c r="G282" s="1">
        <v>38305</v>
      </c>
      <c r="H282" s="1">
        <v>240</v>
      </c>
      <c r="I282" s="1">
        <v>0</v>
      </c>
      <c r="J282" s="1">
        <v>0</v>
      </c>
    </row>
    <row r="283" spans="1:10" x14ac:dyDescent="0.25">
      <c r="A283" t="s">
        <v>852</v>
      </c>
      <c r="B283" t="s">
        <v>877</v>
      </c>
      <c r="C283" t="s">
        <v>338</v>
      </c>
      <c r="D283" s="1">
        <v>907</v>
      </c>
      <c r="E283" s="1">
        <v>1</v>
      </c>
      <c r="F283" s="1">
        <v>0</v>
      </c>
      <c r="G283" s="1">
        <v>8493</v>
      </c>
      <c r="H283" s="1">
        <v>20</v>
      </c>
      <c r="I283" s="1">
        <v>0</v>
      </c>
      <c r="J283" s="1">
        <v>0</v>
      </c>
    </row>
    <row r="284" spans="1:10" x14ac:dyDescent="0.25">
      <c r="A284" t="s">
        <v>860</v>
      </c>
      <c r="B284" t="s">
        <v>877</v>
      </c>
      <c r="C284" t="s">
        <v>339</v>
      </c>
      <c r="D284" s="1">
        <v>4519</v>
      </c>
      <c r="E284" s="1">
        <v>0</v>
      </c>
      <c r="F284" s="1">
        <v>0</v>
      </c>
      <c r="G284" s="1">
        <v>4620</v>
      </c>
      <c r="H284" s="1">
        <v>77</v>
      </c>
      <c r="I284" s="1">
        <v>0</v>
      </c>
      <c r="J284" s="1">
        <v>0</v>
      </c>
    </row>
    <row r="285" spans="1:10" x14ac:dyDescent="0.25">
      <c r="A285" t="s">
        <v>861</v>
      </c>
      <c r="B285" t="s">
        <v>877</v>
      </c>
      <c r="C285" t="s">
        <v>340</v>
      </c>
      <c r="D285" s="1">
        <v>1341</v>
      </c>
      <c r="E285" s="1">
        <v>0</v>
      </c>
      <c r="F285" s="1">
        <v>0</v>
      </c>
      <c r="G285" s="1">
        <v>2893</v>
      </c>
      <c r="H285" s="1">
        <v>7</v>
      </c>
      <c r="I285" s="1">
        <v>0</v>
      </c>
      <c r="J285" s="1">
        <v>0</v>
      </c>
    </row>
    <row r="286" spans="1:10" x14ac:dyDescent="0.25">
      <c r="A286" t="s">
        <v>834</v>
      </c>
      <c r="B286" t="s">
        <v>877</v>
      </c>
      <c r="C286" t="s">
        <v>341</v>
      </c>
      <c r="D286" s="1">
        <v>1518</v>
      </c>
      <c r="E286" s="1">
        <v>0</v>
      </c>
      <c r="F286" s="1">
        <v>0</v>
      </c>
      <c r="G286" s="1">
        <v>9517</v>
      </c>
      <c r="H286" s="1">
        <v>2</v>
      </c>
      <c r="I286" s="1">
        <v>0</v>
      </c>
      <c r="J286" s="1">
        <v>0</v>
      </c>
    </row>
    <row r="287" spans="1:10" x14ac:dyDescent="0.25">
      <c r="A287" t="s">
        <v>850</v>
      </c>
      <c r="B287" t="s">
        <v>877</v>
      </c>
      <c r="C287" t="s">
        <v>342</v>
      </c>
      <c r="D287" s="1">
        <v>1273</v>
      </c>
      <c r="E287" s="1">
        <v>16</v>
      </c>
      <c r="F287" s="1">
        <v>0</v>
      </c>
      <c r="G287" s="1">
        <v>2048</v>
      </c>
      <c r="H287" s="1">
        <v>2</v>
      </c>
      <c r="I287" s="1">
        <v>0</v>
      </c>
      <c r="J287" s="1">
        <v>0</v>
      </c>
    </row>
    <row r="288" spans="1:10" x14ac:dyDescent="0.25">
      <c r="A288" t="s">
        <v>801</v>
      </c>
      <c r="B288" t="s">
        <v>877</v>
      </c>
      <c r="C288" t="s">
        <v>343</v>
      </c>
      <c r="D288" s="1">
        <v>1051</v>
      </c>
      <c r="E288" s="1">
        <v>0</v>
      </c>
      <c r="F288" s="1">
        <v>0</v>
      </c>
      <c r="G288" s="1">
        <v>2985</v>
      </c>
      <c r="H288" s="1">
        <v>1</v>
      </c>
      <c r="I288" s="1">
        <v>0</v>
      </c>
      <c r="J288" s="1">
        <v>0</v>
      </c>
    </row>
    <row r="289" spans="1:10" x14ac:dyDescent="0.25">
      <c r="A289" t="s">
        <v>138</v>
      </c>
      <c r="B289" t="s">
        <v>877</v>
      </c>
      <c r="C289" t="s">
        <v>344</v>
      </c>
      <c r="D289" s="1">
        <v>5997</v>
      </c>
      <c r="E289" s="1">
        <v>0</v>
      </c>
      <c r="F289" s="1">
        <v>0</v>
      </c>
      <c r="G289" s="1">
        <v>35888</v>
      </c>
      <c r="H289" s="1">
        <v>157</v>
      </c>
      <c r="I289" s="1">
        <v>0</v>
      </c>
      <c r="J289" s="1">
        <v>0</v>
      </c>
    </row>
    <row r="290" spans="1:10" x14ac:dyDescent="0.25">
      <c r="A290" t="s">
        <v>868</v>
      </c>
      <c r="B290" t="s">
        <v>877</v>
      </c>
      <c r="C290" t="s">
        <v>345</v>
      </c>
      <c r="D290" s="1">
        <v>774</v>
      </c>
      <c r="E290" s="1">
        <v>0</v>
      </c>
      <c r="F290" s="1">
        <v>0</v>
      </c>
      <c r="G290" s="1">
        <v>5848</v>
      </c>
      <c r="H290" s="1">
        <v>0</v>
      </c>
      <c r="I290" s="1">
        <v>0</v>
      </c>
      <c r="J290" s="1">
        <v>0</v>
      </c>
    </row>
    <row r="291" spans="1:10" x14ac:dyDescent="0.25">
      <c r="A291" t="s">
        <v>69</v>
      </c>
      <c r="B291" t="s">
        <v>877</v>
      </c>
      <c r="C291" t="s">
        <v>346</v>
      </c>
      <c r="D291" s="1">
        <v>5930</v>
      </c>
      <c r="E291" s="1">
        <v>9</v>
      </c>
      <c r="F291" s="1">
        <v>0</v>
      </c>
      <c r="G291" s="1">
        <v>50043</v>
      </c>
      <c r="H291" s="1">
        <v>1057</v>
      </c>
      <c r="I291" s="1">
        <v>0</v>
      </c>
      <c r="J291" s="1">
        <v>0</v>
      </c>
    </row>
    <row r="292" spans="1:10" x14ac:dyDescent="0.25">
      <c r="A292" t="s">
        <v>83</v>
      </c>
      <c r="B292" t="s">
        <v>877</v>
      </c>
      <c r="C292" t="s">
        <v>347</v>
      </c>
      <c r="D292" s="1">
        <v>28</v>
      </c>
      <c r="E292" s="1">
        <v>0</v>
      </c>
      <c r="F292" s="1">
        <v>0</v>
      </c>
      <c r="G292" s="1">
        <v>16</v>
      </c>
      <c r="H292" s="1">
        <v>0</v>
      </c>
      <c r="I292" s="1">
        <v>0</v>
      </c>
      <c r="J292" s="1">
        <v>0</v>
      </c>
    </row>
    <row r="293" spans="1:10" x14ac:dyDescent="0.25">
      <c r="A293" t="s">
        <v>101</v>
      </c>
      <c r="B293" t="s">
        <v>877</v>
      </c>
      <c r="C293" t="s">
        <v>348</v>
      </c>
      <c r="D293" s="1">
        <v>4337</v>
      </c>
      <c r="E293" s="1">
        <v>22</v>
      </c>
      <c r="F293" s="1">
        <v>0</v>
      </c>
      <c r="G293" s="1">
        <v>17447</v>
      </c>
      <c r="H293" s="1">
        <v>10</v>
      </c>
      <c r="I293" s="1">
        <v>0</v>
      </c>
      <c r="J293" s="1">
        <v>0</v>
      </c>
    </row>
    <row r="294" spans="1:10" x14ac:dyDescent="0.25">
      <c r="A294" t="s">
        <v>797</v>
      </c>
      <c r="B294" t="s">
        <v>877</v>
      </c>
      <c r="C294" t="s">
        <v>349</v>
      </c>
      <c r="D294" s="1">
        <v>574</v>
      </c>
      <c r="E294" s="1">
        <v>0</v>
      </c>
      <c r="F294" s="1">
        <v>0</v>
      </c>
      <c r="G294" s="1">
        <v>7967</v>
      </c>
      <c r="H294" s="1">
        <v>0</v>
      </c>
      <c r="I294" s="1">
        <v>0</v>
      </c>
      <c r="J294" s="1">
        <v>0</v>
      </c>
    </row>
    <row r="295" spans="1:10" x14ac:dyDescent="0.25">
      <c r="A295" t="s">
        <v>811</v>
      </c>
      <c r="B295" t="s">
        <v>877</v>
      </c>
      <c r="C295" t="s">
        <v>350</v>
      </c>
      <c r="D295" s="1">
        <v>4207</v>
      </c>
      <c r="E295" s="1">
        <v>129</v>
      </c>
      <c r="F295" s="1">
        <v>0</v>
      </c>
      <c r="G295" s="1">
        <v>25578</v>
      </c>
      <c r="H295" s="1">
        <v>108</v>
      </c>
      <c r="I295" s="1">
        <v>0</v>
      </c>
      <c r="J295" s="1">
        <v>0</v>
      </c>
    </row>
    <row r="296" spans="1:10" x14ac:dyDescent="0.25">
      <c r="A296" t="s">
        <v>837</v>
      </c>
      <c r="B296" t="s">
        <v>877</v>
      </c>
      <c r="C296" t="s">
        <v>351</v>
      </c>
      <c r="D296" s="1">
        <v>2235</v>
      </c>
      <c r="E296" s="1">
        <v>26</v>
      </c>
      <c r="F296" s="1">
        <v>0</v>
      </c>
      <c r="G296" s="1">
        <v>9006</v>
      </c>
      <c r="H296" s="1">
        <v>58</v>
      </c>
      <c r="I296" s="1">
        <v>0</v>
      </c>
      <c r="J296" s="1">
        <v>0</v>
      </c>
    </row>
    <row r="297" spans="1:10" x14ac:dyDescent="0.25">
      <c r="A297" t="s">
        <v>824</v>
      </c>
      <c r="B297" t="s">
        <v>877</v>
      </c>
      <c r="C297" t="s">
        <v>352</v>
      </c>
      <c r="D297" s="1">
        <v>2171</v>
      </c>
      <c r="E297" s="1">
        <v>0</v>
      </c>
      <c r="F297" s="1">
        <v>0</v>
      </c>
      <c r="G297" s="1">
        <v>10238</v>
      </c>
      <c r="H297" s="1">
        <v>1</v>
      </c>
      <c r="I297" s="1">
        <v>0</v>
      </c>
      <c r="J297" s="1">
        <v>0</v>
      </c>
    </row>
    <row r="298" spans="1:10" x14ac:dyDescent="0.25">
      <c r="A298" t="s">
        <v>829</v>
      </c>
      <c r="B298" t="s">
        <v>877</v>
      </c>
      <c r="C298" t="s">
        <v>353</v>
      </c>
      <c r="D298" s="1">
        <v>10880</v>
      </c>
      <c r="E298" s="1">
        <v>3</v>
      </c>
      <c r="F298" s="1">
        <v>0</v>
      </c>
      <c r="G298" s="1">
        <v>9364</v>
      </c>
      <c r="H298" s="1">
        <v>68</v>
      </c>
      <c r="I298" s="1">
        <v>0</v>
      </c>
      <c r="J298" s="1">
        <v>0</v>
      </c>
    </row>
    <row r="299" spans="1:10" x14ac:dyDescent="0.25">
      <c r="A299" t="s">
        <v>832</v>
      </c>
      <c r="B299" t="s">
        <v>877</v>
      </c>
      <c r="C299" t="s">
        <v>354</v>
      </c>
      <c r="D299" s="1">
        <v>1773</v>
      </c>
      <c r="E299" s="1">
        <v>0</v>
      </c>
      <c r="F299" s="1">
        <v>0</v>
      </c>
      <c r="G299" s="1">
        <v>3703</v>
      </c>
      <c r="H299" s="1">
        <v>9</v>
      </c>
      <c r="I299" s="1">
        <v>0</v>
      </c>
      <c r="J299" s="1">
        <v>0</v>
      </c>
    </row>
    <row r="300" spans="1:10" x14ac:dyDescent="0.25">
      <c r="A300" t="s">
        <v>833</v>
      </c>
      <c r="B300" t="s">
        <v>877</v>
      </c>
      <c r="C300" t="s">
        <v>355</v>
      </c>
      <c r="D300" s="1">
        <v>2610</v>
      </c>
      <c r="E300" s="1">
        <v>0</v>
      </c>
      <c r="F300" s="1">
        <v>0</v>
      </c>
      <c r="G300" s="1">
        <v>4763</v>
      </c>
      <c r="H300" s="1">
        <v>0</v>
      </c>
      <c r="I300" s="1">
        <v>0</v>
      </c>
      <c r="J300" s="1">
        <v>0</v>
      </c>
    </row>
    <row r="301" spans="1:10" x14ac:dyDescent="0.25">
      <c r="A301" t="s">
        <v>840</v>
      </c>
      <c r="B301" t="s">
        <v>877</v>
      </c>
      <c r="C301" t="s">
        <v>356</v>
      </c>
      <c r="D301" s="1">
        <v>1930</v>
      </c>
      <c r="E301" s="1">
        <v>29</v>
      </c>
      <c r="F301" s="1">
        <v>0</v>
      </c>
      <c r="G301" s="1">
        <v>11336</v>
      </c>
      <c r="H301" s="1">
        <v>122</v>
      </c>
      <c r="I301" s="1">
        <v>0</v>
      </c>
      <c r="J301" s="1">
        <v>0</v>
      </c>
    </row>
    <row r="302" spans="1:10" x14ac:dyDescent="0.25">
      <c r="A302" t="s">
        <v>843</v>
      </c>
      <c r="B302" t="s">
        <v>877</v>
      </c>
      <c r="C302" t="s">
        <v>357</v>
      </c>
      <c r="D302" s="1">
        <v>1211</v>
      </c>
      <c r="E302" s="1">
        <v>26</v>
      </c>
      <c r="F302" s="1">
        <v>0</v>
      </c>
      <c r="G302" s="1">
        <v>14611</v>
      </c>
      <c r="H302" s="1">
        <v>33</v>
      </c>
      <c r="I302" s="1">
        <v>0</v>
      </c>
      <c r="J302" s="1">
        <v>0</v>
      </c>
    </row>
    <row r="303" spans="1:10" x14ac:dyDescent="0.25">
      <c r="A303" t="s">
        <v>791</v>
      </c>
      <c r="B303" t="s">
        <v>877</v>
      </c>
      <c r="C303" t="s">
        <v>358</v>
      </c>
      <c r="D303" s="1">
        <v>9811</v>
      </c>
      <c r="E303" s="1">
        <v>5</v>
      </c>
      <c r="F303" s="1">
        <v>0</v>
      </c>
      <c r="G303" s="1">
        <v>26112</v>
      </c>
      <c r="H303" s="1">
        <v>74</v>
      </c>
      <c r="I303" s="1">
        <v>0</v>
      </c>
      <c r="J303" s="1">
        <v>0</v>
      </c>
    </row>
    <row r="304" spans="1:10" x14ac:dyDescent="0.25">
      <c r="A304" t="s">
        <v>842</v>
      </c>
      <c r="B304" t="s">
        <v>877</v>
      </c>
      <c r="C304" t="s">
        <v>359</v>
      </c>
      <c r="D304" s="1">
        <v>3310</v>
      </c>
      <c r="E304" s="1">
        <v>0</v>
      </c>
      <c r="F304" s="1">
        <v>0</v>
      </c>
      <c r="G304" s="1">
        <v>13969</v>
      </c>
      <c r="H304" s="1">
        <v>1</v>
      </c>
      <c r="I304" s="1">
        <v>0</v>
      </c>
      <c r="J304" s="1">
        <v>0</v>
      </c>
    </row>
    <row r="305" spans="1:10" x14ac:dyDescent="0.25">
      <c r="A305" t="s">
        <v>835</v>
      </c>
      <c r="B305" t="s">
        <v>877</v>
      </c>
      <c r="C305" t="s">
        <v>360</v>
      </c>
      <c r="D305" s="1">
        <v>1304</v>
      </c>
      <c r="E305" s="1">
        <v>60</v>
      </c>
      <c r="F305" s="1">
        <v>0</v>
      </c>
      <c r="G305" s="1">
        <v>8332</v>
      </c>
      <c r="H305" s="1">
        <v>20</v>
      </c>
      <c r="I305" s="1">
        <v>0</v>
      </c>
      <c r="J305" s="1">
        <v>0</v>
      </c>
    </row>
    <row r="306" spans="1:10" x14ac:dyDescent="0.25">
      <c r="A306" t="s">
        <v>826</v>
      </c>
      <c r="B306" t="s">
        <v>877</v>
      </c>
      <c r="C306" t="s">
        <v>361</v>
      </c>
      <c r="D306" s="1">
        <v>8506</v>
      </c>
      <c r="E306" s="1">
        <v>58</v>
      </c>
      <c r="F306" s="1">
        <v>0</v>
      </c>
      <c r="G306" s="1">
        <v>31784</v>
      </c>
      <c r="H306" s="1">
        <v>379</v>
      </c>
      <c r="I306" s="1">
        <v>0</v>
      </c>
      <c r="J306" s="1">
        <v>0</v>
      </c>
    </row>
    <row r="307" spans="1:10" x14ac:dyDescent="0.25">
      <c r="A307" t="s">
        <v>67</v>
      </c>
      <c r="B307" t="s">
        <v>877</v>
      </c>
      <c r="C307" t="s">
        <v>362</v>
      </c>
      <c r="D307" s="1">
        <v>10556</v>
      </c>
      <c r="E307" s="1">
        <v>0</v>
      </c>
      <c r="F307" s="1">
        <v>0</v>
      </c>
      <c r="G307" s="1">
        <v>40007</v>
      </c>
      <c r="H307" s="1">
        <v>9</v>
      </c>
      <c r="I307" s="1">
        <v>0</v>
      </c>
      <c r="J307" s="1">
        <v>0</v>
      </c>
    </row>
    <row r="308" spans="1:10" x14ac:dyDescent="0.25">
      <c r="A308" t="s">
        <v>831</v>
      </c>
      <c r="B308" t="s">
        <v>877</v>
      </c>
      <c r="C308" t="s">
        <v>363</v>
      </c>
      <c r="D308" s="1">
        <v>317</v>
      </c>
      <c r="E308" s="1">
        <v>0</v>
      </c>
      <c r="F308" s="1">
        <v>0</v>
      </c>
      <c r="G308" s="1">
        <v>3604</v>
      </c>
      <c r="H308" s="1">
        <v>2</v>
      </c>
      <c r="I308" s="1">
        <v>0</v>
      </c>
      <c r="J308" s="1">
        <v>0</v>
      </c>
    </row>
    <row r="309" spans="1:10" x14ac:dyDescent="0.25">
      <c r="A309" t="s">
        <v>248</v>
      </c>
      <c r="B309" t="s">
        <v>877</v>
      </c>
      <c r="C309" t="s">
        <v>364</v>
      </c>
      <c r="D309" s="1">
        <v>928</v>
      </c>
      <c r="E309" s="1">
        <v>0</v>
      </c>
      <c r="F309" s="1">
        <v>0</v>
      </c>
      <c r="G309" s="1">
        <v>8156</v>
      </c>
      <c r="H309" s="1">
        <v>0</v>
      </c>
      <c r="I309" s="1">
        <v>0</v>
      </c>
      <c r="J309" s="1">
        <v>0</v>
      </c>
    </row>
    <row r="310" spans="1:10" x14ac:dyDescent="0.25">
      <c r="A310" t="s">
        <v>791</v>
      </c>
      <c r="B310" t="s">
        <v>877</v>
      </c>
      <c r="C310" t="s">
        <v>365</v>
      </c>
      <c r="D310" s="1">
        <v>5449</v>
      </c>
      <c r="E310" s="1">
        <v>210</v>
      </c>
      <c r="F310" s="1">
        <v>0</v>
      </c>
      <c r="G310" s="1">
        <v>12171</v>
      </c>
      <c r="H310" s="1">
        <v>763</v>
      </c>
      <c r="I310" s="1">
        <v>0</v>
      </c>
      <c r="J310" s="1">
        <v>0</v>
      </c>
    </row>
    <row r="311" spans="1:10" x14ac:dyDescent="0.25">
      <c r="A311" t="s">
        <v>797</v>
      </c>
      <c r="B311" t="s">
        <v>877</v>
      </c>
      <c r="C311" t="s">
        <v>366</v>
      </c>
      <c r="D311" s="1">
        <v>2591</v>
      </c>
      <c r="E311" s="1">
        <v>12</v>
      </c>
      <c r="F311" s="1">
        <v>0</v>
      </c>
      <c r="G311" s="1">
        <v>5561</v>
      </c>
      <c r="H311" s="1">
        <v>56</v>
      </c>
      <c r="I311" s="1">
        <v>0</v>
      </c>
      <c r="J311" s="1">
        <v>0</v>
      </c>
    </row>
    <row r="312" spans="1:10" x14ac:dyDescent="0.25">
      <c r="A312" t="s">
        <v>120</v>
      </c>
      <c r="B312" t="s">
        <v>877</v>
      </c>
      <c r="C312" t="s">
        <v>367</v>
      </c>
      <c r="D312" s="1">
        <v>4345</v>
      </c>
      <c r="E312" s="1">
        <v>24</v>
      </c>
      <c r="F312" s="1">
        <v>0</v>
      </c>
      <c r="G312" s="1">
        <v>20740</v>
      </c>
      <c r="H312" s="1">
        <v>291</v>
      </c>
      <c r="I312" s="1">
        <v>0</v>
      </c>
      <c r="J312" s="1">
        <v>0</v>
      </c>
    </row>
    <row r="313" spans="1:10" x14ac:dyDescent="0.25">
      <c r="A313" t="s">
        <v>231</v>
      </c>
      <c r="B313" t="s">
        <v>877</v>
      </c>
      <c r="C313" t="s">
        <v>368</v>
      </c>
      <c r="D313" s="1">
        <v>3958</v>
      </c>
      <c r="E313" s="1">
        <v>34</v>
      </c>
      <c r="F313" s="1">
        <v>0</v>
      </c>
      <c r="G313" s="1">
        <v>22972</v>
      </c>
      <c r="H313" s="1">
        <v>28</v>
      </c>
      <c r="I313" s="1">
        <v>0</v>
      </c>
      <c r="J313" s="1">
        <v>0</v>
      </c>
    </row>
    <row r="314" spans="1:10" x14ac:dyDescent="0.25">
      <c r="A314" t="s">
        <v>809</v>
      </c>
      <c r="B314" t="s">
        <v>877</v>
      </c>
      <c r="C314" t="s">
        <v>369</v>
      </c>
      <c r="D314" s="1">
        <v>8346</v>
      </c>
      <c r="E314" s="1">
        <v>279</v>
      </c>
      <c r="F314" s="1">
        <v>0</v>
      </c>
      <c r="G314" s="1">
        <v>47770</v>
      </c>
      <c r="H314" s="1">
        <v>815</v>
      </c>
      <c r="I314" s="1">
        <v>0</v>
      </c>
      <c r="J314" s="1">
        <v>0</v>
      </c>
    </row>
    <row r="315" spans="1:10" x14ac:dyDescent="0.25">
      <c r="A315" t="s">
        <v>848</v>
      </c>
      <c r="B315" t="s">
        <v>877</v>
      </c>
      <c r="C315" t="s">
        <v>370</v>
      </c>
      <c r="D315" s="1">
        <v>1670</v>
      </c>
      <c r="E315" s="1">
        <v>47</v>
      </c>
      <c r="F315" s="1">
        <v>0</v>
      </c>
      <c r="G315" s="1">
        <v>10059</v>
      </c>
      <c r="H315" s="1">
        <v>9</v>
      </c>
      <c r="I315" s="1">
        <v>0</v>
      </c>
      <c r="J315" s="1">
        <v>0</v>
      </c>
    </row>
    <row r="316" spans="1:10" x14ac:dyDescent="0.25">
      <c r="A316" t="s">
        <v>226</v>
      </c>
      <c r="B316" t="s">
        <v>877</v>
      </c>
      <c r="C316" t="s">
        <v>371</v>
      </c>
      <c r="D316" s="1">
        <v>2802</v>
      </c>
      <c r="E316" s="1">
        <v>214</v>
      </c>
      <c r="F316" s="1">
        <v>0</v>
      </c>
      <c r="G316" s="1">
        <v>26396</v>
      </c>
      <c r="H316" s="1">
        <v>68</v>
      </c>
      <c r="I316" s="1">
        <v>0</v>
      </c>
      <c r="J316" s="1">
        <v>0</v>
      </c>
    </row>
    <row r="317" spans="1:10" x14ac:dyDescent="0.25">
      <c r="A317" t="s">
        <v>797</v>
      </c>
      <c r="B317" t="s">
        <v>877</v>
      </c>
      <c r="C317" t="s">
        <v>372</v>
      </c>
      <c r="D317" s="1">
        <v>1012</v>
      </c>
      <c r="E317" s="1">
        <v>10</v>
      </c>
      <c r="F317" s="1">
        <v>0</v>
      </c>
      <c r="G317" s="1">
        <v>6617</v>
      </c>
      <c r="H317" s="1">
        <v>152</v>
      </c>
      <c r="I317" s="1">
        <v>0</v>
      </c>
      <c r="J317" s="1">
        <v>0</v>
      </c>
    </row>
    <row r="318" spans="1:10" x14ac:dyDescent="0.25">
      <c r="A318" t="s">
        <v>791</v>
      </c>
      <c r="B318" t="s">
        <v>877</v>
      </c>
      <c r="C318" t="s">
        <v>373</v>
      </c>
      <c r="D318" s="1">
        <v>2621</v>
      </c>
      <c r="E318" s="1">
        <v>1</v>
      </c>
      <c r="F318" s="1">
        <v>0</v>
      </c>
      <c r="G318" s="1">
        <v>13437</v>
      </c>
      <c r="H318" s="1">
        <v>38</v>
      </c>
      <c r="I318" s="1">
        <v>0</v>
      </c>
      <c r="J318" s="1">
        <v>0</v>
      </c>
    </row>
    <row r="319" spans="1:10" x14ac:dyDescent="0.25">
      <c r="A319" t="s">
        <v>826</v>
      </c>
      <c r="B319" t="s">
        <v>877</v>
      </c>
      <c r="C319" t="s">
        <v>374</v>
      </c>
      <c r="D319" s="1">
        <v>5377</v>
      </c>
      <c r="E319" s="1">
        <v>8</v>
      </c>
      <c r="F319" s="1">
        <v>0</v>
      </c>
      <c r="G319" s="1">
        <v>13352</v>
      </c>
      <c r="H319" s="1">
        <v>68</v>
      </c>
      <c r="I319" s="1">
        <v>0</v>
      </c>
      <c r="J319" s="1">
        <v>0</v>
      </c>
    </row>
    <row r="320" spans="1:10" x14ac:dyDescent="0.25">
      <c r="A320" t="s">
        <v>512</v>
      </c>
      <c r="B320" t="s">
        <v>877</v>
      </c>
      <c r="C320" t="s">
        <v>375</v>
      </c>
      <c r="D320" s="1">
        <v>3039</v>
      </c>
      <c r="E320" s="1">
        <v>0</v>
      </c>
      <c r="F320" s="1">
        <v>0</v>
      </c>
      <c r="G320" s="1">
        <v>18114</v>
      </c>
      <c r="H320" s="1">
        <v>73</v>
      </c>
      <c r="I320" s="1">
        <v>0</v>
      </c>
      <c r="J320" s="1">
        <v>0</v>
      </c>
    </row>
    <row r="321" spans="1:10" x14ac:dyDescent="0.25">
      <c r="A321" t="s">
        <v>817</v>
      </c>
      <c r="B321" t="s">
        <v>877</v>
      </c>
      <c r="C321" t="s">
        <v>376</v>
      </c>
      <c r="D321" s="1">
        <v>4335</v>
      </c>
      <c r="E321" s="1">
        <v>15</v>
      </c>
      <c r="F321" s="1">
        <v>0</v>
      </c>
      <c r="G321" s="1">
        <v>4487</v>
      </c>
      <c r="H321" s="1">
        <v>71</v>
      </c>
      <c r="I321" s="1">
        <v>0</v>
      </c>
      <c r="J321" s="1">
        <v>0</v>
      </c>
    </row>
    <row r="322" spans="1:10" x14ac:dyDescent="0.25">
      <c r="A322" t="s">
        <v>83</v>
      </c>
      <c r="B322" t="s">
        <v>877</v>
      </c>
      <c r="C322" t="s">
        <v>377</v>
      </c>
      <c r="D322" s="1">
        <v>4206</v>
      </c>
      <c r="E322" s="1">
        <v>264</v>
      </c>
      <c r="F322" s="1">
        <v>0</v>
      </c>
      <c r="G322" s="1">
        <v>20886</v>
      </c>
      <c r="H322" s="1">
        <v>176</v>
      </c>
      <c r="I322" s="1">
        <v>0</v>
      </c>
      <c r="J322" s="1">
        <v>0</v>
      </c>
    </row>
    <row r="323" spans="1:10" x14ac:dyDescent="0.25">
      <c r="A323" t="s">
        <v>795</v>
      </c>
      <c r="B323" t="s">
        <v>877</v>
      </c>
      <c r="C323" t="s">
        <v>378</v>
      </c>
      <c r="D323" s="1">
        <v>14510</v>
      </c>
      <c r="E323" s="1">
        <v>76</v>
      </c>
      <c r="F323" s="1">
        <v>0</v>
      </c>
      <c r="G323" s="1">
        <v>14246</v>
      </c>
      <c r="H323" s="1">
        <v>50</v>
      </c>
      <c r="I323" s="1">
        <v>0</v>
      </c>
      <c r="J323" s="1">
        <v>0</v>
      </c>
    </row>
    <row r="324" spans="1:10" x14ac:dyDescent="0.25">
      <c r="A324" t="s">
        <v>858</v>
      </c>
      <c r="B324" t="s">
        <v>877</v>
      </c>
      <c r="C324" t="s">
        <v>379</v>
      </c>
      <c r="D324" s="1">
        <v>2568</v>
      </c>
      <c r="E324" s="1">
        <v>1</v>
      </c>
      <c r="F324" s="1">
        <v>0</v>
      </c>
      <c r="G324" s="1">
        <v>4217</v>
      </c>
      <c r="H324" s="1">
        <v>5</v>
      </c>
      <c r="I324" s="1">
        <v>0</v>
      </c>
      <c r="J324" s="1">
        <v>0</v>
      </c>
    </row>
    <row r="325" spans="1:10" x14ac:dyDescent="0.25">
      <c r="A325" t="s">
        <v>848</v>
      </c>
      <c r="B325" t="s">
        <v>877</v>
      </c>
      <c r="C325" t="s">
        <v>380</v>
      </c>
      <c r="D325" s="1">
        <v>2083</v>
      </c>
      <c r="E325" s="1">
        <v>1</v>
      </c>
      <c r="F325" s="1">
        <v>0</v>
      </c>
      <c r="G325" s="1">
        <v>15501</v>
      </c>
      <c r="H325" s="1">
        <v>29</v>
      </c>
      <c r="I325" s="1">
        <v>0</v>
      </c>
      <c r="J325" s="1">
        <v>0</v>
      </c>
    </row>
    <row r="326" spans="1:10" x14ac:dyDescent="0.25">
      <c r="A326" t="s">
        <v>863</v>
      </c>
      <c r="B326" t="s">
        <v>877</v>
      </c>
      <c r="C326" t="s">
        <v>381</v>
      </c>
      <c r="D326" s="1">
        <v>5184</v>
      </c>
      <c r="E326" s="1">
        <v>0</v>
      </c>
      <c r="F326" s="1">
        <v>0</v>
      </c>
      <c r="G326" s="1">
        <v>12280</v>
      </c>
      <c r="H326" s="1">
        <v>0</v>
      </c>
      <c r="I326" s="1">
        <v>0</v>
      </c>
      <c r="J326" s="1">
        <v>0</v>
      </c>
    </row>
    <row r="327" spans="1:10" x14ac:dyDescent="0.25">
      <c r="A327" t="s">
        <v>854</v>
      </c>
      <c r="B327" t="s">
        <v>877</v>
      </c>
      <c r="C327" t="s">
        <v>382</v>
      </c>
      <c r="D327" s="1">
        <v>10469</v>
      </c>
      <c r="E327" s="1">
        <v>183</v>
      </c>
      <c r="F327" s="1">
        <v>0</v>
      </c>
      <c r="G327" s="1">
        <v>7758</v>
      </c>
      <c r="H327" s="1">
        <v>36</v>
      </c>
      <c r="I327" s="1">
        <v>0</v>
      </c>
      <c r="J327" s="1">
        <v>0</v>
      </c>
    </row>
    <row r="328" spans="1:10" x14ac:dyDescent="0.25">
      <c r="A328" t="s">
        <v>853</v>
      </c>
      <c r="B328" t="s">
        <v>877</v>
      </c>
      <c r="C328" t="s">
        <v>383</v>
      </c>
      <c r="D328" s="1">
        <v>5138</v>
      </c>
      <c r="E328" s="1">
        <v>117</v>
      </c>
      <c r="F328" s="1">
        <v>0</v>
      </c>
      <c r="G328" s="1">
        <v>28210</v>
      </c>
      <c r="H328" s="1">
        <v>605</v>
      </c>
      <c r="I328" s="1">
        <v>0</v>
      </c>
      <c r="J328" s="1">
        <v>0</v>
      </c>
    </row>
    <row r="329" spans="1:10" x14ac:dyDescent="0.25">
      <c r="A329" t="s">
        <v>851</v>
      </c>
      <c r="B329" t="s">
        <v>877</v>
      </c>
      <c r="C329" t="s">
        <v>384</v>
      </c>
      <c r="D329" s="1">
        <v>3807</v>
      </c>
      <c r="E329" s="1">
        <v>9</v>
      </c>
      <c r="F329" s="1">
        <v>0</v>
      </c>
      <c r="G329" s="1">
        <v>215</v>
      </c>
      <c r="H329" s="1">
        <v>0</v>
      </c>
      <c r="I329" s="1">
        <v>0</v>
      </c>
      <c r="J329" s="1">
        <v>0</v>
      </c>
    </row>
    <row r="330" spans="1:10" x14ac:dyDescent="0.25">
      <c r="A330" t="s">
        <v>856</v>
      </c>
      <c r="B330" t="s">
        <v>877</v>
      </c>
      <c r="C330" t="s">
        <v>385</v>
      </c>
      <c r="D330" s="1">
        <v>3130</v>
      </c>
      <c r="E330" s="1">
        <v>12</v>
      </c>
      <c r="F330" s="1">
        <v>0</v>
      </c>
      <c r="G330" s="1">
        <v>10315</v>
      </c>
      <c r="H330" s="1">
        <v>46</v>
      </c>
      <c r="I330" s="1">
        <v>0</v>
      </c>
      <c r="J330" s="1">
        <v>0</v>
      </c>
    </row>
    <row r="331" spans="1:10" x14ac:dyDescent="0.25">
      <c r="A331" t="s">
        <v>847</v>
      </c>
      <c r="B331" t="s">
        <v>877</v>
      </c>
      <c r="C331" t="s">
        <v>386</v>
      </c>
      <c r="D331" s="1">
        <v>1186</v>
      </c>
      <c r="E331" s="1">
        <v>0</v>
      </c>
      <c r="F331" s="1">
        <v>0</v>
      </c>
      <c r="G331" s="1">
        <v>5812</v>
      </c>
      <c r="H331" s="1">
        <v>0</v>
      </c>
      <c r="I331" s="1">
        <v>0</v>
      </c>
      <c r="J331" s="1">
        <v>0</v>
      </c>
    </row>
    <row r="332" spans="1:10" x14ac:dyDescent="0.25">
      <c r="A332" t="s">
        <v>849</v>
      </c>
      <c r="B332" t="s">
        <v>877</v>
      </c>
      <c r="C332" t="s">
        <v>387</v>
      </c>
      <c r="D332" s="1">
        <v>4082</v>
      </c>
      <c r="E332" s="1">
        <v>2</v>
      </c>
      <c r="F332" s="1">
        <v>0</v>
      </c>
      <c r="G332" s="1">
        <v>9131</v>
      </c>
      <c r="H332" s="1">
        <v>31</v>
      </c>
      <c r="I332" s="1">
        <v>0</v>
      </c>
      <c r="J332" s="1">
        <v>0</v>
      </c>
    </row>
    <row r="333" spans="1:10" x14ac:dyDescent="0.25">
      <c r="A333" t="s">
        <v>794</v>
      </c>
      <c r="B333" t="s">
        <v>874</v>
      </c>
      <c r="C333" t="s">
        <v>388</v>
      </c>
      <c r="D333" s="1">
        <v>214237</v>
      </c>
      <c r="E333" s="1">
        <v>101</v>
      </c>
      <c r="F333" s="1">
        <v>0</v>
      </c>
      <c r="G333" s="1">
        <v>0</v>
      </c>
      <c r="H333" s="1">
        <v>0</v>
      </c>
      <c r="I333" s="1">
        <v>113022</v>
      </c>
      <c r="J333" s="1">
        <v>26366</v>
      </c>
    </row>
    <row r="334" spans="1:10" x14ac:dyDescent="0.25">
      <c r="A334" t="s">
        <v>805</v>
      </c>
      <c r="C334" t="s">
        <v>389</v>
      </c>
      <c r="D334" s="1"/>
      <c r="E334" s="1"/>
      <c r="F334" s="1"/>
      <c r="G334" s="1"/>
      <c r="H334" s="1"/>
      <c r="I334" s="1"/>
      <c r="J334" s="1"/>
    </row>
    <row r="335" spans="1:10" x14ac:dyDescent="0.25">
      <c r="A335" t="s">
        <v>10</v>
      </c>
      <c r="B335" t="s">
        <v>874</v>
      </c>
      <c r="C335" t="s">
        <v>390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</row>
    <row r="336" spans="1:10" x14ac:dyDescent="0.25">
      <c r="A336" t="s">
        <v>226</v>
      </c>
      <c r="B336" t="s">
        <v>874</v>
      </c>
      <c r="C336" t="s">
        <v>391</v>
      </c>
      <c r="D336" s="1">
        <v>136507</v>
      </c>
      <c r="E336" s="1">
        <v>999</v>
      </c>
      <c r="F336" s="1">
        <v>0</v>
      </c>
      <c r="G336" s="1">
        <v>0</v>
      </c>
      <c r="H336" s="1">
        <v>0</v>
      </c>
      <c r="I336" s="1">
        <v>32325</v>
      </c>
      <c r="J336" s="1">
        <v>22578</v>
      </c>
    </row>
    <row r="337" spans="1:10" x14ac:dyDescent="0.25">
      <c r="A337" t="s">
        <v>798</v>
      </c>
      <c r="B337" t="s">
        <v>874</v>
      </c>
      <c r="C337" t="s">
        <v>392</v>
      </c>
      <c r="D337" s="1">
        <v>153645</v>
      </c>
      <c r="E337" s="1">
        <v>1185</v>
      </c>
      <c r="F337" s="1">
        <v>0</v>
      </c>
      <c r="G337" s="1">
        <v>0</v>
      </c>
      <c r="H337" s="1">
        <v>0</v>
      </c>
      <c r="I337" s="1">
        <v>59964</v>
      </c>
      <c r="J337" s="1">
        <v>58515</v>
      </c>
    </row>
    <row r="338" spans="1:10" x14ac:dyDescent="0.25">
      <c r="A338" t="s">
        <v>10</v>
      </c>
      <c r="B338" t="s">
        <v>874</v>
      </c>
      <c r="C338" t="s">
        <v>393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</row>
    <row r="339" spans="1:10" x14ac:dyDescent="0.25">
      <c r="A339" t="s">
        <v>10</v>
      </c>
      <c r="B339" t="s">
        <v>874</v>
      </c>
      <c r="C339" t="s">
        <v>394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</row>
    <row r="340" spans="1:10" x14ac:dyDescent="0.25">
      <c r="A340" s="27" t="s">
        <v>10</v>
      </c>
      <c r="B340" s="27" t="s">
        <v>874</v>
      </c>
      <c r="C340" s="27" t="s">
        <v>778</v>
      </c>
      <c r="D340" s="32"/>
      <c r="E340" s="32"/>
      <c r="F340" s="32"/>
      <c r="G340" s="32"/>
      <c r="H340" s="32"/>
      <c r="I340" s="32"/>
      <c r="J340" s="32"/>
    </row>
    <row r="341" spans="1:10" x14ac:dyDescent="0.25">
      <c r="A341" t="s">
        <v>69</v>
      </c>
      <c r="B341" t="s">
        <v>874</v>
      </c>
      <c r="C341" t="s">
        <v>395</v>
      </c>
      <c r="D341" s="1">
        <v>200392</v>
      </c>
      <c r="E341" s="1">
        <v>692</v>
      </c>
      <c r="F341" s="1">
        <v>0</v>
      </c>
      <c r="G341" s="1">
        <v>0</v>
      </c>
      <c r="H341" s="1">
        <v>0</v>
      </c>
      <c r="I341" s="1">
        <v>87568</v>
      </c>
      <c r="J341" s="1">
        <v>31596</v>
      </c>
    </row>
    <row r="342" spans="1:10" x14ac:dyDescent="0.25">
      <c r="A342" t="s">
        <v>796</v>
      </c>
      <c r="C342" t="s">
        <v>396</v>
      </c>
      <c r="D342" s="1"/>
      <c r="E342" s="1"/>
      <c r="F342" s="1"/>
      <c r="G342" s="1"/>
      <c r="H342" s="1"/>
      <c r="I342" s="1"/>
      <c r="J342" s="1"/>
    </row>
    <row r="343" spans="1:10" x14ac:dyDescent="0.25">
      <c r="A343" t="s">
        <v>512</v>
      </c>
      <c r="B343" t="s">
        <v>874</v>
      </c>
      <c r="C343" t="s">
        <v>397</v>
      </c>
      <c r="D343" s="1">
        <v>107011</v>
      </c>
      <c r="E343" s="1">
        <v>557</v>
      </c>
      <c r="F343" s="1">
        <v>0</v>
      </c>
      <c r="G343" s="1">
        <v>0</v>
      </c>
      <c r="H343" s="1">
        <v>0</v>
      </c>
      <c r="I343" s="1">
        <v>31901</v>
      </c>
      <c r="J343" s="1">
        <v>19024</v>
      </c>
    </row>
    <row r="344" spans="1:10" x14ac:dyDescent="0.25">
      <c r="A344" t="s">
        <v>811</v>
      </c>
      <c r="B344" t="s">
        <v>874</v>
      </c>
      <c r="C344" t="s">
        <v>398</v>
      </c>
      <c r="D344" s="1">
        <v>6750</v>
      </c>
      <c r="E344" s="1">
        <v>513</v>
      </c>
      <c r="F344" s="1">
        <v>0</v>
      </c>
      <c r="G344" s="1">
        <v>0</v>
      </c>
      <c r="H344" s="1">
        <v>0</v>
      </c>
      <c r="I344" s="1">
        <v>1802</v>
      </c>
      <c r="J344" s="1">
        <v>855</v>
      </c>
    </row>
    <row r="345" spans="1:10" x14ac:dyDescent="0.25">
      <c r="A345" t="s">
        <v>10</v>
      </c>
      <c r="B345" t="s">
        <v>874</v>
      </c>
      <c r="C345" t="s">
        <v>399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</row>
    <row r="346" spans="1:10" x14ac:dyDescent="0.25">
      <c r="A346" t="s">
        <v>811</v>
      </c>
      <c r="B346" t="s">
        <v>874</v>
      </c>
      <c r="C346" t="s">
        <v>400</v>
      </c>
      <c r="D346" s="1">
        <v>47489</v>
      </c>
      <c r="E346" s="1">
        <v>1805</v>
      </c>
      <c r="F346" s="1">
        <v>0</v>
      </c>
      <c r="G346" s="1">
        <v>0</v>
      </c>
      <c r="H346" s="1">
        <v>0</v>
      </c>
      <c r="I346" s="1">
        <v>13230</v>
      </c>
      <c r="J346" s="1">
        <v>17612</v>
      </c>
    </row>
    <row r="347" spans="1:10" x14ac:dyDescent="0.25">
      <c r="A347" t="s">
        <v>10</v>
      </c>
      <c r="B347" t="s">
        <v>874</v>
      </c>
      <c r="C347" t="s">
        <v>401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</row>
    <row r="348" spans="1:10" x14ac:dyDescent="0.25">
      <c r="A348" t="s">
        <v>795</v>
      </c>
      <c r="B348" t="s">
        <v>874</v>
      </c>
      <c r="C348" t="s">
        <v>402</v>
      </c>
      <c r="D348" s="1">
        <v>20271</v>
      </c>
      <c r="E348" s="1">
        <v>554</v>
      </c>
      <c r="F348" s="1">
        <v>0</v>
      </c>
      <c r="G348" s="1">
        <v>0</v>
      </c>
      <c r="H348" s="1">
        <v>0</v>
      </c>
      <c r="I348" s="1">
        <v>4676</v>
      </c>
      <c r="J348" s="1">
        <v>5815</v>
      </c>
    </row>
    <row r="349" spans="1:10" x14ac:dyDescent="0.25">
      <c r="A349" t="s">
        <v>10</v>
      </c>
      <c r="B349" t="s">
        <v>874</v>
      </c>
      <c r="C349" t="s">
        <v>403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</row>
    <row r="350" spans="1:10" x14ac:dyDescent="0.25">
      <c r="A350" t="s">
        <v>797</v>
      </c>
      <c r="B350" t="s">
        <v>874</v>
      </c>
      <c r="C350" t="s">
        <v>404</v>
      </c>
      <c r="D350" s="1">
        <v>55201</v>
      </c>
      <c r="E350" s="1">
        <v>870</v>
      </c>
      <c r="F350" s="1">
        <v>0</v>
      </c>
      <c r="G350" s="1">
        <v>0</v>
      </c>
      <c r="H350" s="1">
        <v>0</v>
      </c>
      <c r="I350" s="1">
        <v>36176</v>
      </c>
      <c r="J350" s="1">
        <v>14893</v>
      </c>
    </row>
    <row r="351" spans="1:10" x14ac:dyDescent="0.25">
      <c r="A351" t="s">
        <v>83</v>
      </c>
      <c r="B351" t="s">
        <v>874</v>
      </c>
      <c r="C351" t="s">
        <v>405</v>
      </c>
      <c r="D351" s="1">
        <v>11445</v>
      </c>
      <c r="E351" s="1">
        <v>20</v>
      </c>
      <c r="F351" s="1">
        <v>0</v>
      </c>
      <c r="G351" s="1">
        <v>0</v>
      </c>
      <c r="H351" s="1">
        <v>0</v>
      </c>
      <c r="I351" s="1">
        <v>7394</v>
      </c>
      <c r="J351" s="1">
        <v>2902</v>
      </c>
    </row>
    <row r="352" spans="1:10" x14ac:dyDescent="0.25">
      <c r="A352" t="s">
        <v>248</v>
      </c>
      <c r="B352" t="s">
        <v>874</v>
      </c>
      <c r="C352" t="s">
        <v>406</v>
      </c>
      <c r="D352" s="1">
        <v>56939</v>
      </c>
      <c r="E352" s="1">
        <v>911</v>
      </c>
      <c r="F352" s="1">
        <v>0</v>
      </c>
      <c r="G352" s="1">
        <v>0</v>
      </c>
      <c r="H352" s="1">
        <v>0</v>
      </c>
      <c r="I352" s="1">
        <v>103454</v>
      </c>
      <c r="J352" s="1">
        <v>8309</v>
      </c>
    </row>
    <row r="353" spans="1:10" x14ac:dyDescent="0.25">
      <c r="A353" s="27" t="s">
        <v>10</v>
      </c>
      <c r="B353" s="27" t="s">
        <v>874</v>
      </c>
      <c r="C353" s="27" t="s">
        <v>779</v>
      </c>
      <c r="D353" s="32"/>
      <c r="E353" s="32"/>
      <c r="F353" s="32"/>
      <c r="G353" s="32"/>
      <c r="H353" s="32"/>
      <c r="I353" s="32"/>
      <c r="J353" s="32"/>
    </row>
    <row r="354" spans="1:10" x14ac:dyDescent="0.25">
      <c r="A354" t="s">
        <v>848</v>
      </c>
      <c r="B354" t="s">
        <v>874</v>
      </c>
      <c r="C354" t="s">
        <v>407</v>
      </c>
      <c r="D354" s="1">
        <v>24865</v>
      </c>
      <c r="E354" s="1">
        <v>175</v>
      </c>
      <c r="F354" s="1">
        <v>0</v>
      </c>
      <c r="G354" s="1">
        <v>0</v>
      </c>
      <c r="H354" s="1">
        <v>0</v>
      </c>
      <c r="I354" s="1">
        <v>5314</v>
      </c>
      <c r="J354" s="1">
        <v>3359</v>
      </c>
    </row>
    <row r="355" spans="1:10" x14ac:dyDescent="0.25">
      <c r="A355" t="s">
        <v>801</v>
      </c>
      <c r="B355" t="s">
        <v>874</v>
      </c>
      <c r="C355" t="s">
        <v>408</v>
      </c>
      <c r="D355" s="1">
        <v>81816</v>
      </c>
      <c r="E355" s="1">
        <v>603</v>
      </c>
      <c r="F355" s="1">
        <v>0</v>
      </c>
      <c r="G355" s="1">
        <v>0</v>
      </c>
      <c r="H355" s="1">
        <v>0</v>
      </c>
      <c r="I355" s="1">
        <v>102113</v>
      </c>
      <c r="J355" s="1">
        <v>21576</v>
      </c>
    </row>
    <row r="356" spans="1:10" x14ac:dyDescent="0.25">
      <c r="A356" t="s">
        <v>811</v>
      </c>
      <c r="B356" t="s">
        <v>874</v>
      </c>
      <c r="C356" t="s">
        <v>409</v>
      </c>
      <c r="D356" s="1">
        <v>145108</v>
      </c>
      <c r="E356" s="1">
        <v>829</v>
      </c>
      <c r="F356" s="1">
        <v>0</v>
      </c>
      <c r="G356" s="1">
        <v>0</v>
      </c>
      <c r="H356" s="1">
        <v>0</v>
      </c>
      <c r="I356" s="1">
        <v>99085</v>
      </c>
      <c r="J356" s="1">
        <v>61707</v>
      </c>
    </row>
    <row r="357" spans="1:10" x14ac:dyDescent="0.25">
      <c r="A357" t="s">
        <v>83</v>
      </c>
      <c r="B357" t="s">
        <v>874</v>
      </c>
      <c r="C357" t="s">
        <v>410</v>
      </c>
      <c r="D357" s="1">
        <v>7398</v>
      </c>
      <c r="E357" s="1">
        <v>36</v>
      </c>
      <c r="F357" s="1">
        <v>0</v>
      </c>
      <c r="G357" s="1">
        <v>0</v>
      </c>
      <c r="H357" s="1">
        <v>0</v>
      </c>
      <c r="I357" s="1">
        <v>23545</v>
      </c>
      <c r="J357" s="1">
        <v>1683</v>
      </c>
    </row>
    <row r="358" spans="1:10" x14ac:dyDescent="0.25">
      <c r="A358" t="s">
        <v>120</v>
      </c>
      <c r="B358" t="s">
        <v>874</v>
      </c>
      <c r="C358" t="s">
        <v>411</v>
      </c>
      <c r="D358" s="1">
        <v>67246</v>
      </c>
      <c r="E358" s="1">
        <v>53</v>
      </c>
      <c r="F358" s="1">
        <v>0</v>
      </c>
      <c r="G358" s="1">
        <v>0</v>
      </c>
      <c r="H358" s="1">
        <v>0</v>
      </c>
      <c r="I358" s="1">
        <v>44675</v>
      </c>
      <c r="J358" s="1">
        <v>23968</v>
      </c>
    </row>
    <row r="359" spans="1:10" x14ac:dyDescent="0.25">
      <c r="A359" t="s">
        <v>134</v>
      </c>
      <c r="B359" t="s">
        <v>874</v>
      </c>
      <c r="C359" t="s">
        <v>412</v>
      </c>
      <c r="D359" s="1">
        <v>17145</v>
      </c>
      <c r="E359" s="1">
        <v>86</v>
      </c>
      <c r="F359" s="1">
        <v>0</v>
      </c>
      <c r="G359" s="1">
        <v>0</v>
      </c>
      <c r="H359" s="1">
        <v>0</v>
      </c>
      <c r="I359" s="1">
        <v>14128</v>
      </c>
      <c r="J359" s="1">
        <v>3594</v>
      </c>
    </row>
    <row r="360" spans="1:10" x14ac:dyDescent="0.25">
      <c r="A360" t="s">
        <v>120</v>
      </c>
      <c r="B360" t="s">
        <v>874</v>
      </c>
      <c r="C360" t="s">
        <v>413</v>
      </c>
      <c r="D360" s="1">
        <v>48408</v>
      </c>
      <c r="E360" s="1">
        <v>88</v>
      </c>
      <c r="F360" s="1">
        <v>0</v>
      </c>
      <c r="G360" s="1">
        <v>0</v>
      </c>
      <c r="H360" s="1">
        <v>0</v>
      </c>
      <c r="I360" s="1">
        <v>17303</v>
      </c>
      <c r="J360" s="1">
        <v>6556</v>
      </c>
    </row>
    <row r="361" spans="1:10" x14ac:dyDescent="0.25">
      <c r="A361" t="s">
        <v>138</v>
      </c>
      <c r="B361" t="s">
        <v>874</v>
      </c>
      <c r="C361" t="s">
        <v>414</v>
      </c>
      <c r="D361" s="1">
        <v>65899</v>
      </c>
      <c r="E361" s="1">
        <v>158</v>
      </c>
      <c r="F361" s="1">
        <v>0</v>
      </c>
      <c r="G361" s="1">
        <v>0</v>
      </c>
      <c r="H361" s="1">
        <v>0</v>
      </c>
      <c r="I361" s="1">
        <v>73065</v>
      </c>
      <c r="J361" s="1">
        <v>18389</v>
      </c>
    </row>
    <row r="362" spans="1:10" x14ac:dyDescent="0.25">
      <c r="A362" t="s">
        <v>796</v>
      </c>
      <c r="B362" t="s">
        <v>874</v>
      </c>
      <c r="C362" t="s">
        <v>415</v>
      </c>
      <c r="D362" s="1">
        <v>48749</v>
      </c>
      <c r="E362" s="1">
        <v>631</v>
      </c>
      <c r="F362" s="1">
        <v>0</v>
      </c>
      <c r="G362" s="1">
        <v>0</v>
      </c>
      <c r="H362" s="1">
        <v>0</v>
      </c>
      <c r="I362" s="1">
        <v>48215</v>
      </c>
      <c r="J362" s="1">
        <v>15397</v>
      </c>
    </row>
    <row r="363" spans="1:10" x14ac:dyDescent="0.25">
      <c r="A363" t="s">
        <v>226</v>
      </c>
      <c r="B363" t="s">
        <v>874</v>
      </c>
      <c r="C363" t="s">
        <v>416</v>
      </c>
      <c r="D363" s="1">
        <v>14655</v>
      </c>
      <c r="E363" s="1">
        <v>8</v>
      </c>
      <c r="F363" s="1">
        <v>0</v>
      </c>
      <c r="G363" s="1">
        <v>0</v>
      </c>
      <c r="H363" s="1">
        <v>0</v>
      </c>
      <c r="I363" s="1">
        <v>61289</v>
      </c>
      <c r="J363" s="1">
        <v>3280</v>
      </c>
    </row>
    <row r="364" spans="1:10" x14ac:dyDescent="0.25">
      <c r="A364" t="s">
        <v>138</v>
      </c>
      <c r="B364" t="s">
        <v>874</v>
      </c>
      <c r="C364" t="s">
        <v>417</v>
      </c>
      <c r="D364" s="1">
        <v>89001</v>
      </c>
      <c r="E364" s="1">
        <v>746</v>
      </c>
      <c r="F364" s="1">
        <v>0</v>
      </c>
      <c r="G364" s="1">
        <v>0</v>
      </c>
      <c r="H364" s="1">
        <v>0</v>
      </c>
      <c r="I364" s="1">
        <v>93408</v>
      </c>
      <c r="J364" s="1">
        <v>31909</v>
      </c>
    </row>
    <row r="365" spans="1:10" x14ac:dyDescent="0.25">
      <c r="A365" t="s">
        <v>138</v>
      </c>
      <c r="B365" t="s">
        <v>874</v>
      </c>
      <c r="C365" t="s">
        <v>418</v>
      </c>
      <c r="D365" s="1">
        <v>77542</v>
      </c>
      <c r="E365" s="1">
        <v>477</v>
      </c>
      <c r="F365" s="1">
        <v>0</v>
      </c>
      <c r="G365" s="1">
        <v>0</v>
      </c>
      <c r="H365" s="1">
        <v>0</v>
      </c>
      <c r="I365" s="1">
        <v>74007</v>
      </c>
      <c r="J365" s="1">
        <v>15712</v>
      </c>
    </row>
    <row r="366" spans="1:10" x14ac:dyDescent="0.25">
      <c r="A366" t="s">
        <v>796</v>
      </c>
      <c r="B366" t="s">
        <v>874</v>
      </c>
      <c r="C366" t="s">
        <v>419</v>
      </c>
      <c r="D366" s="1">
        <v>93235</v>
      </c>
      <c r="E366" s="1">
        <v>790</v>
      </c>
      <c r="F366" s="1">
        <v>0</v>
      </c>
      <c r="G366" s="1">
        <v>0</v>
      </c>
      <c r="H366" s="1">
        <v>0</v>
      </c>
      <c r="I366" s="1">
        <v>216130</v>
      </c>
      <c r="J366" s="1">
        <v>24755</v>
      </c>
    </row>
    <row r="367" spans="1:10" x14ac:dyDescent="0.25">
      <c r="A367" t="s">
        <v>831</v>
      </c>
      <c r="B367" t="s">
        <v>874</v>
      </c>
      <c r="C367" t="s">
        <v>420</v>
      </c>
      <c r="D367" s="1">
        <v>41995</v>
      </c>
      <c r="E367" s="1">
        <v>162</v>
      </c>
      <c r="F367" s="1">
        <v>0</v>
      </c>
      <c r="G367" s="1">
        <v>0</v>
      </c>
      <c r="H367" s="1">
        <v>0</v>
      </c>
      <c r="I367" s="1">
        <v>44426</v>
      </c>
      <c r="J367" s="1">
        <v>23633</v>
      </c>
    </row>
    <row r="368" spans="1:10" x14ac:dyDescent="0.25">
      <c r="A368" t="s">
        <v>69</v>
      </c>
      <c r="B368" t="s">
        <v>874</v>
      </c>
      <c r="C368" t="s">
        <v>421</v>
      </c>
      <c r="D368" s="1">
        <v>92012</v>
      </c>
      <c r="E368" s="1">
        <v>295</v>
      </c>
      <c r="F368" s="1">
        <v>0</v>
      </c>
      <c r="G368" s="1">
        <v>0</v>
      </c>
      <c r="H368" s="1">
        <v>0</v>
      </c>
      <c r="I368" s="1">
        <v>49002</v>
      </c>
      <c r="J368" s="1">
        <v>18498</v>
      </c>
    </row>
    <row r="369" spans="1:10" x14ac:dyDescent="0.25">
      <c r="A369" t="s">
        <v>146</v>
      </c>
      <c r="B369" t="s">
        <v>874</v>
      </c>
      <c r="C369" t="s">
        <v>422</v>
      </c>
      <c r="D369" s="1">
        <v>76955</v>
      </c>
      <c r="E369" s="1">
        <v>546</v>
      </c>
      <c r="F369" s="1">
        <v>0</v>
      </c>
      <c r="G369" s="1">
        <v>0</v>
      </c>
      <c r="H369" s="1">
        <v>0</v>
      </c>
      <c r="I369" s="1">
        <v>52836</v>
      </c>
      <c r="J369" s="1">
        <v>25509</v>
      </c>
    </row>
    <row r="370" spans="1:10" x14ac:dyDescent="0.25">
      <c r="A370" t="s">
        <v>146</v>
      </c>
      <c r="B370" t="s">
        <v>874</v>
      </c>
      <c r="C370" t="s">
        <v>423</v>
      </c>
      <c r="D370" s="1">
        <v>52879</v>
      </c>
      <c r="E370" s="1">
        <v>23</v>
      </c>
      <c r="F370" s="1">
        <v>0</v>
      </c>
      <c r="G370" s="1">
        <v>0</v>
      </c>
      <c r="H370" s="1">
        <v>0</v>
      </c>
      <c r="I370" s="1">
        <v>21870</v>
      </c>
      <c r="J370" s="1">
        <v>19043</v>
      </c>
    </row>
    <row r="371" spans="1:10" x14ac:dyDescent="0.25">
      <c r="A371" t="s">
        <v>76</v>
      </c>
      <c r="B371" t="s">
        <v>874</v>
      </c>
      <c r="C371" t="s">
        <v>424</v>
      </c>
      <c r="D371" s="1">
        <v>100166</v>
      </c>
      <c r="E371" s="1">
        <v>41</v>
      </c>
      <c r="F371" s="1">
        <v>0</v>
      </c>
      <c r="G371" s="1">
        <v>0</v>
      </c>
      <c r="H371" s="1">
        <v>0</v>
      </c>
      <c r="I371" s="1">
        <v>141086</v>
      </c>
      <c r="J371" s="1">
        <v>22528</v>
      </c>
    </row>
    <row r="372" spans="1:10" x14ac:dyDescent="0.25">
      <c r="A372" t="s">
        <v>795</v>
      </c>
      <c r="B372" t="s">
        <v>874</v>
      </c>
      <c r="C372" t="s">
        <v>425</v>
      </c>
      <c r="D372" s="1">
        <v>184585</v>
      </c>
      <c r="E372" s="1">
        <v>83</v>
      </c>
      <c r="F372" s="1">
        <v>0</v>
      </c>
      <c r="G372" s="1">
        <v>0</v>
      </c>
      <c r="H372" s="1">
        <v>0</v>
      </c>
      <c r="I372" s="1">
        <v>110688</v>
      </c>
      <c r="J372" s="1">
        <v>51054</v>
      </c>
    </row>
    <row r="373" spans="1:10" x14ac:dyDescent="0.25">
      <c r="A373" t="s">
        <v>824</v>
      </c>
      <c r="B373" t="s">
        <v>874</v>
      </c>
      <c r="C373" t="s">
        <v>426</v>
      </c>
      <c r="D373" s="1">
        <v>51699</v>
      </c>
      <c r="E373" s="1">
        <v>141</v>
      </c>
      <c r="F373" s="1">
        <v>0</v>
      </c>
      <c r="G373" s="1">
        <v>0</v>
      </c>
      <c r="H373" s="1">
        <v>0</v>
      </c>
      <c r="I373" s="1">
        <v>51100</v>
      </c>
      <c r="J373" s="1">
        <v>21788</v>
      </c>
    </row>
    <row r="374" spans="1:10" x14ac:dyDescent="0.25">
      <c r="A374" t="s">
        <v>788</v>
      </c>
      <c r="B374" t="s">
        <v>874</v>
      </c>
      <c r="C374" t="s">
        <v>427</v>
      </c>
      <c r="D374" s="1">
        <v>147624</v>
      </c>
      <c r="E374" s="1">
        <v>375</v>
      </c>
      <c r="F374" s="1">
        <v>0</v>
      </c>
      <c r="G374" s="1">
        <v>0</v>
      </c>
      <c r="H374" s="1">
        <v>0</v>
      </c>
      <c r="I374" s="1">
        <v>147129</v>
      </c>
      <c r="J374" s="1">
        <v>37940</v>
      </c>
    </row>
    <row r="375" spans="1:10" x14ac:dyDescent="0.25">
      <c r="A375" t="s">
        <v>226</v>
      </c>
      <c r="B375" t="s">
        <v>874</v>
      </c>
      <c r="C375" t="s">
        <v>428</v>
      </c>
      <c r="D375" s="1">
        <v>22158</v>
      </c>
      <c r="E375" s="1">
        <v>5</v>
      </c>
      <c r="F375" s="1">
        <v>0</v>
      </c>
      <c r="G375" s="1">
        <v>0</v>
      </c>
      <c r="H375" s="1">
        <v>0</v>
      </c>
      <c r="I375" s="1">
        <v>23617</v>
      </c>
      <c r="J375" s="1">
        <v>4130</v>
      </c>
    </row>
    <row r="376" spans="1:10" x14ac:dyDescent="0.25">
      <c r="A376" t="s">
        <v>791</v>
      </c>
      <c r="B376" t="s">
        <v>874</v>
      </c>
      <c r="C376" t="s">
        <v>429</v>
      </c>
      <c r="D376" s="1">
        <v>10527</v>
      </c>
      <c r="E376" s="1">
        <v>52</v>
      </c>
      <c r="F376" s="1">
        <v>0</v>
      </c>
      <c r="G376" s="1">
        <v>0</v>
      </c>
      <c r="H376" s="1">
        <v>0</v>
      </c>
      <c r="I376" s="1">
        <v>3585</v>
      </c>
      <c r="J376" s="1">
        <v>2290</v>
      </c>
    </row>
    <row r="377" spans="1:10" x14ac:dyDescent="0.25">
      <c r="A377" t="s">
        <v>788</v>
      </c>
      <c r="B377" t="s">
        <v>874</v>
      </c>
      <c r="C377" t="s">
        <v>430</v>
      </c>
      <c r="D377" s="1">
        <v>37832</v>
      </c>
      <c r="E377" s="1">
        <v>85</v>
      </c>
      <c r="F377" s="1">
        <v>0</v>
      </c>
      <c r="G377" s="1">
        <v>0</v>
      </c>
      <c r="H377" s="1">
        <v>0</v>
      </c>
      <c r="I377" s="1">
        <v>21522</v>
      </c>
      <c r="J377" s="1">
        <v>9939</v>
      </c>
    </row>
    <row r="378" spans="1:10" x14ac:dyDescent="0.25">
      <c r="A378" t="s">
        <v>10</v>
      </c>
      <c r="B378" t="s">
        <v>874</v>
      </c>
      <c r="C378" t="s">
        <v>431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</row>
    <row r="379" spans="1:10" x14ac:dyDescent="0.25">
      <c r="A379" t="s">
        <v>69</v>
      </c>
      <c r="B379" t="s">
        <v>874</v>
      </c>
      <c r="C379" t="s">
        <v>432</v>
      </c>
      <c r="D379" s="1">
        <v>82687</v>
      </c>
      <c r="E379" s="1">
        <v>63</v>
      </c>
      <c r="F379" s="1">
        <v>0</v>
      </c>
      <c r="G379" s="1">
        <v>0</v>
      </c>
      <c r="H379" s="1">
        <v>0</v>
      </c>
      <c r="I379" s="1">
        <v>102769</v>
      </c>
      <c r="J379" s="1">
        <v>24144</v>
      </c>
    </row>
    <row r="380" spans="1:10" x14ac:dyDescent="0.25">
      <c r="A380" t="s">
        <v>226</v>
      </c>
      <c r="B380" t="s">
        <v>874</v>
      </c>
      <c r="C380" t="s">
        <v>433</v>
      </c>
      <c r="D380" s="1">
        <v>73316</v>
      </c>
      <c r="E380" s="1">
        <v>212</v>
      </c>
      <c r="F380" s="1">
        <v>0</v>
      </c>
      <c r="G380" s="1">
        <v>0</v>
      </c>
      <c r="H380" s="1">
        <v>0</v>
      </c>
      <c r="I380" s="1">
        <v>81342</v>
      </c>
      <c r="J380" s="1">
        <v>16929</v>
      </c>
    </row>
    <row r="381" spans="1:10" x14ac:dyDescent="0.25">
      <c r="A381" t="s">
        <v>864</v>
      </c>
      <c r="B381" t="s">
        <v>874</v>
      </c>
      <c r="C381" t="s">
        <v>434</v>
      </c>
      <c r="D381" s="1">
        <v>37774</v>
      </c>
      <c r="E381" s="1">
        <v>402</v>
      </c>
      <c r="F381" s="1">
        <v>0</v>
      </c>
      <c r="G381" s="1">
        <v>0</v>
      </c>
      <c r="H381" s="1">
        <v>0</v>
      </c>
      <c r="I381" s="1">
        <v>22577</v>
      </c>
      <c r="J381" s="1">
        <v>16525</v>
      </c>
    </row>
    <row r="382" spans="1:10" x14ac:dyDescent="0.25">
      <c r="A382" t="s">
        <v>809</v>
      </c>
      <c r="B382" t="s">
        <v>874</v>
      </c>
      <c r="C382" t="s">
        <v>435</v>
      </c>
      <c r="D382" s="1">
        <v>103937</v>
      </c>
      <c r="E382" s="1">
        <v>301</v>
      </c>
      <c r="F382" s="1">
        <v>0</v>
      </c>
      <c r="G382" s="1">
        <v>0</v>
      </c>
      <c r="H382" s="1">
        <v>0</v>
      </c>
      <c r="I382" s="1">
        <v>129395</v>
      </c>
      <c r="J382" s="1">
        <v>16577</v>
      </c>
    </row>
    <row r="383" spans="1:10" x14ac:dyDescent="0.25">
      <c r="A383" t="s">
        <v>138</v>
      </c>
      <c r="B383" t="s">
        <v>874</v>
      </c>
      <c r="C383" t="s">
        <v>436</v>
      </c>
      <c r="D383" s="1">
        <v>125648</v>
      </c>
      <c r="E383" s="1">
        <v>1265</v>
      </c>
      <c r="F383" s="1">
        <v>0</v>
      </c>
      <c r="G383" s="1">
        <v>0</v>
      </c>
      <c r="H383" s="1">
        <v>0</v>
      </c>
      <c r="I383" s="1">
        <v>87503</v>
      </c>
      <c r="J383" s="1">
        <v>28629</v>
      </c>
    </row>
    <row r="384" spans="1:10" x14ac:dyDescent="0.25">
      <c r="A384" t="s">
        <v>229</v>
      </c>
      <c r="B384" t="s">
        <v>874</v>
      </c>
      <c r="C384" t="s">
        <v>437</v>
      </c>
      <c r="D384" s="1">
        <v>70269</v>
      </c>
      <c r="E384" s="1">
        <v>460</v>
      </c>
      <c r="F384" s="1">
        <v>0</v>
      </c>
      <c r="G384" s="1">
        <v>0</v>
      </c>
      <c r="H384" s="1">
        <v>0</v>
      </c>
      <c r="I384" s="1">
        <v>137189</v>
      </c>
      <c r="J384" s="1">
        <v>16939</v>
      </c>
    </row>
    <row r="385" spans="1:10" x14ac:dyDescent="0.25">
      <c r="A385" t="s">
        <v>801</v>
      </c>
      <c r="B385" t="s">
        <v>874</v>
      </c>
      <c r="C385" t="s">
        <v>438</v>
      </c>
      <c r="D385" s="1">
        <v>111426</v>
      </c>
      <c r="E385" s="1">
        <v>51</v>
      </c>
      <c r="F385" s="1">
        <v>0</v>
      </c>
      <c r="G385" s="1">
        <v>0</v>
      </c>
      <c r="H385" s="1">
        <v>0</v>
      </c>
      <c r="I385" s="1">
        <v>277079</v>
      </c>
      <c r="J385" s="1">
        <v>36221</v>
      </c>
    </row>
    <row r="386" spans="1:10" x14ac:dyDescent="0.25">
      <c r="A386" s="27" t="s">
        <v>10</v>
      </c>
      <c r="B386" s="27" t="s">
        <v>874</v>
      </c>
      <c r="C386" s="27" t="s">
        <v>780</v>
      </c>
      <c r="D386" s="32"/>
      <c r="E386" s="32"/>
      <c r="F386" s="32"/>
      <c r="G386" s="32"/>
      <c r="H386" s="32"/>
      <c r="I386" s="32"/>
      <c r="J386" s="32"/>
    </row>
    <row r="387" spans="1:10" x14ac:dyDescent="0.25">
      <c r="A387" t="s">
        <v>69</v>
      </c>
      <c r="B387" t="s">
        <v>874</v>
      </c>
      <c r="C387" t="s">
        <v>439</v>
      </c>
      <c r="D387" s="1">
        <v>179198</v>
      </c>
      <c r="E387" s="1">
        <v>4485</v>
      </c>
      <c r="F387" s="1">
        <v>0</v>
      </c>
      <c r="G387" s="1">
        <v>0</v>
      </c>
      <c r="H387" s="1">
        <v>0</v>
      </c>
      <c r="I387" s="1">
        <v>143226</v>
      </c>
      <c r="J387" s="1">
        <v>43722</v>
      </c>
    </row>
    <row r="388" spans="1:10" x14ac:dyDescent="0.25">
      <c r="A388" t="s">
        <v>83</v>
      </c>
      <c r="B388" t="s">
        <v>874</v>
      </c>
      <c r="C388" t="s">
        <v>440</v>
      </c>
      <c r="D388" s="1">
        <v>10409</v>
      </c>
      <c r="E388" s="1">
        <v>24</v>
      </c>
      <c r="F388" s="1">
        <v>0</v>
      </c>
      <c r="G388" s="1">
        <v>0</v>
      </c>
      <c r="H388" s="1">
        <v>0</v>
      </c>
      <c r="I388" s="1">
        <v>21346</v>
      </c>
      <c r="J388" s="1">
        <v>1935</v>
      </c>
    </row>
    <row r="389" spans="1:10" x14ac:dyDescent="0.25">
      <c r="A389" t="s">
        <v>809</v>
      </c>
      <c r="B389" t="s">
        <v>874</v>
      </c>
      <c r="C389" t="s">
        <v>441</v>
      </c>
      <c r="D389" s="1">
        <v>49427</v>
      </c>
      <c r="E389" s="1">
        <v>901</v>
      </c>
      <c r="F389" s="1">
        <v>0</v>
      </c>
      <c r="G389" s="1">
        <v>0</v>
      </c>
      <c r="H389" s="1">
        <v>0</v>
      </c>
      <c r="I389" s="1">
        <v>33639</v>
      </c>
      <c r="J389" s="1">
        <v>7668</v>
      </c>
    </row>
    <row r="390" spans="1:10" x14ac:dyDescent="0.25">
      <c r="A390" t="s">
        <v>794</v>
      </c>
      <c r="B390" t="s">
        <v>874</v>
      </c>
      <c r="C390" t="s">
        <v>442</v>
      </c>
      <c r="D390" s="1">
        <v>109021</v>
      </c>
      <c r="E390" s="1">
        <v>620</v>
      </c>
      <c r="F390" s="1">
        <v>0</v>
      </c>
      <c r="G390" s="1">
        <v>0</v>
      </c>
      <c r="H390" s="1">
        <v>0</v>
      </c>
      <c r="I390" s="1">
        <v>98528</v>
      </c>
      <c r="J390" s="1">
        <v>44156</v>
      </c>
    </row>
    <row r="391" spans="1:10" x14ac:dyDescent="0.25">
      <c r="A391" t="s">
        <v>796</v>
      </c>
      <c r="B391" t="s">
        <v>874</v>
      </c>
      <c r="C391" t="s">
        <v>443</v>
      </c>
      <c r="D391" s="1">
        <v>157590</v>
      </c>
      <c r="E391" s="1">
        <v>389</v>
      </c>
      <c r="F391" s="1">
        <v>0</v>
      </c>
      <c r="G391" s="1">
        <v>0</v>
      </c>
      <c r="H391" s="1">
        <v>0</v>
      </c>
      <c r="I391" s="1">
        <v>145238</v>
      </c>
      <c r="J391" s="1">
        <v>28481</v>
      </c>
    </row>
    <row r="392" spans="1:10" x14ac:dyDescent="0.25">
      <c r="A392" t="s">
        <v>794</v>
      </c>
      <c r="B392" t="s">
        <v>874</v>
      </c>
      <c r="C392" t="s">
        <v>444</v>
      </c>
      <c r="D392" s="1">
        <v>169179</v>
      </c>
      <c r="E392" s="1">
        <v>1218</v>
      </c>
      <c r="F392" s="1">
        <v>0</v>
      </c>
      <c r="G392" s="1">
        <v>0</v>
      </c>
      <c r="H392" s="1">
        <v>0</v>
      </c>
      <c r="I392" s="1">
        <v>80513</v>
      </c>
      <c r="J392" s="1">
        <v>64001</v>
      </c>
    </row>
    <row r="393" spans="1:10" x14ac:dyDescent="0.25">
      <c r="A393" t="s">
        <v>811</v>
      </c>
      <c r="B393" t="s">
        <v>874</v>
      </c>
      <c r="C393" t="s">
        <v>445</v>
      </c>
      <c r="D393" s="1">
        <v>142644</v>
      </c>
      <c r="E393" s="1">
        <v>42270</v>
      </c>
      <c r="F393" s="1">
        <v>0</v>
      </c>
      <c r="G393" s="1">
        <v>0</v>
      </c>
      <c r="H393" s="1">
        <v>0</v>
      </c>
      <c r="I393" s="1">
        <v>242307</v>
      </c>
      <c r="J393" s="1">
        <v>58742</v>
      </c>
    </row>
    <row r="394" spans="1:10" x14ac:dyDescent="0.25">
      <c r="A394" t="s">
        <v>848</v>
      </c>
      <c r="B394" t="s">
        <v>874</v>
      </c>
      <c r="C394" t="s">
        <v>446</v>
      </c>
      <c r="D394" s="1">
        <v>33937</v>
      </c>
      <c r="E394" s="1">
        <v>131</v>
      </c>
      <c r="F394" s="1">
        <v>0</v>
      </c>
      <c r="G394" s="1">
        <v>0</v>
      </c>
      <c r="H394" s="1">
        <v>0</v>
      </c>
      <c r="I394" s="1">
        <v>10853</v>
      </c>
      <c r="J394" s="1">
        <v>5628</v>
      </c>
    </row>
    <row r="395" spans="1:10" x14ac:dyDescent="0.25">
      <c r="A395" t="s">
        <v>134</v>
      </c>
      <c r="B395" t="s">
        <v>874</v>
      </c>
      <c r="C395" t="s">
        <v>447</v>
      </c>
      <c r="D395" s="1">
        <v>176634</v>
      </c>
      <c r="E395" s="1">
        <v>174</v>
      </c>
      <c r="F395" s="1">
        <v>0</v>
      </c>
      <c r="G395" s="1">
        <v>0</v>
      </c>
      <c r="H395" s="1">
        <v>0</v>
      </c>
      <c r="I395" s="1">
        <v>52269</v>
      </c>
      <c r="J395" s="1">
        <v>27578</v>
      </c>
    </row>
    <row r="396" spans="1:10" x14ac:dyDescent="0.25">
      <c r="A396" t="s">
        <v>76</v>
      </c>
      <c r="B396" t="s">
        <v>874</v>
      </c>
      <c r="C396" t="s">
        <v>448</v>
      </c>
      <c r="D396" s="1">
        <v>161312</v>
      </c>
      <c r="E396" s="1">
        <v>319</v>
      </c>
      <c r="F396" s="1">
        <v>0</v>
      </c>
      <c r="G396" s="1">
        <v>0</v>
      </c>
      <c r="H396" s="1">
        <v>0</v>
      </c>
      <c r="I396" s="1">
        <v>120193</v>
      </c>
      <c r="J396" s="1">
        <v>18793</v>
      </c>
    </row>
    <row r="397" spans="1:10" x14ac:dyDescent="0.25">
      <c r="A397" t="s">
        <v>801</v>
      </c>
      <c r="B397" t="s">
        <v>874</v>
      </c>
      <c r="C397" t="s">
        <v>449</v>
      </c>
      <c r="D397" s="1">
        <v>129860</v>
      </c>
      <c r="E397" s="1">
        <v>204</v>
      </c>
      <c r="F397" s="1">
        <v>0</v>
      </c>
      <c r="G397" s="1">
        <v>0</v>
      </c>
      <c r="H397" s="1">
        <v>0</v>
      </c>
      <c r="I397" s="1">
        <v>215649</v>
      </c>
      <c r="J397" s="1">
        <v>32942</v>
      </c>
    </row>
    <row r="398" spans="1:10" x14ac:dyDescent="0.25">
      <c r="A398" t="s">
        <v>788</v>
      </c>
      <c r="B398" t="s">
        <v>874</v>
      </c>
      <c r="C398" t="s">
        <v>450</v>
      </c>
      <c r="D398" s="1">
        <v>43224</v>
      </c>
      <c r="E398" s="1">
        <v>600</v>
      </c>
      <c r="F398" s="1">
        <v>0</v>
      </c>
      <c r="G398" s="1">
        <v>0</v>
      </c>
      <c r="H398" s="1">
        <v>0</v>
      </c>
      <c r="I398" s="1">
        <v>30878</v>
      </c>
      <c r="J398" s="1">
        <v>10748</v>
      </c>
    </row>
    <row r="399" spans="1:10" x14ac:dyDescent="0.25">
      <c r="A399" t="s">
        <v>811</v>
      </c>
      <c r="B399" t="s">
        <v>874</v>
      </c>
      <c r="C399" t="s">
        <v>451</v>
      </c>
      <c r="D399" s="1">
        <v>178093</v>
      </c>
      <c r="E399" s="1">
        <v>4059</v>
      </c>
      <c r="F399" s="1">
        <v>0</v>
      </c>
      <c r="G399" s="1">
        <v>0</v>
      </c>
      <c r="H399" s="1">
        <v>0</v>
      </c>
      <c r="I399" s="1">
        <v>97278</v>
      </c>
      <c r="J399" s="1">
        <v>76001</v>
      </c>
    </row>
    <row r="400" spans="1:10" x14ac:dyDescent="0.25">
      <c r="A400" t="s">
        <v>825</v>
      </c>
      <c r="B400" t="s">
        <v>874</v>
      </c>
      <c r="C400" t="s">
        <v>452</v>
      </c>
      <c r="D400" s="1">
        <v>15814</v>
      </c>
      <c r="E400" s="1">
        <v>31</v>
      </c>
      <c r="F400" s="1">
        <v>0</v>
      </c>
      <c r="G400" s="1">
        <v>0</v>
      </c>
      <c r="H400" s="1">
        <v>0</v>
      </c>
      <c r="I400" s="1">
        <v>17895</v>
      </c>
      <c r="J400" s="1">
        <v>3441</v>
      </c>
    </row>
    <row r="401" spans="1:10" x14ac:dyDescent="0.25">
      <c r="A401" t="s">
        <v>101</v>
      </c>
      <c r="B401" t="s">
        <v>874</v>
      </c>
      <c r="C401" t="s">
        <v>453</v>
      </c>
      <c r="D401" s="1">
        <v>74873</v>
      </c>
      <c r="E401" s="1">
        <v>242</v>
      </c>
      <c r="F401" s="1">
        <v>0</v>
      </c>
      <c r="G401" s="1">
        <v>0</v>
      </c>
      <c r="H401" s="1">
        <v>0</v>
      </c>
      <c r="I401" s="1">
        <v>53078</v>
      </c>
      <c r="J401" s="1">
        <v>15618</v>
      </c>
    </row>
    <row r="402" spans="1:10" x14ac:dyDescent="0.25">
      <c r="A402" t="s">
        <v>265</v>
      </c>
      <c r="B402" t="s">
        <v>874</v>
      </c>
      <c r="C402" t="s">
        <v>454</v>
      </c>
      <c r="D402" s="1">
        <v>84947</v>
      </c>
      <c r="E402" s="1">
        <v>51</v>
      </c>
      <c r="F402" s="1">
        <v>0</v>
      </c>
      <c r="G402" s="1">
        <v>0</v>
      </c>
      <c r="H402" s="1">
        <v>0</v>
      </c>
      <c r="I402" s="1">
        <v>131454</v>
      </c>
      <c r="J402" s="1">
        <v>7792</v>
      </c>
    </row>
    <row r="403" spans="1:10" x14ac:dyDescent="0.25">
      <c r="A403" t="s">
        <v>248</v>
      </c>
      <c r="B403" t="s">
        <v>874</v>
      </c>
      <c r="C403" t="s">
        <v>455</v>
      </c>
      <c r="D403" s="1">
        <v>26409</v>
      </c>
      <c r="E403" s="1">
        <v>450</v>
      </c>
      <c r="F403" s="1">
        <v>0</v>
      </c>
      <c r="G403" s="1">
        <v>0</v>
      </c>
      <c r="H403" s="1">
        <v>0</v>
      </c>
      <c r="I403" s="1">
        <v>91293</v>
      </c>
      <c r="J403" s="1">
        <v>5804</v>
      </c>
    </row>
    <row r="404" spans="1:10" x14ac:dyDescent="0.25">
      <c r="A404" t="s">
        <v>76</v>
      </c>
      <c r="B404" t="s">
        <v>874</v>
      </c>
      <c r="C404" t="s">
        <v>456</v>
      </c>
      <c r="D404" s="1">
        <v>122151</v>
      </c>
      <c r="E404" s="1">
        <v>300</v>
      </c>
      <c r="F404" s="1">
        <v>0</v>
      </c>
      <c r="G404" s="1">
        <v>0</v>
      </c>
      <c r="H404" s="1">
        <v>0</v>
      </c>
      <c r="I404" s="1">
        <v>318985</v>
      </c>
      <c r="J404" s="1">
        <v>17347</v>
      </c>
    </row>
    <row r="405" spans="1:10" x14ac:dyDescent="0.25">
      <c r="A405" t="s">
        <v>76</v>
      </c>
      <c r="B405" t="s">
        <v>874</v>
      </c>
      <c r="C405" t="s">
        <v>457</v>
      </c>
      <c r="D405" s="1">
        <v>71509</v>
      </c>
      <c r="E405" s="1">
        <v>751</v>
      </c>
      <c r="F405" s="1">
        <v>0</v>
      </c>
      <c r="G405" s="1">
        <v>0</v>
      </c>
      <c r="H405" s="1">
        <v>0</v>
      </c>
      <c r="I405" s="1">
        <v>42612</v>
      </c>
      <c r="J405" s="1">
        <v>21837</v>
      </c>
    </row>
    <row r="406" spans="1:10" x14ac:dyDescent="0.25">
      <c r="A406" t="s">
        <v>146</v>
      </c>
      <c r="B406" t="s">
        <v>874</v>
      </c>
      <c r="C406" t="s">
        <v>458</v>
      </c>
      <c r="D406" s="1">
        <v>44908</v>
      </c>
      <c r="E406" s="1">
        <v>2838</v>
      </c>
      <c r="F406" s="1">
        <v>0</v>
      </c>
      <c r="G406" s="1">
        <v>0</v>
      </c>
      <c r="H406" s="1">
        <v>0</v>
      </c>
      <c r="I406" s="1">
        <v>69556</v>
      </c>
      <c r="J406" s="1">
        <v>12175</v>
      </c>
    </row>
    <row r="407" spans="1:10" x14ac:dyDescent="0.25">
      <c r="A407" t="s">
        <v>83</v>
      </c>
      <c r="B407" t="s">
        <v>874</v>
      </c>
      <c r="C407" t="s">
        <v>459</v>
      </c>
      <c r="D407" s="1">
        <v>12808</v>
      </c>
      <c r="E407" s="1">
        <v>65</v>
      </c>
      <c r="F407" s="1">
        <v>0</v>
      </c>
      <c r="G407" s="1">
        <v>0</v>
      </c>
      <c r="H407" s="1">
        <v>0</v>
      </c>
      <c r="I407" s="1">
        <v>13684</v>
      </c>
      <c r="J407" s="1">
        <v>3248</v>
      </c>
    </row>
    <row r="408" spans="1:10" x14ac:dyDescent="0.25">
      <c r="A408" t="s">
        <v>248</v>
      </c>
      <c r="B408" t="s">
        <v>874</v>
      </c>
      <c r="C408" t="s">
        <v>460</v>
      </c>
      <c r="D408" s="1">
        <v>122331</v>
      </c>
      <c r="E408" s="1">
        <v>1422</v>
      </c>
      <c r="F408" s="1">
        <v>0</v>
      </c>
      <c r="G408" s="1">
        <v>0</v>
      </c>
      <c r="H408" s="1">
        <v>0</v>
      </c>
      <c r="I408" s="1">
        <v>384199</v>
      </c>
      <c r="J408" s="1">
        <v>49899</v>
      </c>
    </row>
    <row r="409" spans="1:10" x14ac:dyDescent="0.25">
      <c r="A409" t="s">
        <v>248</v>
      </c>
      <c r="B409" t="s">
        <v>874</v>
      </c>
      <c r="C409" t="s">
        <v>461</v>
      </c>
      <c r="D409" s="1">
        <v>118738</v>
      </c>
      <c r="E409" s="1">
        <v>274</v>
      </c>
      <c r="F409" s="1">
        <v>0</v>
      </c>
      <c r="G409" s="1">
        <v>0</v>
      </c>
      <c r="H409" s="1">
        <v>0</v>
      </c>
      <c r="I409" s="1">
        <v>161622</v>
      </c>
      <c r="J409" s="1">
        <v>20450</v>
      </c>
    </row>
    <row r="410" spans="1:10" x14ac:dyDescent="0.25">
      <c r="A410" t="s">
        <v>226</v>
      </c>
      <c r="B410" t="s">
        <v>874</v>
      </c>
      <c r="C410" t="s">
        <v>462</v>
      </c>
      <c r="D410" s="1">
        <v>27947</v>
      </c>
      <c r="E410" s="1">
        <v>48</v>
      </c>
      <c r="F410" s="1">
        <v>0</v>
      </c>
      <c r="G410" s="1">
        <v>0</v>
      </c>
      <c r="H410" s="1">
        <v>0</v>
      </c>
      <c r="I410" s="1">
        <v>2843</v>
      </c>
      <c r="J410" s="1">
        <v>2347</v>
      </c>
    </row>
    <row r="411" spans="1:10" x14ac:dyDescent="0.25">
      <c r="A411" t="s">
        <v>826</v>
      </c>
      <c r="B411" t="s">
        <v>874</v>
      </c>
      <c r="C411" t="s">
        <v>463</v>
      </c>
      <c r="D411" s="1">
        <v>26793</v>
      </c>
      <c r="E411" s="1">
        <v>1159</v>
      </c>
      <c r="F411" s="1">
        <v>0</v>
      </c>
      <c r="G411" s="1">
        <v>0</v>
      </c>
      <c r="H411" s="1">
        <v>0</v>
      </c>
      <c r="I411" s="1">
        <v>45612</v>
      </c>
      <c r="J411" s="1">
        <v>10227</v>
      </c>
    </row>
    <row r="412" spans="1:10" x14ac:dyDescent="0.25">
      <c r="A412" t="s">
        <v>248</v>
      </c>
      <c r="B412" t="s">
        <v>874</v>
      </c>
      <c r="C412" t="s">
        <v>464</v>
      </c>
      <c r="D412" s="1">
        <v>41870</v>
      </c>
      <c r="E412" s="1">
        <v>138</v>
      </c>
      <c r="F412" s="1">
        <v>0</v>
      </c>
      <c r="G412" s="1">
        <v>0</v>
      </c>
      <c r="H412" s="1">
        <v>0</v>
      </c>
      <c r="I412" s="1">
        <v>64192</v>
      </c>
      <c r="J412" s="1">
        <v>9155</v>
      </c>
    </row>
    <row r="413" spans="1:10" x14ac:dyDescent="0.25">
      <c r="A413" t="s">
        <v>101</v>
      </c>
      <c r="B413" t="s">
        <v>874</v>
      </c>
      <c r="C413" t="s">
        <v>465</v>
      </c>
      <c r="D413" s="1">
        <v>41093</v>
      </c>
      <c r="E413" s="1">
        <v>9</v>
      </c>
      <c r="F413" s="1">
        <v>0</v>
      </c>
      <c r="G413" s="1">
        <v>0</v>
      </c>
      <c r="H413" s="1">
        <v>0</v>
      </c>
      <c r="I413" s="1">
        <v>89475</v>
      </c>
      <c r="J413" s="1">
        <v>12916</v>
      </c>
    </row>
    <row r="414" spans="1:10" x14ac:dyDescent="0.25">
      <c r="A414" t="s">
        <v>865</v>
      </c>
      <c r="B414" t="s">
        <v>874</v>
      </c>
      <c r="C414" t="s">
        <v>466</v>
      </c>
      <c r="D414" s="1">
        <v>112895</v>
      </c>
      <c r="E414" s="1">
        <v>165</v>
      </c>
      <c r="F414" s="1">
        <v>0</v>
      </c>
      <c r="G414" s="1">
        <v>0</v>
      </c>
      <c r="H414" s="1">
        <v>0</v>
      </c>
      <c r="I414" s="1">
        <v>48812</v>
      </c>
      <c r="J414" s="1">
        <v>15761</v>
      </c>
    </row>
    <row r="415" spans="1:10" x14ac:dyDescent="0.25">
      <c r="A415" t="s">
        <v>512</v>
      </c>
      <c r="B415" t="s">
        <v>874</v>
      </c>
      <c r="C415" t="s">
        <v>467</v>
      </c>
      <c r="D415" s="1">
        <v>49524</v>
      </c>
      <c r="E415" s="1">
        <v>88</v>
      </c>
      <c r="F415" s="1">
        <v>0</v>
      </c>
      <c r="G415" s="1">
        <v>0</v>
      </c>
      <c r="H415" s="1">
        <v>0</v>
      </c>
      <c r="I415" s="1">
        <v>28337</v>
      </c>
      <c r="J415" s="1">
        <v>15712</v>
      </c>
    </row>
    <row r="416" spans="1:10" x14ac:dyDescent="0.25">
      <c r="A416" s="27" t="s">
        <v>10</v>
      </c>
      <c r="B416" s="27" t="s">
        <v>874</v>
      </c>
      <c r="C416" s="27" t="s">
        <v>781</v>
      </c>
      <c r="D416" s="32"/>
      <c r="E416" s="32"/>
      <c r="F416" s="32"/>
      <c r="G416" s="32"/>
      <c r="H416" s="32"/>
      <c r="I416" s="32"/>
      <c r="J416" s="32"/>
    </row>
    <row r="417" spans="1:10" x14ac:dyDescent="0.25">
      <c r="A417" t="s">
        <v>868</v>
      </c>
      <c r="B417" t="s">
        <v>874</v>
      </c>
      <c r="C417" t="s">
        <v>468</v>
      </c>
      <c r="D417" s="1">
        <v>28167</v>
      </c>
      <c r="E417" s="1">
        <v>210</v>
      </c>
      <c r="F417" s="1">
        <v>0</v>
      </c>
      <c r="G417" s="1">
        <v>0</v>
      </c>
      <c r="H417" s="1">
        <v>0</v>
      </c>
      <c r="I417" s="1">
        <v>23897</v>
      </c>
      <c r="J417" s="1">
        <v>10524</v>
      </c>
    </row>
    <row r="418" spans="1:10" x14ac:dyDescent="0.25">
      <c r="A418" t="s">
        <v>817</v>
      </c>
      <c r="B418" t="s">
        <v>874</v>
      </c>
      <c r="C418" t="s">
        <v>469</v>
      </c>
      <c r="D418" s="1">
        <v>293587</v>
      </c>
      <c r="E418" s="1">
        <v>336</v>
      </c>
      <c r="F418" s="1">
        <v>0</v>
      </c>
      <c r="G418" s="1">
        <v>0</v>
      </c>
      <c r="H418" s="1">
        <v>0</v>
      </c>
      <c r="I418" s="1">
        <v>78164</v>
      </c>
      <c r="J418" s="1">
        <v>3263</v>
      </c>
    </row>
    <row r="419" spans="1:10" x14ac:dyDescent="0.25">
      <c r="A419" t="s">
        <v>791</v>
      </c>
      <c r="B419" t="s">
        <v>874</v>
      </c>
      <c r="C419" t="s">
        <v>470</v>
      </c>
      <c r="D419" s="1">
        <v>36633</v>
      </c>
      <c r="E419" s="1">
        <v>1201</v>
      </c>
      <c r="F419" s="1">
        <v>0</v>
      </c>
      <c r="G419" s="1">
        <v>0</v>
      </c>
      <c r="H419" s="1">
        <v>0</v>
      </c>
      <c r="I419" s="1">
        <v>14974</v>
      </c>
      <c r="J419" s="1">
        <v>22740</v>
      </c>
    </row>
    <row r="420" spans="1:10" x14ac:dyDescent="0.25">
      <c r="A420" t="s">
        <v>788</v>
      </c>
      <c r="B420" t="s">
        <v>874</v>
      </c>
      <c r="C420" t="s">
        <v>471</v>
      </c>
      <c r="D420" s="1">
        <v>76783</v>
      </c>
      <c r="E420" s="1">
        <v>357</v>
      </c>
      <c r="F420" s="1">
        <v>0</v>
      </c>
      <c r="G420" s="1">
        <v>0</v>
      </c>
      <c r="H420" s="1">
        <v>0</v>
      </c>
      <c r="I420" s="1">
        <v>23114</v>
      </c>
      <c r="J420" s="1">
        <v>17325</v>
      </c>
    </row>
    <row r="421" spans="1:10" x14ac:dyDescent="0.25">
      <c r="A421" t="s">
        <v>795</v>
      </c>
      <c r="B421" t="s">
        <v>874</v>
      </c>
      <c r="C421" t="s">
        <v>472</v>
      </c>
      <c r="D421" s="1">
        <v>66334</v>
      </c>
      <c r="E421" s="1">
        <v>1749</v>
      </c>
      <c r="F421" s="1">
        <v>0</v>
      </c>
      <c r="G421" s="1">
        <v>0</v>
      </c>
      <c r="H421" s="1">
        <v>0</v>
      </c>
      <c r="I421" s="1">
        <v>37972</v>
      </c>
      <c r="J421" s="1">
        <v>19196</v>
      </c>
    </row>
    <row r="422" spans="1:10" x14ac:dyDescent="0.25">
      <c r="A422" t="s">
        <v>788</v>
      </c>
      <c r="B422" t="s">
        <v>874</v>
      </c>
      <c r="C422" t="s">
        <v>473</v>
      </c>
      <c r="D422" s="1">
        <v>102696</v>
      </c>
      <c r="E422" s="1">
        <v>2284</v>
      </c>
      <c r="F422" s="1">
        <v>0</v>
      </c>
      <c r="G422" s="1">
        <v>0</v>
      </c>
      <c r="H422" s="1">
        <v>0</v>
      </c>
      <c r="I422" s="1">
        <v>43876</v>
      </c>
      <c r="J422" s="1">
        <v>30301</v>
      </c>
    </row>
    <row r="423" spans="1:10" x14ac:dyDescent="0.25">
      <c r="A423" t="s">
        <v>817</v>
      </c>
      <c r="B423" t="s">
        <v>874</v>
      </c>
      <c r="C423" t="s">
        <v>474</v>
      </c>
      <c r="D423" s="1">
        <v>85187</v>
      </c>
      <c r="E423" s="1">
        <v>383</v>
      </c>
      <c r="F423" s="1">
        <v>0</v>
      </c>
      <c r="G423" s="1">
        <v>0</v>
      </c>
      <c r="H423" s="1">
        <v>0</v>
      </c>
      <c r="I423" s="1">
        <v>464851</v>
      </c>
      <c r="J423" s="1">
        <v>47699</v>
      </c>
    </row>
    <row r="424" spans="1:10" x14ac:dyDescent="0.25">
      <c r="A424" t="s">
        <v>512</v>
      </c>
      <c r="B424" t="s">
        <v>874</v>
      </c>
      <c r="C424" t="s">
        <v>475</v>
      </c>
      <c r="D424" s="1">
        <v>21223</v>
      </c>
      <c r="E424" s="1">
        <v>146</v>
      </c>
      <c r="F424" s="1">
        <v>0</v>
      </c>
      <c r="G424" s="1">
        <v>0</v>
      </c>
      <c r="H424" s="1">
        <v>0</v>
      </c>
      <c r="I424" s="1">
        <v>26641</v>
      </c>
      <c r="J424" s="1">
        <v>4110</v>
      </c>
    </row>
    <row r="425" spans="1:10" x14ac:dyDescent="0.25">
      <c r="A425" t="s">
        <v>146</v>
      </c>
      <c r="B425" t="s">
        <v>874</v>
      </c>
      <c r="C425" t="s">
        <v>476</v>
      </c>
      <c r="D425" s="1">
        <f>69513+1+6+6+156+1+1+2+1+3+20999+1+1+1191</f>
        <v>91882</v>
      </c>
      <c r="E425" s="1">
        <v>114</v>
      </c>
      <c r="F425" s="1">
        <v>0</v>
      </c>
      <c r="G425" s="1">
        <v>0</v>
      </c>
      <c r="H425" s="1">
        <v>0</v>
      </c>
      <c r="I425" s="1">
        <v>36116</v>
      </c>
      <c r="J425" s="1">
        <v>21374</v>
      </c>
    </row>
    <row r="426" spans="1:10" x14ac:dyDescent="0.25">
      <c r="A426" t="s">
        <v>76</v>
      </c>
      <c r="B426" t="s">
        <v>874</v>
      </c>
      <c r="C426" t="s">
        <v>477</v>
      </c>
      <c r="D426" s="1">
        <v>117760</v>
      </c>
      <c r="E426" s="1">
        <v>1119</v>
      </c>
      <c r="F426" s="1">
        <v>0</v>
      </c>
      <c r="G426" s="1">
        <v>0</v>
      </c>
      <c r="H426" s="1">
        <v>0</v>
      </c>
      <c r="I426" s="1">
        <v>99449</v>
      </c>
      <c r="J426" s="1">
        <v>38630</v>
      </c>
    </row>
    <row r="427" spans="1:10" x14ac:dyDescent="0.25">
      <c r="A427" t="s">
        <v>76</v>
      </c>
      <c r="B427" t="s">
        <v>874</v>
      </c>
      <c r="C427" t="s">
        <v>478</v>
      </c>
      <c r="D427" s="1">
        <v>121452</v>
      </c>
      <c r="E427" s="1">
        <v>771</v>
      </c>
      <c r="F427" s="1">
        <v>0</v>
      </c>
      <c r="G427" s="1">
        <v>0</v>
      </c>
      <c r="H427" s="1">
        <v>0</v>
      </c>
      <c r="I427" s="1">
        <v>49969</v>
      </c>
      <c r="J427" s="1">
        <v>36326</v>
      </c>
    </row>
    <row r="428" spans="1:10" x14ac:dyDescent="0.25">
      <c r="A428" t="s">
        <v>823</v>
      </c>
      <c r="B428" t="s">
        <v>874</v>
      </c>
      <c r="C428" t="s">
        <v>479</v>
      </c>
      <c r="D428" s="1">
        <v>94804</v>
      </c>
      <c r="E428" s="1">
        <v>775</v>
      </c>
      <c r="F428" s="1">
        <v>0</v>
      </c>
      <c r="G428" s="1">
        <v>0</v>
      </c>
      <c r="H428" s="1">
        <v>0</v>
      </c>
      <c r="I428" s="1">
        <v>40888</v>
      </c>
      <c r="J428" s="1">
        <v>19757</v>
      </c>
    </row>
    <row r="429" spans="1:10" x14ac:dyDescent="0.25">
      <c r="A429" t="s">
        <v>83</v>
      </c>
      <c r="B429" t="s">
        <v>874</v>
      </c>
      <c r="C429" t="s">
        <v>480</v>
      </c>
      <c r="D429" s="1">
        <v>35683</v>
      </c>
      <c r="E429" s="1">
        <v>100</v>
      </c>
      <c r="F429" s="1">
        <v>0</v>
      </c>
      <c r="G429" s="1">
        <v>0</v>
      </c>
      <c r="H429" s="1">
        <v>0</v>
      </c>
      <c r="I429" s="1">
        <v>31907</v>
      </c>
      <c r="J429" s="1">
        <v>13943</v>
      </c>
    </row>
    <row r="430" spans="1:10" x14ac:dyDescent="0.25">
      <c r="A430" t="s">
        <v>512</v>
      </c>
      <c r="B430" t="s">
        <v>874</v>
      </c>
      <c r="C430" t="s">
        <v>481</v>
      </c>
      <c r="D430" s="1">
        <v>41992</v>
      </c>
      <c r="E430" s="1">
        <v>346</v>
      </c>
      <c r="F430" s="1">
        <v>0</v>
      </c>
      <c r="G430" s="1">
        <v>0</v>
      </c>
      <c r="H430" s="1">
        <v>0</v>
      </c>
      <c r="I430" s="1">
        <v>5750</v>
      </c>
      <c r="J430" s="1">
        <v>8724</v>
      </c>
    </row>
    <row r="431" spans="1:10" x14ac:dyDescent="0.25">
      <c r="A431" t="s">
        <v>824</v>
      </c>
      <c r="B431" t="s">
        <v>874</v>
      </c>
      <c r="C431" t="s">
        <v>482</v>
      </c>
      <c r="D431" s="1">
        <v>20670</v>
      </c>
      <c r="E431" s="1">
        <v>399</v>
      </c>
      <c r="F431" s="1">
        <v>0</v>
      </c>
      <c r="G431" s="1">
        <v>0</v>
      </c>
      <c r="H431" s="1">
        <v>0</v>
      </c>
      <c r="I431" s="1">
        <v>12917</v>
      </c>
      <c r="J431" s="1">
        <v>6462</v>
      </c>
    </row>
    <row r="432" spans="1:10" x14ac:dyDescent="0.25">
      <c r="A432" t="s">
        <v>72</v>
      </c>
      <c r="B432" t="s">
        <v>874</v>
      </c>
      <c r="C432" t="s">
        <v>483</v>
      </c>
      <c r="D432" s="1">
        <v>60477</v>
      </c>
      <c r="E432" s="1">
        <v>104</v>
      </c>
      <c r="F432" s="1">
        <v>0</v>
      </c>
      <c r="G432" s="1">
        <v>0</v>
      </c>
      <c r="H432" s="1">
        <v>0</v>
      </c>
      <c r="I432" s="1">
        <v>174945</v>
      </c>
      <c r="J432" s="1">
        <v>8093</v>
      </c>
    </row>
    <row r="433" spans="1:10" x14ac:dyDescent="0.25">
      <c r="A433" t="s">
        <v>801</v>
      </c>
      <c r="B433" t="s">
        <v>874</v>
      </c>
      <c r="C433" t="s">
        <v>484</v>
      </c>
      <c r="D433" s="1">
        <v>68755</v>
      </c>
      <c r="E433" s="1">
        <v>25</v>
      </c>
      <c r="F433" s="1">
        <v>0</v>
      </c>
      <c r="G433" s="1">
        <v>0</v>
      </c>
      <c r="H433" s="1">
        <v>0</v>
      </c>
      <c r="I433" s="1">
        <v>211971</v>
      </c>
      <c r="J433" s="1">
        <v>29038</v>
      </c>
    </row>
    <row r="434" spans="1:10" x14ac:dyDescent="0.25">
      <c r="A434" t="s">
        <v>818</v>
      </c>
      <c r="B434" t="s">
        <v>874</v>
      </c>
      <c r="C434" t="s">
        <v>485</v>
      </c>
      <c r="D434" s="1">
        <v>50410</v>
      </c>
      <c r="E434" s="1">
        <v>28</v>
      </c>
      <c r="F434" s="1">
        <v>0</v>
      </c>
      <c r="G434" s="1">
        <v>0</v>
      </c>
      <c r="H434" s="1">
        <v>0</v>
      </c>
      <c r="I434" s="1">
        <v>31173</v>
      </c>
      <c r="J434" s="1">
        <v>12039</v>
      </c>
    </row>
    <row r="435" spans="1:10" x14ac:dyDescent="0.25">
      <c r="A435" t="s">
        <v>797</v>
      </c>
      <c r="B435" t="s">
        <v>874</v>
      </c>
      <c r="C435" t="s">
        <v>486</v>
      </c>
      <c r="D435" s="1">
        <v>90437</v>
      </c>
      <c r="E435" s="1">
        <v>80</v>
      </c>
      <c r="F435" s="1">
        <v>0</v>
      </c>
      <c r="G435" s="1">
        <v>0</v>
      </c>
      <c r="H435" s="1">
        <v>0</v>
      </c>
      <c r="I435" s="1">
        <v>21236</v>
      </c>
      <c r="J435" s="1">
        <v>10735</v>
      </c>
    </row>
    <row r="436" spans="1:10" x14ac:dyDescent="0.25">
      <c r="A436" t="s">
        <v>804</v>
      </c>
      <c r="B436" t="s">
        <v>874</v>
      </c>
      <c r="C436" t="s">
        <v>487</v>
      </c>
      <c r="D436" s="1">
        <v>74597</v>
      </c>
      <c r="E436" s="1">
        <v>23</v>
      </c>
      <c r="F436" s="1">
        <v>0</v>
      </c>
      <c r="G436" s="1">
        <v>0</v>
      </c>
      <c r="H436" s="1">
        <v>0</v>
      </c>
      <c r="I436" s="1">
        <v>39671</v>
      </c>
      <c r="J436" s="1">
        <v>21657</v>
      </c>
    </row>
    <row r="437" spans="1:10" x14ac:dyDescent="0.25">
      <c r="A437" t="s">
        <v>226</v>
      </c>
      <c r="B437" t="s">
        <v>874</v>
      </c>
      <c r="C437" t="s">
        <v>488</v>
      </c>
      <c r="D437" s="1">
        <v>72619</v>
      </c>
      <c r="E437" s="1">
        <v>302</v>
      </c>
      <c r="F437" s="1">
        <v>0</v>
      </c>
      <c r="G437" s="1">
        <v>0</v>
      </c>
      <c r="H437" s="1">
        <v>0</v>
      </c>
      <c r="I437" s="1">
        <v>39790</v>
      </c>
      <c r="J437" s="1">
        <v>18133</v>
      </c>
    </row>
    <row r="438" spans="1:10" x14ac:dyDescent="0.25">
      <c r="A438" t="s">
        <v>265</v>
      </c>
      <c r="B438" t="s">
        <v>874</v>
      </c>
      <c r="C438" t="s">
        <v>489</v>
      </c>
      <c r="D438" s="1">
        <v>44095</v>
      </c>
      <c r="E438" s="1">
        <v>88</v>
      </c>
      <c r="F438" s="1">
        <v>0</v>
      </c>
      <c r="G438" s="1">
        <v>0</v>
      </c>
      <c r="H438" s="1">
        <v>0</v>
      </c>
      <c r="I438" s="1">
        <v>58261</v>
      </c>
      <c r="J438" s="1">
        <v>6546</v>
      </c>
    </row>
    <row r="439" spans="1:10" x14ac:dyDescent="0.25">
      <c r="A439" t="s">
        <v>10</v>
      </c>
      <c r="B439" t="s">
        <v>874</v>
      </c>
      <c r="C439" t="s">
        <v>490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</row>
    <row r="440" spans="1:10" x14ac:dyDescent="0.25">
      <c r="A440" t="s">
        <v>801</v>
      </c>
      <c r="B440" t="s">
        <v>874</v>
      </c>
      <c r="C440" t="s">
        <v>491</v>
      </c>
      <c r="D440" s="1">
        <v>62376</v>
      </c>
      <c r="E440" s="1">
        <v>1500</v>
      </c>
      <c r="F440" s="1">
        <v>0</v>
      </c>
      <c r="G440" s="1">
        <v>0</v>
      </c>
      <c r="H440" s="1">
        <v>0</v>
      </c>
      <c r="I440" s="1">
        <v>125025</v>
      </c>
      <c r="J440" s="1">
        <v>29034</v>
      </c>
    </row>
    <row r="441" spans="1:10" x14ac:dyDescent="0.25">
      <c r="A441" t="s">
        <v>818</v>
      </c>
      <c r="B441" t="s">
        <v>874</v>
      </c>
      <c r="C441" t="s">
        <v>492</v>
      </c>
      <c r="D441" s="1">
        <v>30376</v>
      </c>
      <c r="E441" s="1">
        <v>128</v>
      </c>
      <c r="F441" s="1">
        <v>0</v>
      </c>
      <c r="G441" s="1">
        <v>0</v>
      </c>
      <c r="H441" s="1">
        <v>0</v>
      </c>
      <c r="I441" s="1">
        <v>41888</v>
      </c>
      <c r="J441" s="1">
        <v>7171</v>
      </c>
    </row>
    <row r="442" spans="1:10" x14ac:dyDescent="0.25">
      <c r="A442" t="s">
        <v>791</v>
      </c>
      <c r="B442" t="s">
        <v>874</v>
      </c>
      <c r="C442" t="s">
        <v>493</v>
      </c>
      <c r="D442" s="1">
        <v>32971</v>
      </c>
      <c r="E442" s="1">
        <v>736</v>
      </c>
      <c r="F442" s="1">
        <v>0</v>
      </c>
      <c r="G442" s="1">
        <v>0</v>
      </c>
      <c r="H442" s="1">
        <v>0</v>
      </c>
      <c r="I442" s="1">
        <v>57057</v>
      </c>
      <c r="J442" s="1">
        <v>4539</v>
      </c>
    </row>
    <row r="443" spans="1:10" x14ac:dyDescent="0.25">
      <c r="A443" t="s">
        <v>138</v>
      </c>
      <c r="B443" t="s">
        <v>874</v>
      </c>
      <c r="C443" t="s">
        <v>494</v>
      </c>
      <c r="D443" s="1">
        <v>27189</v>
      </c>
      <c r="E443" s="1">
        <v>57</v>
      </c>
      <c r="F443" s="1">
        <v>0</v>
      </c>
      <c r="G443" s="1">
        <v>0</v>
      </c>
      <c r="H443" s="1">
        <v>0</v>
      </c>
      <c r="I443" s="1">
        <v>60288</v>
      </c>
      <c r="J443" s="1">
        <v>5794</v>
      </c>
    </row>
    <row r="444" spans="1:10" x14ac:dyDescent="0.25">
      <c r="A444" t="s">
        <v>495</v>
      </c>
      <c r="B444" t="s">
        <v>874</v>
      </c>
      <c r="C444" t="s">
        <v>496</v>
      </c>
      <c r="D444" s="1">
        <v>271812</v>
      </c>
      <c r="E444" s="1">
        <v>800</v>
      </c>
      <c r="F444" s="1">
        <v>0</v>
      </c>
      <c r="G444" s="1">
        <v>0</v>
      </c>
      <c r="H444" s="1">
        <v>0</v>
      </c>
      <c r="I444" s="1">
        <v>73237</v>
      </c>
      <c r="J444" s="1">
        <v>73001</v>
      </c>
    </row>
    <row r="445" spans="1:10" x14ac:dyDescent="0.25">
      <c r="A445" t="s">
        <v>791</v>
      </c>
      <c r="B445" t="s">
        <v>874</v>
      </c>
      <c r="C445" t="s">
        <v>497</v>
      </c>
      <c r="D445" s="1">
        <v>22581</v>
      </c>
      <c r="E445" s="1">
        <v>106</v>
      </c>
      <c r="F445" s="1">
        <v>0</v>
      </c>
      <c r="G445" s="1">
        <v>0</v>
      </c>
      <c r="H445" s="1">
        <v>0</v>
      </c>
      <c r="I445" s="1">
        <v>20462</v>
      </c>
      <c r="J445" s="1">
        <v>9332</v>
      </c>
    </row>
    <row r="446" spans="1:10" x14ac:dyDescent="0.25">
      <c r="A446" s="27" t="s">
        <v>10</v>
      </c>
      <c r="B446" s="27" t="s">
        <v>874</v>
      </c>
      <c r="C446" s="27" t="s">
        <v>782</v>
      </c>
      <c r="D446" s="32"/>
      <c r="E446" s="32"/>
      <c r="F446" s="32"/>
      <c r="G446" s="32"/>
      <c r="H446" s="32"/>
      <c r="I446" s="32"/>
      <c r="J446" s="32"/>
    </row>
    <row r="447" spans="1:10" x14ac:dyDescent="0.25">
      <c r="A447" s="27" t="s">
        <v>10</v>
      </c>
      <c r="B447" s="27" t="s">
        <v>874</v>
      </c>
      <c r="C447" s="27" t="s">
        <v>783</v>
      </c>
      <c r="D447" s="32"/>
      <c r="E447" s="32"/>
      <c r="F447" s="32"/>
      <c r="G447" s="32"/>
      <c r="H447" s="32"/>
      <c r="I447" s="32"/>
      <c r="J447" s="32"/>
    </row>
    <row r="448" spans="1:10" x14ac:dyDescent="0.25">
      <c r="A448" s="27" t="s">
        <v>10</v>
      </c>
      <c r="B448" s="27" t="s">
        <v>874</v>
      </c>
      <c r="C448" s="27" t="s">
        <v>784</v>
      </c>
      <c r="D448" s="32"/>
      <c r="E448" s="32"/>
      <c r="F448" s="32"/>
      <c r="G448" s="32"/>
      <c r="H448" s="32"/>
      <c r="I448" s="32"/>
      <c r="J448" s="32"/>
    </row>
    <row r="449" spans="1:10" x14ac:dyDescent="0.25">
      <c r="A449" s="27" t="s">
        <v>10</v>
      </c>
      <c r="B449" s="27" t="s">
        <v>874</v>
      </c>
      <c r="C449" s="27" t="s">
        <v>785</v>
      </c>
      <c r="D449" s="32"/>
      <c r="E449" s="32"/>
      <c r="F449" s="32"/>
      <c r="G449" s="32"/>
      <c r="H449" s="32"/>
      <c r="I449" s="32"/>
      <c r="J449" s="32"/>
    </row>
    <row r="450" spans="1:10" x14ac:dyDescent="0.25">
      <c r="A450" t="s">
        <v>10</v>
      </c>
      <c r="B450" t="s">
        <v>874</v>
      </c>
      <c r="C450" t="s">
        <v>498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</row>
    <row r="451" spans="1:10" x14ac:dyDescent="0.25">
      <c r="A451" s="27" t="s">
        <v>10</v>
      </c>
      <c r="B451" s="27" t="s">
        <v>874</v>
      </c>
      <c r="C451" s="27" t="s">
        <v>786</v>
      </c>
      <c r="D451" s="32"/>
      <c r="E451" s="32"/>
      <c r="F451" s="32"/>
      <c r="G451" s="32"/>
      <c r="H451" s="32"/>
      <c r="I451" s="32"/>
      <c r="J451" s="32"/>
    </row>
    <row r="452" spans="1:10" x14ac:dyDescent="0.25">
      <c r="A452" t="s">
        <v>10</v>
      </c>
      <c r="B452" t="s">
        <v>874</v>
      </c>
      <c r="C452" t="s">
        <v>499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</row>
    <row r="453" spans="1:10" x14ac:dyDescent="0.25">
      <c r="A453" t="s">
        <v>10</v>
      </c>
      <c r="B453" t="s">
        <v>874</v>
      </c>
      <c r="C453" t="s">
        <v>500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</row>
    <row r="454" spans="1:10" x14ac:dyDescent="0.25">
      <c r="A454" t="s">
        <v>76</v>
      </c>
      <c r="B454" t="s">
        <v>878</v>
      </c>
      <c r="C454" t="s">
        <v>501</v>
      </c>
      <c r="D454" s="1">
        <v>16279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</row>
    <row r="455" spans="1:10" x14ac:dyDescent="0.25">
      <c r="A455" t="s">
        <v>231</v>
      </c>
      <c r="B455" t="s">
        <v>878</v>
      </c>
      <c r="C455" t="s">
        <v>502</v>
      </c>
      <c r="D455" s="1">
        <v>3267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</row>
    <row r="456" spans="1:10" x14ac:dyDescent="0.25">
      <c r="A456" t="s">
        <v>831</v>
      </c>
      <c r="B456" t="s">
        <v>878</v>
      </c>
      <c r="C456" t="s">
        <v>503</v>
      </c>
      <c r="D456" s="1">
        <v>1599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</row>
    <row r="457" spans="1:10" x14ac:dyDescent="0.25">
      <c r="A457" t="s">
        <v>76</v>
      </c>
      <c r="B457" t="s">
        <v>878</v>
      </c>
      <c r="C457" t="s">
        <v>504</v>
      </c>
      <c r="D457" s="1">
        <v>35290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</row>
    <row r="458" spans="1:10" x14ac:dyDescent="0.25">
      <c r="A458" t="s">
        <v>817</v>
      </c>
      <c r="B458" t="s">
        <v>878</v>
      </c>
      <c r="C458" t="s">
        <v>505</v>
      </c>
      <c r="D458" s="1">
        <v>10001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</row>
    <row r="459" spans="1:10" x14ac:dyDescent="0.25">
      <c r="A459" s="9" t="s">
        <v>824</v>
      </c>
      <c r="B459" t="s">
        <v>878</v>
      </c>
      <c r="C459" t="s">
        <v>506</v>
      </c>
      <c r="D459" s="1">
        <v>7007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</row>
    <row r="460" spans="1:10" x14ac:dyDescent="0.25">
      <c r="A460" t="s">
        <v>817</v>
      </c>
      <c r="B460" t="s">
        <v>878</v>
      </c>
      <c r="C460" t="s">
        <v>507</v>
      </c>
      <c r="D460" s="1">
        <v>14453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</row>
    <row r="461" spans="1:10" x14ac:dyDescent="0.25">
      <c r="A461" t="s">
        <v>817</v>
      </c>
      <c r="B461" t="s">
        <v>878</v>
      </c>
      <c r="C461" t="s">
        <v>508</v>
      </c>
      <c r="D461" s="1"/>
      <c r="E461" s="1"/>
      <c r="F461" s="1"/>
      <c r="G461" s="1"/>
      <c r="H461" s="1"/>
      <c r="I461" s="1"/>
      <c r="J461" s="1"/>
    </row>
    <row r="462" spans="1:10" x14ac:dyDescent="0.25">
      <c r="A462" t="s">
        <v>801</v>
      </c>
      <c r="B462" t="s">
        <v>878</v>
      </c>
      <c r="C462" t="s">
        <v>509</v>
      </c>
      <c r="D462" s="1">
        <v>767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</row>
    <row r="463" spans="1:10" x14ac:dyDescent="0.25">
      <c r="A463" t="s">
        <v>801</v>
      </c>
      <c r="B463" t="s">
        <v>878</v>
      </c>
      <c r="C463" t="s">
        <v>510</v>
      </c>
      <c r="D463" s="1">
        <v>30208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</row>
    <row r="464" spans="1:10" x14ac:dyDescent="0.25">
      <c r="A464" t="s">
        <v>831</v>
      </c>
      <c r="B464" t="s">
        <v>878</v>
      </c>
      <c r="C464" t="s">
        <v>511</v>
      </c>
      <c r="D464" s="1">
        <v>3552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</row>
    <row r="465" spans="1:10" x14ac:dyDescent="0.25">
      <c r="A465" t="s">
        <v>816</v>
      </c>
      <c r="B465" t="s">
        <v>878</v>
      </c>
      <c r="C465" t="s">
        <v>513</v>
      </c>
      <c r="D465" s="1">
        <v>5359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</row>
    <row r="466" spans="1:10" x14ac:dyDescent="0.25">
      <c r="A466" t="s">
        <v>817</v>
      </c>
      <c r="B466" t="s">
        <v>878</v>
      </c>
      <c r="C466" t="s">
        <v>514</v>
      </c>
      <c r="D466" s="1">
        <v>9099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</row>
    <row r="467" spans="1:10" x14ac:dyDescent="0.25">
      <c r="A467" t="s">
        <v>801</v>
      </c>
      <c r="B467" t="s">
        <v>878</v>
      </c>
      <c r="C467" t="s">
        <v>515</v>
      </c>
      <c r="D467" s="1">
        <v>4205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</row>
    <row r="468" spans="1:10" x14ac:dyDescent="0.25">
      <c r="A468" t="s">
        <v>848</v>
      </c>
      <c r="B468" t="s">
        <v>878</v>
      </c>
      <c r="C468" t="s">
        <v>516</v>
      </c>
      <c r="D468" s="1">
        <v>4997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</row>
    <row r="469" spans="1:10" x14ac:dyDescent="0.25">
      <c r="A469" t="s">
        <v>797</v>
      </c>
      <c r="B469" t="s">
        <v>878</v>
      </c>
      <c r="C469" t="s">
        <v>517</v>
      </c>
      <c r="D469" s="1">
        <v>7580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</row>
    <row r="470" spans="1:10" x14ac:dyDescent="0.25">
      <c r="A470" t="s">
        <v>811</v>
      </c>
      <c r="B470" t="s">
        <v>878</v>
      </c>
      <c r="C470" t="s">
        <v>518</v>
      </c>
      <c r="D470" s="1">
        <v>29970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</row>
    <row r="471" spans="1:10" x14ac:dyDescent="0.25">
      <c r="A471" t="s">
        <v>226</v>
      </c>
      <c r="B471" t="s">
        <v>878</v>
      </c>
      <c r="C471" t="s">
        <v>519</v>
      </c>
      <c r="D471" s="1">
        <v>1653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</row>
    <row r="472" spans="1:10" x14ac:dyDescent="0.25">
      <c r="A472" t="s">
        <v>76</v>
      </c>
      <c r="B472" t="s">
        <v>878</v>
      </c>
      <c r="C472" t="s">
        <v>520</v>
      </c>
      <c r="D472" s="1">
        <v>15562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</row>
    <row r="473" spans="1:10" x14ac:dyDescent="0.25">
      <c r="A473" t="s">
        <v>831</v>
      </c>
      <c r="B473" t="s">
        <v>878</v>
      </c>
      <c r="C473" t="s">
        <v>521</v>
      </c>
      <c r="D473" s="1">
        <v>31648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</row>
    <row r="474" spans="1:10" x14ac:dyDescent="0.25">
      <c r="A474" t="s">
        <v>806</v>
      </c>
      <c r="B474" t="s">
        <v>878</v>
      </c>
      <c r="C474" t="s">
        <v>522</v>
      </c>
      <c r="D474" s="1">
        <v>4218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</row>
    <row r="475" spans="1:10" x14ac:dyDescent="0.25">
      <c r="A475" t="s">
        <v>823</v>
      </c>
      <c r="B475" t="s">
        <v>878</v>
      </c>
      <c r="C475" t="s">
        <v>523</v>
      </c>
      <c r="D475" s="1">
        <v>27849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</row>
    <row r="476" spans="1:10" x14ac:dyDescent="0.25">
      <c r="A476" t="s">
        <v>248</v>
      </c>
      <c r="B476" t="s">
        <v>878</v>
      </c>
      <c r="C476" t="s">
        <v>524</v>
      </c>
      <c r="D476" s="1">
        <v>5970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</row>
    <row r="477" spans="1:10" x14ac:dyDescent="0.25">
      <c r="A477" t="s">
        <v>231</v>
      </c>
      <c r="B477" t="s">
        <v>878</v>
      </c>
      <c r="C477" t="s">
        <v>525</v>
      </c>
      <c r="D477" s="1">
        <v>5763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</row>
    <row r="478" spans="1:10" x14ac:dyDescent="0.25">
      <c r="A478" t="s">
        <v>76</v>
      </c>
      <c r="B478" t="s">
        <v>878</v>
      </c>
      <c r="C478" t="s">
        <v>526</v>
      </c>
      <c r="D478" s="1">
        <v>2688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</row>
    <row r="479" spans="1:10" x14ac:dyDescent="0.25">
      <c r="A479" t="s">
        <v>804</v>
      </c>
      <c r="B479" t="s">
        <v>878</v>
      </c>
      <c r="C479" t="s">
        <v>527</v>
      </c>
      <c r="D479" s="1">
        <v>35917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</row>
    <row r="480" spans="1:10" x14ac:dyDescent="0.25">
      <c r="A480" t="s">
        <v>76</v>
      </c>
      <c r="B480" t="s">
        <v>878</v>
      </c>
      <c r="C480" t="s">
        <v>528</v>
      </c>
      <c r="D480" s="1">
        <v>1280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</row>
    <row r="481" spans="1:10" x14ac:dyDescent="0.25">
      <c r="A481" t="s">
        <v>801</v>
      </c>
      <c r="B481" t="s">
        <v>878</v>
      </c>
      <c r="C481" t="s">
        <v>529</v>
      </c>
      <c r="D481" s="1">
        <v>15081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</row>
    <row r="482" spans="1:10" x14ac:dyDescent="0.25">
      <c r="A482" t="s">
        <v>795</v>
      </c>
      <c r="B482" t="s">
        <v>878</v>
      </c>
      <c r="C482" t="s">
        <v>530</v>
      </c>
      <c r="D482" s="1">
        <v>124489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</row>
    <row r="483" spans="1:10" x14ac:dyDescent="0.25">
      <c r="A483" t="s">
        <v>848</v>
      </c>
      <c r="B483" t="s">
        <v>878</v>
      </c>
      <c r="C483" t="s">
        <v>531</v>
      </c>
      <c r="D483" s="1">
        <v>5079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</row>
    <row r="484" spans="1:10" x14ac:dyDescent="0.25">
      <c r="A484" t="s">
        <v>824</v>
      </c>
      <c r="B484" t="s">
        <v>878</v>
      </c>
      <c r="C484" t="s">
        <v>532</v>
      </c>
      <c r="D484" s="1">
        <v>14177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</row>
    <row r="485" spans="1:10" x14ac:dyDescent="0.25">
      <c r="A485" t="s">
        <v>76</v>
      </c>
      <c r="B485" t="s">
        <v>878</v>
      </c>
      <c r="C485" t="s">
        <v>533</v>
      </c>
      <c r="D485" s="1">
        <v>1797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</row>
    <row r="486" spans="1:10" x14ac:dyDescent="0.25">
      <c r="A486" t="s">
        <v>101</v>
      </c>
      <c r="B486" t="s">
        <v>878</v>
      </c>
      <c r="C486" t="s">
        <v>534</v>
      </c>
      <c r="D486" s="1">
        <v>9581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</row>
    <row r="487" spans="1:10" x14ac:dyDescent="0.25">
      <c r="A487" t="s">
        <v>803</v>
      </c>
      <c r="B487" t="s">
        <v>878</v>
      </c>
      <c r="C487" t="s">
        <v>535</v>
      </c>
      <c r="D487" s="1"/>
      <c r="E487" s="1"/>
      <c r="F487" s="1"/>
      <c r="G487" s="1"/>
      <c r="H487" s="1"/>
      <c r="I487" s="1"/>
      <c r="J487" s="1"/>
    </row>
    <row r="488" spans="1:10" x14ac:dyDescent="0.25">
      <c r="A488" t="s">
        <v>120</v>
      </c>
      <c r="B488" t="s">
        <v>878</v>
      </c>
      <c r="C488" t="s">
        <v>536</v>
      </c>
      <c r="D488" s="1">
        <v>6443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</row>
    <row r="489" spans="1:10" x14ac:dyDescent="0.25">
      <c r="A489" t="s">
        <v>817</v>
      </c>
      <c r="B489" t="s">
        <v>878</v>
      </c>
      <c r="C489" t="s">
        <v>537</v>
      </c>
      <c r="D489" s="1">
        <v>41640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</row>
    <row r="490" spans="1:10" x14ac:dyDescent="0.25">
      <c r="A490" t="s">
        <v>811</v>
      </c>
      <c r="B490" t="s">
        <v>878</v>
      </c>
      <c r="C490" t="s">
        <v>538</v>
      </c>
      <c r="D490" s="1">
        <v>145456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</row>
    <row r="491" spans="1:10" x14ac:dyDescent="0.25">
      <c r="A491" t="s">
        <v>817</v>
      </c>
      <c r="B491" t="s">
        <v>878</v>
      </c>
      <c r="C491" t="s">
        <v>539</v>
      </c>
      <c r="D491" s="1">
        <v>12087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</row>
    <row r="492" spans="1:10" x14ac:dyDescent="0.25">
      <c r="A492" t="s">
        <v>146</v>
      </c>
      <c r="B492" t="s">
        <v>878</v>
      </c>
      <c r="C492" t="s">
        <v>540</v>
      </c>
      <c r="D492" s="1">
        <v>19037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</row>
    <row r="493" spans="1:10" x14ac:dyDescent="0.25">
      <c r="A493" t="s">
        <v>817</v>
      </c>
      <c r="B493" t="s">
        <v>878</v>
      </c>
      <c r="C493" t="s">
        <v>541</v>
      </c>
      <c r="D493" s="1">
        <v>22430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</row>
    <row r="494" spans="1:10" x14ac:dyDescent="0.25">
      <c r="A494" t="s">
        <v>72</v>
      </c>
      <c r="B494" t="s">
        <v>878</v>
      </c>
      <c r="C494" t="s">
        <v>542</v>
      </c>
      <c r="D494" s="1">
        <v>25825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</row>
    <row r="495" spans="1:10" x14ac:dyDescent="0.25">
      <c r="A495" t="s">
        <v>795</v>
      </c>
      <c r="B495" t="s">
        <v>878</v>
      </c>
      <c r="C495" t="s">
        <v>543</v>
      </c>
      <c r="D495" s="1">
        <v>13605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</row>
    <row r="496" spans="1:10" x14ac:dyDescent="0.25">
      <c r="A496" t="s">
        <v>83</v>
      </c>
      <c r="B496" t="s">
        <v>878</v>
      </c>
      <c r="C496" t="s">
        <v>544</v>
      </c>
      <c r="D496" s="1">
        <v>1390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</row>
    <row r="497" spans="1:10" x14ac:dyDescent="0.25">
      <c r="A497" t="s">
        <v>248</v>
      </c>
      <c r="B497" t="s">
        <v>878</v>
      </c>
      <c r="C497" t="s">
        <v>545</v>
      </c>
      <c r="D497" s="1">
        <v>8740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</row>
    <row r="498" spans="1:10" x14ac:dyDescent="0.25">
      <c r="A498" t="s">
        <v>76</v>
      </c>
      <c r="B498" t="s">
        <v>878</v>
      </c>
      <c r="C498" t="s">
        <v>546</v>
      </c>
      <c r="D498" s="1">
        <v>5743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</row>
    <row r="499" spans="1:10" x14ac:dyDescent="0.25">
      <c r="A499" t="s">
        <v>495</v>
      </c>
      <c r="B499" t="s">
        <v>878</v>
      </c>
      <c r="C499" t="s">
        <v>547</v>
      </c>
      <c r="D499" s="1">
        <v>26487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</row>
    <row r="500" spans="1:10" x14ac:dyDescent="0.25">
      <c r="A500" t="s">
        <v>825</v>
      </c>
      <c r="B500" t="s">
        <v>878</v>
      </c>
      <c r="C500" t="s">
        <v>548</v>
      </c>
      <c r="D500" s="1">
        <v>12187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</row>
    <row r="501" spans="1:10" x14ac:dyDescent="0.25">
      <c r="A501" t="s">
        <v>72</v>
      </c>
      <c r="B501" t="s">
        <v>878</v>
      </c>
      <c r="C501" t="s">
        <v>549</v>
      </c>
      <c r="D501" s="1">
        <v>35907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</row>
    <row r="502" spans="1:10" x14ac:dyDescent="0.25">
      <c r="A502" t="s">
        <v>134</v>
      </c>
      <c r="B502" t="s">
        <v>878</v>
      </c>
      <c r="C502" t="s">
        <v>550</v>
      </c>
      <c r="D502" s="1">
        <v>25127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</row>
    <row r="503" spans="1:10" x14ac:dyDescent="0.25">
      <c r="A503" t="s">
        <v>795</v>
      </c>
      <c r="B503" t="s">
        <v>878</v>
      </c>
      <c r="C503" t="s">
        <v>551</v>
      </c>
      <c r="D503" s="1">
        <v>9377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</row>
    <row r="504" spans="1:10" x14ac:dyDescent="0.25">
      <c r="A504" t="s">
        <v>76</v>
      </c>
      <c r="B504" t="s">
        <v>878</v>
      </c>
      <c r="C504" t="s">
        <v>552</v>
      </c>
      <c r="D504" s="1">
        <v>2526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</row>
    <row r="505" spans="1:10" x14ac:dyDescent="0.25">
      <c r="A505" t="s">
        <v>824</v>
      </c>
      <c r="B505" t="s">
        <v>878</v>
      </c>
      <c r="C505" t="s">
        <v>553</v>
      </c>
      <c r="D505" s="1">
        <v>2489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</row>
    <row r="506" spans="1:10" x14ac:dyDescent="0.25">
      <c r="A506" t="s">
        <v>512</v>
      </c>
      <c r="B506" t="s">
        <v>878</v>
      </c>
      <c r="C506" t="s">
        <v>554</v>
      </c>
      <c r="D506" s="1">
        <v>17719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</row>
    <row r="507" spans="1:10" x14ac:dyDescent="0.25">
      <c r="A507" t="s">
        <v>788</v>
      </c>
      <c r="B507" t="s">
        <v>878</v>
      </c>
      <c r="C507" t="s">
        <v>555</v>
      </c>
      <c r="D507" s="1">
        <v>81159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</row>
    <row r="508" spans="1:10" x14ac:dyDescent="0.25">
      <c r="A508" t="s">
        <v>101</v>
      </c>
      <c r="B508" t="s">
        <v>878</v>
      </c>
      <c r="C508" t="s">
        <v>556</v>
      </c>
      <c r="D508" s="1">
        <v>32220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</row>
    <row r="509" spans="1:10" x14ac:dyDescent="0.25">
      <c r="A509" t="s">
        <v>231</v>
      </c>
      <c r="B509" t="s">
        <v>878</v>
      </c>
      <c r="C509" t="s">
        <v>557</v>
      </c>
      <c r="D509" s="1">
        <v>15134</v>
      </c>
      <c r="E509" s="1"/>
      <c r="F509" s="1"/>
      <c r="G509" s="1"/>
      <c r="H509" s="1"/>
      <c r="I509" s="1"/>
      <c r="J509" s="1"/>
    </row>
    <row r="510" spans="1:10" x14ac:dyDescent="0.25">
      <c r="A510" t="s">
        <v>817</v>
      </c>
      <c r="B510" t="s">
        <v>878</v>
      </c>
      <c r="C510" t="s">
        <v>558</v>
      </c>
      <c r="D510" s="1">
        <v>8505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</row>
    <row r="511" spans="1:10" x14ac:dyDescent="0.25">
      <c r="A511" t="s">
        <v>76</v>
      </c>
      <c r="B511" t="s">
        <v>878</v>
      </c>
      <c r="C511" t="s">
        <v>559</v>
      </c>
      <c r="D511" s="1">
        <v>9108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</row>
    <row r="512" spans="1:10" x14ac:dyDescent="0.25">
      <c r="A512" t="s">
        <v>801</v>
      </c>
      <c r="B512" t="s">
        <v>878</v>
      </c>
      <c r="C512" t="s">
        <v>560</v>
      </c>
      <c r="D512" s="1">
        <v>45302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</row>
    <row r="513" spans="1:10" x14ac:dyDescent="0.25">
      <c r="A513" t="s">
        <v>796</v>
      </c>
      <c r="B513" t="s">
        <v>878</v>
      </c>
      <c r="C513" t="s">
        <v>561</v>
      </c>
      <c r="D513" s="1">
        <v>11606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</row>
    <row r="514" spans="1:10" x14ac:dyDescent="0.25">
      <c r="A514" t="s">
        <v>817</v>
      </c>
      <c r="B514" t="s">
        <v>878</v>
      </c>
      <c r="C514" t="s">
        <v>562</v>
      </c>
      <c r="D514" s="1">
        <v>9771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</row>
    <row r="515" spans="1:10" x14ac:dyDescent="0.25">
      <c r="A515" t="s">
        <v>248</v>
      </c>
      <c r="B515" t="s">
        <v>878</v>
      </c>
      <c r="C515" t="s">
        <v>563</v>
      </c>
      <c r="D515" s="1">
        <v>40453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</row>
    <row r="516" spans="1:10" x14ac:dyDescent="0.25">
      <c r="A516" t="s">
        <v>791</v>
      </c>
      <c r="B516" t="s">
        <v>878</v>
      </c>
      <c r="C516" t="s">
        <v>564</v>
      </c>
      <c r="D516" s="1">
        <v>8795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</row>
    <row r="517" spans="1:10" x14ac:dyDescent="0.25">
      <c r="A517" t="s">
        <v>69</v>
      </c>
      <c r="B517" t="s">
        <v>878</v>
      </c>
      <c r="C517" t="s">
        <v>565</v>
      </c>
      <c r="D517" s="1">
        <v>19827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</row>
    <row r="518" spans="1:10" x14ac:dyDescent="0.25">
      <c r="A518" t="s">
        <v>794</v>
      </c>
      <c r="B518" t="s">
        <v>878</v>
      </c>
      <c r="C518" t="s">
        <v>566</v>
      </c>
      <c r="D518" s="1">
        <v>6768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</row>
    <row r="519" spans="1:10" x14ac:dyDescent="0.25">
      <c r="A519" t="s">
        <v>797</v>
      </c>
      <c r="B519" t="s">
        <v>878</v>
      </c>
      <c r="C519" t="s">
        <v>567</v>
      </c>
      <c r="D519" s="1">
        <v>3267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</row>
    <row r="520" spans="1:10" x14ac:dyDescent="0.25">
      <c r="A520" t="s">
        <v>826</v>
      </c>
      <c r="B520" t="s">
        <v>878</v>
      </c>
      <c r="C520" t="s">
        <v>568</v>
      </c>
      <c r="D520" s="1"/>
      <c r="E520" s="1"/>
      <c r="F520" s="1"/>
      <c r="G520" s="1"/>
      <c r="H520" s="1"/>
      <c r="I520" s="1"/>
      <c r="J520" s="1"/>
    </row>
    <row r="521" spans="1:10" x14ac:dyDescent="0.25">
      <c r="A521" t="s">
        <v>864</v>
      </c>
      <c r="B521" t="s">
        <v>878</v>
      </c>
      <c r="C521" t="s">
        <v>569</v>
      </c>
      <c r="D521" s="1">
        <v>27715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</row>
    <row r="522" spans="1:10" x14ac:dyDescent="0.25">
      <c r="A522" t="s">
        <v>826</v>
      </c>
      <c r="B522" t="s">
        <v>878</v>
      </c>
      <c r="C522" t="s">
        <v>570</v>
      </c>
      <c r="D522" s="1">
        <v>2894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</row>
    <row r="523" spans="1:10" x14ac:dyDescent="0.25">
      <c r="A523" t="s">
        <v>72</v>
      </c>
      <c r="B523" t="s">
        <v>878</v>
      </c>
      <c r="C523" t="s">
        <v>571</v>
      </c>
      <c r="D523" s="1">
        <v>24116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</row>
    <row r="524" spans="1:10" x14ac:dyDescent="0.25">
      <c r="A524" t="s">
        <v>801</v>
      </c>
      <c r="B524" t="s">
        <v>878</v>
      </c>
      <c r="C524" t="s">
        <v>572</v>
      </c>
      <c r="D524" s="1">
        <v>28575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</row>
    <row r="525" spans="1:10" x14ac:dyDescent="0.25">
      <c r="A525" t="s">
        <v>859</v>
      </c>
      <c r="B525" t="s">
        <v>878</v>
      </c>
      <c r="C525" t="s">
        <v>573</v>
      </c>
      <c r="D525" s="1">
        <v>9262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</row>
    <row r="526" spans="1:10" x14ac:dyDescent="0.25">
      <c r="A526" t="s">
        <v>816</v>
      </c>
      <c r="B526" t="s">
        <v>878</v>
      </c>
      <c r="C526" t="s">
        <v>574</v>
      </c>
      <c r="D526" s="1">
        <v>27903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</row>
    <row r="527" spans="1:10" x14ac:dyDescent="0.25">
      <c r="A527" t="s">
        <v>864</v>
      </c>
      <c r="B527" t="s">
        <v>878</v>
      </c>
      <c r="C527" t="s">
        <v>575</v>
      </c>
      <c r="D527" s="1">
        <v>30395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</row>
    <row r="528" spans="1:10" x14ac:dyDescent="0.25">
      <c r="A528" t="s">
        <v>146</v>
      </c>
      <c r="B528" t="s">
        <v>878</v>
      </c>
      <c r="C528" t="s">
        <v>576</v>
      </c>
      <c r="D528" s="1">
        <v>7443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</row>
    <row r="529" spans="1:10" x14ac:dyDescent="0.25">
      <c r="A529" t="s">
        <v>794</v>
      </c>
      <c r="B529" t="s">
        <v>878</v>
      </c>
      <c r="C529" t="s">
        <v>577</v>
      </c>
      <c r="D529" s="1">
        <v>45584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</row>
    <row r="530" spans="1:10" x14ac:dyDescent="0.25">
      <c r="A530" t="s">
        <v>146</v>
      </c>
      <c r="B530" t="s">
        <v>878</v>
      </c>
      <c r="C530" t="s">
        <v>578</v>
      </c>
      <c r="D530" s="1">
        <v>29293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</row>
    <row r="531" spans="1:10" x14ac:dyDescent="0.25">
      <c r="A531" t="s">
        <v>832</v>
      </c>
      <c r="B531" t="s">
        <v>878</v>
      </c>
      <c r="C531" t="s">
        <v>579</v>
      </c>
      <c r="D531" s="1">
        <v>9017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</row>
    <row r="532" spans="1:10" x14ac:dyDescent="0.25">
      <c r="A532" t="s">
        <v>839</v>
      </c>
      <c r="B532" t="s">
        <v>878</v>
      </c>
      <c r="C532" t="s">
        <v>580</v>
      </c>
      <c r="D532" s="1">
        <v>38776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</row>
    <row r="533" spans="1:10" x14ac:dyDescent="0.25">
      <c r="A533" t="s">
        <v>794</v>
      </c>
      <c r="B533" t="s">
        <v>878</v>
      </c>
      <c r="C533" t="s">
        <v>581</v>
      </c>
      <c r="D533" s="1">
        <v>84958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</row>
    <row r="534" spans="1:10" x14ac:dyDescent="0.25">
      <c r="A534" t="s">
        <v>794</v>
      </c>
      <c r="B534" t="s">
        <v>878</v>
      </c>
      <c r="C534" t="s">
        <v>582</v>
      </c>
      <c r="D534" s="1">
        <v>27444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</row>
    <row r="535" spans="1:10" x14ac:dyDescent="0.25">
      <c r="A535" t="s">
        <v>794</v>
      </c>
      <c r="B535" t="s">
        <v>878</v>
      </c>
      <c r="C535" t="s">
        <v>583</v>
      </c>
      <c r="D535" s="1">
        <v>17807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</row>
    <row r="536" spans="1:10" x14ac:dyDescent="0.25">
      <c r="A536" t="s">
        <v>120</v>
      </c>
      <c r="B536" t="s">
        <v>878</v>
      </c>
      <c r="C536" t="s">
        <v>584</v>
      </c>
      <c r="D536" s="1">
        <v>2304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</row>
    <row r="537" spans="1:10" x14ac:dyDescent="0.25">
      <c r="A537" t="s">
        <v>837</v>
      </c>
      <c r="B537" t="s">
        <v>878</v>
      </c>
      <c r="C537" t="s">
        <v>585</v>
      </c>
      <c r="D537" s="1">
        <v>10764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</row>
    <row r="538" spans="1:10" x14ac:dyDescent="0.25">
      <c r="A538" t="s">
        <v>859</v>
      </c>
      <c r="B538" t="s">
        <v>878</v>
      </c>
      <c r="C538" t="s">
        <v>586</v>
      </c>
      <c r="D538" s="1">
        <v>23882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</row>
    <row r="539" spans="1:10" x14ac:dyDescent="0.25">
      <c r="A539" t="s">
        <v>836</v>
      </c>
      <c r="B539" t="s">
        <v>878</v>
      </c>
      <c r="C539" t="s">
        <v>587</v>
      </c>
      <c r="D539" s="1">
        <v>31468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</row>
    <row r="540" spans="1:10" x14ac:dyDescent="0.25">
      <c r="A540" t="s">
        <v>844</v>
      </c>
      <c r="B540" t="s">
        <v>878</v>
      </c>
      <c r="C540" t="s">
        <v>588</v>
      </c>
      <c r="D540" s="1">
        <v>17604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</row>
    <row r="541" spans="1:10" x14ac:dyDescent="0.25">
      <c r="A541" t="s">
        <v>838</v>
      </c>
      <c r="B541" t="s">
        <v>878</v>
      </c>
      <c r="C541" t="s">
        <v>589</v>
      </c>
      <c r="D541" s="1">
        <v>11357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</row>
    <row r="542" spans="1:10" x14ac:dyDescent="0.25">
      <c r="A542" t="s">
        <v>833</v>
      </c>
      <c r="B542" t="s">
        <v>878</v>
      </c>
      <c r="C542" t="s">
        <v>590</v>
      </c>
      <c r="D542" s="1">
        <v>18024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</row>
    <row r="543" spans="1:10" x14ac:dyDescent="0.25">
      <c r="A543" t="s">
        <v>845</v>
      </c>
      <c r="B543" t="s">
        <v>878</v>
      </c>
      <c r="C543" t="s">
        <v>591</v>
      </c>
      <c r="D543" s="1">
        <v>3955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</row>
    <row r="544" spans="1:10" x14ac:dyDescent="0.25">
      <c r="A544" t="s">
        <v>794</v>
      </c>
      <c r="B544" t="s">
        <v>878</v>
      </c>
      <c r="C544" t="s">
        <v>592</v>
      </c>
      <c r="D544" s="1">
        <v>6831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</row>
    <row r="545" spans="1:10" x14ac:dyDescent="0.25">
      <c r="A545" t="s">
        <v>843</v>
      </c>
      <c r="B545" t="s">
        <v>878</v>
      </c>
      <c r="C545" t="s">
        <v>593</v>
      </c>
      <c r="D545" s="1">
        <v>3122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</row>
    <row r="546" spans="1:10" x14ac:dyDescent="0.25">
      <c r="A546" t="s">
        <v>863</v>
      </c>
      <c r="B546" t="s">
        <v>878</v>
      </c>
      <c r="C546" t="s">
        <v>594</v>
      </c>
      <c r="D546" s="1">
        <v>9091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</row>
    <row r="547" spans="1:10" x14ac:dyDescent="0.25">
      <c r="A547" t="s">
        <v>804</v>
      </c>
      <c r="B547" t="s">
        <v>878</v>
      </c>
      <c r="C547" t="s">
        <v>595</v>
      </c>
      <c r="D547" s="1">
        <v>3651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</row>
    <row r="548" spans="1:10" x14ac:dyDescent="0.25">
      <c r="A548" t="s">
        <v>795</v>
      </c>
      <c r="B548" t="s">
        <v>878</v>
      </c>
      <c r="C548" t="s">
        <v>596</v>
      </c>
      <c r="D548" s="1">
        <v>18321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</row>
    <row r="549" spans="1:10" x14ac:dyDescent="0.25">
      <c r="A549" t="s">
        <v>101</v>
      </c>
      <c r="B549" t="s">
        <v>878</v>
      </c>
      <c r="C549" t="s">
        <v>597</v>
      </c>
      <c r="D549" s="1">
        <v>21484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</row>
    <row r="550" spans="1:10" x14ac:dyDescent="0.25">
      <c r="A550" t="s">
        <v>835</v>
      </c>
      <c r="B550" t="s">
        <v>878</v>
      </c>
      <c r="C550" t="s">
        <v>598</v>
      </c>
      <c r="D550" s="1">
        <v>7323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</row>
    <row r="551" spans="1:10" x14ac:dyDescent="0.25">
      <c r="A551" t="s">
        <v>842</v>
      </c>
      <c r="B551" t="s">
        <v>878</v>
      </c>
      <c r="C551" t="s">
        <v>599</v>
      </c>
      <c r="D551" s="1">
        <v>5151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</row>
    <row r="552" spans="1:10" x14ac:dyDescent="0.25">
      <c r="A552" t="s">
        <v>226</v>
      </c>
      <c r="B552" t="s">
        <v>878</v>
      </c>
      <c r="C552" t="s">
        <v>600</v>
      </c>
      <c r="D552" s="1">
        <v>3230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</row>
    <row r="553" spans="1:10" x14ac:dyDescent="0.25">
      <c r="A553" t="s">
        <v>817</v>
      </c>
      <c r="B553" t="s">
        <v>878</v>
      </c>
      <c r="C553" t="s">
        <v>601</v>
      </c>
      <c r="D553" s="1">
        <v>19935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</row>
    <row r="554" spans="1:10" x14ac:dyDescent="0.25">
      <c r="A554" t="s">
        <v>788</v>
      </c>
      <c r="B554" t="s">
        <v>878</v>
      </c>
      <c r="C554" t="s">
        <v>602</v>
      </c>
      <c r="D554" s="1">
        <v>34077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</row>
    <row r="555" spans="1:10" x14ac:dyDescent="0.25">
      <c r="A555" t="s">
        <v>859</v>
      </c>
      <c r="B555" t="s">
        <v>878</v>
      </c>
      <c r="C555" t="s">
        <v>603</v>
      </c>
      <c r="D555" s="1">
        <v>7976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</row>
    <row r="556" spans="1:10" x14ac:dyDescent="0.25">
      <c r="A556" t="s">
        <v>831</v>
      </c>
      <c r="B556" t="s">
        <v>878</v>
      </c>
      <c r="C556" t="s">
        <v>604</v>
      </c>
      <c r="D556" s="1">
        <v>16259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</row>
    <row r="557" spans="1:10" x14ac:dyDescent="0.25">
      <c r="A557" t="s">
        <v>809</v>
      </c>
      <c r="B557" t="s">
        <v>878</v>
      </c>
      <c r="C557" t="s">
        <v>605</v>
      </c>
      <c r="D557" s="1">
        <v>10078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</row>
    <row r="558" spans="1:10" x14ac:dyDescent="0.25">
      <c r="A558" t="s">
        <v>817</v>
      </c>
      <c r="B558" t="s">
        <v>878</v>
      </c>
      <c r="C558" t="s">
        <v>606</v>
      </c>
      <c r="D558" s="1">
        <v>84828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</row>
    <row r="559" spans="1:10" x14ac:dyDescent="0.25">
      <c r="A559" t="s">
        <v>824</v>
      </c>
      <c r="B559" t="s">
        <v>878</v>
      </c>
      <c r="C559" t="s">
        <v>607</v>
      </c>
      <c r="D559" s="1">
        <v>7332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</row>
    <row r="560" spans="1:10" x14ac:dyDescent="0.25">
      <c r="A560" t="s">
        <v>138</v>
      </c>
      <c r="B560" t="s">
        <v>878</v>
      </c>
      <c r="C560" t="s">
        <v>608</v>
      </c>
      <c r="D560" s="1">
        <v>32008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</row>
    <row r="561" spans="1:10" x14ac:dyDescent="0.25">
      <c r="A561" t="s">
        <v>859</v>
      </c>
      <c r="B561" t="s">
        <v>878</v>
      </c>
      <c r="C561" t="s">
        <v>609</v>
      </c>
      <c r="D561" s="1">
        <v>7749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</row>
    <row r="562" spans="1:10" x14ac:dyDescent="0.25">
      <c r="A562" t="s">
        <v>817</v>
      </c>
      <c r="B562" t="s">
        <v>878</v>
      </c>
      <c r="C562" t="s">
        <v>610</v>
      </c>
      <c r="D562" s="1">
        <v>58541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</row>
    <row r="563" spans="1:10" x14ac:dyDescent="0.25">
      <c r="A563" t="s">
        <v>817</v>
      </c>
      <c r="B563" t="s">
        <v>878</v>
      </c>
      <c r="C563" t="s">
        <v>611</v>
      </c>
      <c r="D563" s="1">
        <v>11214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</row>
    <row r="564" spans="1:10" x14ac:dyDescent="0.25">
      <c r="A564" t="s">
        <v>134</v>
      </c>
      <c r="B564" t="s">
        <v>878</v>
      </c>
      <c r="C564" t="s">
        <v>612</v>
      </c>
      <c r="D564" s="1">
        <v>44681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</row>
    <row r="565" spans="1:10" x14ac:dyDescent="0.25">
      <c r="A565" t="s">
        <v>817</v>
      </c>
      <c r="B565" t="s">
        <v>878</v>
      </c>
      <c r="C565" t="s">
        <v>613</v>
      </c>
      <c r="D565" s="1">
        <v>58179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</row>
    <row r="566" spans="1:10" x14ac:dyDescent="0.25">
      <c r="A566" t="s">
        <v>817</v>
      </c>
      <c r="B566" t="s">
        <v>878</v>
      </c>
      <c r="C566" t="s">
        <v>614</v>
      </c>
      <c r="D566" s="1">
        <v>7063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</row>
    <row r="567" spans="1:10" x14ac:dyDescent="0.25">
      <c r="A567" t="s">
        <v>826</v>
      </c>
      <c r="B567" t="s">
        <v>878</v>
      </c>
      <c r="C567" t="s">
        <v>615</v>
      </c>
      <c r="D567" s="1">
        <v>9157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</row>
    <row r="568" spans="1:10" x14ac:dyDescent="0.25">
      <c r="A568" t="s">
        <v>101</v>
      </c>
      <c r="B568" t="s">
        <v>878</v>
      </c>
      <c r="C568" t="s">
        <v>616</v>
      </c>
      <c r="D568" s="1">
        <v>14038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</row>
    <row r="569" spans="1:10" x14ac:dyDescent="0.25">
      <c r="A569" t="s">
        <v>811</v>
      </c>
      <c r="B569" t="s">
        <v>878</v>
      </c>
      <c r="C569" t="s">
        <v>617</v>
      </c>
      <c r="D569" s="1">
        <v>7159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</row>
    <row r="570" spans="1:10" x14ac:dyDescent="0.25">
      <c r="A570" t="s">
        <v>101</v>
      </c>
      <c r="B570" t="s">
        <v>878</v>
      </c>
      <c r="C570" t="s">
        <v>618</v>
      </c>
      <c r="D570" s="1">
        <v>4879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</row>
    <row r="571" spans="1:10" x14ac:dyDescent="0.25">
      <c r="A571" t="s">
        <v>788</v>
      </c>
      <c r="B571" t="s">
        <v>878</v>
      </c>
      <c r="C571" t="s">
        <v>619</v>
      </c>
      <c r="D571" s="1">
        <v>21179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</row>
    <row r="572" spans="1:10" x14ac:dyDescent="0.25">
      <c r="A572" t="s">
        <v>817</v>
      </c>
      <c r="B572" t="s">
        <v>878</v>
      </c>
      <c r="C572" t="s">
        <v>620</v>
      </c>
      <c r="D572" s="1">
        <v>20262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</row>
    <row r="573" spans="1:10" x14ac:dyDescent="0.25">
      <c r="A573" t="s">
        <v>248</v>
      </c>
      <c r="B573" t="s">
        <v>878</v>
      </c>
      <c r="C573" t="s">
        <v>621</v>
      </c>
      <c r="D573" s="1">
        <v>10791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</row>
    <row r="574" spans="1:10" x14ac:dyDescent="0.25">
      <c r="A574" t="s">
        <v>831</v>
      </c>
      <c r="B574" t="s">
        <v>878</v>
      </c>
      <c r="C574" t="s">
        <v>622</v>
      </c>
      <c r="D574" s="1">
        <v>31706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</row>
    <row r="575" spans="1:10" x14ac:dyDescent="0.25">
      <c r="A575" t="s">
        <v>823</v>
      </c>
      <c r="B575" t="s">
        <v>878</v>
      </c>
      <c r="C575" t="s">
        <v>623</v>
      </c>
      <c r="D575" s="1">
        <v>23355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</row>
    <row r="576" spans="1:10" x14ac:dyDescent="0.25">
      <c r="A576" t="s">
        <v>817</v>
      </c>
      <c r="B576" t="s">
        <v>878</v>
      </c>
      <c r="C576" t="s">
        <v>624</v>
      </c>
      <c r="D576" s="1"/>
      <c r="E576" s="1"/>
      <c r="F576" s="1"/>
      <c r="G576" s="1"/>
      <c r="H576" s="1"/>
      <c r="I576" s="1"/>
      <c r="J576" s="1"/>
    </row>
    <row r="577" spans="1:10" x14ac:dyDescent="0.25">
      <c r="A577" t="s">
        <v>76</v>
      </c>
      <c r="B577" t="s">
        <v>878</v>
      </c>
      <c r="C577" t="s">
        <v>625</v>
      </c>
      <c r="D577" s="1">
        <v>23454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</row>
    <row r="578" spans="1:10" x14ac:dyDescent="0.25">
      <c r="A578" t="s">
        <v>69</v>
      </c>
      <c r="B578" t="s">
        <v>878</v>
      </c>
      <c r="C578" t="s">
        <v>626</v>
      </c>
      <c r="D578" s="1">
        <v>55505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</row>
    <row r="579" spans="1:10" x14ac:dyDescent="0.25">
      <c r="A579" t="s">
        <v>83</v>
      </c>
      <c r="B579" t="s">
        <v>878</v>
      </c>
      <c r="C579" t="s">
        <v>627</v>
      </c>
      <c r="D579" s="1">
        <v>8257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</row>
    <row r="580" spans="1:10" x14ac:dyDescent="0.25">
      <c r="A580" t="s">
        <v>791</v>
      </c>
      <c r="B580" t="s">
        <v>878</v>
      </c>
      <c r="C580" t="s">
        <v>628</v>
      </c>
      <c r="D580" s="1">
        <v>5018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</row>
    <row r="581" spans="1:10" x14ac:dyDescent="0.25">
      <c r="A581" t="s">
        <v>797</v>
      </c>
      <c r="B581" t="s">
        <v>878</v>
      </c>
      <c r="C581" t="s">
        <v>629</v>
      </c>
      <c r="D581" s="1">
        <v>1052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</row>
    <row r="582" spans="1:10" x14ac:dyDescent="0.25">
      <c r="A582" t="s">
        <v>69</v>
      </c>
      <c r="B582" t="s">
        <v>878</v>
      </c>
      <c r="C582" t="s">
        <v>630</v>
      </c>
      <c r="D582" s="1">
        <v>23431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</row>
    <row r="583" spans="1:10" x14ac:dyDescent="0.25">
      <c r="A583" t="s">
        <v>69</v>
      </c>
      <c r="B583" t="s">
        <v>878</v>
      </c>
      <c r="C583" t="s">
        <v>631</v>
      </c>
      <c r="D583" s="1">
        <v>40448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</row>
    <row r="584" spans="1:10" x14ac:dyDescent="0.25">
      <c r="A584" t="s">
        <v>823</v>
      </c>
      <c r="B584" t="s">
        <v>878</v>
      </c>
      <c r="C584" t="s">
        <v>632</v>
      </c>
      <c r="D584" s="1">
        <v>11329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</row>
    <row r="585" spans="1:10" x14ac:dyDescent="0.25">
      <c r="A585" t="s">
        <v>76</v>
      </c>
      <c r="B585" t="s">
        <v>878</v>
      </c>
      <c r="C585" t="s">
        <v>633</v>
      </c>
      <c r="D585" s="1">
        <v>14704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</row>
    <row r="586" spans="1:10" x14ac:dyDescent="0.25">
      <c r="A586" t="s">
        <v>817</v>
      </c>
      <c r="B586" t="s">
        <v>878</v>
      </c>
      <c r="C586" t="s">
        <v>634</v>
      </c>
      <c r="D586" s="1"/>
      <c r="E586" s="1"/>
      <c r="F586" s="1"/>
      <c r="G586" s="1"/>
      <c r="H586" s="1"/>
      <c r="I586" s="1"/>
      <c r="J586" s="1"/>
    </row>
    <row r="587" spans="1:10" x14ac:dyDescent="0.25">
      <c r="A587" t="s">
        <v>801</v>
      </c>
      <c r="B587" t="s">
        <v>878</v>
      </c>
      <c r="C587" t="s">
        <v>635</v>
      </c>
      <c r="D587" s="1">
        <v>57261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</row>
    <row r="588" spans="1:10" x14ac:dyDescent="0.25">
      <c r="A588" t="s">
        <v>817</v>
      </c>
      <c r="B588" t="s">
        <v>878</v>
      </c>
      <c r="C588" t="s">
        <v>636</v>
      </c>
      <c r="D588" s="1">
        <v>11744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</row>
    <row r="589" spans="1:10" x14ac:dyDescent="0.25">
      <c r="A589" t="s">
        <v>824</v>
      </c>
      <c r="B589" t="s">
        <v>878</v>
      </c>
      <c r="C589" t="s">
        <v>637</v>
      </c>
      <c r="D589" s="1">
        <v>11505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</row>
    <row r="590" spans="1:10" x14ac:dyDescent="0.25">
      <c r="A590" t="s">
        <v>818</v>
      </c>
      <c r="B590" t="s">
        <v>878</v>
      </c>
      <c r="C590" t="s">
        <v>638</v>
      </c>
      <c r="D590" s="1">
        <v>30105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</row>
    <row r="591" spans="1:10" x14ac:dyDescent="0.25">
      <c r="A591" t="s">
        <v>817</v>
      </c>
      <c r="B591" t="s">
        <v>878</v>
      </c>
      <c r="C591" t="s">
        <v>639</v>
      </c>
      <c r="D591" s="1">
        <v>20320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</row>
    <row r="592" spans="1:10" x14ac:dyDescent="0.25">
      <c r="A592" t="s">
        <v>811</v>
      </c>
      <c r="B592" t="s">
        <v>878</v>
      </c>
      <c r="C592" t="s">
        <v>640</v>
      </c>
      <c r="D592" s="1">
        <v>117318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</row>
    <row r="593" spans="1:10" x14ac:dyDescent="0.25">
      <c r="A593" t="s">
        <v>811</v>
      </c>
      <c r="B593" t="s">
        <v>878</v>
      </c>
      <c r="C593" t="s">
        <v>641</v>
      </c>
      <c r="D593" s="1">
        <v>28913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</row>
    <row r="594" spans="1:10" x14ac:dyDescent="0.25">
      <c r="A594" t="s">
        <v>76</v>
      </c>
      <c r="B594" t="s">
        <v>878</v>
      </c>
      <c r="C594" t="s">
        <v>642</v>
      </c>
      <c r="D594" s="1">
        <v>10410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</row>
    <row r="595" spans="1:10" x14ac:dyDescent="0.25">
      <c r="A595" t="s">
        <v>859</v>
      </c>
      <c r="B595" t="s">
        <v>878</v>
      </c>
      <c r="C595" t="s">
        <v>643</v>
      </c>
      <c r="D595" s="1">
        <v>1815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</row>
    <row r="596" spans="1:10" x14ac:dyDescent="0.25">
      <c r="A596" t="s">
        <v>76</v>
      </c>
      <c r="B596" t="s">
        <v>878</v>
      </c>
      <c r="C596" t="s">
        <v>644</v>
      </c>
      <c r="D596" s="1">
        <v>7529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</row>
    <row r="597" spans="1:10" x14ac:dyDescent="0.25">
      <c r="A597" t="s">
        <v>817</v>
      </c>
      <c r="B597" t="s">
        <v>878</v>
      </c>
      <c r="C597" t="s">
        <v>645</v>
      </c>
      <c r="D597" s="1">
        <v>33836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</row>
    <row r="598" spans="1:10" x14ac:dyDescent="0.25">
      <c r="A598" t="s">
        <v>817</v>
      </c>
      <c r="B598" t="s">
        <v>878</v>
      </c>
      <c r="C598" t="s">
        <v>646</v>
      </c>
      <c r="D598" s="1">
        <v>15810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</row>
    <row r="599" spans="1:10" x14ac:dyDescent="0.25">
      <c r="A599" t="s">
        <v>226</v>
      </c>
      <c r="B599" t="s">
        <v>878</v>
      </c>
      <c r="C599" t="s">
        <v>647</v>
      </c>
      <c r="D599" s="1">
        <v>720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</row>
    <row r="600" spans="1:10" x14ac:dyDescent="0.25">
      <c r="A600" t="s">
        <v>831</v>
      </c>
      <c r="B600" t="s">
        <v>878</v>
      </c>
      <c r="C600" t="s">
        <v>648</v>
      </c>
      <c r="D600" s="1">
        <v>27896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</row>
    <row r="601" spans="1:10" x14ac:dyDescent="0.25">
      <c r="A601" t="s">
        <v>818</v>
      </c>
      <c r="B601" t="s">
        <v>878</v>
      </c>
      <c r="C601" t="s">
        <v>649</v>
      </c>
      <c r="D601" s="1">
        <v>12882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</row>
    <row r="602" spans="1:10" x14ac:dyDescent="0.25">
      <c r="A602" t="s">
        <v>817</v>
      </c>
      <c r="B602" t="s">
        <v>878</v>
      </c>
      <c r="C602" t="s">
        <v>650</v>
      </c>
      <c r="D602" s="1">
        <v>28733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</row>
    <row r="603" spans="1:10" x14ac:dyDescent="0.25">
      <c r="A603" t="s">
        <v>817</v>
      </c>
      <c r="B603" t="s">
        <v>878</v>
      </c>
      <c r="C603" t="s">
        <v>651</v>
      </c>
      <c r="D603" s="1">
        <v>13348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</row>
    <row r="604" spans="1:10" x14ac:dyDescent="0.25">
      <c r="A604" t="s">
        <v>817</v>
      </c>
      <c r="B604" t="s">
        <v>878</v>
      </c>
      <c r="C604" t="s">
        <v>652</v>
      </c>
      <c r="D604" s="1"/>
      <c r="E604" s="1"/>
      <c r="F604" s="1"/>
      <c r="G604" s="1"/>
      <c r="H604" s="1"/>
      <c r="I604" s="1"/>
      <c r="J604" s="1"/>
    </row>
    <row r="605" spans="1:10" x14ac:dyDescent="0.25">
      <c r="A605" t="s">
        <v>817</v>
      </c>
      <c r="B605" t="s">
        <v>878</v>
      </c>
      <c r="C605" t="s">
        <v>653</v>
      </c>
      <c r="D605" s="1">
        <v>44631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</row>
    <row r="606" spans="1:10" x14ac:dyDescent="0.25">
      <c r="A606" t="s">
        <v>817</v>
      </c>
      <c r="B606" t="s">
        <v>878</v>
      </c>
      <c r="C606" t="s">
        <v>654</v>
      </c>
      <c r="D606" s="1">
        <v>36586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</row>
    <row r="607" spans="1:10" x14ac:dyDescent="0.25">
      <c r="A607" t="s">
        <v>826</v>
      </c>
      <c r="B607" t="s">
        <v>878</v>
      </c>
      <c r="C607" t="s">
        <v>655</v>
      </c>
      <c r="D607" s="1">
        <v>24270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</row>
    <row r="608" spans="1:10" x14ac:dyDescent="0.25">
      <c r="A608" t="s">
        <v>817</v>
      </c>
      <c r="B608" t="s">
        <v>878</v>
      </c>
      <c r="C608" t="s">
        <v>656</v>
      </c>
      <c r="D608" s="1">
        <v>7837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</row>
    <row r="609" spans="1:10" x14ac:dyDescent="0.25">
      <c r="A609" t="s">
        <v>811</v>
      </c>
      <c r="B609" t="s">
        <v>878</v>
      </c>
      <c r="C609" t="s">
        <v>657</v>
      </c>
      <c r="D609" s="1">
        <v>46878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</row>
    <row r="610" spans="1:10" x14ac:dyDescent="0.25">
      <c r="A610" t="s">
        <v>817</v>
      </c>
      <c r="B610" t="s">
        <v>878</v>
      </c>
      <c r="C610" t="s">
        <v>658</v>
      </c>
      <c r="D610" s="1">
        <v>45401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</row>
    <row r="611" spans="1:10" x14ac:dyDescent="0.25">
      <c r="A611" t="s">
        <v>860</v>
      </c>
      <c r="B611" t="s">
        <v>878</v>
      </c>
      <c r="C611" t="s">
        <v>659</v>
      </c>
      <c r="D611" s="1">
        <v>8675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</row>
    <row r="612" spans="1:10" x14ac:dyDescent="0.25">
      <c r="A612" t="s">
        <v>248</v>
      </c>
      <c r="B612" t="s">
        <v>878</v>
      </c>
      <c r="C612" t="s">
        <v>660</v>
      </c>
      <c r="D612" s="1">
        <v>14141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</row>
    <row r="613" spans="1:10" x14ac:dyDescent="0.25">
      <c r="A613" t="s">
        <v>861</v>
      </c>
      <c r="B613" t="s">
        <v>878</v>
      </c>
      <c r="C613" t="s">
        <v>661</v>
      </c>
      <c r="D613" s="1">
        <v>9002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</row>
    <row r="614" spans="1:10" x14ac:dyDescent="0.25">
      <c r="A614" t="s">
        <v>229</v>
      </c>
      <c r="B614" t="s">
        <v>878</v>
      </c>
      <c r="C614" t="s">
        <v>662</v>
      </c>
      <c r="D614" s="1">
        <v>9779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</row>
    <row r="615" spans="1:10" x14ac:dyDescent="0.25">
      <c r="A615" t="s">
        <v>101</v>
      </c>
      <c r="B615" t="s">
        <v>878</v>
      </c>
      <c r="C615" t="s">
        <v>663</v>
      </c>
      <c r="D615" s="1">
        <v>8648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</row>
    <row r="616" spans="1:10" x14ac:dyDescent="0.25">
      <c r="A616" t="s">
        <v>69</v>
      </c>
      <c r="B616" t="s">
        <v>878</v>
      </c>
      <c r="C616" t="s">
        <v>664</v>
      </c>
      <c r="D616" s="1">
        <v>18344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</row>
    <row r="617" spans="1:10" x14ac:dyDescent="0.25">
      <c r="A617" t="s">
        <v>859</v>
      </c>
      <c r="B617" t="s">
        <v>878</v>
      </c>
      <c r="C617" t="s">
        <v>665</v>
      </c>
      <c r="D617" s="1">
        <v>14666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</row>
    <row r="618" spans="1:10" x14ac:dyDescent="0.25">
      <c r="A618" t="s">
        <v>804</v>
      </c>
      <c r="B618" t="s">
        <v>878</v>
      </c>
      <c r="C618" t="s">
        <v>666</v>
      </c>
      <c r="D618" s="1">
        <v>39967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</row>
    <row r="619" spans="1:10" x14ac:dyDescent="0.25">
      <c r="A619" t="s">
        <v>853</v>
      </c>
      <c r="B619" t="s">
        <v>878</v>
      </c>
      <c r="C619" t="s">
        <v>667</v>
      </c>
      <c r="D619" s="1">
        <v>4963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</row>
    <row r="620" spans="1:10" x14ac:dyDescent="0.25">
      <c r="A620" t="s">
        <v>862</v>
      </c>
      <c r="B620" t="s">
        <v>878</v>
      </c>
      <c r="C620" t="s">
        <v>668</v>
      </c>
      <c r="D620" s="1">
        <v>11032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</row>
    <row r="621" spans="1:10" x14ac:dyDescent="0.25">
      <c r="A621" t="s">
        <v>847</v>
      </c>
      <c r="B621" t="s">
        <v>878</v>
      </c>
      <c r="C621" t="s">
        <v>669</v>
      </c>
      <c r="D621" s="1">
        <v>5842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</row>
    <row r="622" spans="1:10" x14ac:dyDescent="0.25">
      <c r="A622" t="s">
        <v>849</v>
      </c>
      <c r="B622" t="s">
        <v>878</v>
      </c>
      <c r="C622" t="s">
        <v>670</v>
      </c>
      <c r="D622" s="1">
        <v>2979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</row>
    <row r="623" spans="1:10" x14ac:dyDescent="0.25">
      <c r="A623" t="s">
        <v>226</v>
      </c>
      <c r="B623" t="s">
        <v>878</v>
      </c>
      <c r="C623" t="s">
        <v>671</v>
      </c>
      <c r="D623" s="1">
        <v>576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</row>
    <row r="624" spans="1:10" x14ac:dyDescent="0.25">
      <c r="A624" t="s">
        <v>795</v>
      </c>
      <c r="B624" t="s">
        <v>878</v>
      </c>
      <c r="C624" t="s">
        <v>672</v>
      </c>
      <c r="D624" s="1">
        <v>34397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</row>
    <row r="625" spans="1:10" x14ac:dyDescent="0.25">
      <c r="A625" t="s">
        <v>830</v>
      </c>
      <c r="B625" t="s">
        <v>878</v>
      </c>
      <c r="C625" t="s">
        <v>673</v>
      </c>
      <c r="D625" s="1">
        <v>10614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</row>
    <row r="626" spans="1:10" x14ac:dyDescent="0.25">
      <c r="A626" t="s">
        <v>795</v>
      </c>
      <c r="B626" t="s">
        <v>878</v>
      </c>
      <c r="C626" t="s">
        <v>674</v>
      </c>
      <c r="D626" s="1">
        <v>30028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</row>
    <row r="627" spans="1:10" x14ac:dyDescent="0.25">
      <c r="A627" t="s">
        <v>854</v>
      </c>
      <c r="B627" t="s">
        <v>878</v>
      </c>
      <c r="C627" t="s">
        <v>675</v>
      </c>
      <c r="D627" s="1">
        <v>7776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</row>
    <row r="628" spans="1:10" x14ac:dyDescent="0.25">
      <c r="A628" t="s">
        <v>101</v>
      </c>
      <c r="B628" t="s">
        <v>878</v>
      </c>
      <c r="C628" t="s">
        <v>676</v>
      </c>
      <c r="D628" s="1">
        <v>23442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</row>
    <row r="629" spans="1:10" x14ac:dyDescent="0.25">
      <c r="A629" t="s">
        <v>226</v>
      </c>
      <c r="B629" t="s">
        <v>878</v>
      </c>
      <c r="C629" t="s">
        <v>677</v>
      </c>
      <c r="D629" s="1">
        <v>5595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</row>
    <row r="630" spans="1:10" x14ac:dyDescent="0.25">
      <c r="A630" t="s">
        <v>138</v>
      </c>
      <c r="B630" t="s">
        <v>878</v>
      </c>
      <c r="C630" t="s">
        <v>678</v>
      </c>
      <c r="D630" s="1"/>
      <c r="E630" s="1"/>
      <c r="F630" s="1"/>
      <c r="G630" s="1"/>
      <c r="H630" s="1"/>
      <c r="I630" s="1"/>
      <c r="J630" s="1"/>
    </row>
    <row r="631" spans="1:10" x14ac:dyDescent="0.25">
      <c r="A631" t="s">
        <v>804</v>
      </c>
      <c r="B631" t="s">
        <v>878</v>
      </c>
      <c r="C631" t="s">
        <v>679</v>
      </c>
      <c r="D631" s="1">
        <v>59006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</row>
    <row r="632" spans="1:10" x14ac:dyDescent="0.25">
      <c r="A632" t="s">
        <v>823</v>
      </c>
      <c r="B632" t="s">
        <v>878</v>
      </c>
      <c r="C632" t="s">
        <v>680</v>
      </c>
      <c r="D632" s="1">
        <v>39281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</row>
    <row r="633" spans="1:10" x14ac:dyDescent="0.25">
      <c r="A633" t="s">
        <v>809</v>
      </c>
      <c r="B633" t="s">
        <v>878</v>
      </c>
      <c r="C633" t="s">
        <v>681</v>
      </c>
      <c r="D633" s="1">
        <v>50635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</row>
    <row r="634" spans="1:10" x14ac:dyDescent="0.25">
      <c r="A634" t="s">
        <v>248</v>
      </c>
      <c r="B634" t="s">
        <v>878</v>
      </c>
      <c r="C634" t="s">
        <v>682</v>
      </c>
      <c r="D634" s="1">
        <v>21941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</row>
    <row r="635" spans="1:10" x14ac:dyDescent="0.25">
      <c r="A635" t="s">
        <v>795</v>
      </c>
      <c r="B635" t="s">
        <v>878</v>
      </c>
      <c r="C635" t="s">
        <v>683</v>
      </c>
      <c r="D635" s="1">
        <v>27736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</row>
    <row r="636" spans="1:10" x14ac:dyDescent="0.25">
      <c r="A636" t="s">
        <v>795</v>
      </c>
      <c r="B636" t="s">
        <v>878</v>
      </c>
      <c r="C636" t="s">
        <v>684</v>
      </c>
      <c r="D636" s="1">
        <v>77582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</row>
    <row r="637" spans="1:10" x14ac:dyDescent="0.25">
      <c r="A637" t="s">
        <v>795</v>
      </c>
      <c r="B637" t="s">
        <v>878</v>
      </c>
      <c r="C637" t="s">
        <v>685</v>
      </c>
      <c r="D637" s="1">
        <v>15443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</row>
    <row r="638" spans="1:10" x14ac:dyDescent="0.25">
      <c r="A638" t="s">
        <v>851</v>
      </c>
      <c r="B638" t="s">
        <v>878</v>
      </c>
      <c r="C638" t="s">
        <v>686</v>
      </c>
      <c r="D638" s="1">
        <v>4456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</row>
    <row r="639" spans="1:10" x14ac:dyDescent="0.25">
      <c r="A639" t="s">
        <v>841</v>
      </c>
      <c r="B639" t="s">
        <v>878</v>
      </c>
      <c r="C639" t="s">
        <v>687</v>
      </c>
      <c r="D639" s="1">
        <v>12693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</row>
    <row r="640" spans="1:10" x14ac:dyDescent="0.25">
      <c r="A640" t="s">
        <v>859</v>
      </c>
      <c r="B640" t="s">
        <v>878</v>
      </c>
      <c r="C640" t="s">
        <v>688</v>
      </c>
      <c r="D640" s="1">
        <v>5952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</row>
    <row r="641" spans="1:10" x14ac:dyDescent="0.25">
      <c r="A641" t="s">
        <v>248</v>
      </c>
      <c r="B641" t="s">
        <v>878</v>
      </c>
      <c r="C641" t="s">
        <v>689</v>
      </c>
      <c r="D641" s="1">
        <v>41570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</row>
    <row r="642" spans="1:10" x14ac:dyDescent="0.25">
      <c r="A642" t="s">
        <v>831</v>
      </c>
      <c r="B642" t="s">
        <v>878</v>
      </c>
      <c r="C642" t="s">
        <v>690</v>
      </c>
      <c r="D642" s="1">
        <v>13436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</row>
    <row r="643" spans="1:10" x14ac:dyDescent="0.25">
      <c r="A643" t="s">
        <v>840</v>
      </c>
      <c r="B643" t="s">
        <v>878</v>
      </c>
      <c r="C643" t="s">
        <v>691</v>
      </c>
      <c r="D643" s="1">
        <v>22040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</row>
    <row r="644" spans="1:10" x14ac:dyDescent="0.25">
      <c r="A644" t="s">
        <v>495</v>
      </c>
      <c r="B644" t="s">
        <v>878</v>
      </c>
      <c r="C644" t="s">
        <v>692</v>
      </c>
      <c r="D644" s="1">
        <v>19362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</row>
    <row r="645" spans="1:10" x14ac:dyDescent="0.25">
      <c r="A645" t="s">
        <v>824</v>
      </c>
      <c r="B645" t="s">
        <v>878</v>
      </c>
      <c r="C645" t="s">
        <v>693</v>
      </c>
      <c r="D645" s="1">
        <v>21273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</row>
    <row r="646" spans="1:10" x14ac:dyDescent="0.25">
      <c r="A646" t="s">
        <v>795</v>
      </c>
      <c r="B646" t="s">
        <v>878</v>
      </c>
      <c r="C646" t="s">
        <v>694</v>
      </c>
      <c r="D646" s="1">
        <v>4706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</row>
    <row r="647" spans="1:10" x14ac:dyDescent="0.25">
      <c r="A647" t="s">
        <v>806</v>
      </c>
      <c r="B647" t="s">
        <v>878</v>
      </c>
      <c r="C647" t="s">
        <v>695</v>
      </c>
      <c r="D647" s="1">
        <v>2880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</row>
    <row r="648" spans="1:10" x14ac:dyDescent="0.25">
      <c r="A648" t="s">
        <v>795</v>
      </c>
      <c r="B648" t="s">
        <v>878</v>
      </c>
      <c r="C648" t="s">
        <v>696</v>
      </c>
      <c r="D648" s="1">
        <v>11162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</row>
    <row r="649" spans="1:10" x14ac:dyDescent="0.25">
      <c r="A649" t="s">
        <v>831</v>
      </c>
      <c r="B649" t="s">
        <v>878</v>
      </c>
      <c r="C649" t="s">
        <v>697</v>
      </c>
      <c r="D649" s="1">
        <v>15229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</row>
    <row r="650" spans="1:10" x14ac:dyDescent="0.25">
      <c r="A650" t="s">
        <v>829</v>
      </c>
      <c r="B650" t="s">
        <v>878</v>
      </c>
      <c r="C650" t="s">
        <v>698</v>
      </c>
      <c r="D650" s="1">
        <v>22790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</row>
    <row r="651" spans="1:10" x14ac:dyDescent="0.25">
      <c r="A651" t="s">
        <v>811</v>
      </c>
      <c r="B651" t="s">
        <v>878</v>
      </c>
      <c r="C651" t="s">
        <v>699</v>
      </c>
      <c r="D651" s="1">
        <v>21561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</row>
    <row r="652" spans="1:10" x14ac:dyDescent="0.25">
      <c r="A652" t="s">
        <v>856</v>
      </c>
      <c r="B652" t="s">
        <v>878</v>
      </c>
      <c r="C652" t="s">
        <v>700</v>
      </c>
      <c r="D652" s="1">
        <v>25420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</row>
    <row r="653" spans="1:10" x14ac:dyDescent="0.25">
      <c r="A653" t="s">
        <v>796</v>
      </c>
      <c r="B653" t="s">
        <v>878</v>
      </c>
      <c r="C653" t="s">
        <v>701</v>
      </c>
      <c r="D653" s="1">
        <v>22324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</row>
    <row r="654" spans="1:10" x14ac:dyDescent="0.25">
      <c r="A654" t="s">
        <v>859</v>
      </c>
      <c r="B654" t="s">
        <v>878</v>
      </c>
      <c r="C654" t="s">
        <v>702</v>
      </c>
      <c r="D654" s="1">
        <v>2843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</row>
    <row r="655" spans="1:10" x14ac:dyDescent="0.25">
      <c r="A655" t="s">
        <v>850</v>
      </c>
      <c r="B655" t="s">
        <v>878</v>
      </c>
      <c r="C655" t="s">
        <v>703</v>
      </c>
      <c r="D655" s="1">
        <v>3294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</row>
    <row r="656" spans="1:10" x14ac:dyDescent="0.25">
      <c r="A656" t="s">
        <v>146</v>
      </c>
      <c r="B656" t="s">
        <v>878</v>
      </c>
      <c r="C656" t="s">
        <v>704</v>
      </c>
      <c r="D656" s="1">
        <v>19019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</row>
    <row r="657" spans="1:10" x14ac:dyDescent="0.25">
      <c r="A657" t="s">
        <v>846</v>
      </c>
      <c r="B657" t="s">
        <v>878</v>
      </c>
      <c r="C657" t="s">
        <v>705</v>
      </c>
      <c r="D657" s="1">
        <v>6893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</row>
    <row r="658" spans="1:10" x14ac:dyDescent="0.25">
      <c r="A658" t="s">
        <v>855</v>
      </c>
      <c r="B658" t="s">
        <v>878</v>
      </c>
      <c r="C658" t="s">
        <v>706</v>
      </c>
      <c r="D658" s="1">
        <v>7507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</row>
    <row r="659" spans="1:10" x14ac:dyDescent="0.25">
      <c r="A659" t="s">
        <v>794</v>
      </c>
      <c r="B659" t="s">
        <v>878</v>
      </c>
      <c r="C659" t="s">
        <v>707</v>
      </c>
      <c r="D659" s="1">
        <v>10916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</row>
    <row r="660" spans="1:10" x14ac:dyDescent="0.25">
      <c r="A660" t="s">
        <v>803</v>
      </c>
      <c r="B660" t="s">
        <v>878</v>
      </c>
      <c r="C660" t="s">
        <v>708</v>
      </c>
      <c r="D660" s="1"/>
      <c r="E660" s="1"/>
      <c r="F660" s="1"/>
      <c r="G660" s="1"/>
      <c r="H660" s="1"/>
      <c r="I660" s="1"/>
      <c r="J660" s="1"/>
    </row>
    <row r="661" spans="1:10" x14ac:dyDescent="0.25">
      <c r="A661" t="s">
        <v>834</v>
      </c>
      <c r="B661" t="s">
        <v>878</v>
      </c>
      <c r="C661" t="s">
        <v>709</v>
      </c>
      <c r="D661" s="1">
        <v>8630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</row>
    <row r="662" spans="1:10" x14ac:dyDescent="0.25">
      <c r="A662" t="s">
        <v>852</v>
      </c>
      <c r="B662" t="s">
        <v>878</v>
      </c>
      <c r="C662" t="s">
        <v>710</v>
      </c>
      <c r="D662" s="1">
        <v>8650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</row>
    <row r="663" spans="1:10" x14ac:dyDescent="0.25">
      <c r="A663" t="s">
        <v>824</v>
      </c>
      <c r="B663" t="s">
        <v>878</v>
      </c>
      <c r="C663" t="s">
        <v>711</v>
      </c>
      <c r="D663" s="1">
        <v>13552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</row>
    <row r="664" spans="1:10" x14ac:dyDescent="0.25">
      <c r="A664" t="s">
        <v>817</v>
      </c>
      <c r="B664" t="s">
        <v>878</v>
      </c>
      <c r="C664" t="s">
        <v>712</v>
      </c>
      <c r="D664" s="1">
        <v>36794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</row>
    <row r="665" spans="1:10" x14ac:dyDescent="0.25">
      <c r="A665" t="s">
        <v>857</v>
      </c>
      <c r="B665" t="s">
        <v>878</v>
      </c>
      <c r="C665" t="s">
        <v>713</v>
      </c>
      <c r="D665" s="1">
        <v>7555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</row>
    <row r="666" spans="1:10" x14ac:dyDescent="0.25">
      <c r="A666" t="s">
        <v>146</v>
      </c>
      <c r="B666" t="s">
        <v>878</v>
      </c>
      <c r="C666" t="s">
        <v>714</v>
      </c>
      <c r="D666" s="1">
        <v>30132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</row>
    <row r="667" spans="1:10" x14ac:dyDescent="0.25">
      <c r="A667" t="s">
        <v>120</v>
      </c>
      <c r="B667" t="s">
        <v>878</v>
      </c>
      <c r="C667" t="s">
        <v>715</v>
      </c>
      <c r="D667" s="1">
        <v>9930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</row>
    <row r="668" spans="1:10" x14ac:dyDescent="0.25">
      <c r="A668" t="s">
        <v>146</v>
      </c>
      <c r="B668" t="s">
        <v>878</v>
      </c>
      <c r="C668" t="s">
        <v>716</v>
      </c>
      <c r="D668" s="1">
        <v>7609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</row>
    <row r="669" spans="1:10" x14ac:dyDescent="0.25">
      <c r="A669" t="s">
        <v>795</v>
      </c>
      <c r="B669" t="s">
        <v>878</v>
      </c>
      <c r="C669" t="s">
        <v>717</v>
      </c>
      <c r="D669" s="1">
        <v>8827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</row>
    <row r="670" spans="1:10" x14ac:dyDescent="0.25">
      <c r="A670" t="s">
        <v>146</v>
      </c>
      <c r="B670" t="s">
        <v>878</v>
      </c>
      <c r="C670" t="s">
        <v>718</v>
      </c>
      <c r="D670" s="1">
        <v>22993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</row>
    <row r="671" spans="1:10" x14ac:dyDescent="0.25">
      <c r="A671" t="s">
        <v>816</v>
      </c>
      <c r="B671" t="s">
        <v>878</v>
      </c>
      <c r="C671" t="s">
        <v>719</v>
      </c>
      <c r="D671" s="1">
        <v>7365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</row>
    <row r="672" spans="1:10" x14ac:dyDescent="0.25">
      <c r="A672" t="s">
        <v>817</v>
      </c>
      <c r="B672" t="s">
        <v>878</v>
      </c>
      <c r="C672" t="s">
        <v>720</v>
      </c>
      <c r="D672" s="1">
        <v>36641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</row>
    <row r="673" spans="1:10" x14ac:dyDescent="0.25">
      <c r="A673" t="s">
        <v>864</v>
      </c>
      <c r="B673" t="s">
        <v>878</v>
      </c>
      <c r="C673" t="s">
        <v>721</v>
      </c>
      <c r="D673" s="1">
        <v>62174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</row>
    <row r="674" spans="1:10" x14ac:dyDescent="0.25">
      <c r="A674" t="s">
        <v>146</v>
      </c>
      <c r="B674" t="s">
        <v>878</v>
      </c>
      <c r="C674" t="s">
        <v>722</v>
      </c>
      <c r="D674" s="1">
        <v>9821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</row>
    <row r="675" spans="1:10" x14ac:dyDescent="0.25">
      <c r="A675" t="s">
        <v>858</v>
      </c>
      <c r="B675" t="s">
        <v>878</v>
      </c>
      <c r="C675" t="s">
        <v>723</v>
      </c>
      <c r="D675" s="1">
        <v>11619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</row>
    <row r="676" spans="1:10" x14ac:dyDescent="0.25">
      <c r="A676" t="s">
        <v>864</v>
      </c>
      <c r="B676" t="s">
        <v>878</v>
      </c>
      <c r="C676" t="s">
        <v>724</v>
      </c>
      <c r="D676" s="1">
        <v>105342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</row>
    <row r="677" spans="1:10" x14ac:dyDescent="0.25">
      <c r="A677" t="s">
        <v>794</v>
      </c>
      <c r="B677" t="s">
        <v>878</v>
      </c>
      <c r="C677" t="s">
        <v>725</v>
      </c>
      <c r="D677" s="1">
        <v>38805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</row>
    <row r="678" spans="1:10" x14ac:dyDescent="0.25">
      <c r="A678" t="s">
        <v>864</v>
      </c>
      <c r="B678" t="s">
        <v>878</v>
      </c>
      <c r="C678" t="s">
        <v>726</v>
      </c>
      <c r="D678" s="1">
        <v>50062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</row>
    <row r="679" spans="1:10" x14ac:dyDescent="0.25">
      <c r="A679" t="s">
        <v>824</v>
      </c>
      <c r="B679" t="s">
        <v>878</v>
      </c>
      <c r="C679" t="s">
        <v>727</v>
      </c>
      <c r="D679" s="1">
        <v>11149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</row>
    <row r="680" spans="1:10" x14ac:dyDescent="0.25">
      <c r="A680" t="s">
        <v>134</v>
      </c>
      <c r="B680" t="s">
        <v>878</v>
      </c>
      <c r="C680" t="s">
        <v>728</v>
      </c>
      <c r="D680" s="1">
        <v>3205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</row>
    <row r="681" spans="1:10" x14ac:dyDescent="0.25">
      <c r="A681" t="s">
        <v>138</v>
      </c>
      <c r="B681" t="s">
        <v>878</v>
      </c>
      <c r="C681" t="s">
        <v>729</v>
      </c>
      <c r="D681" s="1">
        <v>35450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</row>
    <row r="682" spans="1:10" x14ac:dyDescent="0.25">
      <c r="A682" t="s">
        <v>788</v>
      </c>
      <c r="B682" t="s">
        <v>878</v>
      </c>
      <c r="C682" t="s">
        <v>730</v>
      </c>
      <c r="D682" s="1">
        <v>2650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</row>
    <row r="683" spans="1:10" x14ac:dyDescent="0.25">
      <c r="A683" t="s">
        <v>831</v>
      </c>
      <c r="B683" t="s">
        <v>878</v>
      </c>
      <c r="C683" t="s">
        <v>731</v>
      </c>
      <c r="D683" s="1">
        <v>3554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</row>
    <row r="684" spans="1:10" x14ac:dyDescent="0.25">
      <c r="A684" t="s">
        <v>138</v>
      </c>
      <c r="B684" t="s">
        <v>878</v>
      </c>
      <c r="C684" t="s">
        <v>732</v>
      </c>
      <c r="D684" s="1">
        <v>7328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</row>
    <row r="685" spans="1:10" x14ac:dyDescent="0.25">
      <c r="A685" t="s">
        <v>809</v>
      </c>
      <c r="B685" t="s">
        <v>878</v>
      </c>
      <c r="C685" t="s">
        <v>733</v>
      </c>
      <c r="D685" s="1">
        <v>27635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</row>
    <row r="686" spans="1:10" x14ac:dyDescent="0.25">
      <c r="A686" t="s">
        <v>868</v>
      </c>
      <c r="B686" t="s">
        <v>878</v>
      </c>
      <c r="C686" t="s">
        <v>734</v>
      </c>
      <c r="D686" s="1"/>
      <c r="E686" s="1"/>
      <c r="F686" s="1"/>
      <c r="G686" s="1"/>
      <c r="H686" s="1"/>
      <c r="I686" s="1"/>
      <c r="J686" s="1"/>
    </row>
    <row r="687" spans="1:10" x14ac:dyDescent="0.25">
      <c r="A687" t="s">
        <v>817</v>
      </c>
      <c r="B687" t="s">
        <v>878</v>
      </c>
      <c r="C687" t="s">
        <v>735</v>
      </c>
      <c r="D687" s="1">
        <v>10106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</row>
    <row r="688" spans="1:10" x14ac:dyDescent="0.25">
      <c r="A688" t="s">
        <v>801</v>
      </c>
      <c r="B688" t="s">
        <v>878</v>
      </c>
      <c r="C688" t="s">
        <v>736</v>
      </c>
      <c r="D688" s="1">
        <v>1862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</row>
    <row r="689" spans="1:10" x14ac:dyDescent="0.25">
      <c r="A689" t="s">
        <v>138</v>
      </c>
      <c r="B689" t="s">
        <v>878</v>
      </c>
      <c r="C689" t="s">
        <v>737</v>
      </c>
      <c r="D689" s="1">
        <v>13402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</row>
    <row r="690" spans="1:10" x14ac:dyDescent="0.25">
      <c r="A690" t="s">
        <v>138</v>
      </c>
      <c r="B690" t="s">
        <v>878</v>
      </c>
      <c r="C690" t="s">
        <v>738</v>
      </c>
      <c r="D690" s="1">
        <v>12130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</row>
    <row r="691" spans="1:10" x14ac:dyDescent="0.25">
      <c r="A691" t="s">
        <v>248</v>
      </c>
      <c r="B691" t="s">
        <v>878</v>
      </c>
      <c r="C691" t="s">
        <v>739</v>
      </c>
      <c r="D691" s="1">
        <v>20054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</row>
    <row r="692" spans="1:10" x14ac:dyDescent="0.25">
      <c r="A692" t="s">
        <v>138</v>
      </c>
      <c r="B692" t="s">
        <v>878</v>
      </c>
      <c r="C692" t="s">
        <v>740</v>
      </c>
      <c r="D692" s="1">
        <v>7583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</row>
    <row r="693" spans="1:10" x14ac:dyDescent="0.25">
      <c r="A693" t="s">
        <v>134</v>
      </c>
      <c r="B693" t="s">
        <v>878</v>
      </c>
      <c r="C693" t="s">
        <v>741</v>
      </c>
      <c r="D693" s="1">
        <v>7709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</row>
    <row r="694" spans="1:10" x14ac:dyDescent="0.25">
      <c r="A694" t="s">
        <v>231</v>
      </c>
      <c r="B694" t="s">
        <v>878</v>
      </c>
      <c r="C694" t="s">
        <v>742</v>
      </c>
      <c r="D694" s="1">
        <v>35309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</row>
    <row r="695" spans="1:10" x14ac:dyDescent="0.25">
      <c r="A695" t="s">
        <v>83</v>
      </c>
      <c r="B695" t="s">
        <v>878</v>
      </c>
      <c r="C695" t="s">
        <v>743</v>
      </c>
      <c r="D695" s="1">
        <v>2806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</row>
    <row r="696" spans="1:10" x14ac:dyDescent="0.25">
      <c r="A696" t="s">
        <v>826</v>
      </c>
      <c r="B696" t="s">
        <v>878</v>
      </c>
      <c r="C696" t="s">
        <v>744</v>
      </c>
      <c r="D696" s="1">
        <v>2007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</row>
    <row r="697" spans="1:10" x14ac:dyDescent="0.25">
      <c r="A697" t="s">
        <v>811</v>
      </c>
      <c r="B697" t="s">
        <v>878</v>
      </c>
      <c r="C697" t="s">
        <v>745</v>
      </c>
      <c r="D697" s="1">
        <v>20559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</row>
    <row r="698" spans="1:10" x14ac:dyDescent="0.25">
      <c r="A698" t="s">
        <v>248</v>
      </c>
      <c r="B698" t="s">
        <v>878</v>
      </c>
      <c r="C698" t="s">
        <v>746</v>
      </c>
      <c r="D698" s="1">
        <v>115275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</row>
    <row r="699" spans="1:10" x14ac:dyDescent="0.25">
      <c r="A699" s="9" t="s">
        <v>801</v>
      </c>
      <c r="B699" t="s">
        <v>879</v>
      </c>
      <c r="C699" t="s">
        <v>747</v>
      </c>
      <c r="D699" s="1">
        <v>6273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</row>
    <row r="700" spans="1:10" x14ac:dyDescent="0.25">
      <c r="A700" s="9" t="s">
        <v>809</v>
      </c>
      <c r="B700" t="s">
        <v>879</v>
      </c>
      <c r="C700" t="s">
        <v>748</v>
      </c>
      <c r="D700" s="1">
        <v>22941</v>
      </c>
      <c r="E700" s="1">
        <v>642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</row>
    <row r="701" spans="1:10" x14ac:dyDescent="0.25">
      <c r="A701" s="9" t="s">
        <v>823</v>
      </c>
      <c r="B701" t="s">
        <v>879</v>
      </c>
      <c r="C701" t="s">
        <v>749</v>
      </c>
      <c r="D701" s="1">
        <v>39538</v>
      </c>
      <c r="E701" s="1">
        <v>41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</row>
    <row r="702" spans="1:10" x14ac:dyDescent="0.25">
      <c r="A702" t="s">
        <v>226</v>
      </c>
      <c r="B702" t="s">
        <v>879</v>
      </c>
      <c r="C702" t="s">
        <v>750</v>
      </c>
      <c r="D702" s="1">
        <v>3501</v>
      </c>
      <c r="E702" s="1">
        <v>46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</row>
    <row r="703" spans="1:10" x14ac:dyDescent="0.25">
      <c r="A703" t="s">
        <v>811</v>
      </c>
      <c r="B703" t="s">
        <v>879</v>
      </c>
      <c r="C703" t="s">
        <v>751</v>
      </c>
      <c r="D703" s="1">
        <v>14366</v>
      </c>
      <c r="E703" s="1">
        <v>28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</row>
    <row r="704" spans="1:10" x14ac:dyDescent="0.25">
      <c r="A704" t="s">
        <v>797</v>
      </c>
      <c r="B704" t="s">
        <v>879</v>
      </c>
      <c r="C704" t="s">
        <v>752</v>
      </c>
      <c r="D704" s="1">
        <v>33316</v>
      </c>
      <c r="E704" s="1">
        <v>35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</row>
    <row r="705" spans="1:10" x14ac:dyDescent="0.25">
      <c r="A705" t="s">
        <v>69</v>
      </c>
      <c r="B705" t="s">
        <v>879</v>
      </c>
      <c r="C705" t="s">
        <v>753</v>
      </c>
      <c r="D705" s="1">
        <v>59004</v>
      </c>
      <c r="E705" s="1">
        <v>18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</row>
    <row r="706" spans="1:10" x14ac:dyDescent="0.25">
      <c r="A706" t="s">
        <v>824</v>
      </c>
      <c r="B706" t="s">
        <v>879</v>
      </c>
      <c r="C706" t="s">
        <v>754</v>
      </c>
      <c r="D706" s="1">
        <v>15667</v>
      </c>
      <c r="E706" s="1">
        <v>21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</row>
    <row r="707" spans="1:10" x14ac:dyDescent="0.25">
      <c r="A707" t="s">
        <v>817</v>
      </c>
      <c r="B707" t="s">
        <v>879</v>
      </c>
      <c r="C707" t="s">
        <v>755</v>
      </c>
      <c r="D707" s="1">
        <v>62144</v>
      </c>
      <c r="E707" s="1">
        <v>111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</row>
    <row r="708" spans="1:10" x14ac:dyDescent="0.25">
      <c r="A708" t="s">
        <v>794</v>
      </c>
      <c r="B708" t="s">
        <v>879</v>
      </c>
      <c r="C708" t="s">
        <v>756</v>
      </c>
      <c r="D708" s="1">
        <v>52190</v>
      </c>
      <c r="E708" s="1">
        <v>272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</row>
    <row r="709" spans="1:10" x14ac:dyDescent="0.25">
      <c r="A709" t="s">
        <v>120</v>
      </c>
      <c r="B709" t="s">
        <v>879</v>
      </c>
      <c r="C709" t="s">
        <v>757</v>
      </c>
      <c r="D709" s="1">
        <v>24710</v>
      </c>
      <c r="E709" s="1">
        <v>74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</row>
    <row r="710" spans="1:10" x14ac:dyDescent="0.25">
      <c r="A710" t="s">
        <v>788</v>
      </c>
      <c r="B710" t="s">
        <v>879</v>
      </c>
      <c r="C710" t="s">
        <v>758</v>
      </c>
      <c r="D710" s="1">
        <v>26900</v>
      </c>
      <c r="E710" s="1">
        <v>1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</row>
    <row r="711" spans="1:10" x14ac:dyDescent="0.25">
      <c r="A711" t="s">
        <v>146</v>
      </c>
      <c r="B711" t="s">
        <v>879</v>
      </c>
      <c r="C711" t="s">
        <v>759</v>
      </c>
      <c r="D711" s="1">
        <v>97862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</row>
    <row r="712" spans="1:10" x14ac:dyDescent="0.25">
      <c r="A712" t="s">
        <v>795</v>
      </c>
      <c r="B712" t="s">
        <v>879</v>
      </c>
      <c r="C712" t="s">
        <v>760</v>
      </c>
      <c r="D712" s="1">
        <v>69569</v>
      </c>
      <c r="E712" s="1">
        <v>90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</row>
    <row r="713" spans="1:10" x14ac:dyDescent="0.25">
      <c r="A713" t="s">
        <v>248</v>
      </c>
      <c r="B713" t="s">
        <v>879</v>
      </c>
      <c r="C713" t="s">
        <v>761</v>
      </c>
      <c r="D713" s="1">
        <v>41501</v>
      </c>
      <c r="E713" s="1">
        <v>6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</row>
    <row r="714" spans="1:10" x14ac:dyDescent="0.25">
      <c r="A714" t="s">
        <v>796</v>
      </c>
      <c r="B714" t="s">
        <v>879</v>
      </c>
      <c r="C714" t="s">
        <v>762</v>
      </c>
      <c r="D714" s="1">
        <v>12021</v>
      </c>
      <c r="E714" s="1">
        <v>14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</row>
    <row r="715" spans="1:10" x14ac:dyDescent="0.25">
      <c r="A715" t="s">
        <v>138</v>
      </c>
      <c r="B715" t="s">
        <v>879</v>
      </c>
      <c r="C715" t="s">
        <v>763</v>
      </c>
      <c r="D715" s="1">
        <v>30848</v>
      </c>
      <c r="E715" s="1">
        <v>59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</row>
    <row r="716" spans="1:10" x14ac:dyDescent="0.25">
      <c r="A716" t="s">
        <v>265</v>
      </c>
      <c r="B716" t="s">
        <v>879</v>
      </c>
      <c r="C716" t="s">
        <v>764</v>
      </c>
      <c r="D716" s="1">
        <v>9106</v>
      </c>
      <c r="E716" s="1">
        <v>2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</row>
    <row r="717" spans="1:10" x14ac:dyDescent="0.25">
      <c r="A717" t="s">
        <v>823</v>
      </c>
      <c r="B717" t="s">
        <v>879</v>
      </c>
      <c r="C717" t="s">
        <v>765</v>
      </c>
      <c r="D717" s="1">
        <v>33360</v>
      </c>
      <c r="E717" s="1">
        <v>555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</row>
    <row r="718" spans="1:10" x14ac:dyDescent="0.25">
      <c r="A718" t="s">
        <v>83</v>
      </c>
      <c r="B718" t="s">
        <v>879</v>
      </c>
      <c r="C718" t="s">
        <v>766</v>
      </c>
      <c r="D718" s="1">
        <v>9301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</row>
    <row r="719" spans="1:10" x14ac:dyDescent="0.25">
      <c r="A719" t="s">
        <v>864</v>
      </c>
      <c r="B719" t="s">
        <v>879</v>
      </c>
      <c r="C719" t="s">
        <v>767</v>
      </c>
      <c r="D719" s="1">
        <v>24266</v>
      </c>
      <c r="E719" s="1">
        <v>48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</row>
    <row r="720" spans="1:10" x14ac:dyDescent="0.25">
      <c r="A720" t="s">
        <v>76</v>
      </c>
      <c r="B720" t="s">
        <v>879</v>
      </c>
      <c r="C720" t="s">
        <v>768</v>
      </c>
      <c r="D720" s="1">
        <v>44770</v>
      </c>
      <c r="E720" s="1">
        <v>218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</row>
    <row r="721" spans="1:10" x14ac:dyDescent="0.25">
      <c r="A721" t="s">
        <v>101</v>
      </c>
      <c r="B721" t="s">
        <v>879</v>
      </c>
      <c r="C721" t="s">
        <v>769</v>
      </c>
      <c r="D721" s="60">
        <v>25337</v>
      </c>
      <c r="E721" s="60">
        <v>19</v>
      </c>
      <c r="F721" s="60">
        <v>0</v>
      </c>
      <c r="G721" s="60">
        <v>0</v>
      </c>
      <c r="H721" s="60">
        <v>0</v>
      </c>
      <c r="I721" s="60">
        <v>0</v>
      </c>
      <c r="J721" s="60">
        <v>0</v>
      </c>
    </row>
    <row r="722" spans="1:10" x14ac:dyDescent="0.25">
      <c r="A722" t="s">
        <v>831</v>
      </c>
      <c r="B722" t="s">
        <v>879</v>
      </c>
      <c r="C722" t="s">
        <v>770</v>
      </c>
      <c r="D722" s="60">
        <v>4721</v>
      </c>
      <c r="E722" s="60">
        <v>382</v>
      </c>
      <c r="F722" s="60">
        <v>0</v>
      </c>
      <c r="G722" s="60">
        <v>0</v>
      </c>
      <c r="H722" s="60">
        <v>0</v>
      </c>
      <c r="I722" s="60">
        <v>0</v>
      </c>
      <c r="J722" s="60">
        <v>0</v>
      </c>
    </row>
    <row r="723" spans="1:10" x14ac:dyDescent="0.25">
      <c r="A723" t="s">
        <v>512</v>
      </c>
      <c r="B723" t="s">
        <v>879</v>
      </c>
      <c r="C723" t="s">
        <v>771</v>
      </c>
      <c r="D723" s="60">
        <v>12407</v>
      </c>
      <c r="E723" s="60">
        <v>1</v>
      </c>
      <c r="F723" s="60">
        <v>0</v>
      </c>
      <c r="G723" s="60">
        <v>0</v>
      </c>
      <c r="H723" s="60">
        <v>0</v>
      </c>
      <c r="I723" s="60">
        <v>0</v>
      </c>
      <c r="J723" s="60">
        <v>0</v>
      </c>
    </row>
    <row r="724" spans="1:10" x14ac:dyDescent="0.25">
      <c r="A724" t="s">
        <v>848</v>
      </c>
      <c r="B724" t="s">
        <v>879</v>
      </c>
      <c r="C724" t="s">
        <v>772</v>
      </c>
      <c r="D724" s="60">
        <v>6401</v>
      </c>
      <c r="E724" s="60">
        <v>6</v>
      </c>
      <c r="F724" s="60">
        <v>0</v>
      </c>
      <c r="G724" s="60">
        <v>0</v>
      </c>
      <c r="H724" s="60">
        <v>0</v>
      </c>
      <c r="I724" s="60">
        <v>0</v>
      </c>
      <c r="J724" s="60">
        <v>0</v>
      </c>
    </row>
    <row r="725" spans="1:10" x14ac:dyDescent="0.25">
      <c r="A725" t="s">
        <v>796</v>
      </c>
      <c r="B725" t="s">
        <v>879</v>
      </c>
      <c r="C725" t="s">
        <v>773</v>
      </c>
      <c r="D725" s="60">
        <v>23735</v>
      </c>
      <c r="E725" s="60">
        <v>26</v>
      </c>
      <c r="F725" s="60">
        <v>0</v>
      </c>
      <c r="G725" s="60">
        <v>0</v>
      </c>
      <c r="H725" s="60">
        <v>0</v>
      </c>
      <c r="I725" s="60">
        <v>0</v>
      </c>
      <c r="J725" s="60">
        <v>0</v>
      </c>
    </row>
    <row r="726" spans="1:10" x14ac:dyDescent="0.25">
      <c r="A726" t="s">
        <v>826</v>
      </c>
      <c r="B726" t="s">
        <v>879</v>
      </c>
      <c r="C726" t="s">
        <v>774</v>
      </c>
      <c r="D726" s="60">
        <v>2155</v>
      </c>
      <c r="E726" s="60">
        <v>755</v>
      </c>
      <c r="F726" s="60">
        <v>0</v>
      </c>
      <c r="G726" s="60">
        <v>0</v>
      </c>
      <c r="H726" s="60">
        <v>0</v>
      </c>
      <c r="I726" s="60">
        <v>0</v>
      </c>
      <c r="J726" s="60">
        <v>0</v>
      </c>
    </row>
    <row r="727" spans="1:10" x14ac:dyDescent="0.25">
      <c r="A727" t="s">
        <v>801</v>
      </c>
      <c r="B727" t="s">
        <v>877</v>
      </c>
      <c r="C727" t="s">
        <v>775</v>
      </c>
      <c r="D727" s="60">
        <v>52</v>
      </c>
      <c r="E727" s="60">
        <v>0</v>
      </c>
      <c r="F727" s="60">
        <v>0</v>
      </c>
      <c r="G727" s="60">
        <v>310</v>
      </c>
      <c r="H727" s="60">
        <v>0</v>
      </c>
      <c r="I727" s="60">
        <v>0</v>
      </c>
      <c r="J727" s="60">
        <v>0</v>
      </c>
    </row>
    <row r="728" spans="1:10" x14ac:dyDescent="0.25">
      <c r="A728" t="s">
        <v>823</v>
      </c>
      <c r="B728" t="s">
        <v>877</v>
      </c>
      <c r="C728" t="s">
        <v>776</v>
      </c>
      <c r="D728" s="60">
        <v>200</v>
      </c>
      <c r="E728" s="60">
        <v>0</v>
      </c>
      <c r="F728" s="60">
        <v>0</v>
      </c>
      <c r="G728" s="60">
        <v>358</v>
      </c>
      <c r="H728" s="60">
        <v>6</v>
      </c>
      <c r="I728" s="60">
        <v>0</v>
      </c>
      <c r="J728" s="60">
        <v>0</v>
      </c>
    </row>
    <row r="729" spans="1:10" x14ac:dyDescent="0.25">
      <c r="A729" t="s">
        <v>801</v>
      </c>
      <c r="B729" t="s">
        <v>877</v>
      </c>
      <c r="C729" t="s">
        <v>777</v>
      </c>
      <c r="D729" s="61">
        <v>36</v>
      </c>
      <c r="E729" s="61">
        <v>0</v>
      </c>
      <c r="F729" s="61">
        <v>0</v>
      </c>
      <c r="G729" s="61">
        <v>266</v>
      </c>
      <c r="H729" s="61">
        <v>0</v>
      </c>
      <c r="I729" s="61">
        <v>0</v>
      </c>
      <c r="J729" s="61">
        <v>0</v>
      </c>
    </row>
  </sheetData>
  <sheetProtection formatCells="0" formatColumns="0"/>
  <phoneticPr fontId="2" type="noConversion"/>
  <conditionalFormatting sqref="C721:C729">
    <cfRule type="expression" dxfId="26" priority="1">
      <formula>C721&lt;&gt;O721</formula>
    </cfRule>
  </conditionalFormatting>
  <conditionalFormatting sqref="D721:J729">
    <cfRule type="expression" dxfId="25" priority="3">
      <formula>D721&lt;&gt;O721</formula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2A838FDF-53BF-4603-83C9-065ABBBC871E}">
            <xm:f>A721&lt;&gt;'202212 DICIEMBRE'!#REF!</xm:f>
            <x14:dxf>
              <fill>
                <patternFill>
                  <bgColor theme="7" tint="0.39994506668294322"/>
                </patternFill>
              </fill>
            </x14:dxf>
          </x14:cfRule>
          <xm:sqref>A721:C729</xm:sqref>
        </x14:conditionalFormatting>
        <x14:conditionalFormatting xmlns:xm="http://schemas.microsoft.com/office/excel/2006/main">
          <x14:cfRule type="expression" priority="4" id="{97AA74C8-7817-498B-849C-566570B12D79}">
            <xm:f>D721&lt;&gt;'202212 DICIEMBRE'!#REF!</xm:f>
            <x14:dxf>
              <fill>
                <patternFill>
                  <bgColor theme="7" tint="0.39994506668294322"/>
                </patternFill>
              </fill>
            </x14:dxf>
          </x14:cfRule>
          <xm:sqref>D721:J729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8B84A-2B15-4233-BB23-F624FF48C5A4}">
  <sheetPr>
    <tabColor theme="1"/>
  </sheetPr>
  <dimension ref="A1:J729"/>
  <sheetViews>
    <sheetView topLeftCell="C311" zoomScaleNormal="100" workbookViewId="0">
      <selection activeCell="I335" sqref="I335"/>
    </sheetView>
  </sheetViews>
  <sheetFormatPr baseColWidth="10" defaultColWidth="11.5703125" defaultRowHeight="15" x14ac:dyDescent="0.25"/>
  <cols>
    <col min="1" max="1" width="11.85546875" bestFit="1" customWidth="1"/>
    <col min="2" max="2" width="9" bestFit="1" customWidth="1"/>
    <col min="3" max="3" width="13.85546875" bestFit="1" customWidth="1"/>
    <col min="4" max="4" width="12.140625" bestFit="1" customWidth="1"/>
    <col min="5" max="5" width="12.42578125" bestFit="1" customWidth="1"/>
    <col min="6" max="6" width="8.7109375" bestFit="1" customWidth="1"/>
    <col min="7" max="7" width="15.5703125" bestFit="1" customWidth="1"/>
    <col min="8" max="8" width="15.85546875" bestFit="1" customWidth="1"/>
    <col min="9" max="10" width="10" bestFit="1" customWidth="1"/>
  </cols>
  <sheetData>
    <row r="1" spans="1:10" x14ac:dyDescent="0.25">
      <c r="A1" t="s">
        <v>0</v>
      </c>
      <c r="B1" t="s">
        <v>869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 t="s">
        <v>76</v>
      </c>
      <c r="B2" t="s">
        <v>870</v>
      </c>
      <c r="C2" t="s">
        <v>11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48043</v>
      </c>
      <c r="J2" s="1">
        <v>0</v>
      </c>
    </row>
    <row r="3" spans="1:10" x14ac:dyDescent="0.25">
      <c r="A3" t="s">
        <v>69</v>
      </c>
      <c r="B3" t="s">
        <v>870</v>
      </c>
      <c r="C3" t="s">
        <v>12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100161</v>
      </c>
      <c r="J3" s="1">
        <v>0</v>
      </c>
    </row>
    <row r="4" spans="1:10" x14ac:dyDescent="0.25">
      <c r="A4" t="s">
        <v>76</v>
      </c>
      <c r="B4" t="s">
        <v>870</v>
      </c>
      <c r="C4" t="s">
        <v>13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13979</v>
      </c>
      <c r="J4" s="1">
        <v>0</v>
      </c>
    </row>
    <row r="5" spans="1:10" x14ac:dyDescent="0.25">
      <c r="A5" t="s">
        <v>801</v>
      </c>
      <c r="B5" t="s">
        <v>870</v>
      </c>
      <c r="C5" t="s">
        <v>14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5177</v>
      </c>
      <c r="J5" s="1">
        <v>0</v>
      </c>
    </row>
    <row r="6" spans="1:10" x14ac:dyDescent="0.25">
      <c r="A6" t="s">
        <v>826</v>
      </c>
      <c r="B6" t="s">
        <v>870</v>
      </c>
      <c r="C6" t="s">
        <v>15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10055</v>
      </c>
      <c r="J6" s="1">
        <v>0</v>
      </c>
    </row>
    <row r="7" spans="1:10" x14ac:dyDescent="0.25">
      <c r="A7" t="s">
        <v>811</v>
      </c>
      <c r="B7" t="s">
        <v>870</v>
      </c>
      <c r="C7" t="s">
        <v>16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6098</v>
      </c>
      <c r="J7" s="1">
        <v>0</v>
      </c>
    </row>
    <row r="8" spans="1:10" x14ac:dyDescent="0.25">
      <c r="A8" t="s">
        <v>83</v>
      </c>
      <c r="B8" t="s">
        <v>870</v>
      </c>
      <c r="C8" t="s">
        <v>17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904</v>
      </c>
      <c r="J8" s="1">
        <v>0</v>
      </c>
    </row>
    <row r="9" spans="1:10" x14ac:dyDescent="0.25">
      <c r="A9" t="s">
        <v>803</v>
      </c>
      <c r="B9" t="s">
        <v>870</v>
      </c>
      <c r="C9" t="s">
        <v>18</v>
      </c>
      <c r="D9" s="1"/>
      <c r="E9" s="1"/>
      <c r="F9" s="1"/>
      <c r="G9" s="1"/>
      <c r="H9" s="1"/>
      <c r="I9" s="1"/>
      <c r="J9" s="1"/>
    </row>
    <row r="10" spans="1:10" x14ac:dyDescent="0.25">
      <c r="A10" t="s">
        <v>76</v>
      </c>
      <c r="B10" t="s">
        <v>870</v>
      </c>
      <c r="C10" t="s">
        <v>19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29160</v>
      </c>
      <c r="J10" s="1">
        <v>0</v>
      </c>
    </row>
    <row r="11" spans="1:10" x14ac:dyDescent="0.25">
      <c r="A11" t="s">
        <v>83</v>
      </c>
      <c r="B11" t="s">
        <v>870</v>
      </c>
      <c r="C11" t="s">
        <v>20</v>
      </c>
      <c r="D11" s="1"/>
      <c r="E11" s="1"/>
      <c r="F11" s="1"/>
      <c r="G11" s="1"/>
      <c r="H11" s="1"/>
      <c r="I11" s="1"/>
      <c r="J11" s="1"/>
    </row>
    <row r="12" spans="1:10" x14ac:dyDescent="0.25">
      <c r="A12" t="s">
        <v>248</v>
      </c>
      <c r="B12" t="s">
        <v>870</v>
      </c>
      <c r="C12" t="s">
        <v>21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9663</v>
      </c>
      <c r="J12" s="1">
        <v>0</v>
      </c>
    </row>
    <row r="13" spans="1:10" x14ac:dyDescent="0.25">
      <c r="A13" t="s">
        <v>83</v>
      </c>
      <c r="B13" t="s">
        <v>870</v>
      </c>
      <c r="C13" t="s">
        <v>22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2717</v>
      </c>
      <c r="J13" s="1">
        <v>0</v>
      </c>
    </row>
    <row r="14" spans="1:10" x14ac:dyDescent="0.25">
      <c r="A14" t="s">
        <v>801</v>
      </c>
      <c r="B14" t="s">
        <v>870</v>
      </c>
      <c r="C14" t="s">
        <v>23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1537</v>
      </c>
      <c r="J14" s="1">
        <v>0</v>
      </c>
    </row>
    <row r="15" spans="1:10" x14ac:dyDescent="0.25">
      <c r="A15" t="s">
        <v>69</v>
      </c>
      <c r="B15" t="s">
        <v>870</v>
      </c>
      <c r="C15" t="s">
        <v>24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4838</v>
      </c>
      <c r="J15" s="1">
        <v>0</v>
      </c>
    </row>
    <row r="16" spans="1:10" x14ac:dyDescent="0.25">
      <c r="A16" t="s">
        <v>804</v>
      </c>
      <c r="B16" t="s">
        <v>870</v>
      </c>
      <c r="C16" t="s">
        <v>25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2797</v>
      </c>
      <c r="J16" s="1">
        <v>0</v>
      </c>
    </row>
    <row r="17" spans="1:10" x14ac:dyDescent="0.25">
      <c r="A17" t="s">
        <v>788</v>
      </c>
      <c r="B17" t="s">
        <v>871</v>
      </c>
      <c r="C17" t="s">
        <v>26</v>
      </c>
      <c r="D17" s="1"/>
      <c r="E17" s="1"/>
      <c r="F17" s="1"/>
      <c r="G17" s="1"/>
      <c r="H17" s="1"/>
      <c r="I17" s="1"/>
      <c r="J17" s="1"/>
    </row>
    <row r="18" spans="1:10" x14ac:dyDescent="0.25">
      <c r="A18" t="s">
        <v>849</v>
      </c>
      <c r="B18" t="s">
        <v>872</v>
      </c>
      <c r="C18" t="s">
        <v>27</v>
      </c>
      <c r="D18" s="1">
        <v>43777</v>
      </c>
      <c r="E18" s="1">
        <v>787</v>
      </c>
      <c r="F18" s="1">
        <v>0</v>
      </c>
      <c r="G18" s="1">
        <v>0</v>
      </c>
      <c r="H18" s="1">
        <v>0</v>
      </c>
      <c r="I18" s="1">
        <v>95816</v>
      </c>
      <c r="J18" s="1">
        <v>17131</v>
      </c>
    </row>
    <row r="19" spans="1:10" x14ac:dyDescent="0.25">
      <c r="A19" t="s">
        <v>791</v>
      </c>
      <c r="B19" t="s">
        <v>872</v>
      </c>
      <c r="C19" t="s">
        <v>28</v>
      </c>
      <c r="D19" s="1">
        <v>135960</v>
      </c>
      <c r="E19" s="1">
        <v>138</v>
      </c>
      <c r="F19" s="1">
        <v>0</v>
      </c>
      <c r="G19" s="1">
        <v>0</v>
      </c>
      <c r="H19" s="1">
        <v>0</v>
      </c>
      <c r="I19" s="1">
        <v>37910</v>
      </c>
      <c r="J19" s="1">
        <v>19679</v>
      </c>
    </row>
    <row r="20" spans="1:10" x14ac:dyDescent="0.25">
      <c r="A20" t="s">
        <v>806</v>
      </c>
      <c r="B20" t="s">
        <v>872</v>
      </c>
      <c r="C20" t="s">
        <v>29</v>
      </c>
      <c r="D20" s="1"/>
      <c r="E20" s="1"/>
      <c r="F20" s="1"/>
      <c r="G20" s="1"/>
      <c r="H20" s="1"/>
      <c r="I20" s="1"/>
      <c r="J20" s="1"/>
    </row>
    <row r="21" spans="1:10" x14ac:dyDescent="0.25">
      <c r="A21" t="s">
        <v>817</v>
      </c>
      <c r="B21" t="s">
        <v>872</v>
      </c>
      <c r="C21" s="1" t="s">
        <v>30</v>
      </c>
      <c r="D21" s="1">
        <v>51831</v>
      </c>
      <c r="E21" s="1">
        <v>483</v>
      </c>
      <c r="F21" s="1">
        <v>0</v>
      </c>
      <c r="G21" s="1">
        <v>0</v>
      </c>
      <c r="H21" s="1">
        <v>0</v>
      </c>
      <c r="I21" s="1">
        <v>68948</v>
      </c>
      <c r="J21" s="1">
        <v>10306</v>
      </c>
    </row>
    <row r="22" spans="1:10" x14ac:dyDescent="0.25">
      <c r="A22" t="s">
        <v>829</v>
      </c>
      <c r="B22" t="s">
        <v>872</v>
      </c>
      <c r="C22" t="s">
        <v>32</v>
      </c>
      <c r="D22" s="1">
        <v>31346</v>
      </c>
      <c r="E22" s="1">
        <v>16</v>
      </c>
      <c r="F22" s="1">
        <v>0</v>
      </c>
      <c r="G22" s="1">
        <v>0</v>
      </c>
      <c r="H22" s="1">
        <v>0</v>
      </c>
      <c r="I22" s="1">
        <v>22500</v>
      </c>
      <c r="J22" s="1">
        <v>5198</v>
      </c>
    </row>
    <row r="23" spans="1:10" x14ac:dyDescent="0.25">
      <c r="A23" t="s">
        <v>830</v>
      </c>
      <c r="B23" t="s">
        <v>872</v>
      </c>
      <c r="C23" t="s">
        <v>34</v>
      </c>
      <c r="D23" s="1">
        <v>15182</v>
      </c>
      <c r="E23" s="1">
        <v>103</v>
      </c>
      <c r="F23" s="1">
        <v>0</v>
      </c>
      <c r="G23" s="1">
        <v>0</v>
      </c>
      <c r="H23" s="1">
        <v>0</v>
      </c>
      <c r="I23" s="1">
        <v>9150</v>
      </c>
      <c r="J23" s="1">
        <v>6067</v>
      </c>
    </row>
    <row r="24" spans="1:10" x14ac:dyDescent="0.25">
      <c r="A24" t="s">
        <v>831</v>
      </c>
      <c r="B24" t="s">
        <v>872</v>
      </c>
      <c r="C24" t="s">
        <v>35</v>
      </c>
      <c r="D24" s="1">
        <v>14445</v>
      </c>
      <c r="E24" s="1">
        <v>1</v>
      </c>
      <c r="F24" s="1">
        <v>0</v>
      </c>
      <c r="G24" s="1">
        <v>0</v>
      </c>
      <c r="H24" s="1">
        <v>0</v>
      </c>
      <c r="I24" s="1">
        <v>5010</v>
      </c>
      <c r="J24" s="1">
        <v>1664</v>
      </c>
    </row>
    <row r="25" spans="1:10" x14ac:dyDescent="0.25">
      <c r="A25" t="s">
        <v>832</v>
      </c>
      <c r="B25" t="s">
        <v>872</v>
      </c>
      <c r="C25" t="s">
        <v>37</v>
      </c>
      <c r="D25" s="1">
        <v>14875</v>
      </c>
      <c r="E25" s="1">
        <v>46</v>
      </c>
      <c r="F25" s="1">
        <v>0</v>
      </c>
      <c r="G25" s="1">
        <v>0</v>
      </c>
      <c r="H25" s="1">
        <v>0</v>
      </c>
      <c r="I25" s="1">
        <v>11182</v>
      </c>
      <c r="J25" s="1">
        <v>3308</v>
      </c>
    </row>
    <row r="26" spans="1:10" x14ac:dyDescent="0.25">
      <c r="A26" t="s">
        <v>833</v>
      </c>
      <c r="B26" t="s">
        <v>872</v>
      </c>
      <c r="C26" t="s">
        <v>39</v>
      </c>
      <c r="D26" s="1">
        <v>9178</v>
      </c>
      <c r="E26" s="1">
        <v>12</v>
      </c>
      <c r="F26" s="1">
        <v>0</v>
      </c>
      <c r="G26" s="1">
        <v>0</v>
      </c>
      <c r="H26" s="1">
        <v>0</v>
      </c>
      <c r="I26" s="1">
        <v>18467</v>
      </c>
      <c r="J26" s="1">
        <v>4067</v>
      </c>
    </row>
    <row r="27" spans="1:10" x14ac:dyDescent="0.25">
      <c r="A27" t="s">
        <v>834</v>
      </c>
      <c r="B27" t="s">
        <v>872</v>
      </c>
      <c r="C27" t="s">
        <v>41</v>
      </c>
      <c r="D27" s="1">
        <v>30973</v>
      </c>
      <c r="E27" s="1">
        <v>172</v>
      </c>
      <c r="F27" s="1">
        <v>0</v>
      </c>
      <c r="G27" s="1">
        <v>0</v>
      </c>
      <c r="H27" s="1">
        <v>0</v>
      </c>
      <c r="I27" s="1">
        <v>9075</v>
      </c>
      <c r="J27" s="1">
        <v>7579</v>
      </c>
    </row>
    <row r="28" spans="1:10" x14ac:dyDescent="0.25">
      <c r="A28" t="s">
        <v>835</v>
      </c>
      <c r="B28" t="s">
        <v>872</v>
      </c>
      <c r="C28" t="s">
        <v>42</v>
      </c>
      <c r="D28" s="1">
        <v>11580</v>
      </c>
      <c r="E28" s="1">
        <v>66</v>
      </c>
      <c r="F28" s="1">
        <v>0</v>
      </c>
      <c r="G28" s="1">
        <v>0</v>
      </c>
      <c r="H28" s="1">
        <v>0</v>
      </c>
      <c r="I28" s="1">
        <v>6443</v>
      </c>
      <c r="J28" s="1">
        <v>2833</v>
      </c>
    </row>
    <row r="29" spans="1:10" x14ac:dyDescent="0.25">
      <c r="A29" t="s">
        <v>836</v>
      </c>
      <c r="B29" t="s">
        <v>872</v>
      </c>
      <c r="C29" t="s">
        <v>44</v>
      </c>
      <c r="D29" s="1">
        <v>34996</v>
      </c>
      <c r="E29" s="1">
        <v>53</v>
      </c>
      <c r="F29" s="1">
        <v>0</v>
      </c>
      <c r="G29" s="1">
        <v>0</v>
      </c>
      <c r="H29" s="1">
        <v>0</v>
      </c>
      <c r="I29" s="1">
        <v>17531</v>
      </c>
      <c r="J29" s="1">
        <v>10199</v>
      </c>
    </row>
    <row r="30" spans="1:10" x14ac:dyDescent="0.25">
      <c r="A30" t="s">
        <v>837</v>
      </c>
      <c r="B30" t="s">
        <v>872</v>
      </c>
      <c r="C30" t="s">
        <v>46</v>
      </c>
      <c r="D30" s="1">
        <v>15964</v>
      </c>
      <c r="E30" s="1">
        <v>8</v>
      </c>
      <c r="F30" s="1">
        <v>0</v>
      </c>
      <c r="G30" s="1">
        <v>0</v>
      </c>
      <c r="H30" s="1">
        <v>0</v>
      </c>
      <c r="I30" s="1">
        <v>15471</v>
      </c>
      <c r="J30" s="1">
        <v>3498</v>
      </c>
    </row>
    <row r="31" spans="1:10" x14ac:dyDescent="0.25">
      <c r="A31" t="s">
        <v>838</v>
      </c>
      <c r="B31" t="s">
        <v>872</v>
      </c>
      <c r="C31" t="s">
        <v>48</v>
      </c>
      <c r="D31" s="1">
        <v>32437</v>
      </c>
      <c r="E31" s="1">
        <v>33</v>
      </c>
      <c r="F31" s="1">
        <v>0</v>
      </c>
      <c r="G31" s="1">
        <v>0</v>
      </c>
      <c r="H31" s="1">
        <v>0</v>
      </c>
      <c r="I31" s="1">
        <v>20900</v>
      </c>
      <c r="J31" s="1">
        <v>10383</v>
      </c>
    </row>
    <row r="32" spans="1:10" x14ac:dyDescent="0.25">
      <c r="A32" t="s">
        <v>839</v>
      </c>
      <c r="B32" t="s">
        <v>872</v>
      </c>
      <c r="C32" t="s">
        <v>49</v>
      </c>
      <c r="D32" s="1">
        <v>28360</v>
      </c>
      <c r="E32" s="1">
        <v>14</v>
      </c>
      <c r="F32" s="1">
        <v>0</v>
      </c>
      <c r="G32" s="1">
        <v>0</v>
      </c>
      <c r="H32" s="1">
        <v>0</v>
      </c>
      <c r="I32" s="1">
        <v>16947</v>
      </c>
      <c r="J32" s="1">
        <v>12204</v>
      </c>
    </row>
    <row r="33" spans="1:10" x14ac:dyDescent="0.25">
      <c r="A33" t="s">
        <v>840</v>
      </c>
      <c r="B33" t="s">
        <v>872</v>
      </c>
      <c r="C33" t="s">
        <v>51</v>
      </c>
      <c r="D33" s="1">
        <v>10781</v>
      </c>
      <c r="E33" s="1">
        <v>31</v>
      </c>
      <c r="F33" s="1">
        <v>0</v>
      </c>
      <c r="G33" s="1">
        <v>0</v>
      </c>
      <c r="H33" s="1">
        <v>0</v>
      </c>
      <c r="I33" s="1">
        <v>3216</v>
      </c>
      <c r="J33" s="1">
        <v>3515</v>
      </c>
    </row>
    <row r="34" spans="1:10" x14ac:dyDescent="0.25">
      <c r="A34" t="s">
        <v>841</v>
      </c>
      <c r="B34" t="s">
        <v>872</v>
      </c>
      <c r="C34" t="s">
        <v>53</v>
      </c>
      <c r="D34" s="1">
        <v>29302</v>
      </c>
      <c r="E34" s="1">
        <v>0</v>
      </c>
      <c r="F34" s="1">
        <v>0</v>
      </c>
      <c r="G34" s="1">
        <v>0</v>
      </c>
      <c r="H34" s="1">
        <v>0</v>
      </c>
      <c r="I34" s="1">
        <v>12846</v>
      </c>
      <c r="J34" s="1">
        <v>13434</v>
      </c>
    </row>
    <row r="35" spans="1:10" x14ac:dyDescent="0.25">
      <c r="A35" t="s">
        <v>842</v>
      </c>
      <c r="B35" t="s">
        <v>872</v>
      </c>
      <c r="C35" t="s">
        <v>55</v>
      </c>
      <c r="D35" s="1">
        <v>24386</v>
      </c>
      <c r="E35" s="1">
        <v>377</v>
      </c>
      <c r="F35" s="1">
        <v>0</v>
      </c>
      <c r="G35" s="1">
        <v>0</v>
      </c>
      <c r="H35" s="1">
        <v>0</v>
      </c>
      <c r="I35" s="1">
        <v>19959</v>
      </c>
      <c r="J35" s="1">
        <v>7201</v>
      </c>
    </row>
    <row r="36" spans="1:10" x14ac:dyDescent="0.25">
      <c r="A36" t="s">
        <v>788</v>
      </c>
      <c r="B36" t="s">
        <v>872</v>
      </c>
      <c r="C36" t="s">
        <v>56</v>
      </c>
      <c r="D36" s="1">
        <v>76876</v>
      </c>
      <c r="E36" s="1">
        <v>181</v>
      </c>
      <c r="F36" s="1">
        <v>0</v>
      </c>
      <c r="G36" s="1">
        <v>0</v>
      </c>
      <c r="H36" s="1">
        <v>0</v>
      </c>
      <c r="I36" s="1">
        <v>18173</v>
      </c>
      <c r="J36" s="1">
        <v>21597</v>
      </c>
    </row>
    <row r="37" spans="1:10" x14ac:dyDescent="0.25">
      <c r="A37" t="s">
        <v>495</v>
      </c>
      <c r="B37" t="s">
        <v>872</v>
      </c>
      <c r="C37" t="s">
        <v>57</v>
      </c>
      <c r="D37" s="1">
        <v>31308</v>
      </c>
      <c r="E37" s="1">
        <v>8</v>
      </c>
      <c r="F37" s="1">
        <v>0</v>
      </c>
      <c r="G37" s="1">
        <v>0</v>
      </c>
      <c r="H37" s="1">
        <v>0</v>
      </c>
      <c r="I37" s="1">
        <v>5339</v>
      </c>
      <c r="J37" s="1">
        <v>1310</v>
      </c>
    </row>
    <row r="38" spans="1:10" x14ac:dyDescent="0.25">
      <c r="A38" t="s">
        <v>248</v>
      </c>
      <c r="B38" t="s">
        <v>872</v>
      </c>
      <c r="C38" t="s">
        <v>58</v>
      </c>
      <c r="D38" s="1">
        <v>40175</v>
      </c>
      <c r="E38" s="1">
        <v>438</v>
      </c>
      <c r="F38" s="1">
        <v>0</v>
      </c>
      <c r="G38" s="1">
        <v>0</v>
      </c>
      <c r="H38" s="1">
        <v>0</v>
      </c>
      <c r="I38" s="1">
        <v>31144</v>
      </c>
      <c r="J38" s="1">
        <v>6443</v>
      </c>
    </row>
    <row r="39" spans="1:10" x14ac:dyDescent="0.25">
      <c r="A39" t="s">
        <v>843</v>
      </c>
      <c r="B39" t="s">
        <v>872</v>
      </c>
      <c r="C39" t="s">
        <v>60</v>
      </c>
      <c r="D39" s="1">
        <v>11601</v>
      </c>
      <c r="E39" s="1">
        <v>0</v>
      </c>
      <c r="F39" s="1">
        <v>0</v>
      </c>
      <c r="G39" s="1">
        <v>0</v>
      </c>
      <c r="H39" s="1">
        <v>0</v>
      </c>
      <c r="I39" s="1">
        <v>11927</v>
      </c>
      <c r="J39" s="1">
        <v>3594</v>
      </c>
    </row>
    <row r="40" spans="1:10" x14ac:dyDescent="0.25">
      <c r="A40" t="s">
        <v>844</v>
      </c>
      <c r="B40" t="s">
        <v>872</v>
      </c>
      <c r="C40" t="s">
        <v>62</v>
      </c>
      <c r="D40" s="1">
        <v>16277</v>
      </c>
      <c r="E40" s="1">
        <v>27</v>
      </c>
      <c r="F40" s="1">
        <v>0</v>
      </c>
      <c r="G40" s="1">
        <v>0</v>
      </c>
      <c r="H40" s="1">
        <v>0</v>
      </c>
      <c r="I40" s="1">
        <v>9615</v>
      </c>
      <c r="J40" s="1">
        <v>4395</v>
      </c>
    </row>
    <row r="41" spans="1:10" x14ac:dyDescent="0.25">
      <c r="A41" t="s">
        <v>845</v>
      </c>
      <c r="B41" t="s">
        <v>872</v>
      </c>
      <c r="C41" t="s">
        <v>63</v>
      </c>
      <c r="D41" s="1">
        <v>47344</v>
      </c>
      <c r="E41" s="1">
        <v>262</v>
      </c>
      <c r="F41" s="1">
        <v>0</v>
      </c>
      <c r="G41" s="1">
        <v>0</v>
      </c>
      <c r="H41" s="1">
        <v>0</v>
      </c>
      <c r="I41" s="1">
        <v>25105</v>
      </c>
      <c r="J41" s="1">
        <v>8815</v>
      </c>
    </row>
    <row r="42" spans="1:10" x14ac:dyDescent="0.25">
      <c r="A42" t="s">
        <v>846</v>
      </c>
      <c r="B42" t="s">
        <v>872</v>
      </c>
      <c r="C42" t="s">
        <v>64</v>
      </c>
      <c r="D42" s="1">
        <v>11543</v>
      </c>
      <c r="E42" s="1">
        <v>0</v>
      </c>
      <c r="F42" s="1">
        <v>0</v>
      </c>
      <c r="G42" s="1">
        <v>0</v>
      </c>
      <c r="H42" s="1">
        <v>0</v>
      </c>
      <c r="I42" s="1">
        <v>18595</v>
      </c>
      <c r="J42" s="1">
        <v>3208</v>
      </c>
    </row>
    <row r="43" spans="1:10" x14ac:dyDescent="0.25">
      <c r="A43" t="s">
        <v>788</v>
      </c>
      <c r="B43" t="s">
        <v>872</v>
      </c>
      <c r="C43" t="s">
        <v>65</v>
      </c>
      <c r="D43" s="1">
        <v>28766</v>
      </c>
      <c r="E43" s="1">
        <v>158</v>
      </c>
      <c r="F43" s="1">
        <v>0</v>
      </c>
      <c r="G43" s="1">
        <v>0</v>
      </c>
      <c r="H43" s="1">
        <v>0</v>
      </c>
      <c r="I43" s="1">
        <v>28402</v>
      </c>
      <c r="J43" s="1">
        <v>8954</v>
      </c>
    </row>
    <row r="44" spans="1:10" x14ac:dyDescent="0.25">
      <c r="A44" t="s">
        <v>76</v>
      </c>
      <c r="B44" t="s">
        <v>872</v>
      </c>
      <c r="C44" t="s">
        <v>66</v>
      </c>
      <c r="D44" s="1">
        <v>19809</v>
      </c>
      <c r="E44" s="1">
        <v>130</v>
      </c>
      <c r="F44" s="1">
        <v>0</v>
      </c>
      <c r="G44" s="1">
        <v>0</v>
      </c>
      <c r="H44" s="1">
        <v>0</v>
      </c>
      <c r="I44" s="1">
        <v>2189</v>
      </c>
      <c r="J44" s="1">
        <v>4921</v>
      </c>
    </row>
    <row r="45" spans="1:10" x14ac:dyDescent="0.25">
      <c r="A45" t="s">
        <v>67</v>
      </c>
      <c r="B45" t="s">
        <v>872</v>
      </c>
      <c r="C45" t="s">
        <v>68</v>
      </c>
      <c r="D45" s="1">
        <v>28276</v>
      </c>
      <c r="E45" s="1">
        <v>432</v>
      </c>
      <c r="F45" s="1">
        <v>0</v>
      </c>
      <c r="G45" s="1">
        <v>0</v>
      </c>
      <c r="H45" s="1">
        <v>0</v>
      </c>
      <c r="I45" s="1">
        <v>23934</v>
      </c>
      <c r="J45" s="1">
        <v>3593</v>
      </c>
    </row>
    <row r="46" spans="1:10" x14ac:dyDescent="0.25">
      <c r="A46" t="s">
        <v>76</v>
      </c>
      <c r="B46" t="s">
        <v>872</v>
      </c>
      <c r="C46" t="s">
        <v>70</v>
      </c>
      <c r="D46" s="1">
        <v>138945</v>
      </c>
      <c r="E46" s="1">
        <v>738</v>
      </c>
      <c r="F46" s="1">
        <v>0</v>
      </c>
      <c r="G46" s="1">
        <v>0</v>
      </c>
      <c r="H46" s="1">
        <v>0</v>
      </c>
      <c r="I46" s="1">
        <v>95874</v>
      </c>
      <c r="J46" s="1">
        <v>30378</v>
      </c>
    </row>
    <row r="47" spans="1:10" x14ac:dyDescent="0.25">
      <c r="A47" t="s">
        <v>803</v>
      </c>
      <c r="B47" t="s">
        <v>872</v>
      </c>
      <c r="C47" t="s">
        <v>71</v>
      </c>
      <c r="D47" s="1"/>
      <c r="E47" s="1"/>
      <c r="F47" s="1"/>
      <c r="G47" s="1"/>
      <c r="H47" s="1"/>
      <c r="I47" s="1"/>
      <c r="J47" s="1"/>
    </row>
    <row r="48" spans="1:10" x14ac:dyDescent="0.25">
      <c r="A48" t="s">
        <v>72</v>
      </c>
      <c r="B48" t="s">
        <v>872</v>
      </c>
      <c r="C48" t="s">
        <v>73</v>
      </c>
      <c r="D48" s="1">
        <v>26111</v>
      </c>
      <c r="E48" s="1">
        <v>104</v>
      </c>
      <c r="F48" s="1">
        <v>0</v>
      </c>
      <c r="G48" s="1">
        <v>0</v>
      </c>
      <c r="H48" s="1">
        <v>0</v>
      </c>
      <c r="I48" s="1">
        <v>15764</v>
      </c>
      <c r="J48" s="1">
        <v>4349</v>
      </c>
    </row>
    <row r="49" spans="1:10" x14ac:dyDescent="0.25">
      <c r="A49" t="s">
        <v>809</v>
      </c>
      <c r="B49" t="s">
        <v>872</v>
      </c>
      <c r="C49" t="s">
        <v>74</v>
      </c>
      <c r="D49" s="1">
        <v>59924</v>
      </c>
      <c r="E49" s="1">
        <v>579</v>
      </c>
      <c r="F49" s="1">
        <v>0</v>
      </c>
      <c r="G49" s="1">
        <v>0</v>
      </c>
      <c r="H49" s="1">
        <v>0</v>
      </c>
      <c r="I49" s="1">
        <v>29060</v>
      </c>
      <c r="J49" s="1">
        <v>8714</v>
      </c>
    </row>
    <row r="50" spans="1:10" x14ac:dyDescent="0.25">
      <c r="A50" t="s">
        <v>146</v>
      </c>
      <c r="B50" t="s">
        <v>872</v>
      </c>
      <c r="C50" t="s">
        <v>75</v>
      </c>
      <c r="D50" s="1">
        <v>37036</v>
      </c>
      <c r="E50" s="1">
        <v>160</v>
      </c>
      <c r="F50" s="1">
        <v>0</v>
      </c>
      <c r="G50" s="1">
        <v>0</v>
      </c>
      <c r="H50" s="1">
        <v>0</v>
      </c>
      <c r="I50" s="1">
        <v>23817</v>
      </c>
      <c r="J50" s="1">
        <v>22742</v>
      </c>
    </row>
    <row r="51" spans="1:10" x14ac:dyDescent="0.25">
      <c r="A51" t="s">
        <v>76</v>
      </c>
      <c r="B51" t="s">
        <v>872</v>
      </c>
      <c r="C51" t="s">
        <v>77</v>
      </c>
      <c r="D51" s="1">
        <v>60105</v>
      </c>
      <c r="E51" s="1">
        <v>217</v>
      </c>
      <c r="F51" s="1">
        <v>0</v>
      </c>
      <c r="G51" s="1">
        <v>0</v>
      </c>
      <c r="H51" s="1">
        <v>0</v>
      </c>
      <c r="I51" s="1">
        <v>15981</v>
      </c>
      <c r="J51" s="1">
        <v>17390</v>
      </c>
    </row>
    <row r="52" spans="1:10" x14ac:dyDescent="0.25">
      <c r="A52" t="s">
        <v>801</v>
      </c>
      <c r="B52" t="s">
        <v>872</v>
      </c>
      <c r="C52" t="s">
        <v>78</v>
      </c>
      <c r="D52" s="1">
        <v>50234</v>
      </c>
      <c r="E52" s="1">
        <v>51</v>
      </c>
      <c r="F52" s="1">
        <v>0</v>
      </c>
      <c r="G52" s="1">
        <v>0</v>
      </c>
      <c r="H52" s="1">
        <v>0</v>
      </c>
      <c r="I52" s="1">
        <v>82221</v>
      </c>
      <c r="J52" s="1">
        <v>13944</v>
      </c>
    </row>
    <row r="53" spans="1:10" x14ac:dyDescent="0.25">
      <c r="A53" t="s">
        <v>847</v>
      </c>
      <c r="B53" t="s">
        <v>872</v>
      </c>
      <c r="C53" t="s">
        <v>79</v>
      </c>
      <c r="D53" s="1">
        <v>16999</v>
      </c>
      <c r="E53" s="1">
        <v>0</v>
      </c>
      <c r="F53" s="1">
        <v>0</v>
      </c>
      <c r="G53" s="1">
        <v>0</v>
      </c>
      <c r="H53" s="1">
        <v>0</v>
      </c>
      <c r="I53" s="1">
        <v>3231</v>
      </c>
      <c r="J53" s="1">
        <v>2528</v>
      </c>
    </row>
    <row r="54" spans="1:10" x14ac:dyDescent="0.25">
      <c r="A54" t="s">
        <v>226</v>
      </c>
      <c r="B54" t="s">
        <v>872</v>
      </c>
      <c r="C54" t="s">
        <v>80</v>
      </c>
      <c r="D54" s="1">
        <v>11080</v>
      </c>
      <c r="E54" s="1">
        <v>7</v>
      </c>
      <c r="F54" s="1">
        <v>0</v>
      </c>
      <c r="G54" s="1">
        <v>0</v>
      </c>
      <c r="H54" s="1">
        <v>0</v>
      </c>
      <c r="I54" s="1">
        <v>6261</v>
      </c>
      <c r="J54" s="1">
        <v>2663</v>
      </c>
    </row>
    <row r="55" spans="1:10" x14ac:dyDescent="0.25">
      <c r="A55" t="s">
        <v>826</v>
      </c>
      <c r="B55" t="s">
        <v>872</v>
      </c>
      <c r="C55" t="s">
        <v>81</v>
      </c>
      <c r="D55" s="1">
        <v>18522</v>
      </c>
      <c r="E55" s="1">
        <v>0</v>
      </c>
      <c r="F55" s="1">
        <v>0</v>
      </c>
      <c r="G55" s="1">
        <v>0</v>
      </c>
      <c r="H55" s="1">
        <v>0</v>
      </c>
      <c r="I55" s="1">
        <v>4964</v>
      </c>
      <c r="J55" s="1">
        <v>3878</v>
      </c>
    </row>
    <row r="56" spans="1:10" x14ac:dyDescent="0.25">
      <c r="A56" t="s">
        <v>76</v>
      </c>
      <c r="B56" t="s">
        <v>872</v>
      </c>
      <c r="C56" t="s">
        <v>82</v>
      </c>
      <c r="D56" s="1">
        <v>82928</v>
      </c>
      <c r="E56" s="1">
        <v>772</v>
      </c>
      <c r="F56" s="1">
        <v>0</v>
      </c>
      <c r="G56" s="1">
        <v>0</v>
      </c>
      <c r="H56" s="1">
        <v>0</v>
      </c>
      <c r="I56" s="1">
        <v>11516</v>
      </c>
      <c r="J56" s="1">
        <v>8437</v>
      </c>
    </row>
    <row r="57" spans="1:10" x14ac:dyDescent="0.25">
      <c r="A57" t="s">
        <v>83</v>
      </c>
      <c r="B57" t="s">
        <v>872</v>
      </c>
      <c r="C57" t="s">
        <v>84</v>
      </c>
      <c r="D57" s="1">
        <v>33024</v>
      </c>
      <c r="E57" s="1">
        <v>21</v>
      </c>
      <c r="F57" s="1">
        <v>0</v>
      </c>
      <c r="G57" s="1">
        <v>0</v>
      </c>
      <c r="H57" s="1">
        <v>0</v>
      </c>
      <c r="I57" s="1">
        <v>25502</v>
      </c>
      <c r="J57" s="1">
        <v>22708</v>
      </c>
    </row>
    <row r="58" spans="1:10" x14ac:dyDescent="0.25">
      <c r="A58" t="s">
        <v>809</v>
      </c>
      <c r="B58" t="s">
        <v>872</v>
      </c>
      <c r="C58" t="s">
        <v>85</v>
      </c>
      <c r="D58" s="1">
        <v>11688</v>
      </c>
      <c r="E58" s="1">
        <v>207</v>
      </c>
      <c r="F58" s="1">
        <v>0</v>
      </c>
      <c r="G58" s="1">
        <v>0</v>
      </c>
      <c r="H58" s="1">
        <v>0</v>
      </c>
      <c r="I58" s="1">
        <v>6334</v>
      </c>
      <c r="J58" s="1">
        <v>1386</v>
      </c>
    </row>
    <row r="59" spans="1:10" x14ac:dyDescent="0.25">
      <c r="A59" t="s">
        <v>811</v>
      </c>
      <c r="B59" t="s">
        <v>872</v>
      </c>
      <c r="C59" t="s">
        <v>86</v>
      </c>
      <c r="D59" s="1">
        <v>93641</v>
      </c>
      <c r="E59" s="1">
        <v>22994</v>
      </c>
      <c r="F59" s="1">
        <v>0</v>
      </c>
      <c r="G59" s="1">
        <v>0</v>
      </c>
      <c r="H59" s="1">
        <v>0</v>
      </c>
      <c r="I59" s="1">
        <v>16767</v>
      </c>
      <c r="J59" s="1">
        <v>53550</v>
      </c>
    </row>
    <row r="60" spans="1:10" x14ac:dyDescent="0.25">
      <c r="A60" t="s">
        <v>811</v>
      </c>
      <c r="B60" t="s">
        <v>872</v>
      </c>
      <c r="C60" t="s">
        <v>87</v>
      </c>
      <c r="D60" s="1">
        <v>45716</v>
      </c>
      <c r="E60" s="1">
        <v>2430</v>
      </c>
      <c r="F60" s="1">
        <v>0</v>
      </c>
      <c r="G60" s="1">
        <v>0</v>
      </c>
      <c r="H60" s="1">
        <v>0</v>
      </c>
      <c r="I60" s="1">
        <v>14642</v>
      </c>
      <c r="J60" s="1">
        <v>10231</v>
      </c>
    </row>
    <row r="61" spans="1:10" x14ac:dyDescent="0.25">
      <c r="A61" t="s">
        <v>791</v>
      </c>
      <c r="B61" t="s">
        <v>872</v>
      </c>
      <c r="C61" t="s">
        <v>88</v>
      </c>
      <c r="D61" s="1">
        <v>32890</v>
      </c>
      <c r="E61" s="1">
        <v>527</v>
      </c>
      <c r="F61" s="1">
        <v>0</v>
      </c>
      <c r="G61" s="1">
        <v>0</v>
      </c>
      <c r="H61" s="1">
        <v>0</v>
      </c>
      <c r="I61" s="1">
        <v>8074</v>
      </c>
      <c r="J61" s="1">
        <v>11268</v>
      </c>
    </row>
    <row r="62" spans="1:10" x14ac:dyDescent="0.25">
      <c r="A62" t="s">
        <v>809</v>
      </c>
      <c r="B62" t="s">
        <v>872</v>
      </c>
      <c r="C62" t="s">
        <v>89</v>
      </c>
      <c r="D62" s="1">
        <v>6034</v>
      </c>
      <c r="E62" s="1">
        <v>48</v>
      </c>
      <c r="F62" s="1">
        <v>0</v>
      </c>
      <c r="G62" s="1">
        <v>0</v>
      </c>
      <c r="H62" s="1">
        <v>0</v>
      </c>
      <c r="I62" s="1">
        <v>7569</v>
      </c>
      <c r="J62" s="1">
        <v>330</v>
      </c>
    </row>
    <row r="63" spans="1:10" x14ac:dyDescent="0.25">
      <c r="A63" t="s">
        <v>848</v>
      </c>
      <c r="B63" t="s">
        <v>872</v>
      </c>
      <c r="C63" t="s">
        <v>90</v>
      </c>
      <c r="D63" s="1">
        <v>49493</v>
      </c>
      <c r="E63" s="1">
        <v>185</v>
      </c>
      <c r="F63" s="1">
        <v>0</v>
      </c>
      <c r="G63" s="1">
        <v>0</v>
      </c>
      <c r="H63" s="1">
        <v>0</v>
      </c>
      <c r="I63" s="1">
        <v>8275</v>
      </c>
      <c r="J63" s="1">
        <v>22942</v>
      </c>
    </row>
    <row r="64" spans="1:10" x14ac:dyDescent="0.25">
      <c r="A64" t="s">
        <v>248</v>
      </c>
      <c r="B64" t="s">
        <v>872</v>
      </c>
      <c r="C64" t="s">
        <v>91</v>
      </c>
      <c r="D64" s="1">
        <v>263472</v>
      </c>
      <c r="E64" s="1">
        <v>5205</v>
      </c>
      <c r="F64" s="1">
        <v>0</v>
      </c>
      <c r="G64" s="1">
        <v>0</v>
      </c>
      <c r="H64" s="1">
        <v>0</v>
      </c>
      <c r="I64" s="1">
        <v>96661</v>
      </c>
      <c r="J64" s="1">
        <v>121260</v>
      </c>
    </row>
    <row r="65" spans="1:10" x14ac:dyDescent="0.25">
      <c r="A65" t="s">
        <v>826</v>
      </c>
      <c r="B65" t="s">
        <v>872</v>
      </c>
      <c r="C65" t="s">
        <v>92</v>
      </c>
      <c r="D65" s="1">
        <v>48236</v>
      </c>
      <c r="E65" s="1">
        <v>1988</v>
      </c>
      <c r="F65" s="1">
        <v>0</v>
      </c>
      <c r="G65" s="1">
        <v>0</v>
      </c>
      <c r="H65" s="1">
        <v>0</v>
      </c>
      <c r="I65" s="1">
        <v>10034</v>
      </c>
      <c r="J65" s="1">
        <v>7899</v>
      </c>
    </row>
    <row r="66" spans="1:10" x14ac:dyDescent="0.25">
      <c r="A66" t="s">
        <v>803</v>
      </c>
      <c r="B66" t="s">
        <v>872</v>
      </c>
      <c r="C66" t="s">
        <v>93</v>
      </c>
      <c r="D66" s="1"/>
      <c r="E66" s="1"/>
      <c r="F66" s="1"/>
      <c r="G66" s="1"/>
      <c r="H66" s="1"/>
      <c r="I66" s="1"/>
      <c r="J66" s="1"/>
    </row>
    <row r="67" spans="1:10" x14ac:dyDescent="0.25">
      <c r="A67" t="s">
        <v>791</v>
      </c>
      <c r="B67" t="s">
        <v>872</v>
      </c>
      <c r="C67" t="s">
        <v>94</v>
      </c>
      <c r="D67" s="1">
        <v>19237</v>
      </c>
      <c r="E67" s="1">
        <v>216</v>
      </c>
      <c r="F67" s="1">
        <v>0</v>
      </c>
      <c r="G67" s="1">
        <v>0</v>
      </c>
      <c r="H67" s="1">
        <v>0</v>
      </c>
      <c r="I67" s="1">
        <v>7608</v>
      </c>
      <c r="J67" s="1">
        <v>1702</v>
      </c>
    </row>
    <row r="68" spans="1:10" x14ac:dyDescent="0.25">
      <c r="A68" t="s">
        <v>848</v>
      </c>
      <c r="B68" t="s">
        <v>872</v>
      </c>
      <c r="C68" t="s">
        <v>95</v>
      </c>
      <c r="D68" s="1">
        <v>6305</v>
      </c>
      <c r="E68" s="1">
        <v>136</v>
      </c>
      <c r="F68" s="1">
        <v>0</v>
      </c>
      <c r="G68" s="1">
        <v>0</v>
      </c>
      <c r="H68" s="1">
        <v>0</v>
      </c>
      <c r="I68" s="1">
        <v>2162</v>
      </c>
      <c r="J68" s="1">
        <v>1565</v>
      </c>
    </row>
    <row r="69" spans="1:10" x14ac:dyDescent="0.25">
      <c r="A69" t="s">
        <v>826</v>
      </c>
      <c r="B69" t="s">
        <v>872</v>
      </c>
      <c r="C69" t="s">
        <v>96</v>
      </c>
      <c r="D69" s="1">
        <v>13868</v>
      </c>
      <c r="E69" s="1">
        <v>160</v>
      </c>
      <c r="F69" s="1">
        <v>0</v>
      </c>
      <c r="G69" s="1">
        <v>0</v>
      </c>
      <c r="H69" s="1">
        <v>0</v>
      </c>
      <c r="I69" s="1">
        <v>4324</v>
      </c>
      <c r="J69" s="1">
        <v>2658</v>
      </c>
    </row>
    <row r="70" spans="1:10" x14ac:dyDescent="0.25">
      <c r="A70" t="s">
        <v>850</v>
      </c>
      <c r="B70" t="s">
        <v>872</v>
      </c>
      <c r="C70" t="s">
        <v>98</v>
      </c>
      <c r="D70" s="1">
        <v>14131</v>
      </c>
      <c r="E70" s="1">
        <v>26</v>
      </c>
      <c r="F70" s="1">
        <v>0</v>
      </c>
      <c r="G70" s="1">
        <v>0</v>
      </c>
      <c r="H70" s="1">
        <v>0</v>
      </c>
      <c r="I70" s="1">
        <v>9157</v>
      </c>
      <c r="J70" s="1">
        <v>4029</v>
      </c>
    </row>
    <row r="71" spans="1:10" x14ac:dyDescent="0.25">
      <c r="A71" t="s">
        <v>851</v>
      </c>
      <c r="B71" t="s">
        <v>872</v>
      </c>
      <c r="C71" t="s">
        <v>100</v>
      </c>
      <c r="D71" s="1">
        <v>10106</v>
      </c>
      <c r="E71" s="1">
        <v>373</v>
      </c>
      <c r="F71" s="1">
        <v>0</v>
      </c>
      <c r="G71" s="1">
        <v>0</v>
      </c>
      <c r="H71" s="1">
        <v>0</v>
      </c>
      <c r="I71" s="1">
        <v>6407</v>
      </c>
      <c r="J71" s="1">
        <v>2511</v>
      </c>
    </row>
    <row r="72" spans="1:10" x14ac:dyDescent="0.25">
      <c r="A72" t="s">
        <v>101</v>
      </c>
      <c r="B72" t="s">
        <v>872</v>
      </c>
      <c r="C72" t="s">
        <v>102</v>
      </c>
      <c r="D72" s="1">
        <v>57826</v>
      </c>
      <c r="E72" s="1">
        <v>6</v>
      </c>
      <c r="F72" s="1">
        <v>0</v>
      </c>
      <c r="G72" s="1">
        <v>0</v>
      </c>
      <c r="H72" s="1">
        <v>0</v>
      </c>
      <c r="I72" s="1">
        <v>58622</v>
      </c>
      <c r="J72" s="1">
        <v>8601</v>
      </c>
    </row>
    <row r="73" spans="1:10" x14ac:dyDescent="0.25">
      <c r="A73" t="s">
        <v>512</v>
      </c>
      <c r="B73" t="s">
        <v>872</v>
      </c>
      <c r="C73" t="s">
        <v>103</v>
      </c>
      <c r="D73" s="1">
        <v>29166</v>
      </c>
      <c r="E73" s="1">
        <v>0</v>
      </c>
      <c r="F73" s="1">
        <v>0</v>
      </c>
      <c r="G73" s="1">
        <v>0</v>
      </c>
      <c r="H73" s="1">
        <v>0</v>
      </c>
      <c r="I73" s="1">
        <v>1388</v>
      </c>
      <c r="J73" s="1">
        <v>5404</v>
      </c>
    </row>
    <row r="74" spans="1:10" x14ac:dyDescent="0.25">
      <c r="A74" t="s">
        <v>852</v>
      </c>
      <c r="B74" t="s">
        <v>872</v>
      </c>
      <c r="C74" t="s">
        <v>105</v>
      </c>
      <c r="D74" s="1">
        <v>16796</v>
      </c>
      <c r="E74" s="1">
        <v>273</v>
      </c>
      <c r="F74" s="1">
        <v>0</v>
      </c>
      <c r="G74" s="1">
        <v>0</v>
      </c>
      <c r="H74" s="1">
        <v>0</v>
      </c>
      <c r="I74" s="1">
        <v>11497</v>
      </c>
      <c r="J74" s="1">
        <v>5700</v>
      </c>
    </row>
    <row r="75" spans="1:10" x14ac:dyDescent="0.25">
      <c r="A75" t="s">
        <v>853</v>
      </c>
      <c r="B75" t="s">
        <v>872</v>
      </c>
      <c r="C75" t="s">
        <v>107</v>
      </c>
      <c r="D75" s="1">
        <v>45841</v>
      </c>
      <c r="E75" s="1">
        <v>372</v>
      </c>
      <c r="F75" s="1">
        <v>0</v>
      </c>
      <c r="G75" s="1">
        <v>0</v>
      </c>
      <c r="H75" s="1">
        <v>0</v>
      </c>
      <c r="I75" s="1">
        <v>41601</v>
      </c>
      <c r="J75" s="1">
        <v>10689</v>
      </c>
    </row>
    <row r="76" spans="1:10" x14ac:dyDescent="0.25">
      <c r="A76" t="s">
        <v>854</v>
      </c>
      <c r="B76" t="s">
        <v>872</v>
      </c>
      <c r="C76" t="s">
        <v>109</v>
      </c>
      <c r="D76" s="1">
        <v>24832</v>
      </c>
      <c r="E76" s="1">
        <v>1460</v>
      </c>
      <c r="F76" s="1">
        <v>0</v>
      </c>
      <c r="G76" s="1">
        <v>0</v>
      </c>
      <c r="H76" s="1">
        <v>0</v>
      </c>
      <c r="I76" s="1">
        <v>28637</v>
      </c>
      <c r="J76" s="1">
        <v>7682</v>
      </c>
    </row>
    <row r="77" spans="1:10" x14ac:dyDescent="0.25">
      <c r="A77" t="s">
        <v>855</v>
      </c>
      <c r="B77" t="s">
        <v>872</v>
      </c>
      <c r="C77" t="s">
        <v>111</v>
      </c>
      <c r="D77" s="1">
        <v>14794</v>
      </c>
      <c r="E77" s="1">
        <v>167</v>
      </c>
      <c r="F77" s="1">
        <v>0</v>
      </c>
      <c r="G77" s="1">
        <v>0</v>
      </c>
      <c r="H77" s="1">
        <v>0</v>
      </c>
      <c r="I77" s="1">
        <v>16351</v>
      </c>
      <c r="J77" s="1">
        <v>5110</v>
      </c>
    </row>
    <row r="78" spans="1:10" x14ac:dyDescent="0.25">
      <c r="A78" t="s">
        <v>101</v>
      </c>
      <c r="B78" t="s">
        <v>872</v>
      </c>
      <c r="C78" t="s">
        <v>112</v>
      </c>
      <c r="D78" s="1">
        <v>43779</v>
      </c>
      <c r="E78" s="1">
        <v>12</v>
      </c>
      <c r="F78" s="1">
        <v>0</v>
      </c>
      <c r="G78" s="1">
        <v>0</v>
      </c>
      <c r="H78" s="1">
        <v>0</v>
      </c>
      <c r="I78" s="1">
        <v>104770</v>
      </c>
      <c r="J78" s="1">
        <v>4246</v>
      </c>
    </row>
    <row r="79" spans="1:10" x14ac:dyDescent="0.25">
      <c r="A79" t="s">
        <v>856</v>
      </c>
      <c r="B79" t="s">
        <v>872</v>
      </c>
      <c r="C79" t="s">
        <v>114</v>
      </c>
      <c r="D79" s="1">
        <v>16051</v>
      </c>
      <c r="E79" s="1">
        <v>407</v>
      </c>
      <c r="F79" s="1">
        <v>0</v>
      </c>
      <c r="G79" s="1">
        <v>0</v>
      </c>
      <c r="H79" s="1">
        <v>0</v>
      </c>
      <c r="I79" s="1">
        <v>24691</v>
      </c>
      <c r="J79" s="1">
        <v>11597</v>
      </c>
    </row>
    <row r="80" spans="1:10" x14ac:dyDescent="0.25">
      <c r="A80" t="s">
        <v>857</v>
      </c>
      <c r="B80" t="s">
        <v>872</v>
      </c>
      <c r="C80" t="s">
        <v>116</v>
      </c>
      <c r="D80" s="1">
        <v>20685</v>
      </c>
      <c r="E80" s="1">
        <v>279</v>
      </c>
      <c r="F80" s="1">
        <v>0</v>
      </c>
      <c r="G80" s="1">
        <v>0</v>
      </c>
      <c r="H80" s="1">
        <v>0</v>
      </c>
      <c r="I80" s="1">
        <v>4319</v>
      </c>
      <c r="J80" s="1">
        <v>6121</v>
      </c>
    </row>
    <row r="81" spans="1:10" x14ac:dyDescent="0.25">
      <c r="A81" t="s">
        <v>823</v>
      </c>
      <c r="B81" t="s">
        <v>872</v>
      </c>
      <c r="C81" t="s">
        <v>117</v>
      </c>
      <c r="D81" s="1">
        <v>28461</v>
      </c>
      <c r="E81" s="1">
        <v>83</v>
      </c>
      <c r="F81" s="1">
        <v>0</v>
      </c>
      <c r="G81" s="1">
        <v>0</v>
      </c>
      <c r="H81" s="1">
        <v>0</v>
      </c>
      <c r="I81" s="1">
        <v>10837</v>
      </c>
      <c r="J81" s="1">
        <v>5767</v>
      </c>
    </row>
    <row r="82" spans="1:10" x14ac:dyDescent="0.25">
      <c r="A82" t="s">
        <v>858</v>
      </c>
      <c r="B82" t="s">
        <v>872</v>
      </c>
      <c r="C82" t="s">
        <v>119</v>
      </c>
      <c r="D82" s="1">
        <v>24075</v>
      </c>
      <c r="E82" s="1">
        <v>271</v>
      </c>
      <c r="F82" s="1">
        <v>0</v>
      </c>
      <c r="G82" s="1">
        <v>0</v>
      </c>
      <c r="H82" s="1">
        <v>0</v>
      </c>
      <c r="I82" s="1">
        <v>10351</v>
      </c>
      <c r="J82" s="1">
        <v>7972</v>
      </c>
    </row>
    <row r="83" spans="1:10" x14ac:dyDescent="0.25">
      <c r="A83" t="s">
        <v>859</v>
      </c>
      <c r="B83" t="s">
        <v>872</v>
      </c>
      <c r="C83" t="s">
        <v>121</v>
      </c>
      <c r="D83" s="1">
        <v>29521</v>
      </c>
      <c r="E83" s="1">
        <v>87</v>
      </c>
      <c r="F83" s="1">
        <v>0</v>
      </c>
      <c r="G83" s="1">
        <v>0</v>
      </c>
      <c r="H83" s="1">
        <v>0</v>
      </c>
      <c r="I83" s="1">
        <v>18559</v>
      </c>
      <c r="J83" s="1">
        <v>4034</v>
      </c>
    </row>
    <row r="84" spans="1:10" x14ac:dyDescent="0.25">
      <c r="A84" t="s">
        <v>860</v>
      </c>
      <c r="B84" t="s">
        <v>872</v>
      </c>
      <c r="C84" t="s">
        <v>122</v>
      </c>
      <c r="D84" s="1">
        <v>21438</v>
      </c>
      <c r="E84" s="1">
        <v>41</v>
      </c>
      <c r="F84" s="1">
        <v>0</v>
      </c>
      <c r="G84" s="1">
        <v>0</v>
      </c>
      <c r="H84" s="1">
        <v>0</v>
      </c>
      <c r="I84" s="1">
        <v>12518</v>
      </c>
      <c r="J84" s="1">
        <v>5450</v>
      </c>
    </row>
    <row r="85" spans="1:10" x14ac:dyDescent="0.25">
      <c r="A85" t="s">
        <v>861</v>
      </c>
      <c r="B85" t="s">
        <v>872</v>
      </c>
      <c r="C85" t="s">
        <v>124</v>
      </c>
      <c r="D85" s="1">
        <v>22442</v>
      </c>
      <c r="E85" s="1">
        <v>0</v>
      </c>
      <c r="F85" s="1">
        <v>0</v>
      </c>
      <c r="G85" s="1">
        <v>0</v>
      </c>
      <c r="H85" s="1">
        <v>0</v>
      </c>
      <c r="I85" s="1">
        <v>11538</v>
      </c>
      <c r="J85" s="1">
        <v>5467</v>
      </c>
    </row>
    <row r="86" spans="1:10" x14ac:dyDescent="0.25">
      <c r="A86" t="s">
        <v>823</v>
      </c>
      <c r="B86" t="s">
        <v>872</v>
      </c>
      <c r="C86" t="s">
        <v>125</v>
      </c>
      <c r="D86" s="1">
        <v>90771</v>
      </c>
      <c r="E86" s="1">
        <v>35</v>
      </c>
      <c r="F86" s="1">
        <v>0</v>
      </c>
      <c r="G86" s="1">
        <v>0</v>
      </c>
      <c r="H86" s="1">
        <v>0</v>
      </c>
      <c r="I86" s="1">
        <v>5036</v>
      </c>
      <c r="J86" s="1">
        <v>8158</v>
      </c>
    </row>
    <row r="87" spans="1:10" x14ac:dyDescent="0.25">
      <c r="A87" t="s">
        <v>248</v>
      </c>
      <c r="B87" t="s">
        <v>872</v>
      </c>
      <c r="C87" t="s">
        <v>126</v>
      </c>
      <c r="D87" s="1">
        <v>30656</v>
      </c>
      <c r="E87" s="1">
        <v>60</v>
      </c>
      <c r="F87" s="1">
        <v>0</v>
      </c>
      <c r="G87" s="1">
        <v>0</v>
      </c>
      <c r="H87" s="1">
        <v>0</v>
      </c>
      <c r="I87" s="1">
        <v>47892</v>
      </c>
      <c r="J87" s="1">
        <v>6089</v>
      </c>
    </row>
    <row r="88" spans="1:10" x14ac:dyDescent="0.25">
      <c r="A88" t="s">
        <v>862</v>
      </c>
      <c r="B88" t="s">
        <v>872</v>
      </c>
      <c r="C88" t="s">
        <v>127</v>
      </c>
      <c r="D88" s="1">
        <v>10147</v>
      </c>
      <c r="E88" s="1">
        <v>105</v>
      </c>
      <c r="F88" s="1">
        <v>0</v>
      </c>
      <c r="G88" s="1">
        <v>0</v>
      </c>
      <c r="H88" s="1">
        <v>0</v>
      </c>
      <c r="I88" s="1">
        <v>6800</v>
      </c>
      <c r="J88" s="1">
        <v>3294</v>
      </c>
    </row>
    <row r="89" spans="1:10" x14ac:dyDescent="0.25">
      <c r="A89" t="s">
        <v>863</v>
      </c>
      <c r="B89" t="s">
        <v>872</v>
      </c>
      <c r="C89" t="s">
        <v>129</v>
      </c>
      <c r="D89" s="1">
        <v>28595</v>
      </c>
      <c r="E89" s="1">
        <v>401</v>
      </c>
      <c r="F89" s="1">
        <v>0</v>
      </c>
      <c r="G89" s="1">
        <v>0</v>
      </c>
      <c r="H89" s="1">
        <v>0</v>
      </c>
      <c r="I89" s="1">
        <v>10241</v>
      </c>
      <c r="J89" s="1">
        <v>7673</v>
      </c>
    </row>
    <row r="90" spans="1:10" x14ac:dyDescent="0.25">
      <c r="A90" t="s">
        <v>794</v>
      </c>
      <c r="B90" t="s">
        <v>872</v>
      </c>
      <c r="C90" t="s">
        <v>130</v>
      </c>
      <c r="D90" s="1">
        <v>57259</v>
      </c>
      <c r="E90" s="1">
        <v>136</v>
      </c>
      <c r="F90" s="1">
        <v>0</v>
      </c>
      <c r="G90" s="1">
        <v>0</v>
      </c>
      <c r="H90" s="1">
        <v>0</v>
      </c>
      <c r="I90" s="1">
        <v>6339</v>
      </c>
      <c r="J90" s="1">
        <v>6075</v>
      </c>
    </row>
    <row r="91" spans="1:10" x14ac:dyDescent="0.25">
      <c r="A91" t="s">
        <v>864</v>
      </c>
      <c r="B91" t="s">
        <v>872</v>
      </c>
      <c r="C91" t="s">
        <v>132</v>
      </c>
      <c r="D91" s="1">
        <v>55437</v>
      </c>
      <c r="E91" s="1">
        <v>100</v>
      </c>
      <c r="F91" s="1">
        <v>0</v>
      </c>
      <c r="G91" s="1">
        <v>0</v>
      </c>
      <c r="H91" s="1">
        <v>0</v>
      </c>
      <c r="I91" s="1">
        <v>45899</v>
      </c>
      <c r="J91" s="1">
        <v>28056</v>
      </c>
    </row>
    <row r="92" spans="1:10" x14ac:dyDescent="0.25">
      <c r="A92" t="s">
        <v>512</v>
      </c>
      <c r="B92" t="s">
        <v>872</v>
      </c>
      <c r="C92" t="s">
        <v>133</v>
      </c>
      <c r="D92" s="1">
        <v>14441</v>
      </c>
      <c r="E92" s="1">
        <v>700</v>
      </c>
      <c r="F92" s="1">
        <v>0</v>
      </c>
      <c r="G92" s="1">
        <v>0</v>
      </c>
      <c r="H92" s="1">
        <v>0</v>
      </c>
      <c r="I92" s="1">
        <v>9728</v>
      </c>
      <c r="J92" s="1">
        <v>2926</v>
      </c>
    </row>
    <row r="93" spans="1:10" x14ac:dyDescent="0.25">
      <c r="A93" t="s">
        <v>134</v>
      </c>
      <c r="B93" t="s">
        <v>872</v>
      </c>
      <c r="C93" t="s">
        <v>135</v>
      </c>
      <c r="D93" s="1">
        <v>36922</v>
      </c>
      <c r="E93" s="1">
        <v>39</v>
      </c>
      <c r="F93" s="1">
        <v>0</v>
      </c>
      <c r="G93" s="1">
        <v>0</v>
      </c>
      <c r="H93" s="1">
        <v>0</v>
      </c>
      <c r="I93" s="1">
        <v>45880</v>
      </c>
      <c r="J93" s="1">
        <v>10315</v>
      </c>
    </row>
    <row r="94" spans="1:10" x14ac:dyDescent="0.25">
      <c r="A94" t="s">
        <v>795</v>
      </c>
      <c r="B94" t="s">
        <v>872</v>
      </c>
      <c r="C94" t="s">
        <v>136</v>
      </c>
      <c r="D94" s="1">
        <v>20143</v>
      </c>
      <c r="E94" s="1">
        <v>362</v>
      </c>
      <c r="F94" s="1">
        <v>0</v>
      </c>
      <c r="G94" s="1">
        <v>0</v>
      </c>
      <c r="H94" s="1">
        <v>0</v>
      </c>
      <c r="I94" s="1">
        <v>22235</v>
      </c>
      <c r="J94" s="1">
        <v>5557</v>
      </c>
    </row>
    <row r="95" spans="1:10" x14ac:dyDescent="0.25">
      <c r="A95" t="s">
        <v>120</v>
      </c>
      <c r="B95" t="s">
        <v>872</v>
      </c>
      <c r="C95" t="s">
        <v>137</v>
      </c>
      <c r="D95" s="1">
        <v>61121</v>
      </c>
      <c r="E95" s="1">
        <v>95</v>
      </c>
      <c r="F95" s="1">
        <v>0</v>
      </c>
      <c r="G95" s="1">
        <v>0</v>
      </c>
      <c r="H95" s="1">
        <v>0</v>
      </c>
      <c r="I95" s="1">
        <v>27660</v>
      </c>
      <c r="J95" s="1">
        <v>4558</v>
      </c>
    </row>
    <row r="96" spans="1:10" x14ac:dyDescent="0.25">
      <c r="A96" t="s">
        <v>138</v>
      </c>
      <c r="B96" t="s">
        <v>872</v>
      </c>
      <c r="C96" t="s">
        <v>139</v>
      </c>
      <c r="D96" s="1">
        <v>50300</v>
      </c>
      <c r="E96" s="1">
        <v>28</v>
      </c>
      <c r="F96" s="1">
        <v>0</v>
      </c>
      <c r="G96" s="1">
        <v>0</v>
      </c>
      <c r="H96" s="1">
        <v>0</v>
      </c>
      <c r="I96" s="1">
        <v>58094</v>
      </c>
      <c r="J96" s="1">
        <v>10612</v>
      </c>
    </row>
    <row r="97" spans="1:10" x14ac:dyDescent="0.25">
      <c r="A97" t="s">
        <v>868</v>
      </c>
      <c r="B97" t="s">
        <v>872</v>
      </c>
      <c r="C97" t="s">
        <v>141</v>
      </c>
      <c r="D97" s="1">
        <v>4228</v>
      </c>
      <c r="E97" s="1">
        <v>4</v>
      </c>
      <c r="F97" s="1"/>
      <c r="G97" s="1"/>
      <c r="H97" s="1"/>
      <c r="I97" s="1">
        <v>2077</v>
      </c>
      <c r="J97" s="1">
        <v>330</v>
      </c>
    </row>
    <row r="98" spans="1:10" x14ac:dyDescent="0.25">
      <c r="A98" t="s">
        <v>67</v>
      </c>
      <c r="B98" t="s">
        <v>872</v>
      </c>
      <c r="C98" t="s">
        <v>142</v>
      </c>
      <c r="D98" s="1">
        <v>40188</v>
      </c>
      <c r="E98" s="1">
        <v>71</v>
      </c>
      <c r="F98" s="1">
        <v>0</v>
      </c>
      <c r="G98" s="1">
        <v>0</v>
      </c>
      <c r="H98" s="1">
        <v>0</v>
      </c>
      <c r="I98" s="1">
        <v>9185</v>
      </c>
      <c r="J98" s="1">
        <v>3220</v>
      </c>
    </row>
    <row r="99" spans="1:10" x14ac:dyDescent="0.25">
      <c r="A99" t="s">
        <v>823</v>
      </c>
      <c r="B99" t="s">
        <v>872</v>
      </c>
      <c r="C99" t="s">
        <v>143</v>
      </c>
      <c r="D99" s="1">
        <v>26703</v>
      </c>
      <c r="E99" s="1">
        <v>0</v>
      </c>
      <c r="F99" s="1">
        <v>0</v>
      </c>
      <c r="G99" s="1">
        <v>0</v>
      </c>
      <c r="H99" s="1">
        <v>0</v>
      </c>
      <c r="I99" s="1">
        <v>1291</v>
      </c>
      <c r="J99" s="1">
        <v>4563</v>
      </c>
    </row>
    <row r="100" spans="1:10" x14ac:dyDescent="0.25">
      <c r="A100" t="s">
        <v>848</v>
      </c>
      <c r="B100" t="s">
        <v>872</v>
      </c>
      <c r="C100" t="s">
        <v>144</v>
      </c>
      <c r="D100" s="1">
        <v>12481</v>
      </c>
      <c r="E100" s="1">
        <v>512</v>
      </c>
      <c r="F100" s="1">
        <v>0</v>
      </c>
      <c r="G100" s="1">
        <v>0</v>
      </c>
      <c r="H100" s="1">
        <v>0</v>
      </c>
      <c r="I100" s="1">
        <v>1666</v>
      </c>
      <c r="J100" s="1">
        <v>4017</v>
      </c>
    </row>
    <row r="101" spans="1:10" x14ac:dyDescent="0.25">
      <c r="A101" t="s">
        <v>816</v>
      </c>
      <c r="B101" t="s">
        <v>872</v>
      </c>
      <c r="C101" t="s">
        <v>145</v>
      </c>
      <c r="D101" s="1">
        <v>74531</v>
      </c>
      <c r="E101" s="1">
        <v>123</v>
      </c>
      <c r="F101" s="1">
        <v>0</v>
      </c>
      <c r="G101" s="1">
        <v>0</v>
      </c>
      <c r="H101" s="1">
        <v>0</v>
      </c>
      <c r="I101" s="1">
        <v>57380</v>
      </c>
      <c r="J101" s="1">
        <v>25794</v>
      </c>
    </row>
    <row r="102" spans="1:10" x14ac:dyDescent="0.25">
      <c r="A102" t="s">
        <v>146</v>
      </c>
      <c r="B102" t="s">
        <v>872</v>
      </c>
      <c r="C102" t="s">
        <v>147</v>
      </c>
      <c r="D102" s="1">
        <v>102368</v>
      </c>
      <c r="E102" s="1">
        <v>150</v>
      </c>
      <c r="F102" s="1">
        <v>0</v>
      </c>
      <c r="G102" s="1">
        <v>0</v>
      </c>
      <c r="H102" s="1">
        <v>0</v>
      </c>
      <c r="I102" s="1">
        <v>56006</v>
      </c>
      <c r="J102" s="1">
        <v>27825</v>
      </c>
    </row>
    <row r="103" spans="1:10" x14ac:dyDescent="0.25">
      <c r="A103" t="s">
        <v>804</v>
      </c>
      <c r="B103" t="s">
        <v>872</v>
      </c>
      <c r="C103" t="s">
        <v>148</v>
      </c>
      <c r="D103" s="1">
        <v>104471</v>
      </c>
      <c r="E103" s="1">
        <v>106</v>
      </c>
      <c r="F103" s="1">
        <v>0</v>
      </c>
      <c r="G103" s="1">
        <v>0</v>
      </c>
      <c r="H103" s="1">
        <v>0</v>
      </c>
      <c r="I103" s="1">
        <v>119099</v>
      </c>
      <c r="J103" s="1">
        <v>20699</v>
      </c>
    </row>
    <row r="104" spans="1:10" x14ac:dyDescent="0.25">
      <c r="A104" t="s">
        <v>817</v>
      </c>
      <c r="B104" t="s">
        <v>872</v>
      </c>
      <c r="C104" t="s">
        <v>149</v>
      </c>
      <c r="D104" s="1">
        <v>28392</v>
      </c>
      <c r="E104" s="1">
        <v>907</v>
      </c>
      <c r="F104" s="1">
        <v>0</v>
      </c>
      <c r="G104" s="1">
        <v>0</v>
      </c>
      <c r="H104" s="1">
        <v>0</v>
      </c>
      <c r="I104" s="1">
        <v>29942</v>
      </c>
      <c r="J104" s="1">
        <v>11549</v>
      </c>
    </row>
    <row r="105" spans="1:10" x14ac:dyDescent="0.25">
      <c r="A105" t="s">
        <v>831</v>
      </c>
      <c r="B105" t="s">
        <v>872</v>
      </c>
      <c r="C105" t="s">
        <v>151</v>
      </c>
      <c r="D105" s="1">
        <v>7004</v>
      </c>
      <c r="E105" s="1">
        <v>50</v>
      </c>
      <c r="F105" s="1">
        <v>0</v>
      </c>
      <c r="G105" s="1">
        <v>0</v>
      </c>
      <c r="H105" s="1">
        <v>0</v>
      </c>
      <c r="I105" s="1">
        <v>3347</v>
      </c>
      <c r="J105" s="1">
        <v>1430</v>
      </c>
    </row>
    <row r="106" spans="1:10" x14ac:dyDescent="0.25">
      <c r="A106" t="s">
        <v>146</v>
      </c>
      <c r="B106" t="s">
        <v>872</v>
      </c>
      <c r="C106" t="s">
        <v>152</v>
      </c>
      <c r="D106" s="1">
        <v>35232</v>
      </c>
      <c r="E106" s="1">
        <v>64</v>
      </c>
      <c r="F106" s="1">
        <v>0</v>
      </c>
      <c r="G106" s="1">
        <v>0</v>
      </c>
      <c r="H106" s="1">
        <v>0</v>
      </c>
      <c r="I106" s="1">
        <v>39586</v>
      </c>
      <c r="J106" s="1">
        <v>12558</v>
      </c>
    </row>
    <row r="107" spans="1:10" x14ac:dyDescent="0.25">
      <c r="A107" t="s">
        <v>495</v>
      </c>
      <c r="B107" t="s">
        <v>872</v>
      </c>
      <c r="C107" t="s">
        <v>153</v>
      </c>
      <c r="D107" s="1">
        <v>8957</v>
      </c>
      <c r="E107" s="1">
        <v>6</v>
      </c>
      <c r="F107" s="1">
        <v>0</v>
      </c>
      <c r="G107" s="1">
        <v>0</v>
      </c>
      <c r="H107" s="1">
        <v>0</v>
      </c>
      <c r="I107" s="1">
        <v>11579</v>
      </c>
      <c r="J107" s="1">
        <v>1288</v>
      </c>
    </row>
    <row r="108" spans="1:10" x14ac:dyDescent="0.25">
      <c r="A108" t="s">
        <v>76</v>
      </c>
      <c r="B108" t="s">
        <v>872</v>
      </c>
      <c r="C108" t="s">
        <v>154</v>
      </c>
      <c r="D108" s="1">
        <v>54627</v>
      </c>
      <c r="E108" s="1">
        <v>507</v>
      </c>
      <c r="F108" s="1">
        <v>0</v>
      </c>
      <c r="G108" s="1">
        <v>0</v>
      </c>
      <c r="H108" s="1">
        <v>0</v>
      </c>
      <c r="I108" s="1">
        <v>6591</v>
      </c>
      <c r="J108" s="1">
        <v>20388</v>
      </c>
    </row>
    <row r="109" spans="1:10" x14ac:dyDescent="0.25">
      <c r="A109" t="s">
        <v>83</v>
      </c>
      <c r="B109" t="s">
        <v>872</v>
      </c>
      <c r="C109" t="s">
        <v>155</v>
      </c>
      <c r="D109" s="1">
        <v>18619</v>
      </c>
      <c r="E109" s="1">
        <v>87</v>
      </c>
      <c r="F109" s="1">
        <v>0</v>
      </c>
      <c r="G109" s="1">
        <v>0</v>
      </c>
      <c r="H109" s="1">
        <v>0</v>
      </c>
      <c r="I109" s="1">
        <v>68476</v>
      </c>
      <c r="J109" s="1">
        <v>3582</v>
      </c>
    </row>
    <row r="110" spans="1:10" x14ac:dyDescent="0.25">
      <c r="A110" t="s">
        <v>138</v>
      </c>
      <c r="B110" t="s">
        <v>872</v>
      </c>
      <c r="C110" t="s">
        <v>156</v>
      </c>
      <c r="D110" s="1">
        <v>61249</v>
      </c>
      <c r="E110" s="1">
        <v>221</v>
      </c>
      <c r="F110" s="1">
        <v>0</v>
      </c>
      <c r="G110" s="1">
        <v>0</v>
      </c>
      <c r="H110" s="1">
        <v>0</v>
      </c>
      <c r="I110" s="1">
        <v>65022</v>
      </c>
      <c r="J110" s="1">
        <v>13854</v>
      </c>
    </row>
    <row r="111" spans="1:10" x14ac:dyDescent="0.25">
      <c r="A111" t="s">
        <v>831</v>
      </c>
      <c r="B111" t="s">
        <v>872</v>
      </c>
      <c r="C111" t="s">
        <v>157</v>
      </c>
      <c r="D111" s="1">
        <v>9078</v>
      </c>
      <c r="E111" s="1">
        <v>218</v>
      </c>
      <c r="F111" s="1">
        <v>0</v>
      </c>
      <c r="G111" s="1">
        <v>0</v>
      </c>
      <c r="H111" s="1">
        <v>0</v>
      </c>
      <c r="I111" s="1">
        <v>3810</v>
      </c>
      <c r="J111" s="1">
        <v>2447</v>
      </c>
    </row>
    <row r="112" spans="1:10" x14ac:dyDescent="0.25">
      <c r="A112" t="s">
        <v>818</v>
      </c>
      <c r="B112" t="s">
        <v>872</v>
      </c>
      <c r="C112" t="s">
        <v>158</v>
      </c>
      <c r="D112" s="1">
        <v>27087</v>
      </c>
      <c r="E112" s="1">
        <v>14</v>
      </c>
      <c r="F112" s="1">
        <v>0</v>
      </c>
      <c r="G112" s="1">
        <v>0</v>
      </c>
      <c r="H112" s="1">
        <v>0</v>
      </c>
      <c r="I112" s="1">
        <v>16639</v>
      </c>
      <c r="J112" s="1">
        <v>4120</v>
      </c>
    </row>
    <row r="113" spans="1:10" x14ac:dyDescent="0.25">
      <c r="A113" t="s">
        <v>134</v>
      </c>
      <c r="B113" t="s">
        <v>872</v>
      </c>
      <c r="C113" t="s">
        <v>159</v>
      </c>
      <c r="D113" s="1">
        <v>8682</v>
      </c>
      <c r="E113" s="1">
        <v>87</v>
      </c>
      <c r="F113" s="1">
        <v>0</v>
      </c>
      <c r="G113" s="1">
        <v>0</v>
      </c>
      <c r="H113" s="1">
        <v>0</v>
      </c>
      <c r="I113" s="1">
        <v>8606</v>
      </c>
      <c r="J113" s="1">
        <v>1306</v>
      </c>
    </row>
    <row r="114" spans="1:10" x14ac:dyDescent="0.25">
      <c r="A114" t="s">
        <v>72</v>
      </c>
      <c r="B114" t="s">
        <v>872</v>
      </c>
      <c r="C114" t="s">
        <v>160</v>
      </c>
      <c r="D114" s="1">
        <v>78063</v>
      </c>
      <c r="E114" s="1">
        <v>1784</v>
      </c>
      <c r="F114" s="1">
        <v>0</v>
      </c>
      <c r="G114" s="1">
        <v>0</v>
      </c>
      <c r="H114" s="1">
        <v>0</v>
      </c>
      <c r="I114" s="1">
        <v>15808</v>
      </c>
      <c r="J114" s="1">
        <v>25311</v>
      </c>
    </row>
    <row r="115" spans="1:10" x14ac:dyDescent="0.25">
      <c r="A115" t="s">
        <v>226</v>
      </c>
      <c r="B115" t="s">
        <v>872</v>
      </c>
      <c r="C115" t="s">
        <v>161</v>
      </c>
      <c r="D115" s="1">
        <v>5951</v>
      </c>
      <c r="E115" s="1">
        <v>1</v>
      </c>
      <c r="F115" s="1">
        <v>0</v>
      </c>
      <c r="G115" s="1">
        <v>0</v>
      </c>
      <c r="H115" s="1">
        <v>0</v>
      </c>
      <c r="I115" s="1">
        <v>1211</v>
      </c>
      <c r="J115" s="1">
        <v>313</v>
      </c>
    </row>
    <row r="116" spans="1:10" x14ac:dyDescent="0.25">
      <c r="A116" t="s">
        <v>791</v>
      </c>
      <c r="B116" t="s">
        <v>872</v>
      </c>
      <c r="C116" t="s">
        <v>162</v>
      </c>
      <c r="D116" s="1">
        <v>24572</v>
      </c>
      <c r="E116" s="1">
        <v>198</v>
      </c>
      <c r="F116" s="1">
        <v>0</v>
      </c>
      <c r="G116" s="1">
        <v>0</v>
      </c>
      <c r="H116" s="1">
        <v>0</v>
      </c>
      <c r="I116" s="1">
        <v>9490</v>
      </c>
      <c r="J116" s="1">
        <v>7293</v>
      </c>
    </row>
    <row r="117" spans="1:10" x14ac:dyDescent="0.25">
      <c r="A117" t="s">
        <v>811</v>
      </c>
      <c r="B117" t="s">
        <v>872</v>
      </c>
      <c r="C117" t="s">
        <v>163</v>
      </c>
      <c r="D117" s="1">
        <v>67747</v>
      </c>
      <c r="E117" s="1">
        <v>1602</v>
      </c>
      <c r="F117" s="1">
        <v>0</v>
      </c>
      <c r="G117" s="1">
        <v>0</v>
      </c>
      <c r="H117" s="1">
        <v>0</v>
      </c>
      <c r="I117" s="1">
        <v>62135</v>
      </c>
      <c r="J117" s="1">
        <v>24969</v>
      </c>
    </row>
    <row r="118" spans="1:10" x14ac:dyDescent="0.25">
      <c r="A118" t="s">
        <v>791</v>
      </c>
      <c r="B118" t="s">
        <v>872</v>
      </c>
      <c r="C118" t="s">
        <v>164</v>
      </c>
      <c r="D118" s="1">
        <v>69187</v>
      </c>
      <c r="E118" s="1">
        <v>183</v>
      </c>
      <c r="F118" s="1">
        <v>0</v>
      </c>
      <c r="G118" s="1">
        <v>0</v>
      </c>
      <c r="H118" s="1">
        <v>0</v>
      </c>
      <c r="I118" s="1">
        <v>34456</v>
      </c>
      <c r="J118" s="1">
        <v>15437</v>
      </c>
    </row>
    <row r="119" spans="1:10" x14ac:dyDescent="0.25">
      <c r="A119" t="s">
        <v>83</v>
      </c>
      <c r="B119" t="s">
        <v>872</v>
      </c>
      <c r="C119" t="s">
        <v>165</v>
      </c>
      <c r="D119" s="1">
        <v>13587</v>
      </c>
      <c r="E119" s="1">
        <v>142</v>
      </c>
      <c r="F119" s="1">
        <v>0</v>
      </c>
      <c r="G119" s="1">
        <v>0</v>
      </c>
      <c r="H119" s="1">
        <v>0</v>
      </c>
      <c r="I119" s="1">
        <v>5768</v>
      </c>
      <c r="J119" s="1">
        <v>2623</v>
      </c>
    </row>
    <row r="120" spans="1:10" x14ac:dyDescent="0.25">
      <c r="A120" t="s">
        <v>818</v>
      </c>
      <c r="B120" t="s">
        <v>872</v>
      </c>
      <c r="C120" t="s">
        <v>166</v>
      </c>
      <c r="D120" s="1">
        <v>9971</v>
      </c>
      <c r="E120" s="1">
        <v>11</v>
      </c>
      <c r="F120" s="1">
        <v>0</v>
      </c>
      <c r="G120" s="1">
        <v>0</v>
      </c>
      <c r="H120" s="1">
        <v>0</v>
      </c>
      <c r="I120" s="1">
        <v>11091</v>
      </c>
      <c r="J120" s="1">
        <v>721</v>
      </c>
    </row>
    <row r="121" spans="1:10" x14ac:dyDescent="0.25">
      <c r="A121" t="s">
        <v>801</v>
      </c>
      <c r="B121" t="s">
        <v>872</v>
      </c>
      <c r="C121" t="s">
        <v>167</v>
      </c>
      <c r="D121" s="1">
        <v>32327</v>
      </c>
      <c r="E121" s="1">
        <v>14</v>
      </c>
      <c r="F121" s="1">
        <v>0</v>
      </c>
      <c r="G121" s="1">
        <v>0</v>
      </c>
      <c r="H121" s="1">
        <v>0</v>
      </c>
      <c r="I121" s="1">
        <v>29924</v>
      </c>
      <c r="J121" s="1">
        <v>3343</v>
      </c>
    </row>
    <row r="122" spans="1:10" x14ac:dyDescent="0.25">
      <c r="A122" t="s">
        <v>826</v>
      </c>
      <c r="B122" t="s">
        <v>872</v>
      </c>
      <c r="C122" t="s">
        <v>168</v>
      </c>
      <c r="D122" s="1">
        <v>47490</v>
      </c>
      <c r="E122" s="1">
        <v>277</v>
      </c>
      <c r="F122" s="1">
        <v>0</v>
      </c>
      <c r="G122" s="1">
        <v>0</v>
      </c>
      <c r="H122" s="1">
        <v>0</v>
      </c>
      <c r="I122" s="1">
        <v>16455</v>
      </c>
      <c r="J122" s="1">
        <v>2504</v>
      </c>
    </row>
    <row r="123" spans="1:10" x14ac:dyDescent="0.25">
      <c r="A123" t="s">
        <v>848</v>
      </c>
      <c r="B123" t="s">
        <v>872</v>
      </c>
      <c r="C123" t="s">
        <v>169</v>
      </c>
      <c r="D123" s="1">
        <v>9572</v>
      </c>
      <c r="E123" s="1">
        <v>99</v>
      </c>
      <c r="F123" s="1">
        <v>0</v>
      </c>
      <c r="G123" s="1">
        <v>0</v>
      </c>
      <c r="H123" s="1">
        <v>0</v>
      </c>
      <c r="I123" s="1">
        <v>1741</v>
      </c>
      <c r="J123" s="1">
        <v>3170</v>
      </c>
    </row>
    <row r="124" spans="1:10" x14ac:dyDescent="0.25">
      <c r="A124" t="s">
        <v>811</v>
      </c>
      <c r="B124" t="s">
        <v>872</v>
      </c>
      <c r="C124" t="s">
        <v>170</v>
      </c>
      <c r="D124" s="1">
        <v>43127</v>
      </c>
      <c r="E124" s="1">
        <v>788</v>
      </c>
      <c r="F124" s="1">
        <v>0</v>
      </c>
      <c r="G124" s="1">
        <v>0</v>
      </c>
      <c r="H124" s="1">
        <v>0</v>
      </c>
      <c r="I124" s="1">
        <v>15065</v>
      </c>
      <c r="J124" s="1">
        <v>12708</v>
      </c>
    </row>
    <row r="125" spans="1:10" x14ac:dyDescent="0.25">
      <c r="A125" t="s">
        <v>512</v>
      </c>
      <c r="B125" t="s">
        <v>872</v>
      </c>
      <c r="C125" t="s">
        <v>171</v>
      </c>
      <c r="D125" s="1">
        <v>12760</v>
      </c>
      <c r="E125" s="1">
        <v>3</v>
      </c>
      <c r="F125" s="1">
        <v>0</v>
      </c>
      <c r="G125" s="1">
        <v>0</v>
      </c>
      <c r="H125" s="1">
        <v>0</v>
      </c>
      <c r="I125" s="1">
        <v>4710</v>
      </c>
      <c r="J125" s="1">
        <v>2987</v>
      </c>
    </row>
    <row r="126" spans="1:10" x14ac:dyDescent="0.25">
      <c r="A126" t="s">
        <v>848</v>
      </c>
      <c r="B126" t="s">
        <v>872</v>
      </c>
      <c r="C126" t="s">
        <v>172</v>
      </c>
      <c r="D126" s="1">
        <v>7754</v>
      </c>
      <c r="E126" s="1">
        <v>5</v>
      </c>
      <c r="F126" s="1">
        <v>0</v>
      </c>
      <c r="G126" s="1">
        <v>0</v>
      </c>
      <c r="H126" s="1">
        <v>0</v>
      </c>
      <c r="I126" s="1">
        <v>3580</v>
      </c>
      <c r="J126" s="1">
        <v>1053</v>
      </c>
    </row>
    <row r="127" spans="1:10" x14ac:dyDescent="0.25">
      <c r="A127" t="s">
        <v>801</v>
      </c>
      <c r="B127" t="s">
        <v>872</v>
      </c>
      <c r="C127" t="s">
        <v>173</v>
      </c>
      <c r="D127" s="1">
        <v>65611</v>
      </c>
      <c r="E127" s="1">
        <v>1638</v>
      </c>
      <c r="F127" s="1">
        <v>0</v>
      </c>
      <c r="G127" s="1">
        <v>0</v>
      </c>
      <c r="H127" s="1">
        <v>0</v>
      </c>
      <c r="I127" s="1">
        <v>53079</v>
      </c>
      <c r="J127" s="1">
        <v>24420</v>
      </c>
    </row>
    <row r="128" spans="1:10" x14ac:dyDescent="0.25">
      <c r="A128" t="s">
        <v>864</v>
      </c>
      <c r="B128" t="s">
        <v>872</v>
      </c>
      <c r="C128" t="s">
        <v>174</v>
      </c>
      <c r="D128" s="1">
        <v>24537</v>
      </c>
      <c r="E128" s="1">
        <v>80</v>
      </c>
      <c r="F128" s="1">
        <v>0</v>
      </c>
      <c r="G128" s="1">
        <v>0</v>
      </c>
      <c r="H128" s="1">
        <v>0</v>
      </c>
      <c r="I128" s="1">
        <v>19177</v>
      </c>
      <c r="J128" s="1">
        <v>5045</v>
      </c>
    </row>
    <row r="129" spans="1:10" x14ac:dyDescent="0.25">
      <c r="A129" t="s">
        <v>226</v>
      </c>
      <c r="B129" t="s">
        <v>872</v>
      </c>
      <c r="C129" t="s">
        <v>175</v>
      </c>
      <c r="D129" s="1">
        <v>4702</v>
      </c>
      <c r="E129" s="1">
        <v>344</v>
      </c>
      <c r="F129" s="1">
        <v>0</v>
      </c>
      <c r="G129" s="1">
        <v>0</v>
      </c>
      <c r="H129" s="1">
        <v>0</v>
      </c>
      <c r="I129" s="1">
        <v>1774</v>
      </c>
      <c r="J129" s="1">
        <v>930</v>
      </c>
    </row>
    <row r="130" spans="1:10" x14ac:dyDescent="0.25">
      <c r="A130" t="s">
        <v>794</v>
      </c>
      <c r="B130" t="s">
        <v>872</v>
      </c>
      <c r="C130" t="s">
        <v>176</v>
      </c>
      <c r="D130" s="1">
        <v>108326</v>
      </c>
      <c r="E130" s="1">
        <v>60</v>
      </c>
      <c r="F130" s="1">
        <v>0</v>
      </c>
      <c r="G130" s="1">
        <v>0</v>
      </c>
      <c r="H130" s="1">
        <v>0</v>
      </c>
      <c r="I130" s="1">
        <v>22821</v>
      </c>
      <c r="J130" s="1">
        <v>7748</v>
      </c>
    </row>
    <row r="131" spans="1:10" x14ac:dyDescent="0.25">
      <c r="A131" t="s">
        <v>248</v>
      </c>
      <c r="B131" t="s">
        <v>872</v>
      </c>
      <c r="C131" t="s">
        <v>177</v>
      </c>
      <c r="D131" s="1">
        <v>27759</v>
      </c>
      <c r="E131" s="1">
        <v>119</v>
      </c>
      <c r="F131" s="1">
        <v>0</v>
      </c>
      <c r="G131" s="1">
        <v>0</v>
      </c>
      <c r="H131" s="1">
        <v>0</v>
      </c>
      <c r="I131" s="1">
        <v>21807</v>
      </c>
      <c r="J131" s="1">
        <v>6824</v>
      </c>
    </row>
    <row r="132" spans="1:10" x14ac:dyDescent="0.25">
      <c r="A132" t="s">
        <v>83</v>
      </c>
      <c r="B132" t="s">
        <v>872</v>
      </c>
      <c r="C132" t="s">
        <v>178</v>
      </c>
      <c r="D132" s="1">
        <v>52425</v>
      </c>
      <c r="E132" s="1">
        <v>265</v>
      </c>
      <c r="F132" s="1">
        <v>0</v>
      </c>
      <c r="G132" s="1">
        <v>0</v>
      </c>
      <c r="H132" s="1">
        <v>0</v>
      </c>
      <c r="I132" s="1">
        <v>68258</v>
      </c>
      <c r="J132" s="1">
        <v>8342</v>
      </c>
    </row>
    <row r="133" spans="1:10" x14ac:dyDescent="0.25">
      <c r="A133" t="s">
        <v>823</v>
      </c>
      <c r="B133" t="s">
        <v>872</v>
      </c>
      <c r="C133" t="s">
        <v>179</v>
      </c>
      <c r="D133" s="1">
        <v>63873</v>
      </c>
      <c r="E133" s="1">
        <v>763</v>
      </c>
      <c r="F133" s="1">
        <v>0</v>
      </c>
      <c r="G133" s="1">
        <v>0</v>
      </c>
      <c r="H133" s="1">
        <v>0</v>
      </c>
      <c r="I133" s="1">
        <v>13917</v>
      </c>
      <c r="J133" s="1">
        <v>21540</v>
      </c>
    </row>
    <row r="134" spans="1:10" x14ac:dyDescent="0.25">
      <c r="A134" t="s">
        <v>795</v>
      </c>
      <c r="B134" t="s">
        <v>872</v>
      </c>
      <c r="C134" t="s">
        <v>180</v>
      </c>
      <c r="D134" s="1">
        <v>132655</v>
      </c>
      <c r="E134" s="1">
        <v>87</v>
      </c>
      <c r="F134" s="1">
        <v>0</v>
      </c>
      <c r="G134" s="1">
        <v>0</v>
      </c>
      <c r="H134" s="1">
        <v>0</v>
      </c>
      <c r="I134" s="1">
        <v>63729</v>
      </c>
      <c r="J134" s="1">
        <v>42059</v>
      </c>
    </row>
    <row r="135" spans="1:10" x14ac:dyDescent="0.25">
      <c r="A135" t="s">
        <v>791</v>
      </c>
      <c r="B135" t="s">
        <v>872</v>
      </c>
      <c r="C135" t="s">
        <v>181</v>
      </c>
      <c r="D135" s="1">
        <v>9362</v>
      </c>
      <c r="E135" s="1">
        <v>553</v>
      </c>
      <c r="F135" s="1">
        <v>0</v>
      </c>
      <c r="G135" s="1">
        <v>0</v>
      </c>
      <c r="H135" s="1">
        <v>0</v>
      </c>
      <c r="I135" s="1">
        <v>12550</v>
      </c>
      <c r="J135" s="1">
        <v>2516</v>
      </c>
    </row>
    <row r="136" spans="1:10" x14ac:dyDescent="0.25">
      <c r="A136" t="s">
        <v>83</v>
      </c>
      <c r="B136" t="s">
        <v>872</v>
      </c>
      <c r="C136" t="s">
        <v>182</v>
      </c>
      <c r="D136" s="1">
        <v>31937</v>
      </c>
      <c r="E136" s="1">
        <v>81</v>
      </c>
      <c r="F136" s="1">
        <v>0</v>
      </c>
      <c r="G136" s="1">
        <v>0</v>
      </c>
      <c r="H136" s="1">
        <v>0</v>
      </c>
      <c r="I136" s="1">
        <v>4495</v>
      </c>
      <c r="J136" s="1">
        <v>7943</v>
      </c>
    </row>
    <row r="137" spans="1:10" x14ac:dyDescent="0.25">
      <c r="A137" t="s">
        <v>803</v>
      </c>
      <c r="B137" t="s">
        <v>872</v>
      </c>
      <c r="C137" t="s">
        <v>183</v>
      </c>
      <c r="D137" s="1"/>
      <c r="E137" s="1"/>
      <c r="F137" s="1"/>
      <c r="G137" s="1"/>
      <c r="H137" s="1"/>
      <c r="I137" s="1"/>
      <c r="J137" s="1"/>
    </row>
    <row r="138" spans="1:10" x14ac:dyDescent="0.25">
      <c r="A138" t="s">
        <v>67</v>
      </c>
      <c r="B138" t="s">
        <v>872</v>
      </c>
      <c r="C138" t="s">
        <v>184</v>
      </c>
      <c r="D138" s="1">
        <v>58100</v>
      </c>
      <c r="E138" s="1">
        <v>297</v>
      </c>
      <c r="F138" s="1">
        <v>0</v>
      </c>
      <c r="G138" s="1">
        <v>0</v>
      </c>
      <c r="H138" s="1">
        <v>0</v>
      </c>
      <c r="I138" s="1">
        <v>61155</v>
      </c>
      <c r="J138" s="1">
        <v>7852</v>
      </c>
    </row>
    <row r="139" spans="1:10" x14ac:dyDescent="0.25">
      <c r="A139" t="s">
        <v>865</v>
      </c>
      <c r="B139" t="s">
        <v>872</v>
      </c>
      <c r="C139" t="s">
        <v>186</v>
      </c>
      <c r="D139" s="1">
        <v>25131</v>
      </c>
      <c r="E139" s="1">
        <v>19</v>
      </c>
      <c r="F139" s="1">
        <v>0</v>
      </c>
      <c r="G139" s="1">
        <v>0</v>
      </c>
      <c r="H139" s="1">
        <v>0</v>
      </c>
      <c r="I139" s="1">
        <v>34294</v>
      </c>
      <c r="J139" s="1">
        <v>5949</v>
      </c>
    </row>
    <row r="140" spans="1:10" x14ac:dyDescent="0.25">
      <c r="A140" t="s">
        <v>512</v>
      </c>
      <c r="B140" t="s">
        <v>872</v>
      </c>
      <c r="C140" t="s">
        <v>187</v>
      </c>
      <c r="D140" s="1">
        <v>35797</v>
      </c>
      <c r="E140" s="1">
        <v>13</v>
      </c>
      <c r="F140" s="1">
        <v>0</v>
      </c>
      <c r="G140" s="1">
        <v>0</v>
      </c>
      <c r="H140" s="1">
        <v>0</v>
      </c>
      <c r="I140" s="1">
        <v>17958</v>
      </c>
      <c r="J140" s="1">
        <v>4950</v>
      </c>
    </row>
    <row r="141" spans="1:10" x14ac:dyDescent="0.25">
      <c r="A141" t="s">
        <v>796</v>
      </c>
      <c r="B141" t="s">
        <v>872</v>
      </c>
      <c r="C141" t="s">
        <v>189</v>
      </c>
      <c r="D141" s="1">
        <v>56432</v>
      </c>
      <c r="E141" s="1">
        <v>161</v>
      </c>
      <c r="F141" s="1">
        <v>0</v>
      </c>
      <c r="G141" s="1">
        <v>0</v>
      </c>
      <c r="H141" s="1">
        <v>0</v>
      </c>
      <c r="I141" s="1">
        <v>8729</v>
      </c>
      <c r="J141" s="1">
        <v>7967</v>
      </c>
    </row>
    <row r="142" spans="1:10" x14ac:dyDescent="0.25">
      <c r="A142" t="s">
        <v>83</v>
      </c>
      <c r="B142" t="s">
        <v>872</v>
      </c>
      <c r="C142" t="s">
        <v>190</v>
      </c>
      <c r="D142" s="1">
        <v>33070</v>
      </c>
      <c r="E142" s="1">
        <v>96</v>
      </c>
      <c r="F142" s="1">
        <v>0</v>
      </c>
      <c r="G142" s="1">
        <v>0</v>
      </c>
      <c r="H142" s="1">
        <v>0</v>
      </c>
      <c r="I142" s="1">
        <v>3610</v>
      </c>
      <c r="J142" s="1">
        <v>1874</v>
      </c>
    </row>
    <row r="143" spans="1:10" x14ac:dyDescent="0.25">
      <c r="A143" t="s">
        <v>76</v>
      </c>
      <c r="B143" t="s">
        <v>872</v>
      </c>
      <c r="C143" t="s">
        <v>191</v>
      </c>
      <c r="D143" s="1">
        <v>81129</v>
      </c>
      <c r="E143" s="1">
        <v>2799</v>
      </c>
      <c r="F143" s="1">
        <v>0</v>
      </c>
      <c r="G143" s="1">
        <v>0</v>
      </c>
      <c r="H143" s="1">
        <v>0</v>
      </c>
      <c r="I143" s="1">
        <v>2771</v>
      </c>
      <c r="J143" s="1">
        <v>15954</v>
      </c>
    </row>
    <row r="144" spans="1:10" x14ac:dyDescent="0.25">
      <c r="A144" t="s">
        <v>101</v>
      </c>
      <c r="B144" t="s">
        <v>872</v>
      </c>
      <c r="C144" t="s">
        <v>192</v>
      </c>
      <c r="D144" s="1">
        <v>60076</v>
      </c>
      <c r="E144" s="1">
        <v>386</v>
      </c>
      <c r="F144" s="1">
        <v>0</v>
      </c>
      <c r="G144" s="1">
        <v>0</v>
      </c>
      <c r="H144" s="1">
        <v>0</v>
      </c>
      <c r="I144" s="1">
        <v>71594</v>
      </c>
      <c r="J144" s="1">
        <v>8096</v>
      </c>
    </row>
    <row r="145" spans="1:10" x14ac:dyDescent="0.25">
      <c r="A145" t="s">
        <v>831</v>
      </c>
      <c r="B145" t="s">
        <v>872</v>
      </c>
      <c r="C145" t="s">
        <v>193</v>
      </c>
      <c r="D145" s="1">
        <v>2515</v>
      </c>
      <c r="E145" s="1">
        <v>0</v>
      </c>
      <c r="F145" s="1">
        <v>0</v>
      </c>
      <c r="G145" s="1">
        <v>0</v>
      </c>
      <c r="H145" s="1">
        <v>0</v>
      </c>
      <c r="I145" s="1">
        <v>1086</v>
      </c>
      <c r="J145" s="1">
        <v>329</v>
      </c>
    </row>
    <row r="146" spans="1:10" x14ac:dyDescent="0.25">
      <c r="A146" t="s">
        <v>811</v>
      </c>
      <c r="B146" t="s">
        <v>872</v>
      </c>
      <c r="C146" t="s">
        <v>194</v>
      </c>
      <c r="D146" s="1">
        <v>109937</v>
      </c>
      <c r="E146" s="1">
        <v>750</v>
      </c>
      <c r="F146" s="1"/>
      <c r="G146" s="1"/>
      <c r="H146" s="1"/>
      <c r="I146" s="1">
        <v>2984</v>
      </c>
      <c r="J146" s="1">
        <v>9792</v>
      </c>
    </row>
    <row r="147" spans="1:10" x14ac:dyDescent="0.25">
      <c r="A147" t="s">
        <v>76</v>
      </c>
      <c r="B147" t="s">
        <v>872</v>
      </c>
      <c r="C147" t="s">
        <v>195</v>
      </c>
      <c r="D147" s="1">
        <v>78830</v>
      </c>
      <c r="E147" s="1">
        <v>1112</v>
      </c>
      <c r="F147" s="1">
        <v>0</v>
      </c>
      <c r="G147" s="1">
        <v>0</v>
      </c>
      <c r="H147" s="1">
        <v>0</v>
      </c>
      <c r="I147" s="1">
        <v>52847</v>
      </c>
      <c r="J147" s="1">
        <v>14590</v>
      </c>
    </row>
    <row r="148" spans="1:10" x14ac:dyDescent="0.25">
      <c r="A148" t="s">
        <v>788</v>
      </c>
      <c r="B148" t="s">
        <v>872</v>
      </c>
      <c r="C148" t="s">
        <v>196</v>
      </c>
      <c r="D148" s="1">
        <v>55770</v>
      </c>
      <c r="E148" s="1">
        <v>801</v>
      </c>
      <c r="F148" s="1">
        <v>0</v>
      </c>
      <c r="G148" s="1">
        <v>0</v>
      </c>
      <c r="H148" s="1">
        <v>0</v>
      </c>
      <c r="I148" s="1">
        <v>93980</v>
      </c>
      <c r="J148" s="1">
        <v>22112</v>
      </c>
    </row>
    <row r="149" spans="1:10" x14ac:dyDescent="0.25">
      <c r="A149" t="s">
        <v>817</v>
      </c>
      <c r="B149" t="s">
        <v>872</v>
      </c>
      <c r="C149" t="s">
        <v>197</v>
      </c>
      <c r="D149" s="1">
        <v>30926</v>
      </c>
      <c r="E149" s="1">
        <v>141</v>
      </c>
      <c r="F149" s="1">
        <v>0</v>
      </c>
      <c r="G149" s="1">
        <v>0</v>
      </c>
      <c r="H149" s="1">
        <v>0</v>
      </c>
      <c r="I149" s="1">
        <v>67473</v>
      </c>
      <c r="J149" s="1">
        <v>20403</v>
      </c>
    </row>
    <row r="150" spans="1:10" x14ac:dyDescent="0.25">
      <c r="A150" t="s">
        <v>817</v>
      </c>
      <c r="B150" t="s">
        <v>872</v>
      </c>
      <c r="C150" t="s">
        <v>198</v>
      </c>
      <c r="D150" s="1">
        <v>23725</v>
      </c>
      <c r="E150" s="1">
        <v>510</v>
      </c>
      <c r="F150" s="1">
        <v>0</v>
      </c>
      <c r="G150" s="1">
        <v>0</v>
      </c>
      <c r="H150" s="1">
        <v>0</v>
      </c>
      <c r="I150" s="1">
        <v>26359</v>
      </c>
      <c r="J150" s="1">
        <v>15160</v>
      </c>
    </row>
    <row r="151" spans="1:10" x14ac:dyDescent="0.25">
      <c r="A151" t="s">
        <v>69</v>
      </c>
      <c r="B151" t="s">
        <v>872</v>
      </c>
      <c r="C151" t="s">
        <v>199</v>
      </c>
      <c r="D151" s="1">
        <v>86720</v>
      </c>
      <c r="E151" s="1">
        <v>101</v>
      </c>
      <c r="F151" s="1">
        <v>0</v>
      </c>
      <c r="G151" s="1">
        <v>0</v>
      </c>
      <c r="H151" s="1">
        <v>0</v>
      </c>
      <c r="I151" s="1">
        <v>139049</v>
      </c>
      <c r="J151" s="1">
        <v>17660</v>
      </c>
    </row>
    <row r="152" spans="1:10" x14ac:dyDescent="0.25">
      <c r="A152" t="s">
        <v>76</v>
      </c>
      <c r="B152" t="s">
        <v>872</v>
      </c>
      <c r="C152" t="s">
        <v>200</v>
      </c>
      <c r="D152" s="1">
        <v>18099</v>
      </c>
      <c r="E152" s="1">
        <v>254</v>
      </c>
      <c r="F152" s="1">
        <v>0</v>
      </c>
      <c r="G152" s="1">
        <v>0</v>
      </c>
      <c r="H152" s="1">
        <v>0</v>
      </c>
      <c r="I152" s="1">
        <v>9589</v>
      </c>
      <c r="J152" s="1">
        <v>3794</v>
      </c>
    </row>
    <row r="153" spans="1:10" x14ac:dyDescent="0.25">
      <c r="A153" t="s">
        <v>120</v>
      </c>
      <c r="B153" t="s">
        <v>872</v>
      </c>
      <c r="C153" t="s">
        <v>201</v>
      </c>
      <c r="D153" s="1">
        <v>29793</v>
      </c>
      <c r="E153" s="1">
        <v>423</v>
      </c>
      <c r="F153" s="1">
        <v>0</v>
      </c>
      <c r="G153" s="1">
        <v>0</v>
      </c>
      <c r="H153" s="1">
        <v>0</v>
      </c>
      <c r="I153" s="1">
        <v>8037</v>
      </c>
      <c r="J153" s="1">
        <v>4591</v>
      </c>
    </row>
    <row r="154" spans="1:10" x14ac:dyDescent="0.25">
      <c r="A154" t="s">
        <v>495</v>
      </c>
      <c r="B154" t="s">
        <v>872</v>
      </c>
      <c r="C154" t="s">
        <v>202</v>
      </c>
      <c r="D154" s="1">
        <v>70328</v>
      </c>
      <c r="E154" s="1">
        <v>176</v>
      </c>
      <c r="F154" s="1">
        <v>0</v>
      </c>
      <c r="G154" s="1">
        <v>0</v>
      </c>
      <c r="H154" s="1">
        <v>0</v>
      </c>
      <c r="I154" s="1">
        <v>37883</v>
      </c>
      <c r="J154" s="1">
        <v>14461</v>
      </c>
    </row>
    <row r="155" spans="1:10" x14ac:dyDescent="0.25">
      <c r="A155" t="s">
        <v>788</v>
      </c>
      <c r="B155" t="s">
        <v>872</v>
      </c>
      <c r="C155" t="s">
        <v>203</v>
      </c>
      <c r="D155" s="1">
        <v>88300</v>
      </c>
      <c r="E155" s="1">
        <v>166</v>
      </c>
      <c r="F155" s="1">
        <v>0</v>
      </c>
      <c r="G155" s="1">
        <v>0</v>
      </c>
      <c r="H155" s="1">
        <v>0</v>
      </c>
      <c r="I155" s="1">
        <v>21276</v>
      </c>
      <c r="J155" s="1">
        <v>14117</v>
      </c>
    </row>
    <row r="156" spans="1:10" x14ac:dyDescent="0.25">
      <c r="A156" t="s">
        <v>72</v>
      </c>
      <c r="B156" t="s">
        <v>872</v>
      </c>
      <c r="C156" t="s">
        <v>204</v>
      </c>
      <c r="D156" s="1">
        <v>27459</v>
      </c>
      <c r="E156" s="1">
        <v>111</v>
      </c>
      <c r="F156" s="1">
        <v>0</v>
      </c>
      <c r="G156" s="1">
        <v>0</v>
      </c>
      <c r="H156" s="1">
        <v>0</v>
      </c>
      <c r="I156" s="1">
        <v>8689</v>
      </c>
      <c r="J156" s="1">
        <v>3650</v>
      </c>
    </row>
    <row r="157" spans="1:10" x14ac:dyDescent="0.25">
      <c r="A157" t="s">
        <v>76</v>
      </c>
      <c r="B157" t="s">
        <v>873</v>
      </c>
      <c r="C157" t="s">
        <v>205</v>
      </c>
      <c r="D157" s="1">
        <v>39477</v>
      </c>
      <c r="E157" s="1">
        <v>210</v>
      </c>
      <c r="F157" s="1">
        <v>0</v>
      </c>
      <c r="G157" s="1">
        <v>0</v>
      </c>
      <c r="H157" s="1">
        <v>0</v>
      </c>
      <c r="I157" s="1">
        <v>24850</v>
      </c>
      <c r="J157" s="1">
        <v>17483</v>
      </c>
    </row>
    <row r="158" spans="1:10" x14ac:dyDescent="0.25">
      <c r="A158" t="s">
        <v>864</v>
      </c>
      <c r="B158" t="s">
        <v>872</v>
      </c>
      <c r="C158" t="s">
        <v>206</v>
      </c>
      <c r="D158" s="1">
        <v>45457</v>
      </c>
      <c r="E158" s="1">
        <v>16</v>
      </c>
      <c r="F158" s="1">
        <v>0</v>
      </c>
      <c r="G158" s="1">
        <v>0</v>
      </c>
      <c r="H158" s="1">
        <v>0</v>
      </c>
      <c r="I158" s="1">
        <v>24060</v>
      </c>
      <c r="J158" s="1">
        <v>27308</v>
      </c>
    </row>
    <row r="159" spans="1:10" x14ac:dyDescent="0.25">
      <c r="A159" t="s">
        <v>76</v>
      </c>
      <c r="B159" t="s">
        <v>872</v>
      </c>
      <c r="C159" t="s">
        <v>207</v>
      </c>
      <c r="D159" s="1">
        <v>52314</v>
      </c>
      <c r="E159" s="1">
        <v>45</v>
      </c>
      <c r="F159" s="1">
        <v>0</v>
      </c>
      <c r="G159" s="1">
        <v>0</v>
      </c>
      <c r="H159" s="1">
        <v>0</v>
      </c>
      <c r="I159" s="1">
        <v>43180</v>
      </c>
      <c r="J159" s="1">
        <v>18251</v>
      </c>
    </row>
    <row r="160" spans="1:10" x14ac:dyDescent="0.25">
      <c r="A160" t="s">
        <v>265</v>
      </c>
      <c r="B160" t="s">
        <v>872</v>
      </c>
      <c r="C160" t="s">
        <v>208</v>
      </c>
      <c r="D160" s="1">
        <v>15654</v>
      </c>
      <c r="E160" s="1">
        <v>183</v>
      </c>
      <c r="F160" s="1">
        <v>0</v>
      </c>
      <c r="G160" s="1">
        <v>0</v>
      </c>
      <c r="H160" s="1">
        <v>0</v>
      </c>
      <c r="I160" s="1">
        <v>9868</v>
      </c>
      <c r="J160" s="1">
        <v>3562</v>
      </c>
    </row>
    <row r="161" spans="1:10" x14ac:dyDescent="0.25">
      <c r="A161" t="s">
        <v>801</v>
      </c>
      <c r="B161" t="s">
        <v>872</v>
      </c>
      <c r="C161" t="s">
        <v>209</v>
      </c>
      <c r="D161" s="1">
        <v>42951</v>
      </c>
      <c r="E161" s="1">
        <v>489</v>
      </c>
      <c r="F161" s="1">
        <v>0</v>
      </c>
      <c r="G161" s="1">
        <v>0</v>
      </c>
      <c r="H161" s="1">
        <v>0</v>
      </c>
      <c r="I161" s="1">
        <v>62422</v>
      </c>
      <c r="J161" s="1">
        <v>21387</v>
      </c>
    </row>
    <row r="162" spans="1:10" x14ac:dyDescent="0.25">
      <c r="A162" t="s">
        <v>72</v>
      </c>
      <c r="B162" t="s">
        <v>872</v>
      </c>
      <c r="C162" t="s">
        <v>210</v>
      </c>
      <c r="D162" s="1">
        <v>52861</v>
      </c>
      <c r="E162" s="1">
        <v>90</v>
      </c>
      <c r="F162" s="1">
        <v>0</v>
      </c>
      <c r="G162" s="1">
        <v>0</v>
      </c>
      <c r="H162" s="1">
        <v>0</v>
      </c>
      <c r="I162" s="1">
        <v>36206</v>
      </c>
      <c r="J162" s="1">
        <v>15892</v>
      </c>
    </row>
    <row r="163" spans="1:10" x14ac:dyDescent="0.25">
      <c r="A163" t="s">
        <v>817</v>
      </c>
      <c r="B163" t="s">
        <v>872</v>
      </c>
      <c r="C163" t="s">
        <v>211</v>
      </c>
      <c r="D163" s="1">
        <v>97194</v>
      </c>
      <c r="E163" s="1">
        <v>359</v>
      </c>
      <c r="F163" s="1">
        <v>0</v>
      </c>
      <c r="G163" s="1">
        <v>0</v>
      </c>
      <c r="H163" s="1">
        <v>0</v>
      </c>
      <c r="I163" s="1">
        <v>69362</v>
      </c>
      <c r="J163" s="1">
        <v>87877</v>
      </c>
    </row>
    <row r="164" spans="1:10" x14ac:dyDescent="0.25">
      <c r="A164" t="s">
        <v>72</v>
      </c>
      <c r="B164" t="s">
        <v>872</v>
      </c>
      <c r="C164" t="s">
        <v>212</v>
      </c>
      <c r="D164" s="1">
        <v>33866</v>
      </c>
      <c r="E164" s="1">
        <v>1</v>
      </c>
      <c r="F164" s="1">
        <v>0</v>
      </c>
      <c r="G164" s="1">
        <v>0</v>
      </c>
      <c r="H164" s="1">
        <v>0</v>
      </c>
      <c r="I164" s="1">
        <v>4889</v>
      </c>
      <c r="J164" s="1">
        <v>3781</v>
      </c>
    </row>
    <row r="165" spans="1:10" x14ac:dyDescent="0.25">
      <c r="A165" t="s">
        <v>134</v>
      </c>
      <c r="B165" t="s">
        <v>872</v>
      </c>
      <c r="C165" t="s">
        <v>213</v>
      </c>
      <c r="D165" s="1">
        <v>32685</v>
      </c>
      <c r="E165" s="1">
        <v>0</v>
      </c>
      <c r="F165" s="1">
        <v>0</v>
      </c>
      <c r="G165" s="1">
        <v>0</v>
      </c>
      <c r="H165" s="1">
        <v>0</v>
      </c>
      <c r="I165" s="1">
        <v>44679</v>
      </c>
      <c r="J165" s="1">
        <v>989</v>
      </c>
    </row>
    <row r="166" spans="1:10" x14ac:dyDescent="0.25">
      <c r="A166" t="s">
        <v>495</v>
      </c>
      <c r="B166" t="s">
        <v>872</v>
      </c>
      <c r="C166" t="s">
        <v>214</v>
      </c>
      <c r="D166" s="1">
        <v>63176</v>
      </c>
      <c r="E166" s="1">
        <v>3751</v>
      </c>
      <c r="F166" s="1">
        <v>0</v>
      </c>
      <c r="G166" s="1">
        <v>0</v>
      </c>
      <c r="H166" s="1">
        <v>0</v>
      </c>
      <c r="I166" s="1">
        <v>33262</v>
      </c>
      <c r="J166" s="1">
        <v>14122</v>
      </c>
    </row>
    <row r="167" spans="1:10" x14ac:dyDescent="0.25">
      <c r="A167" t="s">
        <v>146</v>
      </c>
      <c r="B167" t="s">
        <v>872</v>
      </c>
      <c r="C167" t="s">
        <v>215</v>
      </c>
      <c r="D167" s="1">
        <v>77928</v>
      </c>
      <c r="E167" s="1">
        <v>5686</v>
      </c>
      <c r="F167" s="1">
        <v>0</v>
      </c>
      <c r="G167" s="1">
        <v>0</v>
      </c>
      <c r="H167" s="1">
        <v>0</v>
      </c>
      <c r="I167" s="1">
        <v>60938</v>
      </c>
      <c r="J167" s="1">
        <v>18584</v>
      </c>
    </row>
    <row r="168" spans="1:10" x14ac:dyDescent="0.25">
      <c r="A168" t="s">
        <v>138</v>
      </c>
      <c r="B168" t="s">
        <v>872</v>
      </c>
      <c r="C168" t="s">
        <v>216</v>
      </c>
      <c r="D168" s="1">
        <v>34403</v>
      </c>
      <c r="E168" s="1">
        <v>76</v>
      </c>
      <c r="F168" s="1">
        <v>0</v>
      </c>
      <c r="G168" s="1">
        <v>0</v>
      </c>
      <c r="H168" s="1">
        <v>0</v>
      </c>
      <c r="I168" s="1">
        <v>54959</v>
      </c>
      <c r="J168" s="1">
        <v>10307</v>
      </c>
    </row>
    <row r="169" spans="1:10" x14ac:dyDescent="0.25">
      <c r="A169" t="s">
        <v>794</v>
      </c>
      <c r="B169" t="s">
        <v>872</v>
      </c>
      <c r="C169" t="s">
        <v>217</v>
      </c>
      <c r="D169" s="1">
        <v>21087</v>
      </c>
      <c r="E169" s="1">
        <v>0</v>
      </c>
      <c r="F169" s="1">
        <v>0</v>
      </c>
      <c r="G169" s="1">
        <v>0</v>
      </c>
      <c r="H169" s="1">
        <v>0</v>
      </c>
      <c r="I169" s="1">
        <v>25661</v>
      </c>
      <c r="J169" s="1">
        <v>4457</v>
      </c>
    </row>
    <row r="170" spans="1:10" x14ac:dyDescent="0.25">
      <c r="A170" t="s">
        <v>265</v>
      </c>
      <c r="B170" t="s">
        <v>872</v>
      </c>
      <c r="C170" t="s">
        <v>218</v>
      </c>
      <c r="D170" s="1">
        <v>16263</v>
      </c>
      <c r="E170" s="1">
        <v>0</v>
      </c>
      <c r="F170" s="1">
        <v>0</v>
      </c>
      <c r="G170" s="1">
        <v>0</v>
      </c>
      <c r="H170" s="1">
        <v>0</v>
      </c>
      <c r="I170" s="1">
        <v>57356</v>
      </c>
      <c r="J170" s="1">
        <v>2257</v>
      </c>
    </row>
    <row r="171" spans="1:10" x14ac:dyDescent="0.25">
      <c r="A171" t="s">
        <v>801</v>
      </c>
      <c r="B171" t="s">
        <v>872</v>
      </c>
      <c r="C171" t="s">
        <v>219</v>
      </c>
      <c r="D171" s="1">
        <v>56862</v>
      </c>
      <c r="E171" s="1">
        <v>325</v>
      </c>
      <c r="F171" s="1">
        <v>0</v>
      </c>
      <c r="G171" s="1">
        <v>0</v>
      </c>
      <c r="H171" s="1">
        <v>0</v>
      </c>
      <c r="I171" s="1">
        <v>20497</v>
      </c>
      <c r="J171" s="1">
        <v>7160</v>
      </c>
    </row>
    <row r="172" spans="1:10" x14ac:dyDescent="0.25">
      <c r="A172" t="s">
        <v>831</v>
      </c>
      <c r="B172" t="s">
        <v>872</v>
      </c>
      <c r="C172" t="s">
        <v>220</v>
      </c>
      <c r="D172" s="1">
        <v>4264</v>
      </c>
      <c r="E172" s="1">
        <v>8</v>
      </c>
      <c r="F172" s="1">
        <v>0</v>
      </c>
      <c r="G172" s="1">
        <v>0</v>
      </c>
      <c r="H172" s="1">
        <v>0</v>
      </c>
      <c r="I172" s="1">
        <v>5552</v>
      </c>
      <c r="J172" s="1">
        <v>918</v>
      </c>
    </row>
    <row r="173" spans="1:10" x14ac:dyDescent="0.25">
      <c r="A173" t="s">
        <v>794</v>
      </c>
      <c r="B173" t="s">
        <v>872</v>
      </c>
      <c r="C173" t="s">
        <v>221</v>
      </c>
      <c r="D173" s="1">
        <v>50411</v>
      </c>
      <c r="E173" s="1">
        <v>53</v>
      </c>
      <c r="F173" s="1">
        <v>0</v>
      </c>
      <c r="G173" s="1">
        <v>0</v>
      </c>
      <c r="H173" s="1">
        <v>0</v>
      </c>
      <c r="I173" s="1">
        <v>26357</v>
      </c>
      <c r="J173" s="1">
        <v>16543</v>
      </c>
    </row>
    <row r="174" spans="1:10" x14ac:dyDescent="0.25">
      <c r="A174" t="s">
        <v>120</v>
      </c>
      <c r="B174" t="s">
        <v>872</v>
      </c>
      <c r="C174" t="s">
        <v>222</v>
      </c>
      <c r="D174" s="1">
        <v>83501</v>
      </c>
      <c r="E174" s="1">
        <v>59</v>
      </c>
      <c r="F174" s="1">
        <v>0</v>
      </c>
      <c r="G174" s="1">
        <v>0</v>
      </c>
      <c r="H174" s="1">
        <v>0</v>
      </c>
      <c r="I174" s="1">
        <v>8846</v>
      </c>
      <c r="J174" s="1">
        <v>6828</v>
      </c>
    </row>
    <row r="175" spans="1:10" x14ac:dyDescent="0.25">
      <c r="A175" t="s">
        <v>848</v>
      </c>
      <c r="B175" t="s">
        <v>872</v>
      </c>
      <c r="C175" t="s">
        <v>223</v>
      </c>
      <c r="D175" s="1">
        <v>14299</v>
      </c>
      <c r="E175" s="1">
        <v>13</v>
      </c>
      <c r="F175" s="1">
        <v>0</v>
      </c>
      <c r="G175" s="1">
        <v>0</v>
      </c>
      <c r="H175" s="1">
        <v>0</v>
      </c>
      <c r="I175" s="1">
        <v>2191</v>
      </c>
      <c r="J175" s="1">
        <v>2473</v>
      </c>
    </row>
    <row r="176" spans="1:10" x14ac:dyDescent="0.25">
      <c r="A176" t="s">
        <v>825</v>
      </c>
      <c r="B176" t="s">
        <v>872</v>
      </c>
      <c r="C176" t="s">
        <v>224</v>
      </c>
      <c r="D176" s="1">
        <v>16791</v>
      </c>
      <c r="E176" s="1">
        <v>97</v>
      </c>
      <c r="F176" s="1">
        <v>0</v>
      </c>
      <c r="G176" s="1">
        <v>0</v>
      </c>
      <c r="H176" s="1">
        <v>0</v>
      </c>
      <c r="I176" s="1">
        <v>9379</v>
      </c>
      <c r="J176" s="1">
        <v>1973</v>
      </c>
    </row>
    <row r="177" spans="1:10" x14ac:dyDescent="0.25">
      <c r="A177" t="s">
        <v>788</v>
      </c>
      <c r="B177" t="s">
        <v>872</v>
      </c>
      <c r="C177" t="s">
        <v>225</v>
      </c>
      <c r="D177" s="1">
        <v>59798</v>
      </c>
      <c r="E177" s="1">
        <v>39</v>
      </c>
      <c r="F177" s="1">
        <v>0</v>
      </c>
      <c r="G177" s="1">
        <v>0</v>
      </c>
      <c r="H177" s="1">
        <v>0</v>
      </c>
      <c r="I177" s="1">
        <v>133259</v>
      </c>
      <c r="J177" s="1">
        <v>28933</v>
      </c>
    </row>
    <row r="178" spans="1:10" x14ac:dyDescent="0.25">
      <c r="A178" t="s">
        <v>226</v>
      </c>
      <c r="B178" t="s">
        <v>872</v>
      </c>
      <c r="C178" t="s">
        <v>227</v>
      </c>
      <c r="D178" s="1">
        <v>29804</v>
      </c>
      <c r="E178" s="1">
        <v>17</v>
      </c>
      <c r="F178" s="1">
        <v>0</v>
      </c>
      <c r="G178" s="1">
        <v>0</v>
      </c>
      <c r="H178" s="1">
        <v>0</v>
      </c>
      <c r="I178" s="1">
        <v>12997</v>
      </c>
      <c r="J178" s="1">
        <v>6822</v>
      </c>
    </row>
    <row r="179" spans="1:10" x14ac:dyDescent="0.25">
      <c r="A179" t="s">
        <v>226</v>
      </c>
      <c r="B179" t="s">
        <v>872</v>
      </c>
      <c r="C179" t="s">
        <v>228</v>
      </c>
      <c r="D179" s="1">
        <v>18980</v>
      </c>
      <c r="E179" s="1">
        <v>23</v>
      </c>
      <c r="F179" s="1">
        <v>0</v>
      </c>
      <c r="G179" s="1">
        <v>0</v>
      </c>
      <c r="H179" s="1">
        <v>0</v>
      </c>
      <c r="I179" s="1">
        <v>15921</v>
      </c>
      <c r="J179" s="1">
        <v>3190</v>
      </c>
    </row>
    <row r="180" spans="1:10" x14ac:dyDescent="0.25">
      <c r="A180" t="s">
        <v>229</v>
      </c>
      <c r="B180" t="s">
        <v>872</v>
      </c>
      <c r="C180" t="s">
        <v>230</v>
      </c>
      <c r="D180" s="1">
        <v>20690</v>
      </c>
      <c r="E180" s="1">
        <v>25</v>
      </c>
      <c r="F180" s="1">
        <v>0</v>
      </c>
      <c r="G180" s="1">
        <v>0</v>
      </c>
      <c r="H180" s="1">
        <v>0</v>
      </c>
      <c r="I180" s="1">
        <v>11761</v>
      </c>
      <c r="J180" s="1">
        <v>5954</v>
      </c>
    </row>
    <row r="181" spans="1:10" x14ac:dyDescent="0.25">
      <c r="A181" t="s">
        <v>231</v>
      </c>
      <c r="B181" t="s">
        <v>872</v>
      </c>
      <c r="C181" t="s">
        <v>232</v>
      </c>
      <c r="D181" s="1">
        <v>15877</v>
      </c>
      <c r="E181" s="1">
        <v>0</v>
      </c>
      <c r="F181" s="1">
        <v>0</v>
      </c>
      <c r="G181" s="1">
        <v>0</v>
      </c>
      <c r="H181" s="1">
        <v>0</v>
      </c>
      <c r="I181" s="1">
        <v>2378</v>
      </c>
      <c r="J181" s="1">
        <v>2016</v>
      </c>
    </row>
    <row r="182" spans="1:10" x14ac:dyDescent="0.25">
      <c r="A182" t="s">
        <v>248</v>
      </c>
      <c r="B182" t="s">
        <v>872</v>
      </c>
      <c r="C182" t="s">
        <v>233</v>
      </c>
      <c r="D182" s="1">
        <v>18066</v>
      </c>
      <c r="E182" s="1">
        <v>81</v>
      </c>
      <c r="F182" s="1">
        <v>0</v>
      </c>
      <c r="G182" s="1">
        <v>0</v>
      </c>
      <c r="H182" s="1">
        <v>0</v>
      </c>
      <c r="I182" s="1">
        <v>22437</v>
      </c>
      <c r="J182" s="1">
        <v>1348</v>
      </c>
    </row>
    <row r="183" spans="1:10" x14ac:dyDescent="0.25">
      <c r="A183" t="s">
        <v>69</v>
      </c>
      <c r="B183" t="s">
        <v>872</v>
      </c>
      <c r="C183" t="s">
        <v>234</v>
      </c>
      <c r="D183" s="1">
        <v>125501</v>
      </c>
      <c r="E183" s="1">
        <v>135</v>
      </c>
      <c r="F183" s="1">
        <v>0</v>
      </c>
      <c r="G183" s="1">
        <v>0</v>
      </c>
      <c r="H183" s="1">
        <v>0</v>
      </c>
      <c r="I183" s="1">
        <v>233639</v>
      </c>
      <c r="J183" s="1">
        <v>18483</v>
      </c>
    </row>
    <row r="184" spans="1:10" x14ac:dyDescent="0.25">
      <c r="A184" t="s">
        <v>795</v>
      </c>
      <c r="B184" t="s">
        <v>872</v>
      </c>
      <c r="C184" t="s">
        <v>235</v>
      </c>
      <c r="D184" s="1">
        <v>45345</v>
      </c>
      <c r="E184" s="1">
        <v>30</v>
      </c>
      <c r="F184" s="1">
        <v>0</v>
      </c>
      <c r="G184" s="1">
        <v>0</v>
      </c>
      <c r="H184" s="1">
        <v>0</v>
      </c>
      <c r="I184" s="1">
        <v>918</v>
      </c>
      <c r="J184" s="1">
        <v>23835</v>
      </c>
    </row>
    <row r="185" spans="1:10" x14ac:dyDescent="0.25">
      <c r="A185" t="s">
        <v>795</v>
      </c>
      <c r="B185" t="s">
        <v>872</v>
      </c>
      <c r="C185" t="s">
        <v>236</v>
      </c>
      <c r="D185" s="1">
        <v>33472</v>
      </c>
      <c r="E185" s="1">
        <v>225</v>
      </c>
      <c r="F185" s="1">
        <v>0</v>
      </c>
      <c r="G185" s="1">
        <v>0</v>
      </c>
      <c r="H185" s="1">
        <v>0</v>
      </c>
      <c r="I185" s="1">
        <v>29962</v>
      </c>
      <c r="J185" s="1">
        <v>15014</v>
      </c>
    </row>
    <row r="186" spans="1:10" x14ac:dyDescent="0.25">
      <c r="A186" t="s">
        <v>801</v>
      </c>
      <c r="B186" t="s">
        <v>872</v>
      </c>
      <c r="C186" t="s">
        <v>237</v>
      </c>
      <c r="D186" s="1">
        <v>48082</v>
      </c>
      <c r="E186" s="1">
        <v>304</v>
      </c>
      <c r="F186" s="1">
        <v>0</v>
      </c>
      <c r="G186" s="1">
        <v>0</v>
      </c>
      <c r="H186" s="1">
        <v>0</v>
      </c>
      <c r="I186" s="1">
        <v>31692</v>
      </c>
      <c r="J186" s="1">
        <v>4950</v>
      </c>
    </row>
    <row r="187" spans="1:10" x14ac:dyDescent="0.25">
      <c r="A187" t="s">
        <v>788</v>
      </c>
      <c r="B187" t="s">
        <v>872</v>
      </c>
      <c r="C187" t="s">
        <v>238</v>
      </c>
      <c r="D187" s="1">
        <v>30701</v>
      </c>
      <c r="E187" s="1">
        <v>2</v>
      </c>
      <c r="F187" s="1">
        <v>0</v>
      </c>
      <c r="G187" s="1">
        <v>0</v>
      </c>
      <c r="H187" s="1">
        <v>0</v>
      </c>
      <c r="I187" s="1">
        <v>21615</v>
      </c>
      <c r="J187" s="1">
        <v>5686</v>
      </c>
    </row>
    <row r="188" spans="1:10" x14ac:dyDescent="0.25">
      <c r="A188" t="s">
        <v>791</v>
      </c>
      <c r="B188" t="s">
        <v>872</v>
      </c>
      <c r="C188" t="s">
        <v>239</v>
      </c>
      <c r="D188" s="1">
        <v>11358</v>
      </c>
      <c r="E188" s="1">
        <v>2</v>
      </c>
      <c r="F188" s="1">
        <v>0</v>
      </c>
      <c r="G188" s="1">
        <v>0</v>
      </c>
      <c r="H188" s="1">
        <v>0</v>
      </c>
      <c r="I188" s="1">
        <v>3955</v>
      </c>
      <c r="J188" s="1">
        <v>2965</v>
      </c>
    </row>
    <row r="189" spans="1:10" x14ac:dyDescent="0.25">
      <c r="A189" t="s">
        <v>801</v>
      </c>
      <c r="B189" t="s">
        <v>872</v>
      </c>
      <c r="C189" t="s">
        <v>240</v>
      </c>
      <c r="D189" s="1">
        <v>65546</v>
      </c>
      <c r="E189" s="1">
        <v>260</v>
      </c>
      <c r="F189" s="1">
        <v>0</v>
      </c>
      <c r="G189" s="1">
        <v>0</v>
      </c>
      <c r="H189" s="1">
        <v>0</v>
      </c>
      <c r="I189" s="1">
        <v>19961</v>
      </c>
      <c r="J189" s="1">
        <v>2386</v>
      </c>
    </row>
    <row r="190" spans="1:10" x14ac:dyDescent="0.25">
      <c r="A190" t="s">
        <v>788</v>
      </c>
      <c r="B190" t="s">
        <v>872</v>
      </c>
      <c r="C190" t="s">
        <v>241</v>
      </c>
      <c r="D190" s="1">
        <v>94480</v>
      </c>
      <c r="E190" s="1">
        <v>49</v>
      </c>
      <c r="F190" s="1">
        <v>0</v>
      </c>
      <c r="G190" s="1">
        <v>0</v>
      </c>
      <c r="H190" s="1">
        <v>0</v>
      </c>
      <c r="I190" s="1">
        <v>50772</v>
      </c>
      <c r="J190" s="1">
        <v>21383</v>
      </c>
    </row>
    <row r="191" spans="1:10" x14ac:dyDescent="0.25">
      <c r="A191" t="s">
        <v>138</v>
      </c>
      <c r="B191" t="s">
        <v>872</v>
      </c>
      <c r="C191" t="s">
        <v>242</v>
      </c>
      <c r="D191" s="1">
        <v>50246</v>
      </c>
      <c r="E191" s="1">
        <v>38</v>
      </c>
      <c r="F191" s="1">
        <v>0</v>
      </c>
      <c r="G191" s="1">
        <v>0</v>
      </c>
      <c r="H191" s="1">
        <v>0</v>
      </c>
      <c r="I191" s="1">
        <v>15256</v>
      </c>
      <c r="J191" s="1">
        <v>6268</v>
      </c>
    </row>
    <row r="192" spans="1:10" x14ac:dyDescent="0.25">
      <c r="A192" t="s">
        <v>512</v>
      </c>
      <c r="B192" t="s">
        <v>872</v>
      </c>
      <c r="C192" t="s">
        <v>243</v>
      </c>
      <c r="D192" s="1">
        <v>9925</v>
      </c>
      <c r="E192" s="1">
        <v>6</v>
      </c>
      <c r="F192" s="1">
        <v>0</v>
      </c>
      <c r="G192" s="1">
        <v>0</v>
      </c>
      <c r="H192" s="1">
        <v>0</v>
      </c>
      <c r="I192" s="1">
        <v>682</v>
      </c>
      <c r="J192" s="1">
        <v>1257</v>
      </c>
    </row>
    <row r="193" spans="1:10" x14ac:dyDescent="0.25">
      <c r="A193" t="s">
        <v>796</v>
      </c>
      <c r="B193" t="s">
        <v>872</v>
      </c>
      <c r="C193" t="s">
        <v>244</v>
      </c>
      <c r="D193" s="1">
        <v>77410</v>
      </c>
      <c r="E193" s="1">
        <v>786</v>
      </c>
      <c r="F193" s="1">
        <v>0</v>
      </c>
      <c r="G193" s="1">
        <v>0</v>
      </c>
      <c r="H193" s="1">
        <v>0</v>
      </c>
      <c r="I193" s="1">
        <v>99559</v>
      </c>
      <c r="J193" s="1">
        <v>16196</v>
      </c>
    </row>
    <row r="194" spans="1:10" x14ac:dyDescent="0.25">
      <c r="A194" t="s">
        <v>146</v>
      </c>
      <c r="B194" t="s">
        <v>872</v>
      </c>
      <c r="C194" t="s">
        <v>245</v>
      </c>
      <c r="D194" s="1">
        <v>30136</v>
      </c>
      <c r="E194" s="1">
        <v>82</v>
      </c>
      <c r="F194" s="1">
        <v>0</v>
      </c>
      <c r="G194" s="1">
        <v>0</v>
      </c>
      <c r="H194" s="1">
        <v>0</v>
      </c>
      <c r="I194" s="1">
        <v>32313</v>
      </c>
      <c r="J194" s="1">
        <v>6791</v>
      </c>
    </row>
    <row r="195" spans="1:10" x14ac:dyDescent="0.25">
      <c r="A195" t="s">
        <v>831</v>
      </c>
      <c r="B195" t="s">
        <v>872</v>
      </c>
      <c r="C195" t="s">
        <v>246</v>
      </c>
      <c r="D195" s="1">
        <v>4729</v>
      </c>
      <c r="E195" s="1">
        <v>8</v>
      </c>
      <c r="F195" s="1">
        <v>0</v>
      </c>
      <c r="G195" s="1">
        <v>0</v>
      </c>
      <c r="H195" s="1">
        <v>0</v>
      </c>
      <c r="I195" s="1">
        <v>1664</v>
      </c>
      <c r="J195" s="1">
        <v>1160</v>
      </c>
    </row>
    <row r="196" spans="1:10" x14ac:dyDescent="0.25">
      <c r="A196" t="s">
        <v>791</v>
      </c>
      <c r="B196" t="s">
        <v>872</v>
      </c>
      <c r="C196" t="s">
        <v>247</v>
      </c>
      <c r="D196" s="1">
        <v>10293</v>
      </c>
      <c r="E196" s="1">
        <v>309</v>
      </c>
      <c r="F196" s="1">
        <v>0</v>
      </c>
      <c r="G196" s="1">
        <v>0</v>
      </c>
      <c r="H196" s="1">
        <v>0</v>
      </c>
      <c r="I196" s="1">
        <v>3190</v>
      </c>
      <c r="J196" s="1">
        <v>5311</v>
      </c>
    </row>
    <row r="197" spans="1:10" x14ac:dyDescent="0.25">
      <c r="A197" t="s">
        <v>248</v>
      </c>
      <c r="B197" t="s">
        <v>872</v>
      </c>
      <c r="C197" t="s">
        <v>249</v>
      </c>
      <c r="D197" s="1">
        <v>59562</v>
      </c>
      <c r="E197" s="1">
        <v>338</v>
      </c>
      <c r="F197" s="1">
        <v>0</v>
      </c>
      <c r="G197" s="1">
        <v>0</v>
      </c>
      <c r="H197" s="1">
        <v>0</v>
      </c>
      <c r="I197" s="1">
        <v>66616</v>
      </c>
      <c r="J197" s="1">
        <v>11220</v>
      </c>
    </row>
    <row r="198" spans="1:10" x14ac:dyDescent="0.25">
      <c r="A198" t="s">
        <v>865</v>
      </c>
      <c r="B198" t="s">
        <v>872</v>
      </c>
      <c r="C198" t="s">
        <v>250</v>
      </c>
      <c r="D198" s="1">
        <v>20220</v>
      </c>
      <c r="E198" s="1">
        <v>36</v>
      </c>
      <c r="F198" s="1">
        <v>0</v>
      </c>
      <c r="G198" s="1">
        <v>0</v>
      </c>
      <c r="H198" s="1">
        <v>0</v>
      </c>
      <c r="I198" s="1">
        <v>10295</v>
      </c>
      <c r="J198" s="1">
        <v>2781</v>
      </c>
    </row>
    <row r="199" spans="1:10" x14ac:dyDescent="0.25">
      <c r="A199" t="s">
        <v>248</v>
      </c>
      <c r="B199" t="s">
        <v>872</v>
      </c>
      <c r="C199" t="s">
        <v>251</v>
      </c>
      <c r="D199" s="1">
        <v>38575</v>
      </c>
      <c r="E199" s="1">
        <v>694</v>
      </c>
      <c r="F199" s="1">
        <v>0</v>
      </c>
      <c r="G199" s="1">
        <v>0</v>
      </c>
      <c r="H199" s="1">
        <v>0</v>
      </c>
      <c r="I199" s="1">
        <v>32373</v>
      </c>
      <c r="J199" s="1">
        <v>6667</v>
      </c>
    </row>
    <row r="200" spans="1:10" x14ac:dyDescent="0.25">
      <c r="A200" t="s">
        <v>795</v>
      </c>
      <c r="B200" t="s">
        <v>872</v>
      </c>
      <c r="C200" t="s">
        <v>252</v>
      </c>
      <c r="D200" s="1">
        <v>38676</v>
      </c>
      <c r="E200" s="1">
        <v>99</v>
      </c>
      <c r="F200" s="1">
        <v>0</v>
      </c>
      <c r="G200" s="1">
        <v>0</v>
      </c>
      <c r="H200" s="1">
        <v>0</v>
      </c>
      <c r="I200" s="1">
        <v>16455</v>
      </c>
      <c r="J200" s="1">
        <v>11625</v>
      </c>
    </row>
    <row r="201" spans="1:10" x14ac:dyDescent="0.25">
      <c r="A201" t="s">
        <v>248</v>
      </c>
      <c r="B201" t="s">
        <v>872</v>
      </c>
      <c r="C201" t="s">
        <v>253</v>
      </c>
      <c r="D201" s="1">
        <v>72666</v>
      </c>
      <c r="E201" s="1">
        <v>360</v>
      </c>
      <c r="F201" s="1">
        <v>0</v>
      </c>
      <c r="G201" s="1">
        <v>0</v>
      </c>
      <c r="H201" s="1">
        <v>0</v>
      </c>
      <c r="I201" s="1">
        <v>31289</v>
      </c>
      <c r="J201" s="1">
        <v>12799</v>
      </c>
    </row>
    <row r="202" spans="1:10" x14ac:dyDescent="0.25">
      <c r="A202" t="s">
        <v>823</v>
      </c>
      <c r="B202" t="s">
        <v>872</v>
      </c>
      <c r="C202" t="s">
        <v>254</v>
      </c>
      <c r="D202" s="1">
        <v>45303</v>
      </c>
      <c r="E202" s="1">
        <v>227</v>
      </c>
      <c r="F202" s="1">
        <v>0</v>
      </c>
      <c r="G202" s="1">
        <v>0</v>
      </c>
      <c r="H202" s="1">
        <v>0</v>
      </c>
      <c r="I202" s="1">
        <v>8823</v>
      </c>
      <c r="J202" s="1">
        <v>14288</v>
      </c>
    </row>
    <row r="203" spans="1:10" x14ac:dyDescent="0.25">
      <c r="A203" t="s">
        <v>67</v>
      </c>
      <c r="B203" t="s">
        <v>872</v>
      </c>
      <c r="C203" t="s">
        <v>255</v>
      </c>
      <c r="D203" s="1">
        <v>37091</v>
      </c>
      <c r="E203" s="1">
        <v>122</v>
      </c>
      <c r="F203" s="1">
        <v>0</v>
      </c>
      <c r="G203" s="1">
        <v>0</v>
      </c>
      <c r="H203" s="1">
        <v>0</v>
      </c>
      <c r="I203" s="1">
        <v>33806</v>
      </c>
      <c r="J203" s="1">
        <v>6173</v>
      </c>
    </row>
    <row r="204" spans="1:10" x14ac:dyDescent="0.25">
      <c r="A204" t="s">
        <v>72</v>
      </c>
      <c r="B204" t="s">
        <v>872</v>
      </c>
      <c r="C204" t="s">
        <v>256</v>
      </c>
      <c r="D204" s="1">
        <v>21426</v>
      </c>
      <c r="E204" s="1">
        <v>16</v>
      </c>
      <c r="F204" s="1">
        <v>0</v>
      </c>
      <c r="G204" s="1">
        <v>0</v>
      </c>
      <c r="H204" s="1">
        <v>0</v>
      </c>
      <c r="I204" s="1">
        <v>19625</v>
      </c>
      <c r="J204" s="1">
        <v>3535</v>
      </c>
    </row>
    <row r="205" spans="1:10" x14ac:dyDescent="0.25">
      <c r="A205" t="s">
        <v>138</v>
      </c>
      <c r="B205" t="s">
        <v>872</v>
      </c>
      <c r="C205" t="s">
        <v>257</v>
      </c>
      <c r="D205" s="1">
        <v>58224</v>
      </c>
      <c r="E205" s="1">
        <v>2771</v>
      </c>
      <c r="F205" s="1">
        <v>0</v>
      </c>
      <c r="G205" s="1">
        <v>0</v>
      </c>
      <c r="H205" s="1">
        <v>0</v>
      </c>
      <c r="I205" s="1">
        <v>10321</v>
      </c>
      <c r="J205" s="1">
        <v>10585</v>
      </c>
    </row>
    <row r="206" spans="1:10" x14ac:dyDescent="0.25">
      <c r="A206" t="s">
        <v>817</v>
      </c>
      <c r="B206" t="s">
        <v>872</v>
      </c>
      <c r="C206" t="s">
        <v>258</v>
      </c>
      <c r="D206" s="1">
        <v>44351</v>
      </c>
      <c r="E206" s="1">
        <v>751</v>
      </c>
      <c r="F206" s="1">
        <v>0</v>
      </c>
      <c r="G206" s="1">
        <v>0</v>
      </c>
      <c r="H206" s="1">
        <v>0</v>
      </c>
      <c r="I206" s="1">
        <v>86611</v>
      </c>
      <c r="J206" s="1">
        <v>14708</v>
      </c>
    </row>
    <row r="207" spans="1:10" x14ac:dyDescent="0.25">
      <c r="A207" t="s">
        <v>795</v>
      </c>
      <c r="B207" t="s">
        <v>872</v>
      </c>
      <c r="C207" t="s">
        <v>259</v>
      </c>
      <c r="D207" s="1">
        <v>92130</v>
      </c>
      <c r="E207" s="1">
        <v>535</v>
      </c>
      <c r="F207" s="1">
        <v>0</v>
      </c>
      <c r="G207" s="1">
        <v>0</v>
      </c>
      <c r="H207" s="1">
        <v>0</v>
      </c>
      <c r="I207" s="1">
        <v>28069</v>
      </c>
      <c r="J207" s="1">
        <v>24793</v>
      </c>
    </row>
    <row r="208" spans="1:10" x14ac:dyDescent="0.25">
      <c r="A208" t="s">
        <v>864</v>
      </c>
      <c r="B208" t="s">
        <v>872</v>
      </c>
      <c r="C208" t="s">
        <v>260</v>
      </c>
      <c r="D208" s="1">
        <v>44594</v>
      </c>
      <c r="E208" s="1">
        <v>556</v>
      </c>
      <c r="F208" s="1">
        <v>0</v>
      </c>
      <c r="G208" s="1">
        <v>0</v>
      </c>
      <c r="H208" s="1">
        <v>0</v>
      </c>
      <c r="I208" s="1">
        <v>39797</v>
      </c>
      <c r="J208" s="1">
        <v>15909</v>
      </c>
    </row>
    <row r="209" spans="1:10" x14ac:dyDescent="0.25">
      <c r="A209" t="s">
        <v>826</v>
      </c>
      <c r="B209" t="s">
        <v>872</v>
      </c>
      <c r="C209" t="s">
        <v>261</v>
      </c>
      <c r="D209" s="1">
        <v>2103</v>
      </c>
      <c r="E209" s="1">
        <v>15</v>
      </c>
      <c r="F209" s="1"/>
      <c r="G209" s="1"/>
      <c r="H209" s="1"/>
      <c r="I209" s="1">
        <v>1011</v>
      </c>
      <c r="J209" s="1">
        <v>1070</v>
      </c>
    </row>
    <row r="210" spans="1:10" x14ac:dyDescent="0.25">
      <c r="A210" t="s">
        <v>801</v>
      </c>
      <c r="B210" t="s">
        <v>872</v>
      </c>
      <c r="C210" t="s">
        <v>262</v>
      </c>
      <c r="D210" s="1">
        <v>64641</v>
      </c>
      <c r="E210" s="1">
        <v>816</v>
      </c>
      <c r="F210" s="1">
        <v>0</v>
      </c>
      <c r="G210" s="1">
        <v>0</v>
      </c>
      <c r="H210" s="1">
        <v>0</v>
      </c>
      <c r="I210" s="1">
        <v>91866</v>
      </c>
      <c r="J210" s="1">
        <v>19244</v>
      </c>
    </row>
    <row r="211" spans="1:10" x14ac:dyDescent="0.25">
      <c r="A211" t="s">
        <v>120</v>
      </c>
      <c r="B211" t="s">
        <v>872</v>
      </c>
      <c r="C211" t="s">
        <v>263</v>
      </c>
      <c r="D211" s="1">
        <v>33502</v>
      </c>
      <c r="E211" s="1">
        <v>17</v>
      </c>
      <c r="F211" s="1">
        <v>0</v>
      </c>
      <c r="G211" s="1">
        <v>0</v>
      </c>
      <c r="H211" s="1">
        <v>0</v>
      </c>
      <c r="I211" s="1">
        <v>2829</v>
      </c>
      <c r="J211" s="1">
        <v>2126</v>
      </c>
    </row>
    <row r="212" spans="1:10" x14ac:dyDescent="0.25">
      <c r="A212" t="s">
        <v>868</v>
      </c>
      <c r="B212" t="s">
        <v>872</v>
      </c>
      <c r="C212" t="s">
        <v>264</v>
      </c>
      <c r="D212" s="1">
        <v>16171</v>
      </c>
      <c r="E212" s="1">
        <v>25</v>
      </c>
      <c r="F212" s="1"/>
      <c r="G212" s="1"/>
      <c r="H212" s="1"/>
      <c r="I212" s="1">
        <v>7618</v>
      </c>
      <c r="J212" s="1">
        <v>2872</v>
      </c>
    </row>
    <row r="213" spans="1:10" x14ac:dyDescent="0.25">
      <c r="A213" t="s">
        <v>265</v>
      </c>
      <c r="B213" t="s">
        <v>872</v>
      </c>
      <c r="C213" t="s">
        <v>266</v>
      </c>
      <c r="D213" s="1">
        <v>95016</v>
      </c>
      <c r="E213" s="1">
        <v>500</v>
      </c>
      <c r="F213" s="1">
        <v>0</v>
      </c>
      <c r="G213" s="1">
        <v>0</v>
      </c>
      <c r="H213" s="1">
        <v>0</v>
      </c>
      <c r="I213" s="1">
        <v>50968</v>
      </c>
      <c r="J213" s="1">
        <v>19989</v>
      </c>
    </row>
    <row r="214" spans="1:10" x14ac:dyDescent="0.25">
      <c r="A214" t="s">
        <v>797</v>
      </c>
      <c r="B214" t="s">
        <v>872</v>
      </c>
      <c r="C214" t="s">
        <v>267</v>
      </c>
      <c r="D214" s="1">
        <v>81556</v>
      </c>
      <c r="E214" s="1">
        <v>1555</v>
      </c>
      <c r="F214" s="1">
        <v>0</v>
      </c>
      <c r="G214" s="1">
        <v>0</v>
      </c>
      <c r="H214" s="1">
        <v>0</v>
      </c>
      <c r="I214" s="1">
        <v>49222</v>
      </c>
      <c r="J214" s="1">
        <v>43068</v>
      </c>
    </row>
    <row r="215" spans="1:10" x14ac:dyDescent="0.25">
      <c r="A215" t="s">
        <v>831</v>
      </c>
      <c r="B215" t="s">
        <v>872</v>
      </c>
      <c r="C215" t="s">
        <v>268</v>
      </c>
      <c r="D215" s="1">
        <v>29163</v>
      </c>
      <c r="E215" s="1">
        <v>317</v>
      </c>
      <c r="F215" s="1">
        <v>0</v>
      </c>
      <c r="G215" s="1">
        <v>0</v>
      </c>
      <c r="H215" s="1">
        <v>0</v>
      </c>
      <c r="I215" s="1">
        <v>15324</v>
      </c>
      <c r="J215" s="1">
        <v>7599</v>
      </c>
    </row>
    <row r="216" spans="1:10" x14ac:dyDescent="0.25">
      <c r="A216" t="s">
        <v>794</v>
      </c>
      <c r="B216" t="s">
        <v>872</v>
      </c>
      <c r="C216" t="s">
        <v>269</v>
      </c>
      <c r="D216" s="1">
        <v>32733</v>
      </c>
      <c r="E216" s="1">
        <v>102</v>
      </c>
      <c r="F216" s="1">
        <v>0</v>
      </c>
      <c r="G216" s="1">
        <v>0</v>
      </c>
      <c r="H216" s="1">
        <v>0</v>
      </c>
      <c r="I216" s="1">
        <v>19794</v>
      </c>
      <c r="J216" s="1">
        <v>5596</v>
      </c>
    </row>
    <row r="217" spans="1:10" x14ac:dyDescent="0.25">
      <c r="A217" t="s">
        <v>809</v>
      </c>
      <c r="B217" t="s">
        <v>872</v>
      </c>
      <c r="C217" t="s">
        <v>270</v>
      </c>
      <c r="D217" s="1">
        <v>30069</v>
      </c>
      <c r="E217" s="1">
        <v>123</v>
      </c>
      <c r="F217" s="1">
        <v>0</v>
      </c>
      <c r="G217" s="1">
        <v>0</v>
      </c>
      <c r="H217" s="1">
        <v>0</v>
      </c>
      <c r="I217" s="1">
        <v>13958</v>
      </c>
      <c r="J217" s="1">
        <v>6718</v>
      </c>
    </row>
    <row r="218" spans="1:10" x14ac:dyDescent="0.25">
      <c r="A218" t="s">
        <v>265</v>
      </c>
      <c r="B218" t="s">
        <v>872</v>
      </c>
      <c r="C218" t="s">
        <v>271</v>
      </c>
      <c r="D218" s="1">
        <v>127600</v>
      </c>
      <c r="E218" s="1">
        <v>2182</v>
      </c>
      <c r="F218" s="1">
        <v>0</v>
      </c>
      <c r="G218" s="1">
        <v>0</v>
      </c>
      <c r="H218" s="1">
        <v>0</v>
      </c>
      <c r="I218" s="1">
        <v>140670</v>
      </c>
      <c r="J218" s="1">
        <v>20721</v>
      </c>
    </row>
    <row r="219" spans="1:10" x14ac:dyDescent="0.25">
      <c r="A219" t="s">
        <v>823</v>
      </c>
      <c r="B219" t="s">
        <v>872</v>
      </c>
      <c r="C219" t="s">
        <v>272</v>
      </c>
      <c r="D219" s="1">
        <v>65264</v>
      </c>
      <c r="E219" s="1">
        <v>306</v>
      </c>
      <c r="F219" s="1">
        <v>0</v>
      </c>
      <c r="G219" s="1">
        <v>0</v>
      </c>
      <c r="H219" s="1">
        <v>0</v>
      </c>
      <c r="I219" s="1">
        <v>26763</v>
      </c>
      <c r="J219" s="1">
        <v>21207</v>
      </c>
    </row>
    <row r="220" spans="1:10" x14ac:dyDescent="0.25">
      <c r="A220" t="s">
        <v>146</v>
      </c>
      <c r="B220" t="s">
        <v>872</v>
      </c>
      <c r="C220" t="s">
        <v>273</v>
      </c>
      <c r="D220" s="1">
        <v>43440</v>
      </c>
      <c r="E220" s="1">
        <v>442</v>
      </c>
      <c r="F220" s="1">
        <v>0</v>
      </c>
      <c r="G220" s="1">
        <v>0</v>
      </c>
      <c r="H220" s="1">
        <v>0</v>
      </c>
      <c r="I220" s="1">
        <v>93852</v>
      </c>
      <c r="J220" s="1">
        <v>19363</v>
      </c>
    </row>
    <row r="221" spans="1:10" x14ac:dyDescent="0.25">
      <c r="A221" t="s">
        <v>788</v>
      </c>
      <c r="B221" t="s">
        <v>872</v>
      </c>
      <c r="C221" t="s">
        <v>274</v>
      </c>
      <c r="D221" s="1">
        <v>38664</v>
      </c>
      <c r="E221" s="1">
        <v>45</v>
      </c>
      <c r="F221" s="1">
        <v>0</v>
      </c>
      <c r="G221" s="1">
        <v>0</v>
      </c>
      <c r="H221" s="1">
        <v>0</v>
      </c>
      <c r="I221" s="1">
        <v>32721</v>
      </c>
      <c r="J221" s="1">
        <v>9278</v>
      </c>
    </row>
    <row r="222" spans="1:10" x14ac:dyDescent="0.25">
      <c r="A222" t="s">
        <v>495</v>
      </c>
      <c r="B222" t="s">
        <v>874</v>
      </c>
      <c r="C222" t="s">
        <v>275</v>
      </c>
      <c r="D222" s="1">
        <v>482024</v>
      </c>
      <c r="E222" s="1">
        <v>4412</v>
      </c>
      <c r="F222" s="1">
        <v>0</v>
      </c>
      <c r="G222" s="1">
        <v>0</v>
      </c>
      <c r="H222" s="1">
        <v>0</v>
      </c>
      <c r="I222" s="1">
        <v>45893</v>
      </c>
      <c r="J222" s="1">
        <v>140780</v>
      </c>
    </row>
    <row r="223" spans="1:10" x14ac:dyDescent="0.25">
      <c r="A223" t="s">
        <v>120</v>
      </c>
      <c r="B223" t="s">
        <v>874</v>
      </c>
      <c r="C223" t="s">
        <v>276</v>
      </c>
      <c r="D223" s="1">
        <v>307075</v>
      </c>
      <c r="E223" s="1">
        <v>3153</v>
      </c>
      <c r="F223" s="1">
        <v>0</v>
      </c>
      <c r="G223" s="1">
        <v>0</v>
      </c>
      <c r="H223" s="1">
        <v>0</v>
      </c>
      <c r="I223" s="1">
        <v>37864</v>
      </c>
      <c r="J223" s="1">
        <v>82475</v>
      </c>
    </row>
    <row r="224" spans="1:10" x14ac:dyDescent="0.25">
      <c r="A224" t="s">
        <v>76</v>
      </c>
      <c r="B224" t="s">
        <v>875</v>
      </c>
      <c r="C224" t="s">
        <v>277</v>
      </c>
      <c r="D224" s="1">
        <v>100591</v>
      </c>
      <c r="E224" s="1">
        <v>579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</row>
    <row r="225" spans="1:10" x14ac:dyDescent="0.25">
      <c r="A225" t="s">
        <v>823</v>
      </c>
      <c r="B225" t="s">
        <v>875</v>
      </c>
      <c r="C225" t="s">
        <v>278</v>
      </c>
      <c r="D225" s="1">
        <v>59339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</row>
    <row r="226" spans="1:10" x14ac:dyDescent="0.25">
      <c r="A226" t="s">
        <v>120</v>
      </c>
      <c r="B226" t="s">
        <v>876</v>
      </c>
      <c r="C226" t="s">
        <v>279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54445</v>
      </c>
      <c r="J226" s="1">
        <v>0</v>
      </c>
    </row>
    <row r="227" spans="1:10" x14ac:dyDescent="0.25">
      <c r="A227" t="s">
        <v>817</v>
      </c>
      <c r="B227" t="s">
        <v>875</v>
      </c>
      <c r="C227" t="s">
        <v>280</v>
      </c>
      <c r="D227" s="1">
        <v>157592</v>
      </c>
      <c r="E227" s="1">
        <v>541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</row>
    <row r="228" spans="1:10" x14ac:dyDescent="0.25">
      <c r="A228" t="s">
        <v>791</v>
      </c>
      <c r="B228" t="s">
        <v>875</v>
      </c>
      <c r="C228" t="s">
        <v>281</v>
      </c>
      <c r="D228" s="1">
        <v>15535</v>
      </c>
      <c r="E228" s="1">
        <v>6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</row>
    <row r="229" spans="1:10" x14ac:dyDescent="0.25">
      <c r="A229" t="s">
        <v>801</v>
      </c>
      <c r="B229" t="s">
        <v>875</v>
      </c>
      <c r="C229" t="s">
        <v>282</v>
      </c>
      <c r="D229" s="1">
        <v>20783</v>
      </c>
      <c r="E229" s="1">
        <v>138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</row>
    <row r="230" spans="1:10" x14ac:dyDescent="0.25">
      <c r="A230" t="s">
        <v>795</v>
      </c>
      <c r="B230" t="s">
        <v>875</v>
      </c>
      <c r="C230" t="s">
        <v>283</v>
      </c>
      <c r="D230" s="1">
        <v>193624</v>
      </c>
      <c r="E230" s="1">
        <v>53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</row>
    <row r="231" spans="1:10" x14ac:dyDescent="0.25">
      <c r="A231" t="s">
        <v>811</v>
      </c>
      <c r="B231" t="s">
        <v>875</v>
      </c>
      <c r="C231" t="s">
        <v>284</v>
      </c>
      <c r="D231" s="1">
        <v>131539</v>
      </c>
      <c r="E231" s="1">
        <v>3959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</row>
    <row r="232" spans="1:10" x14ac:dyDescent="0.25">
      <c r="A232" t="s">
        <v>10</v>
      </c>
      <c r="B232" t="s">
        <v>875</v>
      </c>
      <c r="C232" t="s">
        <v>285</v>
      </c>
      <c r="D232" s="1"/>
      <c r="E232" s="1"/>
      <c r="F232" s="1"/>
      <c r="G232" s="1"/>
      <c r="H232" s="1"/>
      <c r="I232" s="1"/>
      <c r="J232" s="1"/>
    </row>
    <row r="233" spans="1:10" x14ac:dyDescent="0.25">
      <c r="A233" t="s">
        <v>101</v>
      </c>
      <c r="B233" t="s">
        <v>875</v>
      </c>
      <c r="C233" t="s">
        <v>286</v>
      </c>
      <c r="D233" s="1">
        <v>30125</v>
      </c>
      <c r="E233" s="1">
        <v>306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</row>
    <row r="234" spans="1:10" x14ac:dyDescent="0.25">
      <c r="A234" t="s">
        <v>226</v>
      </c>
      <c r="B234" t="s">
        <v>875</v>
      </c>
      <c r="C234" t="s">
        <v>287</v>
      </c>
      <c r="D234" s="1">
        <v>13837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</row>
    <row r="235" spans="1:10" x14ac:dyDescent="0.25">
      <c r="A235" t="s">
        <v>120</v>
      </c>
      <c r="B235" t="s">
        <v>877</v>
      </c>
      <c r="C235" t="s">
        <v>288</v>
      </c>
      <c r="D235" s="1">
        <v>6326</v>
      </c>
      <c r="E235" s="1">
        <v>2</v>
      </c>
      <c r="F235" s="1">
        <v>0</v>
      </c>
      <c r="G235" s="1">
        <v>50574</v>
      </c>
      <c r="H235" s="1">
        <v>46</v>
      </c>
      <c r="I235" s="1">
        <v>0</v>
      </c>
      <c r="J235" s="1">
        <v>0</v>
      </c>
    </row>
    <row r="236" spans="1:10" x14ac:dyDescent="0.25">
      <c r="A236" t="s">
        <v>826</v>
      </c>
      <c r="B236" t="s">
        <v>877</v>
      </c>
      <c r="C236" t="s">
        <v>289</v>
      </c>
      <c r="D236" s="1">
        <v>2583</v>
      </c>
      <c r="E236" s="1">
        <v>122</v>
      </c>
      <c r="F236" s="1">
        <v>0</v>
      </c>
      <c r="G236" s="1">
        <v>8140</v>
      </c>
      <c r="H236" s="1">
        <v>172</v>
      </c>
      <c r="I236" s="1">
        <v>0</v>
      </c>
      <c r="J236" s="1">
        <v>0</v>
      </c>
    </row>
    <row r="237" spans="1:10" x14ac:dyDescent="0.25">
      <c r="A237" t="s">
        <v>791</v>
      </c>
      <c r="B237" t="s">
        <v>877</v>
      </c>
      <c r="C237" t="s">
        <v>290</v>
      </c>
      <c r="D237" s="1">
        <v>5662</v>
      </c>
      <c r="E237" s="1">
        <v>1653</v>
      </c>
      <c r="F237" s="1">
        <v>0</v>
      </c>
      <c r="G237" s="1">
        <v>17688</v>
      </c>
      <c r="H237" s="1">
        <v>287</v>
      </c>
      <c r="I237" s="1">
        <v>0</v>
      </c>
      <c r="J237" s="1">
        <v>0</v>
      </c>
    </row>
    <row r="238" spans="1:10" x14ac:dyDescent="0.25">
      <c r="A238" t="s">
        <v>826</v>
      </c>
      <c r="B238" t="s">
        <v>877</v>
      </c>
      <c r="C238" t="s">
        <v>291</v>
      </c>
      <c r="D238" s="1">
        <v>1546</v>
      </c>
      <c r="E238" s="1">
        <v>52</v>
      </c>
      <c r="F238" s="1">
        <v>0</v>
      </c>
      <c r="G238" s="1">
        <v>10920</v>
      </c>
      <c r="H238" s="1">
        <v>60</v>
      </c>
      <c r="I238" s="1">
        <v>0</v>
      </c>
      <c r="J238" s="1">
        <v>0</v>
      </c>
    </row>
    <row r="239" spans="1:10" x14ac:dyDescent="0.25">
      <c r="A239" t="s">
        <v>226</v>
      </c>
      <c r="B239" t="s">
        <v>877</v>
      </c>
      <c r="C239" t="s">
        <v>292</v>
      </c>
      <c r="D239" s="1">
        <v>1063</v>
      </c>
      <c r="E239" s="1">
        <v>28</v>
      </c>
      <c r="F239" s="1">
        <v>0</v>
      </c>
      <c r="G239" s="1">
        <v>13584</v>
      </c>
      <c r="H239" s="1">
        <v>87</v>
      </c>
      <c r="I239" s="1">
        <v>0</v>
      </c>
      <c r="J239" s="1">
        <v>0</v>
      </c>
    </row>
    <row r="240" spans="1:10" x14ac:dyDescent="0.25">
      <c r="A240" t="s">
        <v>495</v>
      </c>
      <c r="B240" t="s">
        <v>877</v>
      </c>
      <c r="C240" t="s">
        <v>293</v>
      </c>
      <c r="D240" s="1">
        <v>7441</v>
      </c>
      <c r="E240" s="1">
        <v>51</v>
      </c>
      <c r="F240" s="1">
        <v>0</v>
      </c>
      <c r="G240" s="1">
        <v>8442</v>
      </c>
      <c r="H240" s="1">
        <v>6</v>
      </c>
      <c r="I240" s="1">
        <v>0</v>
      </c>
      <c r="J240" s="1">
        <v>0</v>
      </c>
    </row>
    <row r="241" spans="1:10" x14ac:dyDescent="0.25">
      <c r="A241" t="s">
        <v>248</v>
      </c>
      <c r="B241" t="s">
        <v>877</v>
      </c>
      <c r="C241" t="s">
        <v>294</v>
      </c>
      <c r="D241" s="1">
        <v>2988</v>
      </c>
      <c r="E241" s="1">
        <v>0</v>
      </c>
      <c r="F241" s="1">
        <v>0</v>
      </c>
      <c r="G241" s="1">
        <v>13890</v>
      </c>
      <c r="H241" s="1">
        <v>55</v>
      </c>
      <c r="I241" s="1">
        <v>0</v>
      </c>
      <c r="J241" s="1">
        <v>0</v>
      </c>
    </row>
    <row r="242" spans="1:10" x14ac:dyDescent="0.25">
      <c r="A242" t="s">
        <v>865</v>
      </c>
      <c r="B242" t="s">
        <v>877</v>
      </c>
      <c r="C242" t="s">
        <v>295</v>
      </c>
      <c r="D242" s="1">
        <v>1462</v>
      </c>
      <c r="E242" s="1">
        <v>22</v>
      </c>
      <c r="F242" s="1">
        <v>0</v>
      </c>
      <c r="G242" s="1">
        <v>23620</v>
      </c>
      <c r="H242" s="1">
        <v>75</v>
      </c>
      <c r="I242" s="1">
        <v>0</v>
      </c>
      <c r="J242" s="1">
        <v>0</v>
      </c>
    </row>
    <row r="243" spans="1:10" x14ac:dyDescent="0.25">
      <c r="A243" t="s">
        <v>831</v>
      </c>
      <c r="B243" t="s">
        <v>877</v>
      </c>
      <c r="C243" t="s">
        <v>296</v>
      </c>
      <c r="D243" s="1">
        <v>1272</v>
      </c>
      <c r="E243" s="1">
        <v>13</v>
      </c>
      <c r="F243" s="1">
        <v>0</v>
      </c>
      <c r="G243" s="1">
        <v>21483</v>
      </c>
      <c r="H243" s="1">
        <v>56</v>
      </c>
      <c r="I243" s="1">
        <v>0</v>
      </c>
      <c r="J243" s="1">
        <v>0</v>
      </c>
    </row>
    <row r="244" spans="1:10" x14ac:dyDescent="0.25">
      <c r="A244" t="s">
        <v>818</v>
      </c>
      <c r="B244" t="s">
        <v>877</v>
      </c>
      <c r="C244" t="s">
        <v>297</v>
      </c>
      <c r="D244" s="1">
        <v>4985</v>
      </c>
      <c r="E244" s="1">
        <v>0</v>
      </c>
      <c r="F244" s="1">
        <v>0</v>
      </c>
      <c r="G244" s="1">
        <v>13480</v>
      </c>
      <c r="H244" s="1">
        <v>54</v>
      </c>
      <c r="I244" s="1">
        <v>0</v>
      </c>
      <c r="J244" s="1">
        <v>0</v>
      </c>
    </row>
    <row r="245" spans="1:10" x14ac:dyDescent="0.25">
      <c r="A245" t="s">
        <v>811</v>
      </c>
      <c r="B245" t="s">
        <v>877</v>
      </c>
      <c r="C245" t="s">
        <v>298</v>
      </c>
      <c r="D245" s="1">
        <v>3778</v>
      </c>
      <c r="E245" s="1">
        <v>148</v>
      </c>
      <c r="F245" s="1">
        <v>0</v>
      </c>
      <c r="G245" s="1">
        <v>11480</v>
      </c>
      <c r="H245" s="1">
        <v>42</v>
      </c>
      <c r="I245" s="1">
        <v>0</v>
      </c>
      <c r="J245" s="1">
        <v>0</v>
      </c>
    </row>
    <row r="246" spans="1:10" x14ac:dyDescent="0.25">
      <c r="A246" t="s">
        <v>72</v>
      </c>
      <c r="B246" t="s">
        <v>877</v>
      </c>
      <c r="C246" t="s">
        <v>299</v>
      </c>
      <c r="D246" s="1">
        <v>3130</v>
      </c>
      <c r="E246" s="1">
        <v>0</v>
      </c>
      <c r="F246" s="1">
        <v>0</v>
      </c>
      <c r="G246" s="1">
        <v>14934</v>
      </c>
      <c r="H246" s="1">
        <v>19</v>
      </c>
      <c r="I246" s="1">
        <v>0</v>
      </c>
      <c r="J246" s="1">
        <v>0</v>
      </c>
    </row>
    <row r="247" spans="1:10" x14ac:dyDescent="0.25">
      <c r="A247" t="s">
        <v>67</v>
      </c>
      <c r="B247" t="s">
        <v>877</v>
      </c>
      <c r="C247" t="s">
        <v>300</v>
      </c>
      <c r="D247" s="1">
        <v>2673</v>
      </c>
      <c r="E247" s="1">
        <v>0</v>
      </c>
      <c r="F247" s="1">
        <v>0</v>
      </c>
      <c r="G247" s="1">
        <v>6786</v>
      </c>
      <c r="H247" s="1">
        <v>8</v>
      </c>
      <c r="I247" s="1">
        <v>0</v>
      </c>
      <c r="J247" s="1">
        <v>0</v>
      </c>
    </row>
    <row r="248" spans="1:10" x14ac:dyDescent="0.25">
      <c r="A248" t="s">
        <v>798</v>
      </c>
      <c r="B248" t="s">
        <v>877</v>
      </c>
      <c r="C248" t="s">
        <v>301</v>
      </c>
      <c r="D248" s="1">
        <v>3160</v>
      </c>
      <c r="E248" s="1">
        <v>26</v>
      </c>
      <c r="F248" s="1">
        <v>0</v>
      </c>
      <c r="G248" s="1">
        <v>18899</v>
      </c>
      <c r="H248" s="1">
        <v>145</v>
      </c>
      <c r="I248" s="1">
        <v>0</v>
      </c>
      <c r="J248" s="1">
        <v>0</v>
      </c>
    </row>
    <row r="249" spans="1:10" x14ac:dyDescent="0.25">
      <c r="A249" t="s">
        <v>824</v>
      </c>
      <c r="B249" t="s">
        <v>877</v>
      </c>
      <c r="C249" t="s">
        <v>302</v>
      </c>
      <c r="D249" s="1">
        <v>10992</v>
      </c>
      <c r="E249" s="1">
        <v>18</v>
      </c>
      <c r="F249" s="1">
        <v>0</v>
      </c>
      <c r="G249" s="1">
        <v>40116</v>
      </c>
      <c r="H249" s="1">
        <v>60</v>
      </c>
      <c r="I249" s="1">
        <v>0</v>
      </c>
      <c r="J249" s="1">
        <v>0</v>
      </c>
    </row>
    <row r="250" spans="1:10" x14ac:dyDescent="0.25">
      <c r="A250" t="s">
        <v>788</v>
      </c>
      <c r="B250" t="s">
        <v>877</v>
      </c>
      <c r="C250" t="s">
        <v>303</v>
      </c>
      <c r="D250" s="1">
        <v>2059</v>
      </c>
      <c r="E250" s="1">
        <v>6</v>
      </c>
      <c r="F250" s="1">
        <v>0</v>
      </c>
      <c r="G250" s="1">
        <v>16359</v>
      </c>
      <c r="H250" s="1">
        <v>89</v>
      </c>
      <c r="I250" s="1">
        <v>0</v>
      </c>
      <c r="J250" s="1">
        <v>0</v>
      </c>
    </row>
    <row r="251" spans="1:10" x14ac:dyDescent="0.25">
      <c r="A251" t="s">
        <v>120</v>
      </c>
      <c r="B251" t="s">
        <v>877</v>
      </c>
      <c r="C251" t="s">
        <v>304</v>
      </c>
      <c r="D251" s="1">
        <v>3111</v>
      </c>
      <c r="E251" s="1">
        <v>5</v>
      </c>
      <c r="F251" s="1">
        <v>0</v>
      </c>
      <c r="G251" s="1">
        <v>27598</v>
      </c>
      <c r="H251" s="1">
        <v>49</v>
      </c>
      <c r="I251" s="1">
        <v>0</v>
      </c>
      <c r="J251" s="1">
        <v>0</v>
      </c>
    </row>
    <row r="252" spans="1:10" x14ac:dyDescent="0.25">
      <c r="A252" t="s">
        <v>229</v>
      </c>
      <c r="B252" t="s">
        <v>877</v>
      </c>
      <c r="C252" t="s">
        <v>306</v>
      </c>
      <c r="D252" s="1">
        <v>4711</v>
      </c>
      <c r="E252" s="1">
        <v>0</v>
      </c>
      <c r="F252" s="1">
        <v>0</v>
      </c>
      <c r="G252" s="1">
        <v>10370</v>
      </c>
      <c r="H252" s="1">
        <v>59</v>
      </c>
      <c r="I252" s="1">
        <v>0</v>
      </c>
      <c r="J252" s="1">
        <v>0</v>
      </c>
    </row>
    <row r="253" spans="1:10" x14ac:dyDescent="0.25">
      <c r="A253" t="s">
        <v>512</v>
      </c>
      <c r="B253" t="s">
        <v>877</v>
      </c>
      <c r="C253" t="s">
        <v>307</v>
      </c>
      <c r="D253" s="1">
        <v>638</v>
      </c>
      <c r="E253" s="1">
        <v>9</v>
      </c>
      <c r="F253" s="1">
        <v>0</v>
      </c>
      <c r="G253" s="1">
        <v>10971</v>
      </c>
      <c r="H253" s="1">
        <v>43</v>
      </c>
      <c r="I253" s="1">
        <v>0</v>
      </c>
      <c r="J253" s="1">
        <v>0</v>
      </c>
    </row>
    <row r="254" spans="1:10" x14ac:dyDescent="0.25">
      <c r="A254" t="s">
        <v>791</v>
      </c>
      <c r="B254" t="s">
        <v>877</v>
      </c>
      <c r="C254" t="s">
        <v>308</v>
      </c>
      <c r="D254" s="1">
        <v>952</v>
      </c>
      <c r="E254" s="1">
        <v>0</v>
      </c>
      <c r="F254" s="1">
        <v>0</v>
      </c>
      <c r="G254" s="1">
        <v>6415</v>
      </c>
      <c r="H254" s="1">
        <v>0</v>
      </c>
      <c r="I254" s="1">
        <v>0</v>
      </c>
      <c r="J254" s="1">
        <v>0</v>
      </c>
    </row>
    <row r="255" spans="1:10" x14ac:dyDescent="0.25">
      <c r="A255" t="s">
        <v>841</v>
      </c>
      <c r="B255" t="s">
        <v>877</v>
      </c>
      <c r="C255" t="s">
        <v>309</v>
      </c>
      <c r="D255" s="1">
        <v>5710</v>
      </c>
      <c r="E255" s="1">
        <v>3</v>
      </c>
      <c r="F255" s="1">
        <v>0</v>
      </c>
      <c r="G255" s="1">
        <v>43614</v>
      </c>
      <c r="H255" s="1">
        <v>23</v>
      </c>
      <c r="I255" s="1">
        <v>0</v>
      </c>
      <c r="J255" s="1">
        <v>0</v>
      </c>
    </row>
    <row r="256" spans="1:10" x14ac:dyDescent="0.25">
      <c r="A256" t="s">
        <v>831</v>
      </c>
      <c r="B256" t="s">
        <v>877</v>
      </c>
      <c r="C256" t="s">
        <v>310</v>
      </c>
      <c r="D256" s="1">
        <v>407</v>
      </c>
      <c r="E256" s="1">
        <v>0</v>
      </c>
      <c r="F256" s="1">
        <v>0</v>
      </c>
      <c r="G256" s="1">
        <v>3456</v>
      </c>
      <c r="H256" s="1">
        <v>12</v>
      </c>
      <c r="I256" s="1">
        <v>0</v>
      </c>
      <c r="J256" s="1">
        <v>0</v>
      </c>
    </row>
    <row r="257" spans="1:10" x14ac:dyDescent="0.25">
      <c r="A257" t="s">
        <v>864</v>
      </c>
      <c r="B257" t="s">
        <v>877</v>
      </c>
      <c r="C257" t="s">
        <v>311</v>
      </c>
      <c r="D257" s="1">
        <v>1937</v>
      </c>
      <c r="E257" s="1">
        <v>0</v>
      </c>
      <c r="F257" s="1">
        <v>0</v>
      </c>
      <c r="G257" s="1">
        <v>10627</v>
      </c>
      <c r="H257" s="1">
        <v>2</v>
      </c>
      <c r="I257" s="1">
        <v>0</v>
      </c>
      <c r="J257" s="1">
        <v>0</v>
      </c>
    </row>
    <row r="258" spans="1:10" x14ac:dyDescent="0.25">
      <c r="A258" t="s">
        <v>838</v>
      </c>
      <c r="B258" t="s">
        <v>877</v>
      </c>
      <c r="C258" t="s">
        <v>312</v>
      </c>
      <c r="D258" s="1">
        <v>12660</v>
      </c>
      <c r="E258" s="1">
        <v>25</v>
      </c>
      <c r="F258" s="1">
        <v>0</v>
      </c>
      <c r="G258" s="1">
        <v>1617</v>
      </c>
      <c r="H258" s="1">
        <v>0</v>
      </c>
      <c r="I258" s="1">
        <v>0</v>
      </c>
      <c r="J258" s="1">
        <v>0</v>
      </c>
    </row>
    <row r="259" spans="1:10" x14ac:dyDescent="0.25">
      <c r="A259" t="s">
        <v>794</v>
      </c>
      <c r="B259" t="s">
        <v>877</v>
      </c>
      <c r="C259" t="s">
        <v>313</v>
      </c>
      <c r="D259" s="1">
        <v>5250</v>
      </c>
      <c r="E259" s="1">
        <v>0</v>
      </c>
      <c r="F259" s="1">
        <v>0</v>
      </c>
      <c r="G259" s="1">
        <v>11000</v>
      </c>
      <c r="H259" s="1">
        <v>6</v>
      </c>
      <c r="I259" s="1">
        <v>0</v>
      </c>
      <c r="J259" s="1">
        <v>0</v>
      </c>
    </row>
    <row r="260" spans="1:10" x14ac:dyDescent="0.25">
      <c r="A260" t="s">
        <v>830</v>
      </c>
      <c r="B260" t="s">
        <v>877</v>
      </c>
      <c r="C260" t="s">
        <v>314</v>
      </c>
      <c r="D260" s="1">
        <v>3214</v>
      </c>
      <c r="E260" s="1">
        <v>511</v>
      </c>
      <c r="F260" s="1">
        <v>0</v>
      </c>
      <c r="G260" s="1">
        <v>3160</v>
      </c>
      <c r="H260" s="1">
        <v>82</v>
      </c>
      <c r="I260" s="1">
        <v>0</v>
      </c>
      <c r="J260" s="1">
        <v>0</v>
      </c>
    </row>
    <row r="261" spans="1:10" x14ac:dyDescent="0.25">
      <c r="A261" t="s">
        <v>844</v>
      </c>
      <c r="B261" t="s">
        <v>877</v>
      </c>
      <c r="C261" t="s">
        <v>315</v>
      </c>
      <c r="D261" s="1">
        <v>1089</v>
      </c>
      <c r="E261" s="1">
        <v>0</v>
      </c>
      <c r="F261" s="1">
        <v>0</v>
      </c>
      <c r="G261" s="1">
        <v>6274</v>
      </c>
      <c r="H261" s="1">
        <v>0</v>
      </c>
      <c r="I261" s="1">
        <v>0</v>
      </c>
      <c r="J261" s="1">
        <v>0</v>
      </c>
    </row>
    <row r="262" spans="1:10" x14ac:dyDescent="0.25">
      <c r="A262" t="s">
        <v>836</v>
      </c>
      <c r="B262" t="s">
        <v>877</v>
      </c>
      <c r="C262" t="s">
        <v>316</v>
      </c>
      <c r="D262" s="1">
        <v>1682</v>
      </c>
      <c r="E262" s="1">
        <v>0</v>
      </c>
      <c r="F262" s="1">
        <v>0</v>
      </c>
      <c r="G262" s="1">
        <v>7988</v>
      </c>
      <c r="H262" s="1">
        <v>18</v>
      </c>
      <c r="I262" s="1">
        <v>0</v>
      </c>
      <c r="J262" s="1">
        <v>0</v>
      </c>
    </row>
    <row r="263" spans="1:10" x14ac:dyDescent="0.25">
      <c r="A263" t="s">
        <v>845</v>
      </c>
      <c r="B263" t="s">
        <v>877</v>
      </c>
      <c r="C263" t="s">
        <v>317</v>
      </c>
      <c r="D263" s="1">
        <v>8943</v>
      </c>
      <c r="E263" s="1">
        <v>3</v>
      </c>
      <c r="F263" s="1">
        <v>0</v>
      </c>
      <c r="G263" s="1">
        <v>4860</v>
      </c>
      <c r="H263" s="1">
        <v>35</v>
      </c>
      <c r="I263" s="1">
        <v>0</v>
      </c>
      <c r="J263" s="1">
        <v>0</v>
      </c>
    </row>
    <row r="264" spans="1:10" x14ac:dyDescent="0.25">
      <c r="A264" t="s">
        <v>846</v>
      </c>
      <c r="B264" t="s">
        <v>877</v>
      </c>
      <c r="C264" t="s">
        <v>318</v>
      </c>
      <c r="D264" s="1">
        <v>2254</v>
      </c>
      <c r="E264" s="1">
        <v>13</v>
      </c>
      <c r="F264" s="1">
        <v>0</v>
      </c>
      <c r="G264" s="1">
        <v>5030</v>
      </c>
      <c r="H264" s="1">
        <v>6</v>
      </c>
      <c r="I264" s="1">
        <v>0</v>
      </c>
      <c r="J264" s="1">
        <v>0</v>
      </c>
    </row>
    <row r="265" spans="1:10" x14ac:dyDescent="0.25">
      <c r="A265" t="s">
        <v>804</v>
      </c>
      <c r="B265" t="s">
        <v>877</v>
      </c>
      <c r="C265" t="s">
        <v>319</v>
      </c>
      <c r="D265" s="1">
        <v>6453</v>
      </c>
      <c r="E265" s="1">
        <v>23</v>
      </c>
      <c r="F265" s="1">
        <v>0</v>
      </c>
      <c r="G265" s="1">
        <v>16502</v>
      </c>
      <c r="H265" s="1">
        <v>55</v>
      </c>
      <c r="I265" s="1">
        <v>0</v>
      </c>
      <c r="J265" s="1">
        <v>0</v>
      </c>
    </row>
    <row r="266" spans="1:10" x14ac:dyDescent="0.25">
      <c r="A266" t="s">
        <v>809</v>
      </c>
      <c r="B266" t="s">
        <v>877</v>
      </c>
      <c r="C266" t="s">
        <v>320</v>
      </c>
      <c r="D266" s="1">
        <v>11934</v>
      </c>
      <c r="E266" s="1">
        <v>0</v>
      </c>
      <c r="F266" s="1">
        <v>0</v>
      </c>
      <c r="G266" s="1">
        <v>10172</v>
      </c>
      <c r="H266" s="1">
        <v>17</v>
      </c>
      <c r="I266" s="1">
        <v>0</v>
      </c>
      <c r="J266" s="1">
        <v>0</v>
      </c>
    </row>
    <row r="267" spans="1:10" x14ac:dyDescent="0.25">
      <c r="A267" t="s">
        <v>801</v>
      </c>
      <c r="B267" t="s">
        <v>877</v>
      </c>
      <c r="C267" t="s">
        <v>321</v>
      </c>
      <c r="D267" s="1">
        <v>8309</v>
      </c>
      <c r="E267" s="1">
        <v>41</v>
      </c>
      <c r="F267" s="1">
        <v>0</v>
      </c>
      <c r="G267" s="1">
        <v>23416</v>
      </c>
      <c r="H267" s="1">
        <v>377</v>
      </c>
      <c r="I267" s="1">
        <v>0</v>
      </c>
      <c r="J267" s="1">
        <v>0</v>
      </c>
    </row>
    <row r="268" spans="1:10" x14ac:dyDescent="0.25">
      <c r="A268" t="s">
        <v>138</v>
      </c>
      <c r="B268" t="s">
        <v>877</v>
      </c>
      <c r="C268" t="s">
        <v>322</v>
      </c>
      <c r="D268" s="1">
        <v>13690</v>
      </c>
      <c r="E268" s="1">
        <v>35</v>
      </c>
      <c r="F268" s="1">
        <v>0</v>
      </c>
      <c r="G268" s="1">
        <v>78306</v>
      </c>
      <c r="H268" s="1">
        <v>411</v>
      </c>
      <c r="I268" s="1">
        <v>0</v>
      </c>
      <c r="J268" s="1">
        <v>0</v>
      </c>
    </row>
    <row r="269" spans="1:10" x14ac:dyDescent="0.25">
      <c r="A269" t="s">
        <v>83</v>
      </c>
      <c r="B269" t="s">
        <v>877</v>
      </c>
      <c r="C269" t="s">
        <v>323</v>
      </c>
      <c r="D269" s="1">
        <v>16579</v>
      </c>
      <c r="E269" s="1">
        <v>51</v>
      </c>
      <c r="F269" s="1">
        <v>0</v>
      </c>
      <c r="G269" s="1">
        <v>10076</v>
      </c>
      <c r="H269" s="1">
        <v>115</v>
      </c>
      <c r="I269" s="1">
        <v>0</v>
      </c>
      <c r="J269" s="1">
        <v>0</v>
      </c>
    </row>
    <row r="270" spans="1:10" x14ac:dyDescent="0.25">
      <c r="A270" t="s">
        <v>825</v>
      </c>
      <c r="B270" t="s">
        <v>877</v>
      </c>
      <c r="C270" t="s">
        <v>324</v>
      </c>
      <c r="D270" s="1">
        <v>3917</v>
      </c>
      <c r="E270" s="1">
        <v>31</v>
      </c>
      <c r="F270" s="1">
        <v>0</v>
      </c>
      <c r="G270" s="1">
        <v>11919</v>
      </c>
      <c r="H270" s="1">
        <v>175</v>
      </c>
      <c r="I270" s="1">
        <v>0</v>
      </c>
      <c r="J270" s="1">
        <v>0</v>
      </c>
    </row>
    <row r="271" spans="1:10" x14ac:dyDescent="0.25">
      <c r="A271" t="s">
        <v>248</v>
      </c>
      <c r="B271" t="s">
        <v>877</v>
      </c>
      <c r="C271" t="s">
        <v>325</v>
      </c>
      <c r="D271" s="1">
        <v>1674</v>
      </c>
      <c r="E271" s="1">
        <v>0</v>
      </c>
      <c r="F271" s="1">
        <v>0</v>
      </c>
      <c r="G271" s="1">
        <v>4610</v>
      </c>
      <c r="H271" s="1">
        <v>0</v>
      </c>
      <c r="I271" s="1">
        <v>0</v>
      </c>
      <c r="J271" s="1">
        <v>0</v>
      </c>
    </row>
    <row r="272" spans="1:10" x14ac:dyDescent="0.25">
      <c r="A272" t="s">
        <v>83</v>
      </c>
      <c r="B272" t="s">
        <v>877</v>
      </c>
      <c r="C272" t="s">
        <v>326</v>
      </c>
      <c r="D272" s="1">
        <v>1201</v>
      </c>
      <c r="E272" s="1">
        <v>0</v>
      </c>
      <c r="F272" s="1">
        <v>0</v>
      </c>
      <c r="G272" s="1">
        <v>6120</v>
      </c>
      <c r="H272" s="1">
        <v>40</v>
      </c>
      <c r="I272" s="1">
        <v>0</v>
      </c>
      <c r="J272" s="1">
        <v>0</v>
      </c>
    </row>
    <row r="273" spans="1:10" x14ac:dyDescent="0.25">
      <c r="A273" t="s">
        <v>795</v>
      </c>
      <c r="B273" t="s">
        <v>877</v>
      </c>
      <c r="C273" t="s">
        <v>327</v>
      </c>
      <c r="D273" s="1">
        <v>1990</v>
      </c>
      <c r="E273" s="1">
        <v>2</v>
      </c>
      <c r="F273" s="1">
        <v>0</v>
      </c>
      <c r="G273" s="1">
        <v>1579</v>
      </c>
      <c r="H273" s="1">
        <v>43</v>
      </c>
      <c r="I273" s="1">
        <v>0</v>
      </c>
      <c r="J273" s="1">
        <v>0</v>
      </c>
    </row>
    <row r="274" spans="1:10" x14ac:dyDescent="0.25">
      <c r="A274" t="s">
        <v>76</v>
      </c>
      <c r="B274" t="s">
        <v>877</v>
      </c>
      <c r="C274" t="s">
        <v>329</v>
      </c>
      <c r="D274" s="1">
        <v>4504</v>
      </c>
      <c r="E274" s="1">
        <v>40</v>
      </c>
      <c r="F274" s="1">
        <v>0</v>
      </c>
      <c r="G274" s="1">
        <v>27567</v>
      </c>
      <c r="H274" s="1">
        <v>557</v>
      </c>
      <c r="I274" s="1">
        <v>0</v>
      </c>
      <c r="J274" s="1">
        <v>0</v>
      </c>
    </row>
    <row r="275" spans="1:10" x14ac:dyDescent="0.25">
      <c r="A275" t="s">
        <v>809</v>
      </c>
      <c r="B275" t="s">
        <v>877</v>
      </c>
      <c r="C275" t="s">
        <v>330</v>
      </c>
      <c r="D275" s="1">
        <v>6872</v>
      </c>
      <c r="E275" s="1">
        <v>601</v>
      </c>
      <c r="F275" s="1">
        <v>0</v>
      </c>
      <c r="G275" s="1">
        <v>34249</v>
      </c>
      <c r="H275" s="1">
        <v>502</v>
      </c>
      <c r="I275" s="1">
        <v>0</v>
      </c>
      <c r="J275" s="1">
        <v>0</v>
      </c>
    </row>
    <row r="276" spans="1:10" x14ac:dyDescent="0.25">
      <c r="A276" t="s">
        <v>839</v>
      </c>
      <c r="B276" t="s">
        <v>877</v>
      </c>
      <c r="C276" t="s">
        <v>331</v>
      </c>
      <c r="D276" s="1">
        <v>1405</v>
      </c>
      <c r="E276" s="1">
        <v>2</v>
      </c>
      <c r="F276" s="1">
        <v>0</v>
      </c>
      <c r="G276" s="1">
        <v>8709</v>
      </c>
      <c r="H276" s="1">
        <v>29</v>
      </c>
      <c r="I276" s="1">
        <v>0</v>
      </c>
      <c r="J276" s="1">
        <v>0</v>
      </c>
    </row>
    <row r="277" spans="1:10" x14ac:dyDescent="0.25">
      <c r="A277" t="s">
        <v>248</v>
      </c>
      <c r="B277" t="s">
        <v>877</v>
      </c>
      <c r="C277" t="s">
        <v>332</v>
      </c>
      <c r="D277" s="1">
        <v>5683</v>
      </c>
      <c r="E277" s="1">
        <v>0</v>
      </c>
      <c r="F277" s="1">
        <v>0</v>
      </c>
      <c r="G277" s="1">
        <v>12181</v>
      </c>
      <c r="H277" s="1">
        <v>93</v>
      </c>
      <c r="I277" s="1">
        <v>0</v>
      </c>
      <c r="J277" s="1">
        <v>0</v>
      </c>
    </row>
    <row r="278" spans="1:10" x14ac:dyDescent="0.25">
      <c r="A278" t="s">
        <v>862</v>
      </c>
      <c r="B278" t="s">
        <v>877</v>
      </c>
      <c r="C278" t="s">
        <v>333</v>
      </c>
      <c r="D278" s="1">
        <v>430</v>
      </c>
      <c r="E278" s="1">
        <v>0</v>
      </c>
      <c r="F278" s="1">
        <v>0</v>
      </c>
      <c r="G278" s="1">
        <v>6335</v>
      </c>
      <c r="H278" s="1">
        <v>0</v>
      </c>
      <c r="I278" s="1">
        <v>0</v>
      </c>
      <c r="J278" s="1">
        <v>0</v>
      </c>
    </row>
    <row r="279" spans="1:10" x14ac:dyDescent="0.25">
      <c r="A279" t="s">
        <v>857</v>
      </c>
      <c r="B279" t="s">
        <v>877</v>
      </c>
      <c r="C279" t="s">
        <v>334</v>
      </c>
      <c r="D279" s="1">
        <v>5384</v>
      </c>
      <c r="E279" s="1">
        <v>0</v>
      </c>
      <c r="F279" s="1">
        <v>0</v>
      </c>
      <c r="G279" s="1">
        <v>2296</v>
      </c>
      <c r="H279" s="1">
        <v>0</v>
      </c>
      <c r="I279" s="1">
        <v>0</v>
      </c>
      <c r="J279" s="1">
        <v>0</v>
      </c>
    </row>
    <row r="280" spans="1:10" x14ac:dyDescent="0.25">
      <c r="A280" t="s">
        <v>265</v>
      </c>
      <c r="B280" t="s">
        <v>877</v>
      </c>
      <c r="C280" t="s">
        <v>335</v>
      </c>
      <c r="D280" s="1">
        <v>4907</v>
      </c>
      <c r="E280" s="1">
        <v>0</v>
      </c>
      <c r="F280" s="1">
        <v>0</v>
      </c>
      <c r="G280" s="1">
        <v>15742</v>
      </c>
      <c r="H280" s="1">
        <v>32</v>
      </c>
      <c r="I280" s="1">
        <v>0</v>
      </c>
      <c r="J280" s="1">
        <v>0</v>
      </c>
    </row>
    <row r="281" spans="1:10" x14ac:dyDescent="0.25">
      <c r="A281" t="s">
        <v>855</v>
      </c>
      <c r="B281" t="s">
        <v>877</v>
      </c>
      <c r="C281" t="s">
        <v>336</v>
      </c>
      <c r="D281" s="1">
        <v>3021</v>
      </c>
      <c r="E281" s="1">
        <v>69</v>
      </c>
      <c r="F281" s="1">
        <v>0</v>
      </c>
      <c r="G281" s="1">
        <v>10232</v>
      </c>
      <c r="H281" s="1">
        <v>17</v>
      </c>
      <c r="I281" s="1">
        <v>0</v>
      </c>
      <c r="J281" s="1">
        <v>0</v>
      </c>
    </row>
    <row r="282" spans="1:10" x14ac:dyDescent="0.25">
      <c r="A282" t="s">
        <v>868</v>
      </c>
      <c r="B282" t="s">
        <v>877</v>
      </c>
      <c r="C282" t="s">
        <v>337</v>
      </c>
      <c r="D282" s="1">
        <v>7598</v>
      </c>
      <c r="E282" s="1">
        <v>51</v>
      </c>
      <c r="F282" s="1"/>
      <c r="G282" s="1">
        <v>38716</v>
      </c>
      <c r="H282" s="1">
        <v>240</v>
      </c>
      <c r="I282" s="1"/>
      <c r="J282" s="1"/>
    </row>
    <row r="283" spans="1:10" x14ac:dyDescent="0.25">
      <c r="A283" t="s">
        <v>852</v>
      </c>
      <c r="B283" t="s">
        <v>877</v>
      </c>
      <c r="C283" t="s">
        <v>338</v>
      </c>
      <c r="D283" s="1">
        <v>978</v>
      </c>
      <c r="E283" s="1">
        <v>1</v>
      </c>
      <c r="F283" s="1">
        <v>0</v>
      </c>
      <c r="G283" s="1">
        <v>9491</v>
      </c>
      <c r="H283" s="1">
        <v>22</v>
      </c>
      <c r="I283" s="1">
        <v>0</v>
      </c>
      <c r="J283" s="1">
        <v>0</v>
      </c>
    </row>
    <row r="284" spans="1:10" x14ac:dyDescent="0.25">
      <c r="A284" t="s">
        <v>860</v>
      </c>
      <c r="B284" t="s">
        <v>877</v>
      </c>
      <c r="C284" t="s">
        <v>339</v>
      </c>
      <c r="D284" s="1">
        <v>4900</v>
      </c>
      <c r="E284" s="1">
        <v>0</v>
      </c>
      <c r="F284" s="1">
        <v>0</v>
      </c>
      <c r="G284" s="1">
        <v>4797</v>
      </c>
      <c r="H284" s="1">
        <v>77</v>
      </c>
      <c r="I284" s="1">
        <v>0</v>
      </c>
      <c r="J284" s="1">
        <v>0</v>
      </c>
    </row>
    <row r="285" spans="1:10" x14ac:dyDescent="0.25">
      <c r="A285" t="s">
        <v>861</v>
      </c>
      <c r="B285" t="s">
        <v>877</v>
      </c>
      <c r="C285" t="s">
        <v>340</v>
      </c>
      <c r="D285" s="1">
        <v>1383</v>
      </c>
      <c r="E285" s="1">
        <v>0</v>
      </c>
      <c r="F285" s="1">
        <v>0</v>
      </c>
      <c r="G285" s="1">
        <v>3397</v>
      </c>
      <c r="H285" s="1">
        <v>7</v>
      </c>
      <c r="I285" s="1">
        <v>0</v>
      </c>
      <c r="J285" s="1">
        <v>0</v>
      </c>
    </row>
    <row r="286" spans="1:10" x14ac:dyDescent="0.25">
      <c r="A286" t="s">
        <v>834</v>
      </c>
      <c r="B286" t="s">
        <v>877</v>
      </c>
      <c r="C286" t="s">
        <v>341</v>
      </c>
      <c r="D286" s="1">
        <v>1691</v>
      </c>
      <c r="E286" s="1">
        <v>0</v>
      </c>
      <c r="F286" s="1">
        <v>0</v>
      </c>
      <c r="G286" s="1">
        <v>12011</v>
      </c>
      <c r="H286" s="1">
        <v>2</v>
      </c>
      <c r="I286" s="1">
        <v>0</v>
      </c>
      <c r="J286" s="1">
        <v>0</v>
      </c>
    </row>
    <row r="287" spans="1:10" x14ac:dyDescent="0.25">
      <c r="A287" t="s">
        <v>850</v>
      </c>
      <c r="B287" t="s">
        <v>877</v>
      </c>
      <c r="C287" t="s">
        <v>342</v>
      </c>
      <c r="D287" s="1">
        <v>1348</v>
      </c>
      <c r="E287" s="1">
        <v>16</v>
      </c>
      <c r="F287" s="1">
        <v>0</v>
      </c>
      <c r="G287" s="1">
        <v>2540</v>
      </c>
      <c r="H287" s="1">
        <v>2</v>
      </c>
      <c r="I287" s="1">
        <v>0</v>
      </c>
      <c r="J287" s="1">
        <v>0</v>
      </c>
    </row>
    <row r="288" spans="1:10" x14ac:dyDescent="0.25">
      <c r="A288" t="s">
        <v>801</v>
      </c>
      <c r="B288" t="s">
        <v>877</v>
      </c>
      <c r="C288" t="s">
        <v>343</v>
      </c>
      <c r="D288" s="1">
        <v>1085</v>
      </c>
      <c r="E288" s="1">
        <v>0</v>
      </c>
      <c r="F288" s="1">
        <v>0</v>
      </c>
      <c r="G288" s="1">
        <v>3304</v>
      </c>
      <c r="H288" s="1">
        <v>1</v>
      </c>
      <c r="I288" s="1">
        <v>0</v>
      </c>
      <c r="J288" s="1">
        <v>0</v>
      </c>
    </row>
    <row r="289" spans="1:10" x14ac:dyDescent="0.25">
      <c r="A289" t="s">
        <v>138</v>
      </c>
      <c r="B289" t="s">
        <v>877</v>
      </c>
      <c r="C289" t="s">
        <v>344</v>
      </c>
      <c r="D289" s="1">
        <v>6902</v>
      </c>
      <c r="E289" s="1">
        <v>0</v>
      </c>
      <c r="F289" s="1">
        <v>0</v>
      </c>
      <c r="G289" s="1">
        <v>38690</v>
      </c>
      <c r="H289" s="1">
        <v>163</v>
      </c>
      <c r="I289" s="1">
        <v>0</v>
      </c>
      <c r="J289" s="1">
        <v>0</v>
      </c>
    </row>
    <row r="290" spans="1:10" x14ac:dyDescent="0.25">
      <c r="A290" t="s">
        <v>868</v>
      </c>
      <c r="B290" t="s">
        <v>877</v>
      </c>
      <c r="C290" t="s">
        <v>345</v>
      </c>
      <c r="D290" s="1">
        <v>909</v>
      </c>
      <c r="E290" s="1"/>
      <c r="F290" s="1"/>
      <c r="G290" s="1">
        <v>6372</v>
      </c>
      <c r="H290" s="1"/>
      <c r="I290" s="1"/>
      <c r="J290" s="1"/>
    </row>
    <row r="291" spans="1:10" x14ac:dyDescent="0.25">
      <c r="A291" t="s">
        <v>69</v>
      </c>
      <c r="B291" t="s">
        <v>877</v>
      </c>
      <c r="C291" t="s">
        <v>346</v>
      </c>
      <c r="D291" s="1">
        <v>6361</v>
      </c>
      <c r="E291" s="1">
        <v>9</v>
      </c>
      <c r="F291" s="1">
        <v>0</v>
      </c>
      <c r="G291" s="1">
        <v>53955</v>
      </c>
      <c r="H291" s="1">
        <v>1057</v>
      </c>
      <c r="I291" s="1">
        <v>0</v>
      </c>
      <c r="J291" s="1">
        <v>0</v>
      </c>
    </row>
    <row r="292" spans="1:10" x14ac:dyDescent="0.25">
      <c r="A292" t="s">
        <v>83</v>
      </c>
      <c r="B292" t="s">
        <v>877</v>
      </c>
      <c r="C292" t="s">
        <v>347</v>
      </c>
      <c r="D292" s="1">
        <v>29</v>
      </c>
      <c r="E292" s="1">
        <v>0</v>
      </c>
      <c r="F292" s="1">
        <v>0</v>
      </c>
      <c r="G292" s="1">
        <v>16</v>
      </c>
      <c r="H292" s="1">
        <v>0</v>
      </c>
      <c r="I292" s="1">
        <v>0</v>
      </c>
      <c r="J292" s="1">
        <v>0</v>
      </c>
    </row>
    <row r="293" spans="1:10" x14ac:dyDescent="0.25">
      <c r="A293" t="s">
        <v>101</v>
      </c>
      <c r="B293" t="s">
        <v>877</v>
      </c>
      <c r="C293" t="s">
        <v>348</v>
      </c>
      <c r="D293" s="1">
        <v>4367</v>
      </c>
      <c r="E293" s="1">
        <v>42</v>
      </c>
      <c r="F293" s="1">
        <v>0</v>
      </c>
      <c r="G293" s="1">
        <v>18836</v>
      </c>
      <c r="H293" s="1">
        <v>13</v>
      </c>
      <c r="I293" s="1">
        <v>0</v>
      </c>
      <c r="J293" s="1">
        <v>0</v>
      </c>
    </row>
    <row r="294" spans="1:10" x14ac:dyDescent="0.25">
      <c r="A294" t="s">
        <v>797</v>
      </c>
      <c r="B294" t="s">
        <v>877</v>
      </c>
      <c r="C294" t="s">
        <v>349</v>
      </c>
      <c r="D294" s="1">
        <v>597</v>
      </c>
      <c r="E294" s="1">
        <v>0</v>
      </c>
      <c r="F294" s="1">
        <v>0</v>
      </c>
      <c r="G294" s="1">
        <v>8272</v>
      </c>
      <c r="H294" s="1">
        <v>16</v>
      </c>
      <c r="I294" s="1">
        <v>0</v>
      </c>
      <c r="J294" s="1">
        <v>0</v>
      </c>
    </row>
    <row r="295" spans="1:10" x14ac:dyDescent="0.25">
      <c r="A295" t="s">
        <v>811</v>
      </c>
      <c r="B295" t="s">
        <v>877</v>
      </c>
      <c r="C295" t="s">
        <v>350</v>
      </c>
      <c r="D295" s="1">
        <v>6191</v>
      </c>
      <c r="E295" s="1">
        <v>133</v>
      </c>
      <c r="F295" s="1">
        <v>0</v>
      </c>
      <c r="G295" s="1">
        <v>29693</v>
      </c>
      <c r="H295" s="1">
        <v>111</v>
      </c>
      <c r="I295" s="1">
        <v>0</v>
      </c>
      <c r="J295" s="1">
        <v>0</v>
      </c>
    </row>
    <row r="296" spans="1:10" x14ac:dyDescent="0.25">
      <c r="A296" t="s">
        <v>837</v>
      </c>
      <c r="B296" t="s">
        <v>877</v>
      </c>
      <c r="C296" t="s">
        <v>351</v>
      </c>
      <c r="D296" s="1">
        <v>2430</v>
      </c>
      <c r="E296" s="1">
        <v>32</v>
      </c>
      <c r="F296" s="1">
        <v>0</v>
      </c>
      <c r="G296" s="1">
        <v>9467</v>
      </c>
      <c r="H296" s="1">
        <v>75</v>
      </c>
      <c r="I296" s="1">
        <v>0</v>
      </c>
      <c r="J296" s="1">
        <v>0</v>
      </c>
    </row>
    <row r="297" spans="1:10" x14ac:dyDescent="0.25">
      <c r="A297" t="s">
        <v>824</v>
      </c>
      <c r="B297" t="s">
        <v>877</v>
      </c>
      <c r="C297" t="s">
        <v>352</v>
      </c>
      <c r="D297" s="1">
        <v>2254</v>
      </c>
      <c r="E297" s="1">
        <v>0</v>
      </c>
      <c r="F297" s="1">
        <v>0</v>
      </c>
      <c r="G297" s="1">
        <v>10874</v>
      </c>
      <c r="H297" s="1">
        <v>7</v>
      </c>
      <c r="I297" s="1">
        <v>0</v>
      </c>
      <c r="J297" s="1">
        <v>0</v>
      </c>
    </row>
    <row r="298" spans="1:10" x14ac:dyDescent="0.25">
      <c r="A298" t="s">
        <v>829</v>
      </c>
      <c r="B298" t="s">
        <v>877</v>
      </c>
      <c r="C298" t="s">
        <v>353</v>
      </c>
      <c r="D298" s="1">
        <v>11351</v>
      </c>
      <c r="E298" s="1">
        <v>3</v>
      </c>
      <c r="F298" s="1">
        <v>0</v>
      </c>
      <c r="G298" s="1">
        <v>10556</v>
      </c>
      <c r="H298" s="1">
        <v>91</v>
      </c>
      <c r="I298" s="1">
        <v>0</v>
      </c>
      <c r="J298" s="1">
        <v>0</v>
      </c>
    </row>
    <row r="299" spans="1:10" x14ac:dyDescent="0.25">
      <c r="A299" t="s">
        <v>832</v>
      </c>
      <c r="B299" t="s">
        <v>877</v>
      </c>
      <c r="C299" t="s">
        <v>354</v>
      </c>
      <c r="D299" s="1">
        <v>1863</v>
      </c>
      <c r="E299" s="1">
        <v>0</v>
      </c>
      <c r="F299" s="1">
        <v>0</v>
      </c>
      <c r="G299" s="1">
        <v>4274</v>
      </c>
      <c r="H299" s="1">
        <v>9</v>
      </c>
      <c r="I299" s="1">
        <v>0</v>
      </c>
      <c r="J299" s="1">
        <v>0</v>
      </c>
    </row>
    <row r="300" spans="1:10" x14ac:dyDescent="0.25">
      <c r="A300" t="s">
        <v>833</v>
      </c>
      <c r="B300" t="s">
        <v>877</v>
      </c>
      <c r="C300" t="s">
        <v>355</v>
      </c>
      <c r="D300" s="1">
        <v>3284</v>
      </c>
      <c r="E300" s="1">
        <v>0</v>
      </c>
      <c r="F300" s="1">
        <v>0</v>
      </c>
      <c r="G300" s="1">
        <v>5257</v>
      </c>
      <c r="H300" s="1">
        <v>0</v>
      </c>
      <c r="I300" s="1">
        <v>0</v>
      </c>
      <c r="J300" s="1">
        <v>0</v>
      </c>
    </row>
    <row r="301" spans="1:10" x14ac:dyDescent="0.25">
      <c r="A301" t="s">
        <v>840</v>
      </c>
      <c r="B301" t="s">
        <v>877</v>
      </c>
      <c r="C301" t="s">
        <v>356</v>
      </c>
      <c r="D301" s="1">
        <v>2124</v>
      </c>
      <c r="E301" s="1">
        <v>29</v>
      </c>
      <c r="F301" s="1">
        <v>0</v>
      </c>
      <c r="G301" s="1">
        <v>12020</v>
      </c>
      <c r="H301" s="1">
        <v>122</v>
      </c>
      <c r="I301" s="1">
        <v>0</v>
      </c>
      <c r="J301" s="1">
        <v>0</v>
      </c>
    </row>
    <row r="302" spans="1:10" x14ac:dyDescent="0.25">
      <c r="A302" t="s">
        <v>843</v>
      </c>
      <c r="B302" t="s">
        <v>877</v>
      </c>
      <c r="C302" t="s">
        <v>357</v>
      </c>
      <c r="D302" s="1">
        <v>1245</v>
      </c>
      <c r="E302" s="1">
        <v>26</v>
      </c>
      <c r="F302" s="1">
        <v>0</v>
      </c>
      <c r="G302" s="1">
        <v>15675</v>
      </c>
      <c r="H302" s="1">
        <v>37</v>
      </c>
      <c r="I302" s="1">
        <v>0</v>
      </c>
      <c r="J302" s="1">
        <v>0</v>
      </c>
    </row>
    <row r="303" spans="1:10" x14ac:dyDescent="0.25">
      <c r="A303" t="s">
        <v>791</v>
      </c>
      <c r="B303" t="s">
        <v>877</v>
      </c>
      <c r="C303" t="s">
        <v>358</v>
      </c>
      <c r="D303" s="1">
        <v>12045</v>
      </c>
      <c r="E303" s="1">
        <v>5</v>
      </c>
      <c r="F303" s="1">
        <v>0</v>
      </c>
      <c r="G303" s="1">
        <v>29544</v>
      </c>
      <c r="H303" s="1">
        <v>88</v>
      </c>
      <c r="I303" s="1">
        <v>0</v>
      </c>
      <c r="J303" s="1">
        <v>0</v>
      </c>
    </row>
    <row r="304" spans="1:10" x14ac:dyDescent="0.25">
      <c r="A304" t="s">
        <v>842</v>
      </c>
      <c r="B304" t="s">
        <v>877</v>
      </c>
      <c r="C304" t="s">
        <v>359</v>
      </c>
      <c r="D304" s="1">
        <v>3500</v>
      </c>
      <c r="E304" s="1">
        <v>0</v>
      </c>
      <c r="F304" s="1">
        <v>0</v>
      </c>
      <c r="G304" s="1">
        <v>15203</v>
      </c>
      <c r="H304" s="1">
        <v>1</v>
      </c>
      <c r="I304" s="1">
        <v>0</v>
      </c>
      <c r="J304" s="1">
        <v>0</v>
      </c>
    </row>
    <row r="305" spans="1:10" x14ac:dyDescent="0.25">
      <c r="A305" t="s">
        <v>835</v>
      </c>
      <c r="B305" t="s">
        <v>877</v>
      </c>
      <c r="C305" t="s">
        <v>360</v>
      </c>
      <c r="D305" s="1">
        <v>1322</v>
      </c>
      <c r="E305" s="1">
        <v>60</v>
      </c>
      <c r="F305" s="1">
        <v>0</v>
      </c>
      <c r="G305" s="1">
        <v>8882</v>
      </c>
      <c r="H305" s="1">
        <v>23</v>
      </c>
      <c r="I305" s="1">
        <v>0</v>
      </c>
      <c r="J305" s="1">
        <v>0</v>
      </c>
    </row>
    <row r="306" spans="1:10" x14ac:dyDescent="0.25">
      <c r="A306" t="s">
        <v>826</v>
      </c>
      <c r="B306" t="s">
        <v>877</v>
      </c>
      <c r="C306" t="s">
        <v>361</v>
      </c>
      <c r="D306" s="1">
        <v>9951</v>
      </c>
      <c r="E306" s="1">
        <v>58</v>
      </c>
      <c r="F306" s="1">
        <v>0</v>
      </c>
      <c r="G306" s="1">
        <v>34066</v>
      </c>
      <c r="H306" s="1">
        <v>391</v>
      </c>
      <c r="I306" s="1">
        <v>0</v>
      </c>
      <c r="J306" s="1">
        <v>0</v>
      </c>
    </row>
    <row r="307" spans="1:10" x14ac:dyDescent="0.25">
      <c r="A307" t="s">
        <v>67</v>
      </c>
      <c r="B307" t="s">
        <v>877</v>
      </c>
      <c r="C307" t="s">
        <v>362</v>
      </c>
      <c r="D307" s="1">
        <v>11042</v>
      </c>
      <c r="E307" s="1">
        <v>0</v>
      </c>
      <c r="F307" s="1">
        <v>0</v>
      </c>
      <c r="G307" s="1">
        <v>42972</v>
      </c>
      <c r="H307" s="1">
        <v>19</v>
      </c>
      <c r="I307" s="1">
        <v>0</v>
      </c>
      <c r="J307" s="1">
        <v>0</v>
      </c>
    </row>
    <row r="308" spans="1:10" x14ac:dyDescent="0.25">
      <c r="A308" t="s">
        <v>831</v>
      </c>
      <c r="B308" t="s">
        <v>877</v>
      </c>
      <c r="C308" t="s">
        <v>363</v>
      </c>
      <c r="D308" s="1">
        <v>348</v>
      </c>
      <c r="E308" s="1">
        <v>0</v>
      </c>
      <c r="F308" s="1">
        <v>0</v>
      </c>
      <c r="G308" s="1">
        <v>3837</v>
      </c>
      <c r="H308" s="1">
        <v>2</v>
      </c>
      <c r="I308" s="1">
        <v>0</v>
      </c>
      <c r="J308" s="1">
        <v>0</v>
      </c>
    </row>
    <row r="309" spans="1:10" x14ac:dyDescent="0.25">
      <c r="A309" t="s">
        <v>248</v>
      </c>
      <c r="B309" t="s">
        <v>877</v>
      </c>
      <c r="C309" t="s">
        <v>364</v>
      </c>
      <c r="D309" s="1">
        <v>1152</v>
      </c>
      <c r="E309" s="1">
        <v>0</v>
      </c>
      <c r="F309" s="1">
        <v>0</v>
      </c>
      <c r="G309" s="1">
        <v>9293</v>
      </c>
      <c r="H309" s="1">
        <v>0</v>
      </c>
      <c r="I309" s="1">
        <v>0</v>
      </c>
      <c r="J309" s="1">
        <v>0</v>
      </c>
    </row>
    <row r="310" spans="1:10" x14ac:dyDescent="0.25">
      <c r="A310" t="s">
        <v>791</v>
      </c>
      <c r="B310" t="s">
        <v>877</v>
      </c>
      <c r="C310" t="s">
        <v>365</v>
      </c>
      <c r="D310" s="1">
        <v>5726</v>
      </c>
      <c r="E310" s="1">
        <v>216</v>
      </c>
      <c r="F310" s="1">
        <v>0</v>
      </c>
      <c r="G310" s="1">
        <v>14045</v>
      </c>
      <c r="H310" s="1">
        <v>763</v>
      </c>
      <c r="I310" s="1">
        <v>0</v>
      </c>
      <c r="J310" s="1">
        <v>0</v>
      </c>
    </row>
    <row r="311" spans="1:10" x14ac:dyDescent="0.25">
      <c r="A311" t="s">
        <v>797</v>
      </c>
      <c r="B311" t="s">
        <v>877</v>
      </c>
      <c r="C311" t="s">
        <v>366</v>
      </c>
      <c r="D311" s="1">
        <v>3401</v>
      </c>
      <c r="E311" s="1">
        <v>12</v>
      </c>
      <c r="F311" s="1">
        <v>0</v>
      </c>
      <c r="G311" s="1">
        <v>6628</v>
      </c>
      <c r="H311" s="1">
        <v>58</v>
      </c>
      <c r="I311" s="1">
        <v>0</v>
      </c>
      <c r="J311" s="1">
        <v>0</v>
      </c>
    </row>
    <row r="312" spans="1:10" x14ac:dyDescent="0.25">
      <c r="A312" t="s">
        <v>120</v>
      </c>
      <c r="B312" t="s">
        <v>877</v>
      </c>
      <c r="C312" t="s">
        <v>367</v>
      </c>
      <c r="D312" s="1">
        <v>4839</v>
      </c>
      <c r="E312" s="1">
        <v>24</v>
      </c>
      <c r="F312" s="1">
        <v>0</v>
      </c>
      <c r="G312" s="1">
        <v>21750</v>
      </c>
      <c r="H312" s="1">
        <v>291</v>
      </c>
      <c r="I312" s="1">
        <v>0</v>
      </c>
      <c r="J312" s="1">
        <v>0</v>
      </c>
    </row>
    <row r="313" spans="1:10" x14ac:dyDescent="0.25">
      <c r="A313" t="s">
        <v>231</v>
      </c>
      <c r="B313" t="s">
        <v>877</v>
      </c>
      <c r="C313" t="s">
        <v>368</v>
      </c>
      <c r="D313" s="1">
        <v>4293</v>
      </c>
      <c r="E313" s="1">
        <v>35</v>
      </c>
      <c r="F313" s="1">
        <v>0</v>
      </c>
      <c r="G313" s="1">
        <v>23760</v>
      </c>
      <c r="H313" s="1">
        <v>39</v>
      </c>
      <c r="I313" s="1">
        <v>0</v>
      </c>
      <c r="J313" s="1">
        <v>0</v>
      </c>
    </row>
    <row r="314" spans="1:10" x14ac:dyDescent="0.25">
      <c r="A314" t="s">
        <v>809</v>
      </c>
      <c r="B314" t="s">
        <v>877</v>
      </c>
      <c r="C314" t="s">
        <v>369</v>
      </c>
      <c r="D314" s="1">
        <v>8685</v>
      </c>
      <c r="E314" s="1">
        <v>279</v>
      </c>
      <c r="F314" s="1">
        <v>0</v>
      </c>
      <c r="G314" s="1">
        <v>51653</v>
      </c>
      <c r="H314" s="1">
        <v>815</v>
      </c>
      <c r="I314" s="1">
        <v>0</v>
      </c>
      <c r="J314" s="1">
        <v>0</v>
      </c>
    </row>
    <row r="315" spans="1:10" x14ac:dyDescent="0.25">
      <c r="A315" t="s">
        <v>848</v>
      </c>
      <c r="B315" t="s">
        <v>877</v>
      </c>
      <c r="C315" t="s">
        <v>370</v>
      </c>
      <c r="D315" s="1">
        <v>2298</v>
      </c>
      <c r="E315" s="1">
        <v>47</v>
      </c>
      <c r="F315" s="1">
        <v>0</v>
      </c>
      <c r="G315" s="1">
        <v>11263</v>
      </c>
      <c r="H315" s="1">
        <v>29</v>
      </c>
      <c r="I315" s="1">
        <v>0</v>
      </c>
      <c r="J315" s="1">
        <v>0</v>
      </c>
    </row>
    <row r="316" spans="1:10" x14ac:dyDescent="0.25">
      <c r="A316" t="s">
        <v>226</v>
      </c>
      <c r="B316" t="s">
        <v>877</v>
      </c>
      <c r="C316" t="s">
        <v>371</v>
      </c>
      <c r="D316" s="1">
        <v>3576</v>
      </c>
      <c r="E316" s="1">
        <v>222</v>
      </c>
      <c r="F316" s="1">
        <v>0</v>
      </c>
      <c r="G316" s="1">
        <v>29883</v>
      </c>
      <c r="H316" s="1">
        <v>188</v>
      </c>
      <c r="I316" s="1">
        <v>0</v>
      </c>
      <c r="J316" s="1">
        <v>0</v>
      </c>
    </row>
    <row r="317" spans="1:10" x14ac:dyDescent="0.25">
      <c r="A317" t="s">
        <v>797</v>
      </c>
      <c r="B317" t="s">
        <v>877</v>
      </c>
      <c r="C317" t="s">
        <v>372</v>
      </c>
      <c r="D317" s="1">
        <v>1128</v>
      </c>
      <c r="E317" s="1">
        <v>10</v>
      </c>
      <c r="F317" s="1">
        <v>0</v>
      </c>
      <c r="G317" s="1">
        <v>7098</v>
      </c>
      <c r="H317" s="1">
        <v>158</v>
      </c>
      <c r="I317" s="1">
        <v>0</v>
      </c>
      <c r="J317" s="1">
        <v>0</v>
      </c>
    </row>
    <row r="318" spans="1:10" x14ac:dyDescent="0.25">
      <c r="A318" t="s">
        <v>791</v>
      </c>
      <c r="B318" t="s">
        <v>877</v>
      </c>
      <c r="C318" t="s">
        <v>373</v>
      </c>
      <c r="D318" s="1">
        <v>2888</v>
      </c>
      <c r="E318" s="1">
        <v>1</v>
      </c>
      <c r="F318" s="1">
        <v>0</v>
      </c>
      <c r="G318" s="1">
        <v>14422</v>
      </c>
      <c r="H318" s="1">
        <v>40</v>
      </c>
      <c r="I318" s="1">
        <v>0</v>
      </c>
      <c r="J318" s="1">
        <v>0</v>
      </c>
    </row>
    <row r="319" spans="1:10" x14ac:dyDescent="0.25">
      <c r="A319" t="s">
        <v>826</v>
      </c>
      <c r="B319" t="s">
        <v>877</v>
      </c>
      <c r="C319" t="s">
        <v>374</v>
      </c>
      <c r="D319" s="1">
        <v>5537</v>
      </c>
      <c r="E319" s="1">
        <v>8</v>
      </c>
      <c r="F319" s="1">
        <v>0</v>
      </c>
      <c r="G319" s="1">
        <v>14535</v>
      </c>
      <c r="H319" s="1">
        <v>68</v>
      </c>
      <c r="I319" s="1">
        <v>0</v>
      </c>
      <c r="J319" s="1">
        <v>0</v>
      </c>
    </row>
    <row r="320" spans="1:10" x14ac:dyDescent="0.25">
      <c r="A320" t="s">
        <v>512</v>
      </c>
      <c r="B320" t="s">
        <v>877</v>
      </c>
      <c r="C320" t="s">
        <v>375</v>
      </c>
      <c r="D320" s="1">
        <v>3487</v>
      </c>
      <c r="E320" s="1">
        <v>0</v>
      </c>
      <c r="F320" s="1">
        <v>0</v>
      </c>
      <c r="G320" s="1">
        <v>20530</v>
      </c>
      <c r="H320" s="1">
        <v>74</v>
      </c>
      <c r="I320" s="1">
        <v>0</v>
      </c>
      <c r="J320" s="1">
        <v>0</v>
      </c>
    </row>
    <row r="321" spans="1:10" x14ac:dyDescent="0.25">
      <c r="A321" t="s">
        <v>817</v>
      </c>
      <c r="B321" t="s">
        <v>877</v>
      </c>
      <c r="C321" t="s">
        <v>376</v>
      </c>
      <c r="D321" s="1">
        <v>4960</v>
      </c>
      <c r="E321" s="1">
        <v>18</v>
      </c>
      <c r="F321" s="1">
        <v>0</v>
      </c>
      <c r="G321" s="1">
        <v>4924</v>
      </c>
      <c r="H321" s="1">
        <v>71</v>
      </c>
      <c r="I321" s="1">
        <v>0</v>
      </c>
      <c r="J321" s="1">
        <v>0</v>
      </c>
    </row>
    <row r="322" spans="1:10" x14ac:dyDescent="0.25">
      <c r="A322" t="s">
        <v>83</v>
      </c>
      <c r="B322" t="s">
        <v>877</v>
      </c>
      <c r="C322" t="s">
        <v>377</v>
      </c>
      <c r="D322" s="1">
        <v>4545</v>
      </c>
      <c r="E322" s="1">
        <v>304</v>
      </c>
      <c r="F322" s="1">
        <v>0</v>
      </c>
      <c r="G322" s="1">
        <v>22527</v>
      </c>
      <c r="H322" s="1">
        <v>194</v>
      </c>
      <c r="I322" s="1">
        <v>0</v>
      </c>
      <c r="J322" s="1">
        <v>0</v>
      </c>
    </row>
    <row r="323" spans="1:10" x14ac:dyDescent="0.25">
      <c r="A323" t="s">
        <v>795</v>
      </c>
      <c r="B323" t="s">
        <v>877</v>
      </c>
      <c r="C323" t="s">
        <v>378</v>
      </c>
      <c r="D323" s="1">
        <v>16851</v>
      </c>
      <c r="E323" s="1">
        <v>84</v>
      </c>
      <c r="F323" s="1">
        <v>0</v>
      </c>
      <c r="G323" s="1">
        <v>16540</v>
      </c>
      <c r="H323" s="1">
        <v>50</v>
      </c>
      <c r="I323" s="1">
        <v>0</v>
      </c>
      <c r="J323" s="1">
        <v>0</v>
      </c>
    </row>
    <row r="324" spans="1:10" x14ac:dyDescent="0.25">
      <c r="A324" t="s">
        <v>858</v>
      </c>
      <c r="B324" t="s">
        <v>877</v>
      </c>
      <c r="C324" t="s">
        <v>379</v>
      </c>
      <c r="D324" s="1">
        <v>2608</v>
      </c>
      <c r="E324" s="1">
        <v>1</v>
      </c>
      <c r="F324" s="1">
        <v>0</v>
      </c>
      <c r="G324" s="1">
        <v>4827</v>
      </c>
      <c r="H324" s="1">
        <v>5</v>
      </c>
      <c r="I324" s="1">
        <v>0</v>
      </c>
      <c r="J324" s="1">
        <v>0</v>
      </c>
    </row>
    <row r="325" spans="1:10" x14ac:dyDescent="0.25">
      <c r="A325" t="s">
        <v>848</v>
      </c>
      <c r="B325" t="s">
        <v>877</v>
      </c>
      <c r="C325" t="s">
        <v>380</v>
      </c>
      <c r="D325" s="1">
        <v>2463</v>
      </c>
      <c r="E325" s="1">
        <v>1</v>
      </c>
      <c r="F325" s="1">
        <v>0</v>
      </c>
      <c r="G325" s="1">
        <v>17635</v>
      </c>
      <c r="H325" s="1">
        <v>53</v>
      </c>
      <c r="I325" s="1">
        <v>0</v>
      </c>
      <c r="J325" s="1">
        <v>0</v>
      </c>
    </row>
    <row r="326" spans="1:10" x14ac:dyDescent="0.25">
      <c r="A326" t="s">
        <v>863</v>
      </c>
      <c r="B326" t="s">
        <v>877</v>
      </c>
      <c r="C326" t="s">
        <v>381</v>
      </c>
      <c r="D326" s="1">
        <v>5292</v>
      </c>
      <c r="E326" s="1">
        <v>0</v>
      </c>
      <c r="F326" s="1">
        <v>0</v>
      </c>
      <c r="G326" s="1">
        <v>13202</v>
      </c>
      <c r="H326" s="1">
        <v>0</v>
      </c>
      <c r="I326" s="1">
        <v>0</v>
      </c>
      <c r="J326" s="1">
        <v>0</v>
      </c>
    </row>
    <row r="327" spans="1:10" x14ac:dyDescent="0.25">
      <c r="A327" t="s">
        <v>854</v>
      </c>
      <c r="B327" t="s">
        <v>877</v>
      </c>
      <c r="C327" t="s">
        <v>382</v>
      </c>
      <c r="D327" s="1">
        <v>11771</v>
      </c>
      <c r="E327" s="1">
        <v>185</v>
      </c>
      <c r="F327" s="1">
        <v>0</v>
      </c>
      <c r="G327" s="1">
        <v>8660</v>
      </c>
      <c r="H327" s="1">
        <v>36</v>
      </c>
      <c r="I327" s="1">
        <v>0</v>
      </c>
      <c r="J327" s="1">
        <v>0</v>
      </c>
    </row>
    <row r="328" spans="1:10" x14ac:dyDescent="0.25">
      <c r="A328" t="s">
        <v>853</v>
      </c>
      <c r="B328" t="s">
        <v>877</v>
      </c>
      <c r="C328" t="s">
        <v>383</v>
      </c>
      <c r="D328" s="1">
        <v>5690</v>
      </c>
      <c r="E328" s="1">
        <v>122</v>
      </c>
      <c r="F328" s="1">
        <v>0</v>
      </c>
      <c r="G328" s="1">
        <v>30166</v>
      </c>
      <c r="H328" s="1">
        <v>699</v>
      </c>
      <c r="I328" s="1">
        <v>0</v>
      </c>
      <c r="J328" s="1">
        <v>0</v>
      </c>
    </row>
    <row r="329" spans="1:10" x14ac:dyDescent="0.25">
      <c r="A329" t="s">
        <v>851</v>
      </c>
      <c r="B329" t="s">
        <v>877</v>
      </c>
      <c r="C329" t="s">
        <v>384</v>
      </c>
      <c r="D329" s="1">
        <v>15010</v>
      </c>
      <c r="E329" s="1">
        <v>9</v>
      </c>
      <c r="F329" s="1">
        <v>0</v>
      </c>
      <c r="G329" s="1">
        <v>222</v>
      </c>
      <c r="H329" s="1">
        <v>0</v>
      </c>
      <c r="I329" s="1">
        <v>0</v>
      </c>
      <c r="J329" s="1">
        <v>0</v>
      </c>
    </row>
    <row r="330" spans="1:10" x14ac:dyDescent="0.25">
      <c r="A330" t="s">
        <v>856</v>
      </c>
      <c r="B330" t="s">
        <v>877</v>
      </c>
      <c r="C330" t="s">
        <v>385</v>
      </c>
      <c r="D330" s="1">
        <v>4131</v>
      </c>
      <c r="E330" s="1">
        <v>12</v>
      </c>
      <c r="F330" s="1">
        <v>0</v>
      </c>
      <c r="G330" s="1">
        <v>11801</v>
      </c>
      <c r="H330" s="1">
        <v>50</v>
      </c>
      <c r="I330" s="1">
        <v>0</v>
      </c>
      <c r="J330" s="1">
        <v>0</v>
      </c>
    </row>
    <row r="331" spans="1:10" x14ac:dyDescent="0.25">
      <c r="A331" t="s">
        <v>847</v>
      </c>
      <c r="B331" t="s">
        <v>877</v>
      </c>
      <c r="C331" t="s">
        <v>386</v>
      </c>
      <c r="D331" s="1">
        <v>6029</v>
      </c>
      <c r="E331" s="1">
        <v>0</v>
      </c>
      <c r="F331" s="1">
        <v>0</v>
      </c>
      <c r="G331" s="1">
        <v>7055</v>
      </c>
      <c r="H331" s="1">
        <v>0</v>
      </c>
      <c r="I331" s="1">
        <v>0</v>
      </c>
      <c r="J331" s="1">
        <v>0</v>
      </c>
    </row>
    <row r="332" spans="1:10" x14ac:dyDescent="0.25">
      <c r="A332" t="s">
        <v>849</v>
      </c>
      <c r="B332" t="s">
        <v>877</v>
      </c>
      <c r="C332" t="s">
        <v>387</v>
      </c>
      <c r="D332" s="1">
        <v>4202</v>
      </c>
      <c r="E332" s="1">
        <v>2</v>
      </c>
      <c r="F332" s="1">
        <v>0</v>
      </c>
      <c r="G332" s="1">
        <v>9473</v>
      </c>
      <c r="H332" s="1">
        <v>31</v>
      </c>
      <c r="I332" s="1">
        <v>0</v>
      </c>
      <c r="J332" s="1">
        <v>0</v>
      </c>
    </row>
    <row r="333" spans="1:10" x14ac:dyDescent="0.25">
      <c r="A333" t="s">
        <v>794</v>
      </c>
      <c r="B333" t="s">
        <v>874</v>
      </c>
      <c r="C333" t="s">
        <v>388</v>
      </c>
      <c r="D333" s="1">
        <v>226742</v>
      </c>
      <c r="E333" s="1">
        <v>106</v>
      </c>
      <c r="F333" s="1">
        <v>0</v>
      </c>
      <c r="G333" s="1">
        <v>0</v>
      </c>
      <c r="H333" s="1">
        <v>0</v>
      </c>
      <c r="I333" s="1">
        <v>137713</v>
      </c>
      <c r="J333" s="1">
        <v>29516</v>
      </c>
    </row>
    <row r="334" spans="1:10" x14ac:dyDescent="0.25">
      <c r="A334" t="s">
        <v>231</v>
      </c>
      <c r="B334" t="s">
        <v>874</v>
      </c>
      <c r="C334" t="s">
        <v>389</v>
      </c>
      <c r="D334" s="1">
        <f>9073+21170</f>
        <v>30243</v>
      </c>
      <c r="E334" s="1">
        <f>255+592</f>
        <v>847</v>
      </c>
      <c r="F334" s="1">
        <v>0</v>
      </c>
      <c r="G334" s="1">
        <v>0</v>
      </c>
      <c r="H334" s="1">
        <v>0</v>
      </c>
      <c r="I334" s="1">
        <v>10200</v>
      </c>
      <c r="J334" s="1">
        <v>7140</v>
      </c>
    </row>
    <row r="335" spans="1:10" x14ac:dyDescent="0.25">
      <c r="A335" t="s">
        <v>10</v>
      </c>
      <c r="B335" t="s">
        <v>874</v>
      </c>
      <c r="C335" t="s">
        <v>390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</row>
    <row r="336" spans="1:10" x14ac:dyDescent="0.25">
      <c r="A336" t="s">
        <v>226</v>
      </c>
      <c r="B336" t="s">
        <v>874</v>
      </c>
      <c r="C336" t="s">
        <v>391</v>
      </c>
      <c r="D336" s="1">
        <v>138459</v>
      </c>
      <c r="E336" s="1">
        <v>1016</v>
      </c>
      <c r="F336" s="1">
        <v>0</v>
      </c>
      <c r="G336" s="1">
        <v>0</v>
      </c>
      <c r="H336" s="1">
        <v>0</v>
      </c>
      <c r="I336" s="1">
        <v>34681</v>
      </c>
      <c r="J336" s="1">
        <v>22887</v>
      </c>
    </row>
    <row r="337" spans="1:10" x14ac:dyDescent="0.25">
      <c r="A337" t="s">
        <v>798</v>
      </c>
      <c r="B337" t="s">
        <v>874</v>
      </c>
      <c r="C337" t="s">
        <v>392</v>
      </c>
      <c r="D337" s="1">
        <v>160687</v>
      </c>
      <c r="E337" s="1">
        <v>1293</v>
      </c>
      <c r="F337" s="1">
        <v>0</v>
      </c>
      <c r="G337" s="1">
        <v>0</v>
      </c>
      <c r="H337" s="1">
        <v>0</v>
      </c>
      <c r="I337" s="1">
        <v>67070</v>
      </c>
      <c r="J337" s="1">
        <v>61377</v>
      </c>
    </row>
    <row r="338" spans="1:10" x14ac:dyDescent="0.25">
      <c r="A338" t="s">
        <v>10</v>
      </c>
      <c r="B338" t="s">
        <v>874</v>
      </c>
      <c r="C338" t="s">
        <v>393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</row>
    <row r="339" spans="1:10" x14ac:dyDescent="0.25">
      <c r="A339" t="s">
        <v>10</v>
      </c>
      <c r="B339" t="s">
        <v>874</v>
      </c>
      <c r="C339" t="s">
        <v>394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</row>
    <row r="340" spans="1:10" x14ac:dyDescent="0.25">
      <c r="A340" s="27" t="s">
        <v>10</v>
      </c>
      <c r="B340" s="27" t="s">
        <v>874</v>
      </c>
      <c r="C340" s="27" t="s">
        <v>778</v>
      </c>
      <c r="D340" s="32"/>
      <c r="E340" s="32"/>
      <c r="F340" s="32"/>
      <c r="G340" s="32"/>
      <c r="H340" s="32"/>
      <c r="I340" s="32"/>
      <c r="J340" s="32"/>
    </row>
    <row r="341" spans="1:10" x14ac:dyDescent="0.25">
      <c r="A341" t="s">
        <v>69</v>
      </c>
      <c r="B341" t="s">
        <v>874</v>
      </c>
      <c r="C341" t="s">
        <v>395</v>
      </c>
      <c r="D341" s="1">
        <v>213678</v>
      </c>
      <c r="E341" s="1">
        <v>730</v>
      </c>
      <c r="F341" s="1">
        <v>0</v>
      </c>
      <c r="G341" s="1">
        <v>0</v>
      </c>
      <c r="H341" s="1">
        <v>0</v>
      </c>
      <c r="I341" s="1">
        <v>97005</v>
      </c>
      <c r="J341" s="1">
        <v>33647</v>
      </c>
    </row>
    <row r="342" spans="1:10" x14ac:dyDescent="0.25">
      <c r="A342" t="s">
        <v>796</v>
      </c>
      <c r="B342" t="s">
        <v>874</v>
      </c>
      <c r="C342" t="s">
        <v>396</v>
      </c>
      <c r="D342" s="1"/>
      <c r="E342" s="1"/>
      <c r="F342" s="1"/>
      <c r="G342" s="1"/>
      <c r="H342" s="1"/>
      <c r="I342" s="1"/>
      <c r="J342" s="1"/>
    </row>
    <row r="343" spans="1:10" x14ac:dyDescent="0.25">
      <c r="A343" t="s">
        <v>512</v>
      </c>
      <c r="B343" t="s">
        <v>874</v>
      </c>
      <c r="C343" t="s">
        <v>397</v>
      </c>
      <c r="D343" s="1">
        <v>110729</v>
      </c>
      <c r="E343" s="1">
        <v>557</v>
      </c>
      <c r="F343" s="1">
        <v>0</v>
      </c>
      <c r="G343" s="1">
        <v>0</v>
      </c>
      <c r="H343" s="1">
        <v>0</v>
      </c>
      <c r="I343" s="1">
        <v>32728</v>
      </c>
      <c r="J343" s="1">
        <v>19219</v>
      </c>
    </row>
    <row r="344" spans="1:10" x14ac:dyDescent="0.25">
      <c r="A344" t="s">
        <v>811</v>
      </c>
      <c r="B344" t="s">
        <v>874</v>
      </c>
      <c r="C344" t="s">
        <v>398</v>
      </c>
      <c r="D344" s="1">
        <v>19468</v>
      </c>
      <c r="E344" s="1">
        <v>3992</v>
      </c>
      <c r="F344" s="1">
        <v>0</v>
      </c>
      <c r="G344" s="1">
        <v>0</v>
      </c>
      <c r="H344" s="1">
        <v>0</v>
      </c>
      <c r="I344" s="1">
        <v>4232</v>
      </c>
      <c r="J344" s="1">
        <v>9073</v>
      </c>
    </row>
    <row r="345" spans="1:10" x14ac:dyDescent="0.25">
      <c r="A345" t="s">
        <v>10</v>
      </c>
      <c r="B345" t="s">
        <v>874</v>
      </c>
      <c r="C345" t="s">
        <v>399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</row>
    <row r="346" spans="1:10" x14ac:dyDescent="0.25">
      <c r="A346" t="s">
        <v>811</v>
      </c>
      <c r="B346" t="s">
        <v>874</v>
      </c>
      <c r="C346" t="s">
        <v>400</v>
      </c>
      <c r="D346" s="1">
        <v>76763</v>
      </c>
      <c r="E346" s="1">
        <v>2645</v>
      </c>
      <c r="F346" s="1">
        <v>0</v>
      </c>
      <c r="G346" s="1">
        <v>0</v>
      </c>
      <c r="H346" s="1">
        <v>0</v>
      </c>
      <c r="I346" s="1">
        <v>21579</v>
      </c>
      <c r="J346" s="1">
        <v>31302</v>
      </c>
    </row>
    <row r="347" spans="1:10" x14ac:dyDescent="0.25">
      <c r="A347" t="s">
        <v>10</v>
      </c>
      <c r="B347" t="s">
        <v>874</v>
      </c>
      <c r="C347" t="s">
        <v>401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</row>
    <row r="348" spans="1:10" x14ac:dyDescent="0.25">
      <c r="A348" t="s">
        <v>795</v>
      </c>
      <c r="B348" t="s">
        <v>874</v>
      </c>
      <c r="C348" t="s">
        <v>402</v>
      </c>
      <c r="D348" s="1">
        <v>27630</v>
      </c>
      <c r="E348" s="1">
        <v>1217</v>
      </c>
      <c r="F348" s="1">
        <v>0</v>
      </c>
      <c r="G348" s="1">
        <v>0</v>
      </c>
      <c r="H348" s="1">
        <v>0</v>
      </c>
      <c r="I348" s="1">
        <v>5506</v>
      </c>
      <c r="J348" s="1">
        <v>9221</v>
      </c>
    </row>
    <row r="349" spans="1:10" x14ac:dyDescent="0.25">
      <c r="A349" t="s">
        <v>10</v>
      </c>
      <c r="B349" t="s">
        <v>874</v>
      </c>
      <c r="C349" t="s">
        <v>403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</row>
    <row r="350" spans="1:10" x14ac:dyDescent="0.25">
      <c r="A350" t="s">
        <v>797</v>
      </c>
      <c r="B350" t="s">
        <v>874</v>
      </c>
      <c r="C350" s="27" t="s">
        <v>404</v>
      </c>
      <c r="D350" s="1">
        <v>69747</v>
      </c>
      <c r="E350" s="1">
        <v>1362</v>
      </c>
      <c r="F350" s="1">
        <v>0</v>
      </c>
      <c r="G350" s="1">
        <v>0</v>
      </c>
      <c r="H350" s="1">
        <v>0</v>
      </c>
      <c r="I350" s="1">
        <v>43181</v>
      </c>
      <c r="J350" s="1">
        <v>18732</v>
      </c>
    </row>
    <row r="351" spans="1:10" x14ac:dyDescent="0.25">
      <c r="A351" t="s">
        <v>83</v>
      </c>
      <c r="B351" t="s">
        <v>874</v>
      </c>
      <c r="C351" t="s">
        <v>405</v>
      </c>
      <c r="D351" s="1">
        <v>11763</v>
      </c>
      <c r="E351" s="1">
        <v>20</v>
      </c>
      <c r="F351" s="1">
        <v>0</v>
      </c>
      <c r="G351" s="1">
        <v>0</v>
      </c>
      <c r="H351" s="1">
        <v>0</v>
      </c>
      <c r="I351" s="1">
        <v>7517</v>
      </c>
      <c r="J351" s="1">
        <v>2952</v>
      </c>
    </row>
    <row r="352" spans="1:10" x14ac:dyDescent="0.25">
      <c r="A352" t="s">
        <v>248</v>
      </c>
      <c r="B352" t="s">
        <v>874</v>
      </c>
      <c r="C352" t="s">
        <v>406</v>
      </c>
      <c r="D352" s="1">
        <v>61327</v>
      </c>
      <c r="E352" s="1">
        <v>957</v>
      </c>
      <c r="F352" s="1">
        <v>0</v>
      </c>
      <c r="G352" s="1">
        <v>0</v>
      </c>
      <c r="H352" s="1">
        <v>0</v>
      </c>
      <c r="I352" s="1">
        <v>107564</v>
      </c>
      <c r="J352" s="1">
        <v>8897</v>
      </c>
    </row>
    <row r="353" spans="1:10" x14ac:dyDescent="0.25">
      <c r="A353" s="27" t="s">
        <v>10</v>
      </c>
      <c r="B353" s="27" t="s">
        <v>874</v>
      </c>
      <c r="C353" s="27" t="s">
        <v>779</v>
      </c>
      <c r="D353" s="32"/>
      <c r="E353" s="32"/>
      <c r="F353" s="32"/>
      <c r="G353" s="32"/>
      <c r="H353" s="32"/>
      <c r="I353" s="32"/>
      <c r="J353" s="32"/>
    </row>
    <row r="354" spans="1:10" x14ac:dyDescent="0.25">
      <c r="A354" t="s">
        <v>848</v>
      </c>
      <c r="B354" t="s">
        <v>874</v>
      </c>
      <c r="C354" t="s">
        <v>407</v>
      </c>
      <c r="D354" s="1">
        <v>29050</v>
      </c>
      <c r="E354" s="1">
        <v>175</v>
      </c>
      <c r="F354" s="1">
        <v>0</v>
      </c>
      <c r="G354" s="1">
        <v>0</v>
      </c>
      <c r="H354" s="1">
        <v>0</v>
      </c>
      <c r="I354" s="1">
        <v>5789</v>
      </c>
      <c r="J354" s="1">
        <v>4551</v>
      </c>
    </row>
    <row r="355" spans="1:10" x14ac:dyDescent="0.25">
      <c r="A355" t="s">
        <v>801</v>
      </c>
      <c r="B355" t="s">
        <v>874</v>
      </c>
      <c r="C355" t="s">
        <v>408</v>
      </c>
      <c r="D355" s="1">
        <v>86159</v>
      </c>
      <c r="E355" s="1">
        <v>775</v>
      </c>
      <c r="F355" s="1">
        <v>0</v>
      </c>
      <c r="G355" s="1">
        <v>0</v>
      </c>
      <c r="H355" s="1">
        <v>0</v>
      </c>
      <c r="I355" s="1"/>
      <c r="J355" s="1"/>
    </row>
    <row r="356" spans="1:10" x14ac:dyDescent="0.25">
      <c r="A356" t="s">
        <v>811</v>
      </c>
      <c r="B356" t="s">
        <v>874</v>
      </c>
      <c r="C356" t="s">
        <v>409</v>
      </c>
      <c r="D356" s="1">
        <v>154550</v>
      </c>
      <c r="E356" s="1">
        <v>844</v>
      </c>
      <c r="F356" s="1">
        <v>0</v>
      </c>
      <c r="G356" s="1">
        <v>0</v>
      </c>
      <c r="H356" s="1">
        <v>0</v>
      </c>
      <c r="I356" s="1">
        <v>102543</v>
      </c>
      <c r="J356" s="1">
        <v>64541</v>
      </c>
    </row>
    <row r="357" spans="1:10" x14ac:dyDescent="0.25">
      <c r="A357" t="s">
        <v>83</v>
      </c>
      <c r="B357" t="s">
        <v>874</v>
      </c>
      <c r="C357" t="s">
        <v>410</v>
      </c>
      <c r="D357" s="1">
        <v>7740</v>
      </c>
      <c r="E357" s="1">
        <v>36</v>
      </c>
      <c r="F357" s="1">
        <v>0</v>
      </c>
      <c r="G357" s="1">
        <v>0</v>
      </c>
      <c r="H357" s="1">
        <v>0</v>
      </c>
      <c r="I357" s="1">
        <v>25278</v>
      </c>
      <c r="J357" s="1">
        <v>1768</v>
      </c>
    </row>
    <row r="358" spans="1:10" x14ac:dyDescent="0.25">
      <c r="A358" t="s">
        <v>120</v>
      </c>
      <c r="B358" t="s">
        <v>874</v>
      </c>
      <c r="C358" t="s">
        <v>411</v>
      </c>
      <c r="D358" s="1">
        <v>74492</v>
      </c>
      <c r="E358" s="1">
        <v>53</v>
      </c>
      <c r="F358" s="1">
        <v>0</v>
      </c>
      <c r="G358" s="1">
        <v>0</v>
      </c>
      <c r="H358" s="1">
        <v>0</v>
      </c>
      <c r="I358" s="1">
        <v>52888</v>
      </c>
      <c r="J358" s="1">
        <v>26310</v>
      </c>
    </row>
    <row r="359" spans="1:10" x14ac:dyDescent="0.25">
      <c r="A359" t="s">
        <v>134</v>
      </c>
      <c r="B359" t="s">
        <v>874</v>
      </c>
      <c r="C359" t="s">
        <v>412</v>
      </c>
      <c r="D359" s="1">
        <v>19172</v>
      </c>
      <c r="E359" s="1">
        <v>86</v>
      </c>
      <c r="F359" s="1">
        <v>0</v>
      </c>
      <c r="G359" s="1">
        <v>0</v>
      </c>
      <c r="H359" s="1">
        <v>0</v>
      </c>
      <c r="I359" s="1">
        <v>15778</v>
      </c>
      <c r="J359" s="1">
        <v>4113</v>
      </c>
    </row>
    <row r="360" spans="1:10" x14ac:dyDescent="0.25">
      <c r="A360" t="s">
        <v>120</v>
      </c>
      <c r="B360" t="s">
        <v>874</v>
      </c>
      <c r="C360" t="s">
        <v>413</v>
      </c>
      <c r="D360" s="1">
        <v>53097</v>
      </c>
      <c r="E360" s="1">
        <v>128</v>
      </c>
      <c r="F360" s="1">
        <v>0</v>
      </c>
      <c r="G360" s="1">
        <v>0</v>
      </c>
      <c r="H360" s="1">
        <v>0</v>
      </c>
      <c r="I360" s="1">
        <v>18893</v>
      </c>
      <c r="J360" s="1">
        <v>7858</v>
      </c>
    </row>
    <row r="361" spans="1:10" x14ac:dyDescent="0.25">
      <c r="A361" t="s">
        <v>138</v>
      </c>
      <c r="B361" t="s">
        <v>874</v>
      </c>
      <c r="C361" t="s">
        <v>414</v>
      </c>
      <c r="D361" s="1">
        <v>72059</v>
      </c>
      <c r="E361" s="1">
        <v>177</v>
      </c>
      <c r="F361" s="1">
        <v>0</v>
      </c>
      <c r="G361" s="1">
        <v>0</v>
      </c>
      <c r="H361" s="1">
        <v>0</v>
      </c>
      <c r="I361" s="1">
        <v>78691</v>
      </c>
      <c r="J361" s="1">
        <v>18849</v>
      </c>
    </row>
    <row r="362" spans="1:10" x14ac:dyDescent="0.25">
      <c r="A362" t="s">
        <v>796</v>
      </c>
      <c r="B362" t="s">
        <v>874</v>
      </c>
      <c r="C362" t="s">
        <v>415</v>
      </c>
      <c r="D362" s="1">
        <v>56756</v>
      </c>
      <c r="E362" s="1">
        <v>678</v>
      </c>
      <c r="F362" s="1">
        <v>0</v>
      </c>
      <c r="G362" s="1">
        <v>0</v>
      </c>
      <c r="H362" s="1">
        <v>0</v>
      </c>
      <c r="I362" s="1">
        <v>57523</v>
      </c>
      <c r="J362" s="1">
        <v>18119</v>
      </c>
    </row>
    <row r="363" spans="1:10" x14ac:dyDescent="0.25">
      <c r="A363" t="s">
        <v>226</v>
      </c>
      <c r="B363" t="s">
        <v>874</v>
      </c>
      <c r="C363" t="s">
        <v>416</v>
      </c>
      <c r="D363" s="1">
        <v>16231</v>
      </c>
      <c r="E363" s="1">
        <v>73</v>
      </c>
      <c r="F363" s="1">
        <v>0</v>
      </c>
      <c r="G363" s="1">
        <v>0</v>
      </c>
      <c r="H363" s="1">
        <v>0</v>
      </c>
      <c r="I363" s="1">
        <v>64340</v>
      </c>
      <c r="J363" s="1">
        <v>3713</v>
      </c>
    </row>
    <row r="364" spans="1:10" x14ac:dyDescent="0.25">
      <c r="A364" t="s">
        <v>138</v>
      </c>
      <c r="B364" t="s">
        <v>874</v>
      </c>
      <c r="C364" t="s">
        <v>417</v>
      </c>
      <c r="D364" s="1">
        <v>94840</v>
      </c>
      <c r="E364" s="1">
        <v>747</v>
      </c>
      <c r="F364" s="1">
        <v>0</v>
      </c>
      <c r="G364" s="1">
        <v>0</v>
      </c>
      <c r="H364" s="1">
        <v>0</v>
      </c>
      <c r="I364" s="1">
        <v>104148</v>
      </c>
      <c r="J364" s="1">
        <v>33245</v>
      </c>
    </row>
    <row r="365" spans="1:10" x14ac:dyDescent="0.25">
      <c r="A365" t="s">
        <v>138</v>
      </c>
      <c r="B365" t="s">
        <v>874</v>
      </c>
      <c r="C365" t="s">
        <v>418</v>
      </c>
      <c r="D365" s="1">
        <v>83557</v>
      </c>
      <c r="E365" s="1">
        <v>486</v>
      </c>
      <c r="F365" s="1">
        <v>0</v>
      </c>
      <c r="G365" s="1">
        <v>0</v>
      </c>
      <c r="H365" s="1">
        <v>0</v>
      </c>
      <c r="I365" s="1">
        <v>86406</v>
      </c>
      <c r="J365" s="1">
        <v>16740</v>
      </c>
    </row>
    <row r="366" spans="1:10" x14ac:dyDescent="0.25">
      <c r="A366" t="s">
        <v>796</v>
      </c>
      <c r="B366" t="s">
        <v>874</v>
      </c>
      <c r="C366" t="s">
        <v>419</v>
      </c>
      <c r="D366" s="1">
        <v>100614</v>
      </c>
      <c r="E366" s="1">
        <v>802</v>
      </c>
      <c r="F366" s="1">
        <v>0</v>
      </c>
      <c r="G366" s="1">
        <v>0</v>
      </c>
      <c r="H366" s="1">
        <v>0</v>
      </c>
      <c r="I366" s="1">
        <v>223847</v>
      </c>
      <c r="J366" s="1">
        <v>29222</v>
      </c>
    </row>
    <row r="367" spans="1:10" x14ac:dyDescent="0.25">
      <c r="A367" t="s">
        <v>831</v>
      </c>
      <c r="B367" t="s">
        <v>874</v>
      </c>
      <c r="C367" t="s">
        <v>420</v>
      </c>
      <c r="D367" s="1">
        <v>45248</v>
      </c>
      <c r="E367" s="1">
        <v>164</v>
      </c>
      <c r="F367" s="1">
        <v>0</v>
      </c>
      <c r="G367" s="1">
        <v>0</v>
      </c>
      <c r="H367" s="1">
        <v>0</v>
      </c>
      <c r="I367" s="1">
        <v>48144</v>
      </c>
      <c r="J367" s="1">
        <v>25509</v>
      </c>
    </row>
    <row r="368" spans="1:10" x14ac:dyDescent="0.25">
      <c r="A368" t="s">
        <v>69</v>
      </c>
      <c r="B368" t="s">
        <v>874</v>
      </c>
      <c r="C368" t="s">
        <v>421</v>
      </c>
      <c r="D368" s="1">
        <v>104171</v>
      </c>
      <c r="E368" s="1">
        <v>296</v>
      </c>
      <c r="F368" s="1">
        <v>0</v>
      </c>
      <c r="G368" s="1">
        <v>0</v>
      </c>
      <c r="H368" s="1">
        <v>0</v>
      </c>
      <c r="I368" s="1">
        <v>56908</v>
      </c>
      <c r="J368" s="1">
        <v>20245</v>
      </c>
    </row>
    <row r="369" spans="1:10" x14ac:dyDescent="0.25">
      <c r="A369" t="s">
        <v>146</v>
      </c>
      <c r="B369" t="s">
        <v>874</v>
      </c>
      <c r="C369" t="s">
        <v>422</v>
      </c>
      <c r="D369" s="1">
        <v>87672</v>
      </c>
      <c r="E369" s="1">
        <v>653</v>
      </c>
      <c r="F369" s="1">
        <v>0</v>
      </c>
      <c r="G369" s="1">
        <v>0</v>
      </c>
      <c r="H369" s="1">
        <v>0</v>
      </c>
      <c r="I369" s="1">
        <v>54024</v>
      </c>
      <c r="J369" s="1">
        <v>26566</v>
      </c>
    </row>
    <row r="370" spans="1:10" x14ac:dyDescent="0.25">
      <c r="A370" t="s">
        <v>146</v>
      </c>
      <c r="B370" t="s">
        <v>874</v>
      </c>
      <c r="C370" t="s">
        <v>423</v>
      </c>
      <c r="D370" s="1">
        <v>65524</v>
      </c>
      <c r="E370" s="1">
        <v>29</v>
      </c>
      <c r="F370" s="1">
        <v>0</v>
      </c>
      <c r="G370" s="1">
        <v>0</v>
      </c>
      <c r="H370" s="1">
        <v>0</v>
      </c>
      <c r="I370" s="1">
        <v>33341</v>
      </c>
      <c r="J370" s="1">
        <v>24322</v>
      </c>
    </row>
    <row r="371" spans="1:10" x14ac:dyDescent="0.25">
      <c r="A371" t="s">
        <v>76</v>
      </c>
      <c r="B371" t="s">
        <v>874</v>
      </c>
      <c r="C371" t="s">
        <v>424</v>
      </c>
      <c r="D371" s="1">
        <v>109426</v>
      </c>
      <c r="E371" s="1">
        <v>45</v>
      </c>
      <c r="F371" s="1">
        <v>0</v>
      </c>
      <c r="G371" s="1">
        <v>0</v>
      </c>
      <c r="H371" s="1">
        <v>0</v>
      </c>
      <c r="I371" s="1">
        <v>146028</v>
      </c>
      <c r="J371" s="1">
        <v>24075</v>
      </c>
    </row>
    <row r="372" spans="1:10" x14ac:dyDescent="0.25">
      <c r="A372" t="s">
        <v>795</v>
      </c>
      <c r="B372" t="s">
        <v>874</v>
      </c>
      <c r="C372" t="s">
        <v>425</v>
      </c>
      <c r="D372" s="1">
        <v>194249</v>
      </c>
      <c r="E372" s="1">
        <v>91</v>
      </c>
      <c r="F372" s="1">
        <v>0</v>
      </c>
      <c r="G372" s="1">
        <v>0</v>
      </c>
      <c r="H372" s="1">
        <v>0</v>
      </c>
      <c r="I372" s="1">
        <v>115077</v>
      </c>
      <c r="J372" s="1">
        <v>52530</v>
      </c>
    </row>
    <row r="373" spans="1:10" x14ac:dyDescent="0.25">
      <c r="A373" t="s">
        <v>824</v>
      </c>
      <c r="B373" t="s">
        <v>874</v>
      </c>
      <c r="C373" t="s">
        <v>426</v>
      </c>
      <c r="D373" s="1">
        <v>55924</v>
      </c>
      <c r="E373" s="1">
        <v>141</v>
      </c>
      <c r="F373" s="1">
        <v>0</v>
      </c>
      <c r="G373" s="1">
        <v>0</v>
      </c>
      <c r="H373" s="1">
        <v>0</v>
      </c>
      <c r="I373" s="1">
        <v>57858</v>
      </c>
      <c r="J373" s="1">
        <v>24889</v>
      </c>
    </row>
    <row r="374" spans="1:10" x14ac:dyDescent="0.25">
      <c r="A374" t="s">
        <v>788</v>
      </c>
      <c r="B374" t="s">
        <v>874</v>
      </c>
      <c r="C374" t="s">
        <v>427</v>
      </c>
      <c r="D374" s="1">
        <v>152964</v>
      </c>
      <c r="E374" s="1">
        <v>401</v>
      </c>
      <c r="F374" s="1">
        <v>0</v>
      </c>
      <c r="G374" s="1">
        <v>0</v>
      </c>
      <c r="H374" s="1">
        <v>0</v>
      </c>
      <c r="I374" s="1">
        <v>148617</v>
      </c>
      <c r="J374" s="1">
        <v>38976</v>
      </c>
    </row>
    <row r="375" spans="1:10" x14ac:dyDescent="0.25">
      <c r="A375" t="s">
        <v>226</v>
      </c>
      <c r="B375" t="s">
        <v>874</v>
      </c>
      <c r="C375" t="s">
        <v>428</v>
      </c>
      <c r="D375" s="1">
        <v>22599</v>
      </c>
      <c r="E375" s="1">
        <v>5</v>
      </c>
      <c r="F375" s="1">
        <v>0</v>
      </c>
      <c r="G375" s="1">
        <v>0</v>
      </c>
      <c r="H375" s="1">
        <v>0</v>
      </c>
      <c r="I375" s="1">
        <v>25815</v>
      </c>
      <c r="J375" s="1">
        <v>4264</v>
      </c>
    </row>
    <row r="376" spans="1:10" x14ac:dyDescent="0.25">
      <c r="A376" t="s">
        <v>791</v>
      </c>
      <c r="B376" t="s">
        <v>874</v>
      </c>
      <c r="C376" t="s">
        <v>429</v>
      </c>
      <c r="D376" s="1">
        <v>11502</v>
      </c>
      <c r="E376" s="1">
        <v>52</v>
      </c>
      <c r="F376" s="1">
        <v>0</v>
      </c>
      <c r="G376" s="1">
        <v>0</v>
      </c>
      <c r="H376" s="1">
        <v>0</v>
      </c>
      <c r="I376" s="1">
        <v>3627</v>
      </c>
      <c r="J376" s="1">
        <v>2441</v>
      </c>
    </row>
    <row r="377" spans="1:10" x14ac:dyDescent="0.25">
      <c r="A377" t="s">
        <v>788</v>
      </c>
      <c r="B377" t="s">
        <v>874</v>
      </c>
      <c r="C377" t="s">
        <v>430</v>
      </c>
      <c r="D377" s="1">
        <v>40308</v>
      </c>
      <c r="E377" s="1">
        <v>85</v>
      </c>
      <c r="F377" s="1">
        <v>0</v>
      </c>
      <c r="G377" s="1">
        <v>0</v>
      </c>
      <c r="H377" s="1">
        <v>0</v>
      </c>
      <c r="I377" s="1">
        <v>25414</v>
      </c>
      <c r="J377" s="1">
        <v>10793</v>
      </c>
    </row>
    <row r="378" spans="1:10" x14ac:dyDescent="0.25">
      <c r="A378" t="s">
        <v>10</v>
      </c>
      <c r="B378" t="s">
        <v>874</v>
      </c>
      <c r="C378" t="s">
        <v>431</v>
      </c>
      <c r="D378" s="1"/>
      <c r="E378" s="1"/>
      <c r="F378" s="1"/>
      <c r="G378" s="1"/>
      <c r="H378" s="1"/>
      <c r="I378" s="1"/>
      <c r="J378" s="1"/>
    </row>
    <row r="379" spans="1:10" x14ac:dyDescent="0.25">
      <c r="A379" t="s">
        <v>69</v>
      </c>
      <c r="B379" t="s">
        <v>874</v>
      </c>
      <c r="C379" t="s">
        <v>432</v>
      </c>
      <c r="D379" s="1">
        <v>87226</v>
      </c>
      <c r="E379" s="1">
        <v>63</v>
      </c>
      <c r="F379" s="1">
        <v>0</v>
      </c>
      <c r="G379" s="1">
        <v>0</v>
      </c>
      <c r="H379" s="1">
        <v>0</v>
      </c>
      <c r="I379" s="1">
        <v>109336</v>
      </c>
      <c r="J379" s="1">
        <v>25803</v>
      </c>
    </row>
    <row r="380" spans="1:10" x14ac:dyDescent="0.25">
      <c r="A380" t="s">
        <v>226</v>
      </c>
      <c r="B380" t="s">
        <v>874</v>
      </c>
      <c r="C380" t="s">
        <v>433</v>
      </c>
      <c r="D380" s="1">
        <v>79007</v>
      </c>
      <c r="E380" s="1">
        <v>251</v>
      </c>
      <c r="F380" s="1">
        <v>0</v>
      </c>
      <c r="G380" s="1">
        <v>0</v>
      </c>
      <c r="H380" s="1">
        <v>0</v>
      </c>
      <c r="I380" s="1">
        <v>93574</v>
      </c>
      <c r="J380" s="1">
        <v>18427</v>
      </c>
    </row>
    <row r="381" spans="1:10" x14ac:dyDescent="0.25">
      <c r="A381" t="s">
        <v>864</v>
      </c>
      <c r="B381" t="s">
        <v>874</v>
      </c>
      <c r="C381" t="s">
        <v>434</v>
      </c>
      <c r="D381" s="1">
        <v>41772</v>
      </c>
      <c r="E381" s="1">
        <v>424</v>
      </c>
      <c r="F381" s="1">
        <v>0</v>
      </c>
      <c r="G381" s="1">
        <v>0</v>
      </c>
      <c r="H381" s="1">
        <v>0</v>
      </c>
      <c r="I381" s="1">
        <v>25227</v>
      </c>
      <c r="J381" s="1">
        <v>17628</v>
      </c>
    </row>
    <row r="382" spans="1:10" x14ac:dyDescent="0.25">
      <c r="A382" t="s">
        <v>809</v>
      </c>
      <c r="B382" t="s">
        <v>874</v>
      </c>
      <c r="C382" t="s">
        <v>435</v>
      </c>
      <c r="D382" s="1">
        <v>110571</v>
      </c>
      <c r="E382" s="1">
        <v>396</v>
      </c>
      <c r="F382" s="1">
        <v>0</v>
      </c>
      <c r="G382" s="1">
        <v>0</v>
      </c>
      <c r="H382" s="1">
        <v>0</v>
      </c>
      <c r="I382" s="1">
        <v>136412</v>
      </c>
      <c r="J382" s="1">
        <v>17470</v>
      </c>
    </row>
    <row r="383" spans="1:10" x14ac:dyDescent="0.25">
      <c r="A383" t="s">
        <v>138</v>
      </c>
      <c r="B383" t="s">
        <v>874</v>
      </c>
      <c r="C383" t="s">
        <v>436</v>
      </c>
      <c r="D383" s="1">
        <v>135910</v>
      </c>
      <c r="E383" s="1">
        <v>1283</v>
      </c>
      <c r="F383" s="1">
        <v>0</v>
      </c>
      <c r="G383" s="1">
        <v>0</v>
      </c>
      <c r="H383" s="1">
        <v>0</v>
      </c>
      <c r="I383" s="1">
        <v>105697</v>
      </c>
      <c r="J383" s="1">
        <v>29630</v>
      </c>
    </row>
    <row r="384" spans="1:10" x14ac:dyDescent="0.25">
      <c r="A384" t="s">
        <v>229</v>
      </c>
      <c r="B384" t="s">
        <v>874</v>
      </c>
      <c r="C384" t="s">
        <v>437</v>
      </c>
      <c r="D384" s="1">
        <v>80489</v>
      </c>
      <c r="E384" s="1">
        <v>474</v>
      </c>
      <c r="F384" s="1">
        <v>0</v>
      </c>
      <c r="G384" s="1">
        <v>0</v>
      </c>
      <c r="H384" s="1">
        <v>0</v>
      </c>
      <c r="I384" s="1">
        <v>144766</v>
      </c>
      <c r="J384" s="1">
        <v>18761</v>
      </c>
    </row>
    <row r="385" spans="1:10" x14ac:dyDescent="0.25">
      <c r="A385" t="s">
        <v>801</v>
      </c>
      <c r="B385" t="s">
        <v>874</v>
      </c>
      <c r="C385" t="s">
        <v>438</v>
      </c>
      <c r="D385" s="1">
        <v>117418</v>
      </c>
      <c r="E385" s="1">
        <v>51</v>
      </c>
      <c r="F385" s="1">
        <v>0</v>
      </c>
      <c r="G385" s="1">
        <v>0</v>
      </c>
      <c r="H385" s="1">
        <v>0</v>
      </c>
      <c r="I385" s="1">
        <v>292492</v>
      </c>
      <c r="J385" s="1">
        <v>38133</v>
      </c>
    </row>
    <row r="386" spans="1:10" x14ac:dyDescent="0.25">
      <c r="A386" s="27" t="s">
        <v>10</v>
      </c>
      <c r="B386" s="27" t="s">
        <v>874</v>
      </c>
      <c r="C386" s="27" t="s">
        <v>780</v>
      </c>
      <c r="D386" s="32"/>
      <c r="E386" s="32"/>
      <c r="F386" s="32"/>
      <c r="G386" s="32"/>
      <c r="H386" s="32"/>
      <c r="I386" s="32"/>
      <c r="J386" s="32"/>
    </row>
    <row r="387" spans="1:10" x14ac:dyDescent="0.25">
      <c r="A387" t="s">
        <v>69</v>
      </c>
      <c r="B387" t="s">
        <v>874</v>
      </c>
      <c r="C387" t="s">
        <v>439</v>
      </c>
      <c r="D387" s="1">
        <v>183468</v>
      </c>
      <c r="E387" s="1">
        <v>4524</v>
      </c>
      <c r="F387" s="1">
        <v>0</v>
      </c>
      <c r="G387" s="1">
        <v>0</v>
      </c>
      <c r="H387" s="1">
        <v>0</v>
      </c>
      <c r="I387" s="1">
        <v>158716</v>
      </c>
      <c r="J387" s="1">
        <v>46349</v>
      </c>
    </row>
    <row r="388" spans="1:10" x14ac:dyDescent="0.25">
      <c r="A388" t="s">
        <v>83</v>
      </c>
      <c r="B388" t="s">
        <v>874</v>
      </c>
      <c r="C388" t="s">
        <v>440</v>
      </c>
      <c r="D388" s="1">
        <v>10947</v>
      </c>
      <c r="E388" s="1">
        <v>24</v>
      </c>
      <c r="F388" s="1">
        <v>0</v>
      </c>
      <c r="G388" s="1">
        <v>0</v>
      </c>
      <c r="H388" s="1">
        <v>0</v>
      </c>
      <c r="I388" s="1">
        <v>21827</v>
      </c>
      <c r="J388" s="1">
        <v>2005</v>
      </c>
    </row>
    <row r="389" spans="1:10" x14ac:dyDescent="0.25">
      <c r="A389" t="s">
        <v>809</v>
      </c>
      <c r="B389" t="s">
        <v>874</v>
      </c>
      <c r="C389" t="s">
        <v>441</v>
      </c>
      <c r="D389" s="1">
        <v>58457</v>
      </c>
      <c r="E389" s="1">
        <v>923</v>
      </c>
      <c r="F389" s="1">
        <v>0</v>
      </c>
      <c r="G389" s="1">
        <v>0</v>
      </c>
      <c r="H389" s="1">
        <v>0</v>
      </c>
      <c r="I389" s="1">
        <v>37070</v>
      </c>
      <c r="J389" s="1">
        <v>8898</v>
      </c>
    </row>
    <row r="390" spans="1:10" x14ac:dyDescent="0.25">
      <c r="A390" t="s">
        <v>794</v>
      </c>
      <c r="B390" t="s">
        <v>874</v>
      </c>
      <c r="C390" t="s">
        <v>442</v>
      </c>
      <c r="D390" s="1">
        <v>118739</v>
      </c>
      <c r="E390" s="1">
        <v>647</v>
      </c>
      <c r="F390" s="1">
        <v>0</v>
      </c>
      <c r="G390" s="1">
        <v>0</v>
      </c>
      <c r="H390" s="1">
        <v>0</v>
      </c>
      <c r="I390" s="1">
        <v>111230</v>
      </c>
      <c r="J390" s="1">
        <v>48136</v>
      </c>
    </row>
    <row r="391" spans="1:10" x14ac:dyDescent="0.25">
      <c r="A391" t="s">
        <v>796</v>
      </c>
      <c r="B391" t="s">
        <v>874</v>
      </c>
      <c r="C391" t="s">
        <v>443</v>
      </c>
      <c r="D391" s="1">
        <v>165583</v>
      </c>
      <c r="E391" s="1">
        <v>400</v>
      </c>
      <c r="F391" s="1">
        <v>0</v>
      </c>
      <c r="G391" s="1">
        <v>0</v>
      </c>
      <c r="H391" s="1">
        <v>0</v>
      </c>
      <c r="I391" s="1">
        <v>154063</v>
      </c>
      <c r="J391" s="1">
        <v>30624</v>
      </c>
    </row>
    <row r="392" spans="1:10" x14ac:dyDescent="0.25">
      <c r="A392" t="s">
        <v>794</v>
      </c>
      <c r="B392" t="s">
        <v>874</v>
      </c>
      <c r="C392" t="s">
        <v>444</v>
      </c>
      <c r="D392" s="1">
        <v>182411</v>
      </c>
      <c r="E392" s="1">
        <v>1317</v>
      </c>
      <c r="F392" s="1">
        <v>0</v>
      </c>
      <c r="G392" s="1">
        <v>0</v>
      </c>
      <c r="H392" s="1">
        <v>0</v>
      </c>
      <c r="I392" s="1">
        <v>91332</v>
      </c>
      <c r="J392" s="1">
        <v>68674</v>
      </c>
    </row>
    <row r="393" spans="1:10" x14ac:dyDescent="0.25">
      <c r="A393" t="s">
        <v>811</v>
      </c>
      <c r="B393" t="s">
        <v>874</v>
      </c>
      <c r="C393" t="s">
        <v>445</v>
      </c>
      <c r="D393" s="1">
        <v>143867</v>
      </c>
      <c r="E393" s="1">
        <v>42301</v>
      </c>
      <c r="F393" s="1">
        <v>0</v>
      </c>
      <c r="G393" s="1">
        <v>0</v>
      </c>
      <c r="H393" s="1">
        <v>0</v>
      </c>
      <c r="I393" s="1">
        <v>258423</v>
      </c>
      <c r="J393" s="1">
        <v>58943</v>
      </c>
    </row>
    <row r="394" spans="1:10" x14ac:dyDescent="0.25">
      <c r="A394" t="s">
        <v>848</v>
      </c>
      <c r="B394" t="s">
        <v>874</v>
      </c>
      <c r="C394" t="s">
        <v>446</v>
      </c>
      <c r="D394" s="1">
        <v>37330</v>
      </c>
      <c r="E394" s="1">
        <v>133</v>
      </c>
      <c r="F394" s="1">
        <v>0</v>
      </c>
      <c r="G394" s="1">
        <v>0</v>
      </c>
      <c r="H394" s="1">
        <v>0</v>
      </c>
      <c r="I394" s="1">
        <v>11157</v>
      </c>
      <c r="J394" s="1">
        <v>6420</v>
      </c>
    </row>
    <row r="395" spans="1:10" x14ac:dyDescent="0.25">
      <c r="A395" t="s">
        <v>134</v>
      </c>
      <c r="B395" t="s">
        <v>874</v>
      </c>
      <c r="C395" t="s">
        <v>447</v>
      </c>
      <c r="D395" s="1">
        <v>181403</v>
      </c>
      <c r="E395" s="1">
        <v>193</v>
      </c>
      <c r="F395" s="1">
        <v>0</v>
      </c>
      <c r="G395" s="1">
        <v>0</v>
      </c>
      <c r="H395" s="1">
        <v>0</v>
      </c>
      <c r="I395" s="1">
        <v>60883</v>
      </c>
      <c r="J395" s="1">
        <v>29938</v>
      </c>
    </row>
    <row r="396" spans="1:10" x14ac:dyDescent="0.25">
      <c r="A396" t="s">
        <v>76</v>
      </c>
      <c r="B396" t="s">
        <v>874</v>
      </c>
      <c r="C396" t="s">
        <v>448</v>
      </c>
      <c r="D396" s="1">
        <v>173116</v>
      </c>
      <c r="E396" s="1">
        <v>497</v>
      </c>
      <c r="F396" s="1">
        <v>0</v>
      </c>
      <c r="G396" s="1">
        <v>0</v>
      </c>
      <c r="H396" s="1">
        <v>0</v>
      </c>
      <c r="I396" s="1">
        <v>126382</v>
      </c>
      <c r="J396" s="1">
        <v>20173</v>
      </c>
    </row>
    <row r="397" spans="1:10" x14ac:dyDescent="0.25">
      <c r="A397" t="s">
        <v>801</v>
      </c>
      <c r="B397" t="s">
        <v>874</v>
      </c>
      <c r="C397" t="s">
        <v>449</v>
      </c>
      <c r="D397" s="1">
        <v>139211</v>
      </c>
      <c r="E397" s="1">
        <v>209</v>
      </c>
      <c r="F397" s="1">
        <v>0</v>
      </c>
      <c r="G397" s="1">
        <v>0</v>
      </c>
      <c r="H397" s="1">
        <v>0</v>
      </c>
      <c r="I397" s="1">
        <v>232639</v>
      </c>
      <c r="J397" s="1">
        <v>34709</v>
      </c>
    </row>
    <row r="398" spans="1:10" x14ac:dyDescent="0.25">
      <c r="A398" t="s">
        <v>788</v>
      </c>
      <c r="B398" t="s">
        <v>874</v>
      </c>
      <c r="C398" t="s">
        <v>450</v>
      </c>
      <c r="D398" s="1">
        <v>44886</v>
      </c>
      <c r="E398" s="1">
        <v>600</v>
      </c>
      <c r="F398" s="1">
        <v>0</v>
      </c>
      <c r="G398" s="1">
        <v>0</v>
      </c>
      <c r="H398" s="1">
        <v>0</v>
      </c>
      <c r="I398" s="1">
        <v>33121</v>
      </c>
      <c r="J398" s="1">
        <v>11225</v>
      </c>
    </row>
    <row r="399" spans="1:10" x14ac:dyDescent="0.25">
      <c r="A399" t="s">
        <v>811</v>
      </c>
      <c r="B399" t="s">
        <v>874</v>
      </c>
      <c r="C399" t="s">
        <v>451</v>
      </c>
      <c r="D399" s="1">
        <v>178173</v>
      </c>
      <c r="E399" s="1">
        <v>4059</v>
      </c>
      <c r="F399" s="1">
        <v>0</v>
      </c>
      <c r="G399" s="1">
        <v>0</v>
      </c>
      <c r="H399" s="1">
        <v>0</v>
      </c>
      <c r="I399" s="1">
        <v>127924</v>
      </c>
      <c r="J399" s="1">
        <v>76079</v>
      </c>
    </row>
    <row r="400" spans="1:10" x14ac:dyDescent="0.25">
      <c r="A400" t="s">
        <v>825</v>
      </c>
      <c r="B400" t="s">
        <v>874</v>
      </c>
      <c r="C400" t="s">
        <v>452</v>
      </c>
      <c r="D400" s="1">
        <v>17352</v>
      </c>
      <c r="E400" s="1">
        <v>36</v>
      </c>
      <c r="F400" s="1">
        <v>0</v>
      </c>
      <c r="G400" s="1">
        <v>0</v>
      </c>
      <c r="H400" s="1">
        <v>0</v>
      </c>
      <c r="I400" s="1">
        <v>19640</v>
      </c>
      <c r="J400" s="1">
        <v>3780</v>
      </c>
    </row>
    <row r="401" spans="1:10" x14ac:dyDescent="0.25">
      <c r="A401" t="s">
        <v>101</v>
      </c>
      <c r="B401" t="s">
        <v>874</v>
      </c>
      <c r="C401" t="s">
        <v>453</v>
      </c>
      <c r="D401" s="1">
        <v>81772</v>
      </c>
      <c r="E401" s="1">
        <v>244</v>
      </c>
      <c r="F401" s="1">
        <v>0</v>
      </c>
      <c r="G401" s="1">
        <v>0</v>
      </c>
      <c r="H401" s="1">
        <v>0</v>
      </c>
      <c r="I401" s="1">
        <v>55348</v>
      </c>
      <c r="J401" s="1">
        <v>17113</v>
      </c>
    </row>
    <row r="402" spans="1:10" x14ac:dyDescent="0.25">
      <c r="A402" t="s">
        <v>265</v>
      </c>
      <c r="B402" t="s">
        <v>874</v>
      </c>
      <c r="C402" t="s">
        <v>454</v>
      </c>
      <c r="D402" s="1">
        <v>88690</v>
      </c>
      <c r="E402" s="1">
        <v>51</v>
      </c>
      <c r="F402" s="1">
        <v>0</v>
      </c>
      <c r="G402" s="1">
        <v>0</v>
      </c>
      <c r="H402" s="1">
        <v>0</v>
      </c>
      <c r="I402" s="1">
        <v>149763</v>
      </c>
      <c r="J402" s="1">
        <v>8206</v>
      </c>
    </row>
    <row r="403" spans="1:10" x14ac:dyDescent="0.25">
      <c r="A403" t="s">
        <v>248</v>
      </c>
      <c r="B403" t="s">
        <v>874</v>
      </c>
      <c r="C403" t="s">
        <v>455</v>
      </c>
      <c r="D403" s="1">
        <v>29800</v>
      </c>
      <c r="E403" s="1">
        <v>450</v>
      </c>
      <c r="F403" s="1">
        <v>0</v>
      </c>
      <c r="G403" s="1">
        <v>0</v>
      </c>
      <c r="H403" s="1">
        <v>0</v>
      </c>
      <c r="I403" s="1">
        <v>122107</v>
      </c>
      <c r="J403" s="1">
        <v>6655</v>
      </c>
    </row>
    <row r="404" spans="1:10" x14ac:dyDescent="0.25">
      <c r="A404" t="s">
        <v>76</v>
      </c>
      <c r="B404" t="s">
        <v>874</v>
      </c>
      <c r="C404" t="s">
        <v>456</v>
      </c>
      <c r="D404" s="1">
        <v>125173</v>
      </c>
      <c r="E404" s="1">
        <v>317</v>
      </c>
      <c r="F404" s="1">
        <v>0</v>
      </c>
      <c r="G404" s="1">
        <v>0</v>
      </c>
      <c r="H404" s="1">
        <v>0</v>
      </c>
      <c r="I404" s="1">
        <v>322799</v>
      </c>
      <c r="J404" s="1">
        <v>18564</v>
      </c>
    </row>
    <row r="405" spans="1:10" x14ac:dyDescent="0.25">
      <c r="A405" t="s">
        <v>76</v>
      </c>
      <c r="B405" t="s">
        <v>874</v>
      </c>
      <c r="C405" t="s">
        <v>457</v>
      </c>
      <c r="D405" s="1">
        <v>82083</v>
      </c>
      <c r="E405" s="1">
        <v>805</v>
      </c>
      <c r="F405" s="1">
        <v>0</v>
      </c>
      <c r="G405" s="1">
        <v>0</v>
      </c>
      <c r="H405" s="1">
        <v>0</v>
      </c>
      <c r="I405" s="1">
        <v>45123</v>
      </c>
      <c r="J405" s="1">
        <v>23673</v>
      </c>
    </row>
    <row r="406" spans="1:10" x14ac:dyDescent="0.25">
      <c r="A406" t="s">
        <v>146</v>
      </c>
      <c r="B406" t="s">
        <v>874</v>
      </c>
      <c r="C406" t="s">
        <v>458</v>
      </c>
      <c r="D406" s="1">
        <v>55870</v>
      </c>
      <c r="E406" s="1">
        <v>2841</v>
      </c>
      <c r="F406" s="1">
        <v>0</v>
      </c>
      <c r="G406" s="1">
        <v>0</v>
      </c>
      <c r="H406" s="1">
        <v>0</v>
      </c>
      <c r="I406" s="1">
        <v>71917</v>
      </c>
      <c r="J406" s="1">
        <v>15670</v>
      </c>
    </row>
    <row r="407" spans="1:10" x14ac:dyDescent="0.25">
      <c r="A407" t="s">
        <v>83</v>
      </c>
      <c r="B407" t="s">
        <v>874</v>
      </c>
      <c r="C407" t="s">
        <v>459</v>
      </c>
      <c r="D407" s="1">
        <v>14595</v>
      </c>
      <c r="E407" s="1">
        <v>117</v>
      </c>
      <c r="F407" s="1">
        <v>0</v>
      </c>
      <c r="G407" s="1">
        <v>0</v>
      </c>
      <c r="H407" s="1">
        <v>0</v>
      </c>
      <c r="I407" s="1">
        <v>14122</v>
      </c>
      <c r="J407" s="1">
        <v>3400</v>
      </c>
    </row>
    <row r="408" spans="1:10" x14ac:dyDescent="0.25">
      <c r="A408" t="s">
        <v>248</v>
      </c>
      <c r="B408" t="s">
        <v>874</v>
      </c>
      <c r="C408" t="s">
        <v>460</v>
      </c>
      <c r="D408" s="1">
        <v>131025</v>
      </c>
      <c r="E408" s="1">
        <v>1517</v>
      </c>
      <c r="F408" s="1">
        <v>0</v>
      </c>
      <c r="G408" s="1">
        <v>0</v>
      </c>
      <c r="H408" s="1">
        <v>0</v>
      </c>
      <c r="I408" s="1">
        <v>405258</v>
      </c>
      <c r="J408" s="1">
        <v>53125</v>
      </c>
    </row>
    <row r="409" spans="1:10" x14ac:dyDescent="0.25">
      <c r="A409" t="s">
        <v>248</v>
      </c>
      <c r="B409" t="s">
        <v>874</v>
      </c>
      <c r="C409" t="s">
        <v>461</v>
      </c>
      <c r="D409" s="1">
        <v>124302</v>
      </c>
      <c r="E409" s="1">
        <v>278</v>
      </c>
      <c r="F409" s="1">
        <v>0</v>
      </c>
      <c r="G409" s="1">
        <v>0</v>
      </c>
      <c r="H409" s="1">
        <v>0</v>
      </c>
      <c r="I409" s="1">
        <v>169708</v>
      </c>
      <c r="J409" s="1">
        <v>21377</v>
      </c>
    </row>
    <row r="410" spans="1:10" x14ac:dyDescent="0.25">
      <c r="A410" t="s">
        <v>226</v>
      </c>
      <c r="B410" t="s">
        <v>874</v>
      </c>
      <c r="C410" t="s">
        <v>462</v>
      </c>
      <c r="D410" s="1">
        <v>29692</v>
      </c>
      <c r="E410" s="1">
        <v>48</v>
      </c>
      <c r="F410" s="1">
        <v>0</v>
      </c>
      <c r="G410" s="1">
        <v>0</v>
      </c>
      <c r="H410" s="1">
        <v>0</v>
      </c>
      <c r="I410" s="1">
        <v>3020</v>
      </c>
      <c r="J410" s="1">
        <v>2420</v>
      </c>
    </row>
    <row r="411" spans="1:10" x14ac:dyDescent="0.25">
      <c r="A411" t="s">
        <v>826</v>
      </c>
      <c r="B411" t="s">
        <v>874</v>
      </c>
      <c r="C411" t="s">
        <v>463</v>
      </c>
      <c r="D411" s="1">
        <v>32107</v>
      </c>
      <c r="E411" s="1">
        <v>1324</v>
      </c>
      <c r="F411" s="1">
        <v>0</v>
      </c>
      <c r="G411" s="1">
        <v>0</v>
      </c>
      <c r="H411" s="1">
        <v>0</v>
      </c>
      <c r="I411" s="1">
        <v>46822</v>
      </c>
      <c r="J411" s="1">
        <v>10852</v>
      </c>
    </row>
    <row r="412" spans="1:10" x14ac:dyDescent="0.25">
      <c r="A412" t="s">
        <v>248</v>
      </c>
      <c r="B412" t="s">
        <v>874</v>
      </c>
      <c r="C412" t="s">
        <v>464</v>
      </c>
      <c r="D412" s="1">
        <v>45234</v>
      </c>
      <c r="E412" s="1">
        <v>138</v>
      </c>
      <c r="F412" s="1">
        <v>0</v>
      </c>
      <c r="G412" s="1">
        <v>0</v>
      </c>
      <c r="H412" s="1">
        <v>0</v>
      </c>
      <c r="I412" s="1">
        <v>72273</v>
      </c>
      <c r="J412" s="1">
        <v>10208</v>
      </c>
    </row>
    <row r="413" spans="1:10" x14ac:dyDescent="0.25">
      <c r="A413" t="s">
        <v>101</v>
      </c>
      <c r="B413" t="s">
        <v>874</v>
      </c>
      <c r="C413" t="s">
        <v>465</v>
      </c>
      <c r="D413" s="1">
        <v>44374</v>
      </c>
      <c r="E413" s="1">
        <v>9</v>
      </c>
      <c r="F413" s="1">
        <v>0</v>
      </c>
      <c r="G413" s="1">
        <v>0</v>
      </c>
      <c r="H413" s="1">
        <v>0</v>
      </c>
      <c r="I413" s="1">
        <v>97756</v>
      </c>
      <c r="J413" s="1">
        <v>14275</v>
      </c>
    </row>
    <row r="414" spans="1:10" x14ac:dyDescent="0.25">
      <c r="A414" t="s">
        <v>865</v>
      </c>
      <c r="B414" t="s">
        <v>874</v>
      </c>
      <c r="C414" t="s">
        <v>466</v>
      </c>
      <c r="D414" s="1">
        <v>129680</v>
      </c>
      <c r="E414" s="1">
        <v>180</v>
      </c>
      <c r="F414" s="1">
        <v>0</v>
      </c>
      <c r="G414" s="1">
        <v>0</v>
      </c>
      <c r="H414" s="1">
        <v>0</v>
      </c>
      <c r="I414" s="1">
        <v>65299</v>
      </c>
      <c r="J414" s="1">
        <v>18902</v>
      </c>
    </row>
    <row r="415" spans="1:10" x14ac:dyDescent="0.25">
      <c r="A415" t="s">
        <v>512</v>
      </c>
      <c r="B415" t="s">
        <v>874</v>
      </c>
      <c r="C415" t="s">
        <v>467</v>
      </c>
      <c r="D415" s="1">
        <v>54346</v>
      </c>
      <c r="E415" s="1">
        <v>231</v>
      </c>
      <c r="F415" s="1">
        <v>0</v>
      </c>
      <c r="G415" s="1">
        <v>0</v>
      </c>
      <c r="H415" s="1">
        <v>0</v>
      </c>
      <c r="I415" s="1">
        <v>30034</v>
      </c>
      <c r="J415" s="1">
        <v>17523</v>
      </c>
    </row>
    <row r="416" spans="1:10" x14ac:dyDescent="0.25">
      <c r="A416" s="27" t="s">
        <v>10</v>
      </c>
      <c r="B416" s="27" t="s">
        <v>874</v>
      </c>
      <c r="C416" s="27" t="s">
        <v>781</v>
      </c>
      <c r="D416" s="32"/>
      <c r="E416" s="32"/>
      <c r="F416" s="32"/>
      <c r="G416" s="32"/>
      <c r="H416" s="32"/>
      <c r="I416" s="32"/>
      <c r="J416" s="32"/>
    </row>
    <row r="417" spans="1:10" x14ac:dyDescent="0.25">
      <c r="A417" t="s">
        <v>826</v>
      </c>
      <c r="B417" t="s">
        <v>874</v>
      </c>
      <c r="C417" t="s">
        <v>468</v>
      </c>
      <c r="D417" s="1">
        <v>34863</v>
      </c>
      <c r="E417" s="1">
        <v>229</v>
      </c>
      <c r="F417" s="1">
        <v>0</v>
      </c>
      <c r="G417" s="1">
        <v>0</v>
      </c>
      <c r="H417" s="1">
        <v>0</v>
      </c>
      <c r="I417" s="1">
        <v>27683</v>
      </c>
      <c r="J417" s="1">
        <v>11740</v>
      </c>
    </row>
    <row r="418" spans="1:10" x14ac:dyDescent="0.25">
      <c r="A418" t="s">
        <v>817</v>
      </c>
      <c r="B418" t="s">
        <v>874</v>
      </c>
      <c r="C418" t="s">
        <v>469</v>
      </c>
      <c r="D418" s="1">
        <v>300427</v>
      </c>
      <c r="E418" s="1">
        <v>336</v>
      </c>
      <c r="F418" s="1">
        <v>0</v>
      </c>
      <c r="G418" s="1">
        <v>0</v>
      </c>
      <c r="H418" s="1">
        <v>0</v>
      </c>
      <c r="I418" s="1">
        <v>82556</v>
      </c>
      <c r="J418" s="1">
        <v>3342</v>
      </c>
    </row>
    <row r="419" spans="1:10" x14ac:dyDescent="0.25">
      <c r="A419" t="s">
        <v>791</v>
      </c>
      <c r="B419" t="s">
        <v>874</v>
      </c>
      <c r="C419" t="s">
        <v>470</v>
      </c>
      <c r="D419" s="1">
        <v>42338</v>
      </c>
      <c r="E419" s="1">
        <v>1205</v>
      </c>
      <c r="F419" s="1">
        <v>0</v>
      </c>
      <c r="G419" s="1">
        <v>0</v>
      </c>
      <c r="H419" s="1">
        <v>0</v>
      </c>
      <c r="I419" s="1">
        <v>15178</v>
      </c>
      <c r="J419" s="1">
        <v>26123</v>
      </c>
    </row>
    <row r="420" spans="1:10" x14ac:dyDescent="0.25">
      <c r="A420" t="s">
        <v>788</v>
      </c>
      <c r="B420" t="s">
        <v>874</v>
      </c>
      <c r="C420" t="s">
        <v>471</v>
      </c>
      <c r="D420" s="1">
        <v>91594</v>
      </c>
      <c r="E420" s="1">
        <v>434</v>
      </c>
      <c r="F420" s="1">
        <v>0</v>
      </c>
      <c r="G420" s="1">
        <v>0</v>
      </c>
      <c r="H420" s="1">
        <v>0</v>
      </c>
      <c r="I420" s="1">
        <v>33200</v>
      </c>
      <c r="J420" s="1">
        <v>22209</v>
      </c>
    </row>
    <row r="421" spans="1:10" x14ac:dyDescent="0.25">
      <c r="A421" t="s">
        <v>795</v>
      </c>
      <c r="B421" t="s">
        <v>874</v>
      </c>
      <c r="C421" t="s">
        <v>472</v>
      </c>
      <c r="D421" s="1">
        <v>72216</v>
      </c>
      <c r="E421" s="1">
        <v>1758</v>
      </c>
      <c r="F421" s="1">
        <v>0</v>
      </c>
      <c r="G421" s="1">
        <v>0</v>
      </c>
      <c r="H421" s="1">
        <v>0</v>
      </c>
      <c r="I421" s="1">
        <v>43564</v>
      </c>
      <c r="J421" s="1">
        <v>20926</v>
      </c>
    </row>
    <row r="422" spans="1:10" x14ac:dyDescent="0.25">
      <c r="A422" t="s">
        <v>788</v>
      </c>
      <c r="B422" t="s">
        <v>874</v>
      </c>
      <c r="C422" t="s">
        <v>473</v>
      </c>
      <c r="D422" s="1">
        <v>108699</v>
      </c>
      <c r="E422" s="1">
        <v>2547</v>
      </c>
      <c r="F422" s="1">
        <v>0</v>
      </c>
      <c r="G422" s="1">
        <v>0</v>
      </c>
      <c r="H422" s="1">
        <v>0</v>
      </c>
      <c r="I422" s="1">
        <v>45454</v>
      </c>
      <c r="J422" s="1">
        <v>32406</v>
      </c>
    </row>
    <row r="423" spans="1:10" x14ac:dyDescent="0.25">
      <c r="A423" t="s">
        <v>817</v>
      </c>
      <c r="B423" t="s">
        <v>874</v>
      </c>
      <c r="C423" t="s">
        <v>474</v>
      </c>
      <c r="D423" s="1">
        <v>88125</v>
      </c>
      <c r="E423" s="1">
        <v>417</v>
      </c>
      <c r="F423" s="1">
        <v>0</v>
      </c>
      <c r="G423" s="1">
        <v>0</v>
      </c>
      <c r="H423" s="1">
        <v>0</v>
      </c>
      <c r="I423" s="1">
        <v>488392</v>
      </c>
      <c r="J423" s="1">
        <v>49203</v>
      </c>
    </row>
    <row r="424" spans="1:10" x14ac:dyDescent="0.25">
      <c r="A424" t="s">
        <v>512</v>
      </c>
      <c r="B424" t="s">
        <v>874</v>
      </c>
      <c r="C424" t="s">
        <v>475</v>
      </c>
      <c r="D424" s="1">
        <v>22374</v>
      </c>
      <c r="E424" s="1">
        <v>158</v>
      </c>
      <c r="F424" s="1">
        <v>0</v>
      </c>
      <c r="G424" s="1">
        <v>0</v>
      </c>
      <c r="H424" s="1">
        <v>0</v>
      </c>
      <c r="I424" s="1">
        <v>26946</v>
      </c>
      <c r="J424" s="1">
        <v>4250</v>
      </c>
    </row>
    <row r="425" spans="1:10" x14ac:dyDescent="0.25">
      <c r="A425" t="s">
        <v>146</v>
      </c>
      <c r="B425" t="s">
        <v>874</v>
      </c>
      <c r="C425" t="s">
        <v>476</v>
      </c>
      <c r="D425" s="1">
        <v>105098</v>
      </c>
      <c r="E425" s="1">
        <v>114</v>
      </c>
      <c r="F425" s="1">
        <v>0</v>
      </c>
      <c r="G425" s="1">
        <v>0</v>
      </c>
      <c r="H425" s="1">
        <v>0</v>
      </c>
      <c r="I425" s="1">
        <v>43148</v>
      </c>
      <c r="J425" s="1">
        <v>23841</v>
      </c>
    </row>
    <row r="426" spans="1:10" x14ac:dyDescent="0.25">
      <c r="A426" t="s">
        <v>76</v>
      </c>
      <c r="B426" t="s">
        <v>874</v>
      </c>
      <c r="C426" t="s">
        <v>477</v>
      </c>
      <c r="D426" s="1">
        <v>128286</v>
      </c>
      <c r="E426" s="1">
        <v>1119</v>
      </c>
      <c r="F426" s="1">
        <v>0</v>
      </c>
      <c r="G426" s="1">
        <v>0</v>
      </c>
      <c r="H426" s="1">
        <v>0</v>
      </c>
      <c r="I426" s="1">
        <v>123088</v>
      </c>
      <c r="J426" s="1">
        <v>41354</v>
      </c>
    </row>
    <row r="427" spans="1:10" x14ac:dyDescent="0.25">
      <c r="A427" t="s">
        <v>76</v>
      </c>
      <c r="B427" t="s">
        <v>874</v>
      </c>
      <c r="C427" t="s">
        <v>478</v>
      </c>
      <c r="D427" s="1">
        <v>132588</v>
      </c>
      <c r="E427" s="1">
        <v>794</v>
      </c>
      <c r="F427" s="1">
        <v>0</v>
      </c>
      <c r="G427" s="1">
        <v>0</v>
      </c>
      <c r="H427" s="1">
        <v>0</v>
      </c>
      <c r="I427" s="1">
        <v>57459</v>
      </c>
      <c r="J427" s="1">
        <v>39796</v>
      </c>
    </row>
    <row r="428" spans="1:10" x14ac:dyDescent="0.25">
      <c r="A428" t="s">
        <v>823</v>
      </c>
      <c r="B428" t="s">
        <v>874</v>
      </c>
      <c r="C428" t="s">
        <v>479</v>
      </c>
      <c r="D428" s="1">
        <v>106833</v>
      </c>
      <c r="E428" s="1">
        <v>908</v>
      </c>
      <c r="F428" s="1">
        <v>0</v>
      </c>
      <c r="G428" s="1">
        <v>0</v>
      </c>
      <c r="H428" s="1">
        <v>0</v>
      </c>
      <c r="I428" s="1">
        <v>53543</v>
      </c>
      <c r="J428" s="1">
        <v>21560</v>
      </c>
    </row>
    <row r="429" spans="1:10" x14ac:dyDescent="0.25">
      <c r="A429" t="s">
        <v>83</v>
      </c>
      <c r="B429" t="s">
        <v>874</v>
      </c>
      <c r="C429" t="s">
        <v>480</v>
      </c>
      <c r="D429" s="1">
        <v>36034</v>
      </c>
      <c r="E429" s="1">
        <v>100</v>
      </c>
      <c r="F429" s="1">
        <v>0</v>
      </c>
      <c r="G429" s="1">
        <v>0</v>
      </c>
      <c r="H429" s="1">
        <v>0</v>
      </c>
      <c r="I429" s="1">
        <v>31983</v>
      </c>
      <c r="J429" s="1">
        <v>14072</v>
      </c>
    </row>
    <row r="430" spans="1:10" x14ac:dyDescent="0.25">
      <c r="A430" t="s">
        <v>512</v>
      </c>
      <c r="B430" t="s">
        <v>874</v>
      </c>
      <c r="C430" t="s">
        <v>481</v>
      </c>
      <c r="D430" s="1">
        <v>45787</v>
      </c>
      <c r="E430" s="1">
        <v>415</v>
      </c>
      <c r="F430" s="1">
        <v>0</v>
      </c>
      <c r="G430" s="1">
        <v>0</v>
      </c>
      <c r="H430" s="1">
        <v>0</v>
      </c>
      <c r="I430" s="1">
        <v>6191</v>
      </c>
      <c r="J430" s="1">
        <v>10145</v>
      </c>
    </row>
    <row r="431" spans="1:10" x14ac:dyDescent="0.25">
      <c r="A431" t="s">
        <v>824</v>
      </c>
      <c r="B431" t="s">
        <v>874</v>
      </c>
      <c r="C431" t="s">
        <v>482</v>
      </c>
      <c r="D431" s="1">
        <v>22808</v>
      </c>
      <c r="E431" s="1">
        <v>399</v>
      </c>
      <c r="F431" s="1">
        <v>0</v>
      </c>
      <c r="G431" s="1">
        <v>0</v>
      </c>
      <c r="H431" s="1">
        <v>0</v>
      </c>
      <c r="I431" s="1">
        <v>15401</v>
      </c>
      <c r="J431" s="1">
        <v>6939</v>
      </c>
    </row>
    <row r="432" spans="1:10" x14ac:dyDescent="0.25">
      <c r="A432" t="s">
        <v>248</v>
      </c>
      <c r="B432" t="s">
        <v>874</v>
      </c>
      <c r="C432" t="s">
        <v>483</v>
      </c>
      <c r="D432" s="1">
        <v>65477</v>
      </c>
      <c r="E432" s="1">
        <v>186</v>
      </c>
      <c r="F432" s="1">
        <v>0</v>
      </c>
      <c r="G432" s="1">
        <v>0</v>
      </c>
      <c r="H432" s="1">
        <v>0</v>
      </c>
      <c r="I432" s="1">
        <v>183815</v>
      </c>
      <c r="J432" s="1">
        <v>9140</v>
      </c>
    </row>
    <row r="433" spans="1:10" x14ac:dyDescent="0.25">
      <c r="A433" t="s">
        <v>801</v>
      </c>
      <c r="B433" t="s">
        <v>874</v>
      </c>
      <c r="C433" t="s">
        <v>484</v>
      </c>
      <c r="D433" s="1">
        <v>72231</v>
      </c>
      <c r="E433" s="1">
        <v>31</v>
      </c>
      <c r="F433" s="1">
        <v>0</v>
      </c>
      <c r="G433" s="1">
        <v>0</v>
      </c>
      <c r="H433" s="1">
        <v>0</v>
      </c>
      <c r="I433" s="1">
        <v>226470</v>
      </c>
      <c r="J433" s="1">
        <v>30900</v>
      </c>
    </row>
    <row r="434" spans="1:10" x14ac:dyDescent="0.25">
      <c r="A434" t="s">
        <v>818</v>
      </c>
      <c r="B434" t="s">
        <v>874</v>
      </c>
      <c r="C434" t="s">
        <v>485</v>
      </c>
      <c r="D434" s="1">
        <v>52951</v>
      </c>
      <c r="E434" s="1">
        <v>54</v>
      </c>
      <c r="F434" s="1">
        <v>0</v>
      </c>
      <c r="G434" s="1">
        <v>0</v>
      </c>
      <c r="H434" s="1">
        <v>0</v>
      </c>
      <c r="I434" s="1">
        <v>32699</v>
      </c>
      <c r="J434" s="1">
        <v>12636</v>
      </c>
    </row>
    <row r="435" spans="1:10" x14ac:dyDescent="0.25">
      <c r="A435" t="s">
        <v>797</v>
      </c>
      <c r="B435" t="s">
        <v>874</v>
      </c>
      <c r="C435" t="s">
        <v>486</v>
      </c>
      <c r="D435" s="1">
        <v>101699</v>
      </c>
      <c r="E435" s="1">
        <v>81</v>
      </c>
      <c r="F435" s="1">
        <v>0</v>
      </c>
      <c r="G435" s="1">
        <v>0</v>
      </c>
      <c r="H435" s="1">
        <v>0</v>
      </c>
      <c r="I435" s="1">
        <v>23882</v>
      </c>
      <c r="J435" s="1">
        <v>11068</v>
      </c>
    </row>
    <row r="436" spans="1:10" x14ac:dyDescent="0.25">
      <c r="A436" t="s">
        <v>804</v>
      </c>
      <c r="B436" t="s">
        <v>874</v>
      </c>
      <c r="C436" t="s">
        <v>487</v>
      </c>
      <c r="D436" s="1">
        <v>79509</v>
      </c>
      <c r="E436" s="1">
        <v>23</v>
      </c>
      <c r="F436" s="1">
        <v>0</v>
      </c>
      <c r="G436" s="1">
        <v>0</v>
      </c>
      <c r="H436" s="1">
        <v>0</v>
      </c>
      <c r="I436" s="1">
        <v>44495</v>
      </c>
      <c r="J436" s="1">
        <v>22856</v>
      </c>
    </row>
    <row r="437" spans="1:10" x14ac:dyDescent="0.25">
      <c r="A437" t="s">
        <v>226</v>
      </c>
      <c r="B437" t="s">
        <v>874</v>
      </c>
      <c r="C437" t="s">
        <v>488</v>
      </c>
      <c r="D437" s="1">
        <v>78491</v>
      </c>
      <c r="E437" s="1">
        <v>317</v>
      </c>
      <c r="F437" s="1">
        <v>0</v>
      </c>
      <c r="G437" s="1">
        <v>0</v>
      </c>
      <c r="H437" s="1">
        <v>0</v>
      </c>
      <c r="I437" s="1">
        <v>41499</v>
      </c>
      <c r="J437" s="1">
        <v>19182</v>
      </c>
    </row>
    <row r="438" spans="1:10" x14ac:dyDescent="0.25">
      <c r="A438" t="s">
        <v>795</v>
      </c>
      <c r="B438" t="s">
        <v>874</v>
      </c>
      <c r="C438" t="s">
        <v>489</v>
      </c>
      <c r="D438" s="1">
        <v>50969</v>
      </c>
      <c r="E438" s="1">
        <v>119</v>
      </c>
      <c r="F438" s="1">
        <v>0</v>
      </c>
      <c r="G438" s="1">
        <v>0</v>
      </c>
      <c r="H438" s="1">
        <v>0</v>
      </c>
      <c r="I438" s="1">
        <v>60477</v>
      </c>
      <c r="J438" s="1">
        <v>10121</v>
      </c>
    </row>
    <row r="439" spans="1:10" x14ac:dyDescent="0.25">
      <c r="A439" t="s">
        <v>10</v>
      </c>
      <c r="B439" t="s">
        <v>874</v>
      </c>
      <c r="C439" t="s">
        <v>490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</row>
    <row r="440" spans="1:10" x14ac:dyDescent="0.25">
      <c r="A440" t="s">
        <v>801</v>
      </c>
      <c r="B440" t="s">
        <v>874</v>
      </c>
      <c r="C440" t="s">
        <v>491</v>
      </c>
      <c r="D440" s="1">
        <v>65707</v>
      </c>
      <c r="E440" s="1">
        <v>1599</v>
      </c>
      <c r="F440" s="1">
        <v>0</v>
      </c>
      <c r="G440" s="1">
        <v>0</v>
      </c>
      <c r="H440" s="1">
        <v>0</v>
      </c>
      <c r="I440" s="1">
        <v>130635</v>
      </c>
      <c r="J440" s="1">
        <v>30250</v>
      </c>
    </row>
    <row r="441" spans="1:10" x14ac:dyDescent="0.25">
      <c r="A441" t="s">
        <v>818</v>
      </c>
      <c r="B441" t="s">
        <v>874</v>
      </c>
      <c r="C441" t="s">
        <v>492</v>
      </c>
      <c r="D441" s="1">
        <v>32013</v>
      </c>
      <c r="E441" s="1">
        <v>128</v>
      </c>
      <c r="F441" s="1">
        <v>0</v>
      </c>
      <c r="G441" s="1">
        <v>0</v>
      </c>
      <c r="H441" s="1">
        <v>0</v>
      </c>
      <c r="I441" s="1">
        <v>47309</v>
      </c>
      <c r="J441" s="1">
        <v>7523</v>
      </c>
    </row>
    <row r="442" spans="1:10" x14ac:dyDescent="0.25">
      <c r="A442" t="s">
        <v>791</v>
      </c>
      <c r="B442" t="s">
        <v>874</v>
      </c>
      <c r="C442" t="s">
        <v>493</v>
      </c>
      <c r="D442" s="1">
        <v>34831</v>
      </c>
      <c r="E442" s="1">
        <v>745</v>
      </c>
      <c r="F442" s="1">
        <v>0</v>
      </c>
      <c r="G442" s="1">
        <v>0</v>
      </c>
      <c r="H442" s="1">
        <v>0</v>
      </c>
      <c r="I442" s="1">
        <v>61229</v>
      </c>
      <c r="J442" s="1">
        <v>5008</v>
      </c>
    </row>
    <row r="443" spans="1:10" x14ac:dyDescent="0.25">
      <c r="A443" t="s">
        <v>138</v>
      </c>
      <c r="B443" t="s">
        <v>874</v>
      </c>
      <c r="C443" t="s">
        <v>494</v>
      </c>
      <c r="D443" s="1">
        <v>29382</v>
      </c>
      <c r="E443" s="1">
        <v>86</v>
      </c>
      <c r="F443" s="1">
        <v>0</v>
      </c>
      <c r="G443" s="1">
        <v>0</v>
      </c>
      <c r="H443" s="1">
        <v>0</v>
      </c>
      <c r="I443" s="1">
        <v>62772</v>
      </c>
      <c r="J443" s="1">
        <v>6042</v>
      </c>
    </row>
    <row r="444" spans="1:10" x14ac:dyDescent="0.25">
      <c r="A444" t="s">
        <v>495</v>
      </c>
      <c r="B444" t="s">
        <v>874</v>
      </c>
      <c r="C444" t="s">
        <v>496</v>
      </c>
      <c r="D444" s="1">
        <v>285771</v>
      </c>
      <c r="E444" s="1">
        <v>822</v>
      </c>
      <c r="F444" s="1">
        <v>0</v>
      </c>
      <c r="G444" s="1">
        <v>0</v>
      </c>
      <c r="H444" s="1">
        <v>0</v>
      </c>
      <c r="I444" s="1">
        <v>77722</v>
      </c>
      <c r="J444" s="1">
        <v>76025</v>
      </c>
    </row>
    <row r="445" spans="1:10" x14ac:dyDescent="0.25">
      <c r="A445" t="s">
        <v>791</v>
      </c>
      <c r="B445" t="s">
        <v>874</v>
      </c>
      <c r="C445" t="s">
        <v>497</v>
      </c>
      <c r="D445" s="1">
        <v>24287</v>
      </c>
      <c r="E445" s="1">
        <v>143</v>
      </c>
      <c r="F445" s="1">
        <v>0</v>
      </c>
      <c r="G445" s="1">
        <v>0</v>
      </c>
      <c r="H445" s="1">
        <v>0</v>
      </c>
      <c r="I445" s="1">
        <v>22546</v>
      </c>
      <c r="J445" s="1">
        <v>9881</v>
      </c>
    </row>
    <row r="446" spans="1:10" x14ac:dyDescent="0.25">
      <c r="A446" s="27" t="s">
        <v>10</v>
      </c>
      <c r="B446" s="27" t="s">
        <v>874</v>
      </c>
      <c r="C446" s="27" t="s">
        <v>782</v>
      </c>
      <c r="D446" s="32"/>
      <c r="E446" s="32"/>
      <c r="F446" s="32"/>
      <c r="G446" s="32"/>
      <c r="H446" s="32"/>
      <c r="I446" s="32"/>
      <c r="J446" s="32"/>
    </row>
    <row r="447" spans="1:10" x14ac:dyDescent="0.25">
      <c r="A447" s="27" t="s">
        <v>10</v>
      </c>
      <c r="B447" s="27" t="s">
        <v>874</v>
      </c>
      <c r="C447" s="27" t="s">
        <v>783</v>
      </c>
      <c r="D447" s="32"/>
      <c r="E447" s="32"/>
      <c r="F447" s="32"/>
      <c r="G447" s="32"/>
      <c r="H447" s="32"/>
      <c r="I447" s="32"/>
      <c r="J447" s="32"/>
    </row>
    <row r="448" spans="1:10" x14ac:dyDescent="0.25">
      <c r="A448" s="27" t="s">
        <v>10</v>
      </c>
      <c r="B448" s="27" t="s">
        <v>874</v>
      </c>
      <c r="C448" s="27" t="s">
        <v>784</v>
      </c>
      <c r="D448" s="32"/>
      <c r="E448" s="32"/>
      <c r="F448" s="32"/>
      <c r="G448" s="32"/>
      <c r="H448" s="32"/>
      <c r="I448" s="32"/>
      <c r="J448" s="32"/>
    </row>
    <row r="449" spans="1:10" x14ac:dyDescent="0.25">
      <c r="A449" s="27" t="s">
        <v>10</v>
      </c>
      <c r="B449" s="27" t="s">
        <v>874</v>
      </c>
      <c r="C449" s="27" t="s">
        <v>785</v>
      </c>
      <c r="D449" s="32"/>
      <c r="E449" s="32"/>
      <c r="F449" s="32"/>
      <c r="G449" s="32"/>
      <c r="H449" s="32"/>
      <c r="I449" s="32"/>
      <c r="J449" s="32"/>
    </row>
    <row r="450" spans="1:10" x14ac:dyDescent="0.25">
      <c r="A450" t="s">
        <v>10</v>
      </c>
      <c r="B450" t="s">
        <v>874</v>
      </c>
      <c r="C450" t="s">
        <v>498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</row>
    <row r="451" spans="1:10" x14ac:dyDescent="0.25">
      <c r="A451" s="27" t="s">
        <v>10</v>
      </c>
      <c r="B451" s="27" t="s">
        <v>874</v>
      </c>
      <c r="C451" s="27" t="s">
        <v>786</v>
      </c>
      <c r="D451" s="32"/>
      <c r="E451" s="32"/>
      <c r="F451" s="32"/>
      <c r="G451" s="32"/>
      <c r="H451" s="32"/>
      <c r="I451" s="32"/>
      <c r="J451" s="32"/>
    </row>
    <row r="452" spans="1:10" x14ac:dyDescent="0.25">
      <c r="A452" t="s">
        <v>10</v>
      </c>
      <c r="B452" t="s">
        <v>874</v>
      </c>
      <c r="C452" t="s">
        <v>499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</row>
    <row r="453" spans="1:10" x14ac:dyDescent="0.25">
      <c r="A453" t="s">
        <v>10</v>
      </c>
      <c r="B453" t="s">
        <v>874</v>
      </c>
      <c r="C453" t="s">
        <v>500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</row>
    <row r="454" spans="1:10" x14ac:dyDescent="0.25">
      <c r="A454" t="s">
        <v>76</v>
      </c>
      <c r="B454" t="s">
        <v>878</v>
      </c>
      <c r="C454" t="s">
        <v>501</v>
      </c>
      <c r="D454" s="1">
        <v>17306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</row>
    <row r="455" spans="1:10" x14ac:dyDescent="0.25">
      <c r="A455" t="s">
        <v>231</v>
      </c>
      <c r="B455" t="s">
        <v>878</v>
      </c>
      <c r="C455" t="s">
        <v>502</v>
      </c>
      <c r="D455" s="1">
        <v>3961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</row>
    <row r="456" spans="1:10" x14ac:dyDescent="0.25">
      <c r="A456" t="s">
        <v>831</v>
      </c>
      <c r="B456" t="s">
        <v>878</v>
      </c>
      <c r="C456" t="s">
        <v>503</v>
      </c>
      <c r="D456" s="1">
        <v>1644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</row>
    <row r="457" spans="1:10" x14ac:dyDescent="0.25">
      <c r="A457" t="s">
        <v>76</v>
      </c>
      <c r="B457" t="s">
        <v>878</v>
      </c>
      <c r="C457" t="s">
        <v>504</v>
      </c>
      <c r="D457" s="1">
        <v>38986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</row>
    <row r="458" spans="1:10" x14ac:dyDescent="0.25">
      <c r="A458" t="s">
        <v>817</v>
      </c>
      <c r="B458" t="s">
        <v>878</v>
      </c>
      <c r="C458" t="s">
        <v>505</v>
      </c>
      <c r="D458" s="1">
        <v>10733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</row>
    <row r="459" spans="1:10" x14ac:dyDescent="0.25">
      <c r="A459" t="s">
        <v>824</v>
      </c>
      <c r="B459" t="s">
        <v>878</v>
      </c>
      <c r="C459" t="s">
        <v>506</v>
      </c>
      <c r="D459" s="1">
        <v>8749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</row>
    <row r="460" spans="1:10" x14ac:dyDescent="0.25">
      <c r="A460" s="9" t="s">
        <v>817</v>
      </c>
      <c r="B460" t="s">
        <v>878</v>
      </c>
      <c r="C460" t="s">
        <v>507</v>
      </c>
      <c r="D460" s="1">
        <v>14504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</row>
    <row r="461" spans="1:10" x14ac:dyDescent="0.25">
      <c r="A461" t="s">
        <v>859</v>
      </c>
      <c r="B461" t="s">
        <v>878</v>
      </c>
      <c r="C461" t="s">
        <v>508</v>
      </c>
      <c r="D461" s="1"/>
      <c r="E461" s="1"/>
      <c r="F461" s="1"/>
      <c r="G461" s="1"/>
      <c r="H461" s="1"/>
      <c r="I461" s="1"/>
      <c r="J461" s="1"/>
    </row>
    <row r="462" spans="1:10" x14ac:dyDescent="0.25">
      <c r="A462" t="s">
        <v>801</v>
      </c>
      <c r="B462" t="s">
        <v>878</v>
      </c>
      <c r="C462" t="s">
        <v>509</v>
      </c>
      <c r="D462" s="1">
        <v>771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</row>
    <row r="463" spans="1:10" x14ac:dyDescent="0.25">
      <c r="A463" t="s">
        <v>801</v>
      </c>
      <c r="B463" t="s">
        <v>878</v>
      </c>
      <c r="C463" t="s">
        <v>510</v>
      </c>
      <c r="D463" s="1">
        <v>33556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</row>
    <row r="464" spans="1:10" x14ac:dyDescent="0.25">
      <c r="A464" t="s">
        <v>831</v>
      </c>
      <c r="B464" t="s">
        <v>878</v>
      </c>
      <c r="C464" t="s">
        <v>511</v>
      </c>
      <c r="D464" s="1">
        <v>3660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</row>
    <row r="465" spans="1:10" x14ac:dyDescent="0.25">
      <c r="A465" t="s">
        <v>816</v>
      </c>
      <c r="B465" t="s">
        <v>878</v>
      </c>
      <c r="C465" t="s">
        <v>513</v>
      </c>
      <c r="D465" s="1">
        <v>5412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</row>
    <row r="466" spans="1:10" x14ac:dyDescent="0.25">
      <c r="A466" t="s">
        <v>817</v>
      </c>
      <c r="B466" t="s">
        <v>878</v>
      </c>
      <c r="C466" t="s">
        <v>514</v>
      </c>
      <c r="D466" s="1">
        <v>9773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</row>
    <row r="467" spans="1:10" x14ac:dyDescent="0.25">
      <c r="A467" t="s">
        <v>801</v>
      </c>
      <c r="B467" t="s">
        <v>878</v>
      </c>
      <c r="C467" t="s">
        <v>515</v>
      </c>
      <c r="D467" s="1">
        <v>4527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</row>
    <row r="468" spans="1:10" x14ac:dyDescent="0.25">
      <c r="A468" t="s">
        <v>848</v>
      </c>
      <c r="B468" t="s">
        <v>878</v>
      </c>
      <c r="C468" t="s">
        <v>516</v>
      </c>
      <c r="D468" s="1">
        <v>5554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</row>
    <row r="469" spans="1:10" x14ac:dyDescent="0.25">
      <c r="A469" t="s">
        <v>797</v>
      </c>
      <c r="B469" t="s">
        <v>878</v>
      </c>
      <c r="C469" t="s">
        <v>517</v>
      </c>
      <c r="D469" s="1">
        <v>8920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</row>
    <row r="470" spans="1:10" x14ac:dyDescent="0.25">
      <c r="A470" t="s">
        <v>811</v>
      </c>
      <c r="B470" t="s">
        <v>878</v>
      </c>
      <c r="C470" t="s">
        <v>518</v>
      </c>
      <c r="D470" s="1">
        <v>32291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</row>
    <row r="471" spans="1:10" x14ac:dyDescent="0.25">
      <c r="A471" t="s">
        <v>226</v>
      </c>
      <c r="B471" t="s">
        <v>878</v>
      </c>
      <c r="C471" t="s">
        <v>519</v>
      </c>
      <c r="D471" s="1">
        <v>1772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</row>
    <row r="472" spans="1:10" x14ac:dyDescent="0.25">
      <c r="A472" t="s">
        <v>76</v>
      </c>
      <c r="B472" t="s">
        <v>878</v>
      </c>
      <c r="C472" t="s">
        <v>520</v>
      </c>
      <c r="D472" s="1">
        <v>16988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</row>
    <row r="473" spans="1:10" x14ac:dyDescent="0.25">
      <c r="A473" t="s">
        <v>831</v>
      </c>
      <c r="B473" t="s">
        <v>878</v>
      </c>
      <c r="C473" t="s">
        <v>521</v>
      </c>
      <c r="D473" s="1">
        <v>33979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</row>
    <row r="474" spans="1:10" x14ac:dyDescent="0.25">
      <c r="A474" t="s">
        <v>806</v>
      </c>
      <c r="B474" t="s">
        <v>878</v>
      </c>
      <c r="C474" t="s">
        <v>522</v>
      </c>
      <c r="D474" s="1">
        <v>5325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</row>
    <row r="475" spans="1:10" x14ac:dyDescent="0.25">
      <c r="A475" t="s">
        <v>823</v>
      </c>
      <c r="B475" t="s">
        <v>878</v>
      </c>
      <c r="C475" t="s">
        <v>523</v>
      </c>
      <c r="D475" s="1">
        <v>32774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</row>
    <row r="476" spans="1:10" x14ac:dyDescent="0.25">
      <c r="A476" t="s">
        <v>248</v>
      </c>
      <c r="B476" t="s">
        <v>878</v>
      </c>
      <c r="C476" t="s">
        <v>524</v>
      </c>
      <c r="D476" s="1">
        <v>6665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</row>
    <row r="477" spans="1:10" x14ac:dyDescent="0.25">
      <c r="A477" t="s">
        <v>231</v>
      </c>
      <c r="B477" t="s">
        <v>878</v>
      </c>
      <c r="C477" t="s">
        <v>525</v>
      </c>
      <c r="D477" s="1">
        <v>6835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</row>
    <row r="478" spans="1:10" x14ac:dyDescent="0.25">
      <c r="A478" t="s">
        <v>76</v>
      </c>
      <c r="B478" t="s">
        <v>878</v>
      </c>
      <c r="C478" t="s">
        <v>526</v>
      </c>
      <c r="D478" s="1">
        <v>2948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</row>
    <row r="479" spans="1:10" x14ac:dyDescent="0.25">
      <c r="A479" t="s">
        <v>804</v>
      </c>
      <c r="B479" t="s">
        <v>878</v>
      </c>
      <c r="C479" t="s">
        <v>527</v>
      </c>
      <c r="D479" s="1">
        <v>36912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</row>
    <row r="480" spans="1:10" x14ac:dyDescent="0.25">
      <c r="A480" t="s">
        <v>76</v>
      </c>
      <c r="B480" t="s">
        <v>878</v>
      </c>
      <c r="C480" t="s">
        <v>528</v>
      </c>
      <c r="D480" s="1">
        <v>1325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</row>
    <row r="481" spans="1:10" x14ac:dyDescent="0.25">
      <c r="A481" t="s">
        <v>801</v>
      </c>
      <c r="B481" t="s">
        <v>878</v>
      </c>
      <c r="C481" t="s">
        <v>529</v>
      </c>
      <c r="D481" s="1">
        <v>17912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</row>
    <row r="482" spans="1:10" x14ac:dyDescent="0.25">
      <c r="A482" t="s">
        <v>795</v>
      </c>
      <c r="B482" t="s">
        <v>878</v>
      </c>
      <c r="C482" t="s">
        <v>530</v>
      </c>
      <c r="D482" s="1">
        <v>130207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</row>
    <row r="483" spans="1:10" x14ac:dyDescent="0.25">
      <c r="A483" t="s">
        <v>848</v>
      </c>
      <c r="B483" t="s">
        <v>878</v>
      </c>
      <c r="C483" t="s">
        <v>531</v>
      </c>
      <c r="D483" s="1">
        <v>5846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</row>
    <row r="484" spans="1:10" x14ac:dyDescent="0.25">
      <c r="A484" t="s">
        <v>824</v>
      </c>
      <c r="B484" t="s">
        <v>878</v>
      </c>
      <c r="C484" t="s">
        <v>532</v>
      </c>
      <c r="D484" s="1">
        <v>14654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</row>
    <row r="485" spans="1:10" x14ac:dyDescent="0.25">
      <c r="A485" t="s">
        <v>76</v>
      </c>
      <c r="B485" t="s">
        <v>878</v>
      </c>
      <c r="C485" t="s">
        <v>533</v>
      </c>
      <c r="D485" s="1">
        <v>1831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</row>
    <row r="486" spans="1:10" x14ac:dyDescent="0.25">
      <c r="A486" t="s">
        <v>101</v>
      </c>
      <c r="B486" t="s">
        <v>878</v>
      </c>
      <c r="C486" t="s">
        <v>534</v>
      </c>
      <c r="D486" s="1">
        <v>10480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</row>
    <row r="487" spans="1:10" x14ac:dyDescent="0.25">
      <c r="A487" t="s">
        <v>803</v>
      </c>
      <c r="B487" t="s">
        <v>878</v>
      </c>
      <c r="C487" t="s">
        <v>535</v>
      </c>
      <c r="D487" s="1"/>
      <c r="E487" s="1"/>
      <c r="F487" s="1"/>
      <c r="G487" s="1"/>
      <c r="H487" s="1"/>
      <c r="I487" s="1"/>
      <c r="J487" s="1"/>
    </row>
    <row r="488" spans="1:10" x14ac:dyDescent="0.25">
      <c r="A488" t="s">
        <v>120</v>
      </c>
      <c r="B488" t="s">
        <v>878</v>
      </c>
      <c r="C488" t="s">
        <v>536</v>
      </c>
      <c r="D488" s="1">
        <v>6794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</row>
    <row r="489" spans="1:10" x14ac:dyDescent="0.25">
      <c r="A489" t="s">
        <v>817</v>
      </c>
      <c r="B489" t="s">
        <v>878</v>
      </c>
      <c r="C489" t="s">
        <v>537</v>
      </c>
      <c r="D489" s="1">
        <v>43326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</row>
    <row r="490" spans="1:10" x14ac:dyDescent="0.25">
      <c r="A490" t="s">
        <v>811</v>
      </c>
      <c r="B490" t="s">
        <v>878</v>
      </c>
      <c r="C490" t="s">
        <v>538</v>
      </c>
      <c r="D490" s="1">
        <v>160318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</row>
    <row r="491" spans="1:10" x14ac:dyDescent="0.25">
      <c r="A491" t="s">
        <v>817</v>
      </c>
      <c r="B491" t="s">
        <v>878</v>
      </c>
      <c r="C491" t="s">
        <v>539</v>
      </c>
      <c r="D491" s="1">
        <v>13140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</row>
    <row r="492" spans="1:10" x14ac:dyDescent="0.25">
      <c r="A492" t="s">
        <v>146</v>
      </c>
      <c r="B492" t="s">
        <v>878</v>
      </c>
      <c r="C492" t="s">
        <v>540</v>
      </c>
      <c r="D492" s="1">
        <v>21911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</row>
    <row r="493" spans="1:10" x14ac:dyDescent="0.25">
      <c r="A493" t="s">
        <v>817</v>
      </c>
      <c r="B493" t="s">
        <v>878</v>
      </c>
      <c r="C493" t="s">
        <v>541</v>
      </c>
      <c r="D493" s="1">
        <v>23567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</row>
    <row r="494" spans="1:10" x14ac:dyDescent="0.25">
      <c r="A494" t="s">
        <v>72</v>
      </c>
      <c r="B494" t="s">
        <v>878</v>
      </c>
      <c r="C494" t="s">
        <v>542</v>
      </c>
      <c r="D494" s="1">
        <v>27928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</row>
    <row r="495" spans="1:10" x14ac:dyDescent="0.25">
      <c r="A495" t="s">
        <v>848</v>
      </c>
      <c r="B495" t="s">
        <v>878</v>
      </c>
      <c r="C495" t="s">
        <v>543</v>
      </c>
      <c r="D495" s="1"/>
      <c r="E495" s="1"/>
      <c r="F495" s="1"/>
      <c r="G495" s="1"/>
      <c r="H495" s="1"/>
      <c r="I495" s="1"/>
      <c r="J495" s="1"/>
    </row>
    <row r="496" spans="1:10" x14ac:dyDescent="0.25">
      <c r="A496" t="s">
        <v>83</v>
      </c>
      <c r="B496" t="s">
        <v>878</v>
      </c>
      <c r="C496" t="s">
        <v>544</v>
      </c>
      <c r="D496" s="1">
        <v>1494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</row>
    <row r="497" spans="1:10" x14ac:dyDescent="0.25">
      <c r="A497" t="s">
        <v>248</v>
      </c>
      <c r="B497" t="s">
        <v>878</v>
      </c>
      <c r="C497" t="s">
        <v>545</v>
      </c>
      <c r="D497" s="1">
        <v>9397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</row>
    <row r="498" spans="1:10" x14ac:dyDescent="0.25">
      <c r="A498" t="s">
        <v>76</v>
      </c>
      <c r="B498" t="s">
        <v>878</v>
      </c>
      <c r="C498" t="s">
        <v>546</v>
      </c>
      <c r="D498" s="1">
        <v>6135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</row>
    <row r="499" spans="1:10" x14ac:dyDescent="0.25">
      <c r="A499" t="s">
        <v>495</v>
      </c>
      <c r="B499" t="s">
        <v>878</v>
      </c>
      <c r="C499" t="s">
        <v>547</v>
      </c>
      <c r="D499" s="1">
        <v>27208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</row>
    <row r="500" spans="1:10" x14ac:dyDescent="0.25">
      <c r="A500" t="s">
        <v>825</v>
      </c>
      <c r="B500" t="s">
        <v>878</v>
      </c>
      <c r="C500" t="s">
        <v>548</v>
      </c>
      <c r="D500" s="1">
        <v>13302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</row>
    <row r="501" spans="1:10" x14ac:dyDescent="0.25">
      <c r="A501" t="s">
        <v>72</v>
      </c>
      <c r="B501" t="s">
        <v>878</v>
      </c>
      <c r="C501" t="s">
        <v>549</v>
      </c>
      <c r="D501" s="1">
        <v>37701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</row>
    <row r="502" spans="1:10" x14ac:dyDescent="0.25">
      <c r="A502" t="s">
        <v>134</v>
      </c>
      <c r="B502" t="s">
        <v>878</v>
      </c>
      <c r="C502" t="s">
        <v>550</v>
      </c>
      <c r="D502" s="1">
        <v>27045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</row>
    <row r="503" spans="1:10" x14ac:dyDescent="0.25">
      <c r="A503" t="s">
        <v>795</v>
      </c>
      <c r="B503" t="s">
        <v>878</v>
      </c>
      <c r="C503" t="s">
        <v>551</v>
      </c>
      <c r="D503" s="1">
        <v>12805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</row>
    <row r="504" spans="1:10" x14ac:dyDescent="0.25">
      <c r="A504" t="s">
        <v>76</v>
      </c>
      <c r="B504" t="s">
        <v>878</v>
      </c>
      <c r="C504" t="s">
        <v>552</v>
      </c>
      <c r="D504" s="1">
        <v>3051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</row>
    <row r="505" spans="1:10" x14ac:dyDescent="0.25">
      <c r="A505" t="s">
        <v>824</v>
      </c>
      <c r="B505" t="s">
        <v>878</v>
      </c>
      <c r="C505" t="s">
        <v>553</v>
      </c>
      <c r="D505" s="1">
        <v>2629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</row>
    <row r="506" spans="1:10" x14ac:dyDescent="0.25">
      <c r="A506" t="s">
        <v>512</v>
      </c>
      <c r="B506" t="s">
        <v>878</v>
      </c>
      <c r="C506" t="s">
        <v>554</v>
      </c>
      <c r="D506" s="1">
        <v>18874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</row>
    <row r="507" spans="1:10" x14ac:dyDescent="0.25">
      <c r="A507" t="s">
        <v>788</v>
      </c>
      <c r="B507" t="s">
        <v>878</v>
      </c>
      <c r="C507" t="s">
        <v>555</v>
      </c>
      <c r="D507" s="1">
        <v>85206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</row>
    <row r="508" spans="1:10" x14ac:dyDescent="0.25">
      <c r="A508" t="s">
        <v>101</v>
      </c>
      <c r="B508" t="s">
        <v>878</v>
      </c>
      <c r="C508" t="s">
        <v>556</v>
      </c>
      <c r="D508" s="1">
        <v>34545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</row>
    <row r="509" spans="1:10" x14ac:dyDescent="0.25">
      <c r="A509" t="s">
        <v>231</v>
      </c>
      <c r="B509" t="s">
        <v>878</v>
      </c>
      <c r="C509" t="s">
        <v>557</v>
      </c>
      <c r="D509" s="1">
        <v>15650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</row>
    <row r="510" spans="1:10" x14ac:dyDescent="0.25">
      <c r="A510" t="s">
        <v>817</v>
      </c>
      <c r="B510" t="s">
        <v>878</v>
      </c>
      <c r="C510" t="s">
        <v>558</v>
      </c>
      <c r="D510" s="1">
        <v>9313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</row>
    <row r="511" spans="1:10" x14ac:dyDescent="0.25">
      <c r="A511" t="s">
        <v>76</v>
      </c>
      <c r="B511" t="s">
        <v>878</v>
      </c>
      <c r="C511" t="s">
        <v>559</v>
      </c>
      <c r="D511" s="1">
        <v>9881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</row>
    <row r="512" spans="1:10" x14ac:dyDescent="0.25">
      <c r="A512" t="s">
        <v>801</v>
      </c>
      <c r="B512" t="s">
        <v>878</v>
      </c>
      <c r="C512" t="s">
        <v>560</v>
      </c>
      <c r="D512" s="1">
        <v>47954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</row>
    <row r="513" spans="1:10" x14ac:dyDescent="0.25">
      <c r="A513" t="s">
        <v>796</v>
      </c>
      <c r="B513" t="s">
        <v>878</v>
      </c>
      <c r="C513" t="s">
        <v>561</v>
      </c>
      <c r="D513" s="1">
        <v>12191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</row>
    <row r="514" spans="1:10" x14ac:dyDescent="0.25">
      <c r="A514" t="s">
        <v>817</v>
      </c>
      <c r="B514" t="s">
        <v>878</v>
      </c>
      <c r="C514" t="s">
        <v>562</v>
      </c>
      <c r="D514" s="1">
        <v>10685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</row>
    <row r="515" spans="1:10" x14ac:dyDescent="0.25">
      <c r="A515" t="s">
        <v>248</v>
      </c>
      <c r="B515" t="s">
        <v>878</v>
      </c>
      <c r="C515" t="s">
        <v>563</v>
      </c>
      <c r="D515" s="1">
        <v>43328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</row>
    <row r="516" spans="1:10" x14ac:dyDescent="0.25">
      <c r="A516" t="s">
        <v>791</v>
      </c>
      <c r="B516" t="s">
        <v>878</v>
      </c>
      <c r="C516" t="s">
        <v>564</v>
      </c>
      <c r="D516" s="1">
        <v>9131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</row>
    <row r="517" spans="1:10" x14ac:dyDescent="0.25">
      <c r="A517" t="s">
        <v>69</v>
      </c>
      <c r="B517" t="s">
        <v>878</v>
      </c>
      <c r="C517" t="s">
        <v>565</v>
      </c>
      <c r="D517" s="1">
        <v>21660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</row>
    <row r="518" spans="1:10" x14ac:dyDescent="0.25">
      <c r="A518" t="s">
        <v>794</v>
      </c>
      <c r="B518" t="s">
        <v>878</v>
      </c>
      <c r="C518" t="s">
        <v>566</v>
      </c>
      <c r="D518" s="1">
        <v>7519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</row>
    <row r="519" spans="1:10" x14ac:dyDescent="0.25">
      <c r="A519" t="s">
        <v>797</v>
      </c>
      <c r="B519" t="s">
        <v>878</v>
      </c>
      <c r="C519" t="s">
        <v>567</v>
      </c>
      <c r="D519" s="1">
        <v>3436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</row>
    <row r="520" spans="1:10" x14ac:dyDescent="0.25">
      <c r="A520" t="s">
        <v>826</v>
      </c>
      <c r="B520" t="s">
        <v>878</v>
      </c>
      <c r="C520" t="s">
        <v>568</v>
      </c>
      <c r="D520" s="1"/>
      <c r="E520" s="1"/>
      <c r="F520" s="1"/>
      <c r="G520" s="1"/>
      <c r="H520" s="1"/>
      <c r="I520" s="1"/>
      <c r="J520" s="1"/>
    </row>
    <row r="521" spans="1:10" x14ac:dyDescent="0.25">
      <c r="A521" t="s">
        <v>864</v>
      </c>
      <c r="B521" t="s">
        <v>878</v>
      </c>
      <c r="C521" t="s">
        <v>569</v>
      </c>
      <c r="D521" s="1">
        <v>30778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</row>
    <row r="522" spans="1:10" x14ac:dyDescent="0.25">
      <c r="A522" t="s">
        <v>826</v>
      </c>
      <c r="B522" t="s">
        <v>878</v>
      </c>
      <c r="C522" t="s">
        <v>570</v>
      </c>
      <c r="D522" s="1">
        <v>2932</v>
      </c>
      <c r="E522" s="1"/>
      <c r="F522" s="1"/>
      <c r="G522" s="1"/>
      <c r="H522" s="1"/>
      <c r="I522" s="1"/>
      <c r="J522" s="1"/>
    </row>
    <row r="523" spans="1:10" x14ac:dyDescent="0.25">
      <c r="A523" t="s">
        <v>72</v>
      </c>
      <c r="B523" t="s">
        <v>878</v>
      </c>
      <c r="C523" t="s">
        <v>571</v>
      </c>
      <c r="D523" s="1">
        <v>25518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</row>
    <row r="524" spans="1:10" x14ac:dyDescent="0.25">
      <c r="A524" t="s">
        <v>801</v>
      </c>
      <c r="B524" t="s">
        <v>878</v>
      </c>
      <c r="C524" t="s">
        <v>572</v>
      </c>
      <c r="D524" s="1">
        <v>30997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</row>
    <row r="525" spans="1:10" x14ac:dyDescent="0.25">
      <c r="A525" t="s">
        <v>859</v>
      </c>
      <c r="B525" t="s">
        <v>878</v>
      </c>
      <c r="C525" t="s">
        <v>573</v>
      </c>
      <c r="D525" s="1">
        <v>10021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</row>
    <row r="526" spans="1:10" x14ac:dyDescent="0.25">
      <c r="A526" t="s">
        <v>816</v>
      </c>
      <c r="B526" t="s">
        <v>878</v>
      </c>
      <c r="C526" t="s">
        <v>574</v>
      </c>
      <c r="D526" s="1">
        <v>32000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</row>
    <row r="527" spans="1:10" x14ac:dyDescent="0.25">
      <c r="A527" t="s">
        <v>864</v>
      </c>
      <c r="B527" t="s">
        <v>878</v>
      </c>
      <c r="C527" t="s">
        <v>575</v>
      </c>
      <c r="D527" s="1">
        <v>32085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</row>
    <row r="528" spans="1:10" x14ac:dyDescent="0.25">
      <c r="A528" t="s">
        <v>146</v>
      </c>
      <c r="B528" t="s">
        <v>878</v>
      </c>
      <c r="C528" t="s">
        <v>576</v>
      </c>
      <c r="D528" s="1">
        <v>13112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</row>
    <row r="529" spans="1:10" x14ac:dyDescent="0.25">
      <c r="A529" t="s">
        <v>794</v>
      </c>
      <c r="B529" t="s">
        <v>878</v>
      </c>
      <c r="C529" t="s">
        <v>577</v>
      </c>
      <c r="D529" s="1">
        <v>52146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</row>
    <row r="530" spans="1:10" x14ac:dyDescent="0.25">
      <c r="A530" t="s">
        <v>146</v>
      </c>
      <c r="B530" t="s">
        <v>878</v>
      </c>
      <c r="C530" t="s">
        <v>578</v>
      </c>
      <c r="D530" s="1">
        <v>32337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</row>
    <row r="531" spans="1:10" x14ac:dyDescent="0.25">
      <c r="A531" t="s">
        <v>832</v>
      </c>
      <c r="B531" t="s">
        <v>878</v>
      </c>
      <c r="C531" t="s">
        <v>579</v>
      </c>
      <c r="D531" s="1">
        <v>10020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</row>
    <row r="532" spans="1:10" x14ac:dyDescent="0.25">
      <c r="A532" t="s">
        <v>839</v>
      </c>
      <c r="B532" t="s">
        <v>878</v>
      </c>
      <c r="C532" t="s">
        <v>580</v>
      </c>
      <c r="D532" s="1">
        <v>41832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</row>
    <row r="533" spans="1:10" x14ac:dyDescent="0.25">
      <c r="A533" t="s">
        <v>794</v>
      </c>
      <c r="B533" t="s">
        <v>878</v>
      </c>
      <c r="C533" t="s">
        <v>581</v>
      </c>
      <c r="D533" s="1">
        <v>94020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</row>
    <row r="534" spans="1:10" x14ac:dyDescent="0.25">
      <c r="A534" t="s">
        <v>794</v>
      </c>
      <c r="B534" t="s">
        <v>878</v>
      </c>
      <c r="C534" t="s">
        <v>582</v>
      </c>
      <c r="D534" s="1">
        <v>29120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</row>
    <row r="535" spans="1:10" x14ac:dyDescent="0.25">
      <c r="A535" t="s">
        <v>794</v>
      </c>
      <c r="B535" t="s">
        <v>878</v>
      </c>
      <c r="C535" t="s">
        <v>583</v>
      </c>
      <c r="D535" s="1">
        <v>20975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</row>
    <row r="536" spans="1:10" x14ac:dyDescent="0.25">
      <c r="A536" t="s">
        <v>120</v>
      </c>
      <c r="B536" t="s">
        <v>878</v>
      </c>
      <c r="C536" t="s">
        <v>584</v>
      </c>
      <c r="D536" s="1">
        <v>3032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</row>
    <row r="537" spans="1:10" x14ac:dyDescent="0.25">
      <c r="A537" t="s">
        <v>837</v>
      </c>
      <c r="B537" t="s">
        <v>878</v>
      </c>
      <c r="C537" t="s">
        <v>585</v>
      </c>
      <c r="D537" s="1">
        <v>12354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</row>
    <row r="538" spans="1:10" x14ac:dyDescent="0.25">
      <c r="A538" t="s">
        <v>859</v>
      </c>
      <c r="B538" t="s">
        <v>878</v>
      </c>
      <c r="C538" t="s">
        <v>586</v>
      </c>
      <c r="D538" s="1">
        <v>25311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</row>
    <row r="539" spans="1:10" x14ac:dyDescent="0.25">
      <c r="A539" t="s">
        <v>836</v>
      </c>
      <c r="B539" t="s">
        <v>878</v>
      </c>
      <c r="C539" t="s">
        <v>587</v>
      </c>
      <c r="D539" s="1">
        <v>33423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</row>
    <row r="540" spans="1:10" x14ac:dyDescent="0.25">
      <c r="A540" t="s">
        <v>844</v>
      </c>
      <c r="B540" t="s">
        <v>878</v>
      </c>
      <c r="C540" t="s">
        <v>588</v>
      </c>
      <c r="D540" s="1">
        <v>18961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</row>
    <row r="541" spans="1:10" x14ac:dyDescent="0.25">
      <c r="A541" t="s">
        <v>838</v>
      </c>
      <c r="B541" t="s">
        <v>878</v>
      </c>
      <c r="C541" t="s">
        <v>589</v>
      </c>
      <c r="D541" s="1">
        <v>13162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</row>
    <row r="542" spans="1:10" x14ac:dyDescent="0.25">
      <c r="A542" t="s">
        <v>833</v>
      </c>
      <c r="B542" t="s">
        <v>878</v>
      </c>
      <c r="C542" t="s">
        <v>590</v>
      </c>
      <c r="D542" s="1">
        <v>18463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</row>
    <row r="543" spans="1:10" x14ac:dyDescent="0.25">
      <c r="A543" t="s">
        <v>845</v>
      </c>
      <c r="B543" t="s">
        <v>878</v>
      </c>
      <c r="C543" t="s">
        <v>591</v>
      </c>
      <c r="D543" s="1">
        <v>4631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</row>
    <row r="544" spans="1:10" x14ac:dyDescent="0.25">
      <c r="A544" t="s">
        <v>794</v>
      </c>
      <c r="B544" t="s">
        <v>878</v>
      </c>
      <c r="C544" t="s">
        <v>592</v>
      </c>
      <c r="D544" s="1">
        <v>9490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</row>
    <row r="545" spans="1:10" x14ac:dyDescent="0.25">
      <c r="A545" t="s">
        <v>843</v>
      </c>
      <c r="B545" t="s">
        <v>878</v>
      </c>
      <c r="C545" t="s">
        <v>593</v>
      </c>
      <c r="D545" s="1">
        <v>4140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</row>
    <row r="546" spans="1:10" x14ac:dyDescent="0.25">
      <c r="A546" t="s">
        <v>863</v>
      </c>
      <c r="B546" t="s">
        <v>878</v>
      </c>
      <c r="C546" t="s">
        <v>594</v>
      </c>
      <c r="D546" s="1">
        <v>10716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</row>
    <row r="547" spans="1:10" x14ac:dyDescent="0.25">
      <c r="A547" t="s">
        <v>804</v>
      </c>
      <c r="B547" t="s">
        <v>878</v>
      </c>
      <c r="C547" t="s">
        <v>595</v>
      </c>
      <c r="D547" s="1">
        <v>4775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</row>
    <row r="548" spans="1:10" x14ac:dyDescent="0.25">
      <c r="A548" t="s">
        <v>795</v>
      </c>
      <c r="B548" t="s">
        <v>878</v>
      </c>
      <c r="C548" t="s">
        <v>596</v>
      </c>
      <c r="D548" s="1">
        <v>23810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</row>
    <row r="549" spans="1:10" x14ac:dyDescent="0.25">
      <c r="A549" t="s">
        <v>101</v>
      </c>
      <c r="B549" t="s">
        <v>878</v>
      </c>
      <c r="C549" t="s">
        <v>597</v>
      </c>
      <c r="D549" s="1">
        <v>23542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</row>
    <row r="550" spans="1:10" x14ac:dyDescent="0.25">
      <c r="A550" t="s">
        <v>835</v>
      </c>
      <c r="B550" t="s">
        <v>878</v>
      </c>
      <c r="C550" t="s">
        <v>598</v>
      </c>
      <c r="D550" s="1">
        <v>8187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</row>
    <row r="551" spans="1:10" x14ac:dyDescent="0.25">
      <c r="A551" t="s">
        <v>842</v>
      </c>
      <c r="B551" t="s">
        <v>878</v>
      </c>
      <c r="C551" t="s">
        <v>599</v>
      </c>
      <c r="D551" s="1">
        <v>5518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</row>
    <row r="552" spans="1:10" x14ac:dyDescent="0.25">
      <c r="A552" t="s">
        <v>226</v>
      </c>
      <c r="B552" t="s">
        <v>878</v>
      </c>
      <c r="C552" t="s">
        <v>600</v>
      </c>
      <c r="D552" s="1">
        <v>3457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</row>
    <row r="553" spans="1:10" x14ac:dyDescent="0.25">
      <c r="A553" t="s">
        <v>817</v>
      </c>
      <c r="B553" t="s">
        <v>878</v>
      </c>
      <c r="C553" t="s">
        <v>601</v>
      </c>
      <c r="D553" s="1">
        <v>21036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</row>
    <row r="554" spans="1:10" x14ac:dyDescent="0.25">
      <c r="A554" t="s">
        <v>859</v>
      </c>
      <c r="B554" t="s">
        <v>878</v>
      </c>
      <c r="C554" t="s">
        <v>602</v>
      </c>
      <c r="D554" s="1">
        <v>39884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</row>
    <row r="555" spans="1:10" x14ac:dyDescent="0.25">
      <c r="A555" t="s">
        <v>859</v>
      </c>
      <c r="B555" t="s">
        <v>878</v>
      </c>
      <c r="C555" t="s">
        <v>603</v>
      </c>
      <c r="D555" s="1">
        <v>8221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</row>
    <row r="556" spans="1:10" x14ac:dyDescent="0.25">
      <c r="A556" t="s">
        <v>831</v>
      </c>
      <c r="B556" t="s">
        <v>878</v>
      </c>
      <c r="C556" t="s">
        <v>604</v>
      </c>
      <c r="D556" s="1">
        <v>17642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</row>
    <row r="557" spans="1:10" x14ac:dyDescent="0.25">
      <c r="A557" t="s">
        <v>809</v>
      </c>
      <c r="B557" t="s">
        <v>878</v>
      </c>
      <c r="C557" t="s">
        <v>605</v>
      </c>
      <c r="D557" s="1">
        <v>14283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</row>
    <row r="558" spans="1:10" x14ac:dyDescent="0.25">
      <c r="A558" t="s">
        <v>817</v>
      </c>
      <c r="B558" t="s">
        <v>878</v>
      </c>
      <c r="C558" t="s">
        <v>606</v>
      </c>
      <c r="D558" s="1">
        <v>90366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</row>
    <row r="559" spans="1:10" x14ac:dyDescent="0.25">
      <c r="A559" t="s">
        <v>824</v>
      </c>
      <c r="B559" t="s">
        <v>878</v>
      </c>
      <c r="C559" t="s">
        <v>607</v>
      </c>
      <c r="D559" s="1">
        <v>7987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</row>
    <row r="560" spans="1:10" x14ac:dyDescent="0.25">
      <c r="A560" t="s">
        <v>138</v>
      </c>
      <c r="B560" t="s">
        <v>878</v>
      </c>
      <c r="C560" t="s">
        <v>608</v>
      </c>
      <c r="D560" s="1">
        <v>34713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</row>
    <row r="561" spans="1:10" x14ac:dyDescent="0.25">
      <c r="A561" t="s">
        <v>859</v>
      </c>
      <c r="B561" t="s">
        <v>878</v>
      </c>
      <c r="C561" t="s">
        <v>609</v>
      </c>
      <c r="D561" s="1">
        <v>8372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</row>
    <row r="562" spans="1:10" x14ac:dyDescent="0.25">
      <c r="A562" t="s">
        <v>817</v>
      </c>
      <c r="B562" t="s">
        <v>878</v>
      </c>
      <c r="C562" t="s">
        <v>610</v>
      </c>
      <c r="D562" s="1">
        <v>64375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</row>
    <row r="563" spans="1:10" x14ac:dyDescent="0.25">
      <c r="A563" t="s">
        <v>817</v>
      </c>
      <c r="B563" t="s">
        <v>878</v>
      </c>
      <c r="C563" t="s">
        <v>611</v>
      </c>
      <c r="D563" s="1">
        <v>11772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</row>
    <row r="564" spans="1:10" x14ac:dyDescent="0.25">
      <c r="A564" t="s">
        <v>134</v>
      </c>
      <c r="B564" t="s">
        <v>878</v>
      </c>
      <c r="C564" t="s">
        <v>612</v>
      </c>
      <c r="D564" s="1">
        <v>46600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</row>
    <row r="565" spans="1:10" x14ac:dyDescent="0.25">
      <c r="A565" t="s">
        <v>817</v>
      </c>
      <c r="B565" t="s">
        <v>878</v>
      </c>
      <c r="C565" t="s">
        <v>613</v>
      </c>
      <c r="D565" s="1">
        <v>63498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</row>
    <row r="566" spans="1:10" x14ac:dyDescent="0.25">
      <c r="A566" t="s">
        <v>817</v>
      </c>
      <c r="B566" t="s">
        <v>878</v>
      </c>
      <c r="C566" t="s">
        <v>614</v>
      </c>
      <c r="D566" s="1">
        <v>8486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</row>
    <row r="567" spans="1:10" x14ac:dyDescent="0.25">
      <c r="A567" t="s">
        <v>826</v>
      </c>
      <c r="B567" t="s">
        <v>878</v>
      </c>
      <c r="C567" t="s">
        <v>615</v>
      </c>
      <c r="D567" s="1">
        <v>9630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</row>
    <row r="568" spans="1:10" x14ac:dyDescent="0.25">
      <c r="A568" t="s">
        <v>101</v>
      </c>
      <c r="B568" t="s">
        <v>878</v>
      </c>
      <c r="C568" t="s">
        <v>616</v>
      </c>
      <c r="D568" s="1">
        <v>14809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</row>
    <row r="569" spans="1:10" x14ac:dyDescent="0.25">
      <c r="A569" t="s">
        <v>811</v>
      </c>
      <c r="B569" t="s">
        <v>878</v>
      </c>
      <c r="C569" t="s">
        <v>617</v>
      </c>
      <c r="D569" s="1">
        <v>9659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</row>
    <row r="570" spans="1:10" x14ac:dyDescent="0.25">
      <c r="A570" t="s">
        <v>101</v>
      </c>
      <c r="B570" t="s">
        <v>878</v>
      </c>
      <c r="C570" t="s">
        <v>618</v>
      </c>
      <c r="D570" s="1">
        <v>5385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</row>
    <row r="571" spans="1:10" x14ac:dyDescent="0.25">
      <c r="A571" t="s">
        <v>788</v>
      </c>
      <c r="B571" t="s">
        <v>878</v>
      </c>
      <c r="C571" t="s">
        <v>619</v>
      </c>
      <c r="D571" s="1">
        <v>23109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</row>
    <row r="572" spans="1:10" x14ac:dyDescent="0.25">
      <c r="A572" t="s">
        <v>817</v>
      </c>
      <c r="B572" t="s">
        <v>878</v>
      </c>
      <c r="C572" t="s">
        <v>620</v>
      </c>
      <c r="D572" s="1">
        <v>21586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</row>
    <row r="573" spans="1:10" x14ac:dyDescent="0.25">
      <c r="A573" t="s">
        <v>248</v>
      </c>
      <c r="B573" t="s">
        <v>878</v>
      </c>
      <c r="C573" t="s">
        <v>621</v>
      </c>
      <c r="D573" s="1">
        <v>11791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</row>
    <row r="574" spans="1:10" x14ac:dyDescent="0.25">
      <c r="A574" t="s">
        <v>831</v>
      </c>
      <c r="B574" t="s">
        <v>878</v>
      </c>
      <c r="C574" t="s">
        <v>622</v>
      </c>
      <c r="D574" s="1">
        <v>33916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</row>
    <row r="575" spans="1:10" x14ac:dyDescent="0.25">
      <c r="A575" t="s">
        <v>823</v>
      </c>
      <c r="B575" t="s">
        <v>878</v>
      </c>
      <c r="C575" t="s">
        <v>623</v>
      </c>
      <c r="D575" s="1">
        <v>24860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</row>
    <row r="576" spans="1:10" x14ac:dyDescent="0.25">
      <c r="A576" t="s">
        <v>231</v>
      </c>
      <c r="B576" t="s">
        <v>878</v>
      </c>
      <c r="C576" t="s">
        <v>624</v>
      </c>
      <c r="D576" s="1">
        <v>9618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</row>
    <row r="577" spans="1:10" x14ac:dyDescent="0.25">
      <c r="A577" t="s">
        <v>76</v>
      </c>
      <c r="B577" t="s">
        <v>878</v>
      </c>
      <c r="C577" t="s">
        <v>625</v>
      </c>
      <c r="D577" s="1">
        <v>24483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</row>
    <row r="578" spans="1:10" x14ac:dyDescent="0.25">
      <c r="A578" t="s">
        <v>69</v>
      </c>
      <c r="B578" t="s">
        <v>878</v>
      </c>
      <c r="C578" t="s">
        <v>626</v>
      </c>
      <c r="D578" s="1">
        <v>58393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</row>
    <row r="579" spans="1:10" x14ac:dyDescent="0.25">
      <c r="A579" t="s">
        <v>83</v>
      </c>
      <c r="B579" t="s">
        <v>878</v>
      </c>
      <c r="C579" t="s">
        <v>627</v>
      </c>
      <c r="D579" s="1">
        <v>9071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</row>
    <row r="580" spans="1:10" x14ac:dyDescent="0.25">
      <c r="A580" t="s">
        <v>791</v>
      </c>
      <c r="B580" t="s">
        <v>878</v>
      </c>
      <c r="C580" t="s">
        <v>628</v>
      </c>
      <c r="D580" s="1">
        <v>5255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</row>
    <row r="581" spans="1:10" x14ac:dyDescent="0.25">
      <c r="A581" t="s">
        <v>797</v>
      </c>
      <c r="B581" t="s">
        <v>878</v>
      </c>
      <c r="C581" t="s">
        <v>629</v>
      </c>
      <c r="D581" s="1">
        <v>1085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</row>
    <row r="582" spans="1:10" x14ac:dyDescent="0.25">
      <c r="A582" t="s">
        <v>69</v>
      </c>
      <c r="B582" t="s">
        <v>878</v>
      </c>
      <c r="C582" t="s">
        <v>630</v>
      </c>
      <c r="D582" s="1">
        <v>26747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</row>
    <row r="583" spans="1:10" x14ac:dyDescent="0.25">
      <c r="A583" t="s">
        <v>69</v>
      </c>
      <c r="B583" t="s">
        <v>878</v>
      </c>
      <c r="C583" t="s">
        <v>631</v>
      </c>
      <c r="D583" s="1">
        <v>46233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</row>
    <row r="584" spans="1:10" x14ac:dyDescent="0.25">
      <c r="A584" t="s">
        <v>823</v>
      </c>
      <c r="B584" t="s">
        <v>878</v>
      </c>
      <c r="C584" t="s">
        <v>632</v>
      </c>
      <c r="D584" s="1">
        <v>13963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</row>
    <row r="585" spans="1:10" x14ac:dyDescent="0.25">
      <c r="A585" t="s">
        <v>76</v>
      </c>
      <c r="B585" t="s">
        <v>878</v>
      </c>
      <c r="C585" t="s">
        <v>633</v>
      </c>
      <c r="D585" s="1">
        <v>15631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</row>
    <row r="586" spans="1:10" x14ac:dyDescent="0.25">
      <c r="A586" t="s">
        <v>801</v>
      </c>
      <c r="B586" t="s">
        <v>878</v>
      </c>
      <c r="C586" t="s">
        <v>634</v>
      </c>
      <c r="D586" s="1"/>
      <c r="E586" s="1"/>
      <c r="F586" s="1"/>
      <c r="G586" s="1"/>
      <c r="H586" s="1"/>
      <c r="I586" s="1"/>
      <c r="J586" s="1"/>
    </row>
    <row r="587" spans="1:10" x14ac:dyDescent="0.25">
      <c r="A587" t="s">
        <v>801</v>
      </c>
      <c r="B587" t="s">
        <v>878</v>
      </c>
      <c r="C587" t="s">
        <v>635</v>
      </c>
      <c r="D587" s="1">
        <v>60224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</row>
    <row r="588" spans="1:10" x14ac:dyDescent="0.25">
      <c r="A588" t="s">
        <v>817</v>
      </c>
      <c r="B588" t="s">
        <v>878</v>
      </c>
      <c r="C588" t="s">
        <v>636</v>
      </c>
      <c r="D588" s="1">
        <v>13310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</row>
    <row r="589" spans="1:10" x14ac:dyDescent="0.25">
      <c r="A589" t="s">
        <v>824</v>
      </c>
      <c r="B589" t="s">
        <v>878</v>
      </c>
      <c r="C589" t="s">
        <v>637</v>
      </c>
      <c r="D589" s="1">
        <v>12559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</row>
    <row r="590" spans="1:10" x14ac:dyDescent="0.25">
      <c r="A590" t="s">
        <v>818</v>
      </c>
      <c r="B590" t="s">
        <v>878</v>
      </c>
      <c r="C590" t="s">
        <v>638</v>
      </c>
      <c r="D590" s="1">
        <v>33685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</row>
    <row r="591" spans="1:10" x14ac:dyDescent="0.25">
      <c r="A591" t="s">
        <v>817</v>
      </c>
      <c r="B591" t="s">
        <v>878</v>
      </c>
      <c r="C591" t="s">
        <v>639</v>
      </c>
      <c r="D591" s="1">
        <v>21431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</row>
    <row r="592" spans="1:10" x14ac:dyDescent="0.25">
      <c r="A592" t="s">
        <v>811</v>
      </c>
      <c r="B592" t="s">
        <v>878</v>
      </c>
      <c r="C592" t="s">
        <v>640</v>
      </c>
      <c r="D592" s="1">
        <v>128602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</row>
    <row r="593" spans="1:10" x14ac:dyDescent="0.25">
      <c r="A593" t="s">
        <v>811</v>
      </c>
      <c r="B593" t="s">
        <v>878</v>
      </c>
      <c r="C593" t="s">
        <v>641</v>
      </c>
      <c r="D593" s="1">
        <v>30954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</row>
    <row r="594" spans="1:10" x14ac:dyDescent="0.25">
      <c r="A594" t="s">
        <v>76</v>
      </c>
      <c r="B594" t="s">
        <v>878</v>
      </c>
      <c r="C594" t="s">
        <v>642</v>
      </c>
      <c r="D594" s="1">
        <v>11853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</row>
    <row r="595" spans="1:10" x14ac:dyDescent="0.25">
      <c r="A595" t="s">
        <v>859</v>
      </c>
      <c r="B595" t="s">
        <v>878</v>
      </c>
      <c r="C595" t="s">
        <v>643</v>
      </c>
      <c r="D595" s="1">
        <v>1817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</row>
    <row r="596" spans="1:10" x14ac:dyDescent="0.25">
      <c r="A596" t="s">
        <v>76</v>
      </c>
      <c r="B596" t="s">
        <v>878</v>
      </c>
      <c r="C596" t="s">
        <v>644</v>
      </c>
      <c r="D596" s="1">
        <v>9213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</row>
    <row r="597" spans="1:10" x14ac:dyDescent="0.25">
      <c r="A597" t="s">
        <v>817</v>
      </c>
      <c r="B597" t="s">
        <v>878</v>
      </c>
      <c r="C597" t="s">
        <v>645</v>
      </c>
      <c r="D597" s="1">
        <v>35314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</row>
    <row r="598" spans="1:10" x14ac:dyDescent="0.25">
      <c r="A598" t="s">
        <v>817</v>
      </c>
      <c r="B598" t="s">
        <v>878</v>
      </c>
      <c r="C598" t="s">
        <v>646</v>
      </c>
      <c r="D598" s="1">
        <v>17624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</row>
    <row r="599" spans="1:10" x14ac:dyDescent="0.25">
      <c r="A599" t="s">
        <v>226</v>
      </c>
      <c r="B599" t="s">
        <v>878</v>
      </c>
      <c r="C599" t="s">
        <v>647</v>
      </c>
      <c r="D599" s="1">
        <v>729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</row>
    <row r="600" spans="1:10" x14ac:dyDescent="0.25">
      <c r="A600" t="s">
        <v>831</v>
      </c>
      <c r="B600" t="s">
        <v>878</v>
      </c>
      <c r="C600" t="s">
        <v>648</v>
      </c>
      <c r="D600" s="1">
        <v>29387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</row>
    <row r="601" spans="1:10" x14ac:dyDescent="0.25">
      <c r="A601" t="s">
        <v>818</v>
      </c>
      <c r="B601" t="s">
        <v>878</v>
      </c>
      <c r="C601" t="s">
        <v>649</v>
      </c>
      <c r="D601" s="1">
        <v>13361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</row>
    <row r="602" spans="1:10" x14ac:dyDescent="0.25">
      <c r="A602" t="s">
        <v>817</v>
      </c>
      <c r="B602" t="s">
        <v>878</v>
      </c>
      <c r="C602" t="s">
        <v>650</v>
      </c>
      <c r="D602" s="1">
        <v>31047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</row>
    <row r="603" spans="1:10" x14ac:dyDescent="0.25">
      <c r="A603" t="s">
        <v>817</v>
      </c>
      <c r="B603" t="s">
        <v>878</v>
      </c>
      <c r="C603" t="s">
        <v>651</v>
      </c>
      <c r="D603" s="1">
        <v>14486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</row>
    <row r="604" spans="1:10" x14ac:dyDescent="0.25">
      <c r="A604" t="s">
        <v>817</v>
      </c>
      <c r="B604" t="s">
        <v>878</v>
      </c>
      <c r="C604" t="s">
        <v>652</v>
      </c>
      <c r="D604" s="1"/>
      <c r="E604" s="1"/>
      <c r="F604" s="1"/>
      <c r="G604" s="1"/>
      <c r="H604" s="1"/>
      <c r="I604" s="1"/>
      <c r="J604" s="1"/>
    </row>
    <row r="605" spans="1:10" x14ac:dyDescent="0.25">
      <c r="A605" t="s">
        <v>817</v>
      </c>
      <c r="B605" t="s">
        <v>878</v>
      </c>
      <c r="C605" t="s">
        <v>653</v>
      </c>
      <c r="D605" s="1">
        <v>46318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</row>
    <row r="606" spans="1:10" x14ac:dyDescent="0.25">
      <c r="A606" t="s">
        <v>817</v>
      </c>
      <c r="B606" t="s">
        <v>878</v>
      </c>
      <c r="C606" t="s">
        <v>654</v>
      </c>
      <c r="D606" s="1">
        <v>38295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</row>
    <row r="607" spans="1:10" x14ac:dyDescent="0.25">
      <c r="A607" t="s">
        <v>826</v>
      </c>
      <c r="B607" t="s">
        <v>878</v>
      </c>
      <c r="C607" t="s">
        <v>655</v>
      </c>
      <c r="D607" s="1">
        <v>27498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</row>
    <row r="608" spans="1:10" x14ac:dyDescent="0.25">
      <c r="A608" t="s">
        <v>817</v>
      </c>
      <c r="B608" t="s">
        <v>878</v>
      </c>
      <c r="C608" t="s">
        <v>656</v>
      </c>
      <c r="D608" s="1">
        <v>8149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</row>
    <row r="609" spans="1:10" x14ac:dyDescent="0.25">
      <c r="A609" t="s">
        <v>811</v>
      </c>
      <c r="B609" t="s">
        <v>878</v>
      </c>
      <c r="C609" t="s">
        <v>657</v>
      </c>
      <c r="D609" s="1">
        <v>49393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</row>
    <row r="610" spans="1:10" x14ac:dyDescent="0.25">
      <c r="A610" t="s">
        <v>817</v>
      </c>
      <c r="B610" t="s">
        <v>878</v>
      </c>
      <c r="C610" t="s">
        <v>658</v>
      </c>
      <c r="D610" s="1">
        <v>48167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</row>
    <row r="611" spans="1:10" x14ac:dyDescent="0.25">
      <c r="A611" t="s">
        <v>860</v>
      </c>
      <c r="B611" t="s">
        <v>878</v>
      </c>
      <c r="C611" t="s">
        <v>659</v>
      </c>
      <c r="D611" s="1">
        <v>9111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</row>
    <row r="612" spans="1:10" x14ac:dyDescent="0.25">
      <c r="A612" t="s">
        <v>248</v>
      </c>
      <c r="B612" t="s">
        <v>878</v>
      </c>
      <c r="C612" t="s">
        <v>660</v>
      </c>
      <c r="D612" s="1">
        <v>15328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</row>
    <row r="613" spans="1:10" x14ac:dyDescent="0.25">
      <c r="A613" t="s">
        <v>861</v>
      </c>
      <c r="B613" t="s">
        <v>878</v>
      </c>
      <c r="C613" t="s">
        <v>661</v>
      </c>
      <c r="D613" s="1">
        <v>9413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</row>
    <row r="614" spans="1:10" x14ac:dyDescent="0.25">
      <c r="A614" t="s">
        <v>229</v>
      </c>
      <c r="B614" t="s">
        <v>878</v>
      </c>
      <c r="C614" t="s">
        <v>662</v>
      </c>
      <c r="D614" s="1">
        <v>10721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</row>
    <row r="615" spans="1:10" x14ac:dyDescent="0.25">
      <c r="A615" t="s">
        <v>101</v>
      </c>
      <c r="B615" t="s">
        <v>878</v>
      </c>
      <c r="C615" t="s">
        <v>663</v>
      </c>
      <c r="D615" s="1">
        <v>11034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</row>
    <row r="616" spans="1:10" x14ac:dyDescent="0.25">
      <c r="A616" t="s">
        <v>69</v>
      </c>
      <c r="B616" t="s">
        <v>878</v>
      </c>
      <c r="C616" t="s">
        <v>664</v>
      </c>
      <c r="D616" s="1">
        <v>20589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</row>
    <row r="617" spans="1:10" x14ac:dyDescent="0.25">
      <c r="A617" t="s">
        <v>859</v>
      </c>
      <c r="B617" t="s">
        <v>878</v>
      </c>
      <c r="C617" t="s">
        <v>665</v>
      </c>
      <c r="D617" s="1">
        <v>15325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</row>
    <row r="618" spans="1:10" x14ac:dyDescent="0.25">
      <c r="A618" t="s">
        <v>804</v>
      </c>
      <c r="B618" t="s">
        <v>878</v>
      </c>
      <c r="C618" t="s">
        <v>666</v>
      </c>
      <c r="D618" s="1">
        <v>41746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</row>
    <row r="619" spans="1:10" x14ac:dyDescent="0.25">
      <c r="A619" t="s">
        <v>853</v>
      </c>
      <c r="B619" t="s">
        <v>878</v>
      </c>
      <c r="C619" t="s">
        <v>667</v>
      </c>
      <c r="D619" s="1">
        <v>6375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</row>
    <row r="620" spans="1:10" x14ac:dyDescent="0.25">
      <c r="A620" t="s">
        <v>862</v>
      </c>
      <c r="B620" t="s">
        <v>878</v>
      </c>
      <c r="C620" t="s">
        <v>668</v>
      </c>
      <c r="D620" s="1">
        <v>11881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</row>
    <row r="621" spans="1:10" x14ac:dyDescent="0.25">
      <c r="A621" t="s">
        <v>847</v>
      </c>
      <c r="B621" t="s">
        <v>878</v>
      </c>
      <c r="C621" t="s">
        <v>669</v>
      </c>
      <c r="D621" s="1">
        <v>13310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</row>
    <row r="622" spans="1:10" x14ac:dyDescent="0.25">
      <c r="A622" t="s">
        <v>849</v>
      </c>
      <c r="B622" t="s">
        <v>878</v>
      </c>
      <c r="C622" t="s">
        <v>670</v>
      </c>
      <c r="D622" s="1">
        <v>3719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</row>
    <row r="623" spans="1:10" x14ac:dyDescent="0.25">
      <c r="A623" t="s">
        <v>226</v>
      </c>
      <c r="B623" t="s">
        <v>878</v>
      </c>
      <c r="C623" t="s">
        <v>671</v>
      </c>
      <c r="D623" s="1">
        <v>577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</row>
    <row r="624" spans="1:10" x14ac:dyDescent="0.25">
      <c r="A624" t="s">
        <v>859</v>
      </c>
      <c r="B624" t="s">
        <v>878</v>
      </c>
      <c r="C624" t="s">
        <v>672</v>
      </c>
      <c r="D624" s="1">
        <v>35013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</row>
    <row r="625" spans="1:10" x14ac:dyDescent="0.25">
      <c r="A625" t="s">
        <v>830</v>
      </c>
      <c r="B625" t="s">
        <v>878</v>
      </c>
      <c r="C625" t="s">
        <v>673</v>
      </c>
      <c r="D625" s="1">
        <v>12010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</row>
    <row r="626" spans="1:10" x14ac:dyDescent="0.25">
      <c r="A626" t="s">
        <v>796</v>
      </c>
      <c r="B626" t="s">
        <v>878</v>
      </c>
      <c r="C626" t="s">
        <v>674</v>
      </c>
      <c r="D626" s="1">
        <v>30234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</row>
    <row r="627" spans="1:10" x14ac:dyDescent="0.25">
      <c r="A627" t="s">
        <v>854</v>
      </c>
      <c r="B627" t="s">
        <v>878</v>
      </c>
      <c r="C627" t="s">
        <v>675</v>
      </c>
      <c r="D627" s="1">
        <v>9262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</row>
    <row r="628" spans="1:10" x14ac:dyDescent="0.25">
      <c r="A628" t="s">
        <v>101</v>
      </c>
      <c r="B628" t="s">
        <v>878</v>
      </c>
      <c r="C628" t="s">
        <v>676</v>
      </c>
      <c r="D628" s="1">
        <v>24885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</row>
    <row r="629" spans="1:10" x14ac:dyDescent="0.25">
      <c r="A629" t="s">
        <v>226</v>
      </c>
      <c r="B629" t="s">
        <v>878</v>
      </c>
      <c r="C629" t="s">
        <v>677</v>
      </c>
      <c r="D629" s="1">
        <v>6723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</row>
    <row r="630" spans="1:10" x14ac:dyDescent="0.25">
      <c r="A630" t="s">
        <v>138</v>
      </c>
      <c r="B630" t="s">
        <v>878</v>
      </c>
      <c r="C630" t="s">
        <v>678</v>
      </c>
      <c r="D630" s="1"/>
      <c r="E630" s="1"/>
      <c r="F630" s="1"/>
      <c r="G630" s="1"/>
      <c r="H630" s="1"/>
      <c r="I630" s="1"/>
      <c r="J630" s="1"/>
    </row>
    <row r="631" spans="1:10" x14ac:dyDescent="0.25">
      <c r="A631" t="s">
        <v>804</v>
      </c>
      <c r="B631" t="s">
        <v>878</v>
      </c>
      <c r="C631" t="s">
        <v>679</v>
      </c>
      <c r="D631" s="1">
        <v>61099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</row>
    <row r="632" spans="1:10" x14ac:dyDescent="0.25">
      <c r="A632" t="s">
        <v>823</v>
      </c>
      <c r="B632" t="s">
        <v>878</v>
      </c>
      <c r="C632" t="s">
        <v>680</v>
      </c>
      <c r="D632" s="1">
        <v>43429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</row>
    <row r="633" spans="1:10" x14ac:dyDescent="0.25">
      <c r="A633" t="s">
        <v>809</v>
      </c>
      <c r="B633" t="s">
        <v>878</v>
      </c>
      <c r="C633" t="s">
        <v>681</v>
      </c>
      <c r="D633" s="1">
        <v>53983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</row>
    <row r="634" spans="1:10" x14ac:dyDescent="0.25">
      <c r="A634" t="s">
        <v>248</v>
      </c>
      <c r="B634" t="s">
        <v>878</v>
      </c>
      <c r="C634" t="s">
        <v>682</v>
      </c>
      <c r="D634" s="1">
        <v>24803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</row>
    <row r="635" spans="1:10" x14ac:dyDescent="0.25">
      <c r="A635" t="s">
        <v>795</v>
      </c>
      <c r="B635" t="s">
        <v>878</v>
      </c>
      <c r="C635" t="s">
        <v>683</v>
      </c>
      <c r="D635" s="1">
        <v>29195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</row>
    <row r="636" spans="1:10" x14ac:dyDescent="0.25">
      <c r="A636" t="s">
        <v>795</v>
      </c>
      <c r="B636" t="s">
        <v>878</v>
      </c>
      <c r="C636" t="s">
        <v>684</v>
      </c>
      <c r="D636" s="1">
        <v>83117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</row>
    <row r="637" spans="1:10" x14ac:dyDescent="0.25">
      <c r="A637" t="s">
        <v>795</v>
      </c>
      <c r="B637" t="s">
        <v>878</v>
      </c>
      <c r="C637" t="s">
        <v>685</v>
      </c>
      <c r="D637" s="1">
        <v>16491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</row>
    <row r="638" spans="1:10" x14ac:dyDescent="0.25">
      <c r="A638" t="s">
        <v>851</v>
      </c>
      <c r="B638" t="s">
        <v>878</v>
      </c>
      <c r="C638" t="s">
        <v>686</v>
      </c>
      <c r="D638" s="1">
        <v>5476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</row>
    <row r="639" spans="1:10" x14ac:dyDescent="0.25">
      <c r="A639" t="s">
        <v>841</v>
      </c>
      <c r="B639" t="s">
        <v>878</v>
      </c>
      <c r="C639" t="s">
        <v>687</v>
      </c>
      <c r="D639" s="1">
        <v>14186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</row>
    <row r="640" spans="1:10" x14ac:dyDescent="0.25">
      <c r="A640" t="s">
        <v>859</v>
      </c>
      <c r="B640" t="s">
        <v>878</v>
      </c>
      <c r="C640" t="s">
        <v>688</v>
      </c>
      <c r="D640" s="1">
        <v>6090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</row>
    <row r="641" spans="1:10" x14ac:dyDescent="0.25">
      <c r="A641" t="s">
        <v>248</v>
      </c>
      <c r="B641" t="s">
        <v>878</v>
      </c>
      <c r="C641" t="s">
        <v>689</v>
      </c>
      <c r="D641" s="1">
        <v>44286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</row>
    <row r="642" spans="1:10" x14ac:dyDescent="0.25">
      <c r="A642" t="s">
        <v>831</v>
      </c>
      <c r="B642" t="s">
        <v>878</v>
      </c>
      <c r="C642" t="s">
        <v>690</v>
      </c>
      <c r="D642" s="1">
        <v>14033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</row>
    <row r="643" spans="1:10" x14ac:dyDescent="0.25">
      <c r="A643" t="s">
        <v>840</v>
      </c>
      <c r="B643" t="s">
        <v>878</v>
      </c>
      <c r="C643" t="s">
        <v>691</v>
      </c>
      <c r="D643" s="1">
        <v>23952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</row>
    <row r="644" spans="1:10" x14ac:dyDescent="0.25">
      <c r="A644" t="s">
        <v>495</v>
      </c>
      <c r="B644" t="s">
        <v>878</v>
      </c>
      <c r="C644" t="s">
        <v>692</v>
      </c>
      <c r="D644" s="1">
        <v>21141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</row>
    <row r="645" spans="1:10" x14ac:dyDescent="0.25">
      <c r="A645" t="s">
        <v>824</v>
      </c>
      <c r="B645" t="s">
        <v>878</v>
      </c>
      <c r="C645" t="s">
        <v>693</v>
      </c>
      <c r="D645" s="1">
        <v>23634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</row>
    <row r="646" spans="1:10" x14ac:dyDescent="0.25">
      <c r="A646" t="s">
        <v>806</v>
      </c>
      <c r="B646" t="s">
        <v>878</v>
      </c>
      <c r="C646" t="s">
        <v>694</v>
      </c>
      <c r="D646" s="1">
        <v>4739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</row>
    <row r="647" spans="1:10" x14ac:dyDescent="0.25">
      <c r="A647" t="s">
        <v>806</v>
      </c>
      <c r="B647" t="s">
        <v>878</v>
      </c>
      <c r="C647" t="s">
        <v>695</v>
      </c>
      <c r="D647" s="1">
        <v>3060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</row>
    <row r="648" spans="1:10" x14ac:dyDescent="0.25">
      <c r="A648" t="s">
        <v>795</v>
      </c>
      <c r="B648" t="s">
        <v>878</v>
      </c>
      <c r="C648" t="s">
        <v>696</v>
      </c>
      <c r="D648" s="1">
        <v>11497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</row>
    <row r="649" spans="1:10" x14ac:dyDescent="0.25">
      <c r="A649" t="s">
        <v>831</v>
      </c>
      <c r="B649" t="s">
        <v>878</v>
      </c>
      <c r="C649" t="s">
        <v>697</v>
      </c>
      <c r="D649" s="1">
        <v>16349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</row>
    <row r="650" spans="1:10" x14ac:dyDescent="0.25">
      <c r="A650" t="s">
        <v>829</v>
      </c>
      <c r="B650" t="s">
        <v>878</v>
      </c>
      <c r="C650" t="s">
        <v>698</v>
      </c>
      <c r="D650" s="1">
        <v>23510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</row>
    <row r="651" spans="1:10" x14ac:dyDescent="0.25">
      <c r="A651" t="s">
        <v>811</v>
      </c>
      <c r="B651" t="s">
        <v>878</v>
      </c>
      <c r="C651" t="s">
        <v>699</v>
      </c>
      <c r="D651" s="1">
        <v>22130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</row>
    <row r="652" spans="1:10" x14ac:dyDescent="0.25">
      <c r="A652" t="s">
        <v>856</v>
      </c>
      <c r="B652" t="s">
        <v>878</v>
      </c>
      <c r="C652" t="s">
        <v>700</v>
      </c>
      <c r="D652" s="1">
        <v>28155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</row>
    <row r="653" spans="1:10" x14ac:dyDescent="0.25">
      <c r="A653" t="s">
        <v>796</v>
      </c>
      <c r="B653" t="s">
        <v>878</v>
      </c>
      <c r="C653" t="s">
        <v>701</v>
      </c>
      <c r="D653" s="1">
        <v>22899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</row>
    <row r="654" spans="1:10" x14ac:dyDescent="0.25">
      <c r="A654" t="s">
        <v>859</v>
      </c>
      <c r="B654" t="s">
        <v>878</v>
      </c>
      <c r="C654" t="s">
        <v>702</v>
      </c>
      <c r="D654" s="1">
        <v>2869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</row>
    <row r="655" spans="1:10" x14ac:dyDescent="0.25">
      <c r="A655" t="s">
        <v>850</v>
      </c>
      <c r="B655" t="s">
        <v>878</v>
      </c>
      <c r="C655" t="s">
        <v>703</v>
      </c>
      <c r="D655" s="1">
        <v>3473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</row>
    <row r="656" spans="1:10" x14ac:dyDescent="0.25">
      <c r="A656" t="s">
        <v>146</v>
      </c>
      <c r="B656" t="s">
        <v>878</v>
      </c>
      <c r="C656" t="s">
        <v>704</v>
      </c>
      <c r="D656" s="1">
        <v>22706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</row>
    <row r="657" spans="1:10" x14ac:dyDescent="0.25">
      <c r="A657" t="s">
        <v>846</v>
      </c>
      <c r="B657" t="s">
        <v>878</v>
      </c>
      <c r="C657" t="s">
        <v>705</v>
      </c>
      <c r="D657" s="1">
        <v>7419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</row>
    <row r="658" spans="1:10" x14ac:dyDescent="0.25">
      <c r="A658" t="s">
        <v>855</v>
      </c>
      <c r="B658" t="s">
        <v>878</v>
      </c>
      <c r="C658" t="s">
        <v>706</v>
      </c>
      <c r="D658" s="1">
        <v>8210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</row>
    <row r="659" spans="1:10" x14ac:dyDescent="0.25">
      <c r="A659" t="s">
        <v>794</v>
      </c>
      <c r="B659" t="s">
        <v>878</v>
      </c>
      <c r="C659" t="s">
        <v>707</v>
      </c>
      <c r="D659" s="1">
        <v>12768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</row>
    <row r="660" spans="1:10" x14ac:dyDescent="0.25">
      <c r="A660" t="s">
        <v>803</v>
      </c>
      <c r="B660" t="s">
        <v>878</v>
      </c>
      <c r="C660" t="s">
        <v>708</v>
      </c>
      <c r="D660" s="1"/>
      <c r="E660" s="1"/>
      <c r="F660" s="1"/>
      <c r="G660" s="1"/>
      <c r="H660" s="1"/>
      <c r="I660" s="1"/>
      <c r="J660" s="1"/>
    </row>
    <row r="661" spans="1:10" x14ac:dyDescent="0.25">
      <c r="A661" t="s">
        <v>834</v>
      </c>
      <c r="B661" t="s">
        <v>878</v>
      </c>
      <c r="C661" t="s">
        <v>709</v>
      </c>
      <c r="D661" s="1">
        <v>9152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</row>
    <row r="662" spans="1:10" x14ac:dyDescent="0.25">
      <c r="A662" t="s">
        <v>852</v>
      </c>
      <c r="B662" t="s">
        <v>878</v>
      </c>
      <c r="C662" t="s">
        <v>710</v>
      </c>
      <c r="D662" s="1">
        <v>9507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</row>
    <row r="663" spans="1:10" x14ac:dyDescent="0.25">
      <c r="A663" t="s">
        <v>824</v>
      </c>
      <c r="B663" t="s">
        <v>878</v>
      </c>
      <c r="C663" t="s">
        <v>711</v>
      </c>
      <c r="D663" s="1">
        <v>14643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</row>
    <row r="664" spans="1:10" x14ac:dyDescent="0.25">
      <c r="A664" t="s">
        <v>817</v>
      </c>
      <c r="B664" t="s">
        <v>878</v>
      </c>
      <c r="C664" t="s">
        <v>712</v>
      </c>
      <c r="D664" s="1">
        <v>38893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</row>
    <row r="665" spans="1:10" x14ac:dyDescent="0.25">
      <c r="A665" t="s">
        <v>857</v>
      </c>
      <c r="B665" t="s">
        <v>878</v>
      </c>
      <c r="C665" t="s">
        <v>713</v>
      </c>
      <c r="D665" s="1">
        <v>8246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</row>
    <row r="666" spans="1:10" x14ac:dyDescent="0.25">
      <c r="A666" t="s">
        <v>146</v>
      </c>
      <c r="B666" t="s">
        <v>878</v>
      </c>
      <c r="C666" t="s">
        <v>714</v>
      </c>
      <c r="D666" s="1">
        <v>32343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</row>
    <row r="667" spans="1:10" x14ac:dyDescent="0.25">
      <c r="A667" t="s">
        <v>120</v>
      </c>
      <c r="B667" t="s">
        <v>878</v>
      </c>
      <c r="C667" t="s">
        <v>715</v>
      </c>
      <c r="D667" s="1">
        <v>10718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</row>
    <row r="668" spans="1:10" x14ac:dyDescent="0.25">
      <c r="A668" t="s">
        <v>146</v>
      </c>
      <c r="B668" t="s">
        <v>878</v>
      </c>
      <c r="C668" t="s">
        <v>716</v>
      </c>
      <c r="D668" s="1">
        <v>8470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</row>
    <row r="669" spans="1:10" x14ac:dyDescent="0.25">
      <c r="A669" t="s">
        <v>10</v>
      </c>
      <c r="B669" t="s">
        <v>878</v>
      </c>
      <c r="C669" t="s">
        <v>717</v>
      </c>
      <c r="D669" s="1"/>
      <c r="E669" s="1"/>
      <c r="F669" s="1"/>
      <c r="G669" s="1"/>
      <c r="H669" s="1"/>
      <c r="I669" s="1"/>
      <c r="J669" s="1"/>
    </row>
    <row r="670" spans="1:10" x14ac:dyDescent="0.25">
      <c r="A670" t="s">
        <v>146</v>
      </c>
      <c r="B670" t="s">
        <v>878</v>
      </c>
      <c r="C670" t="s">
        <v>718</v>
      </c>
      <c r="D670" s="1">
        <v>25196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</row>
    <row r="671" spans="1:10" x14ac:dyDescent="0.25">
      <c r="A671" t="s">
        <v>816</v>
      </c>
      <c r="B671" t="s">
        <v>878</v>
      </c>
      <c r="C671" t="s">
        <v>719</v>
      </c>
      <c r="D671" s="1">
        <v>10042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</row>
    <row r="672" spans="1:10" x14ac:dyDescent="0.25">
      <c r="A672" t="s">
        <v>817</v>
      </c>
      <c r="B672" t="s">
        <v>878</v>
      </c>
      <c r="C672" t="s">
        <v>720</v>
      </c>
      <c r="D672" s="1">
        <v>39776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</row>
    <row r="673" spans="1:10" x14ac:dyDescent="0.25">
      <c r="A673" t="s">
        <v>864</v>
      </c>
      <c r="B673" t="s">
        <v>878</v>
      </c>
      <c r="C673" t="s">
        <v>721</v>
      </c>
      <c r="D673" s="1">
        <v>64931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</row>
    <row r="674" spans="1:10" x14ac:dyDescent="0.25">
      <c r="A674" t="s">
        <v>146</v>
      </c>
      <c r="B674" t="s">
        <v>878</v>
      </c>
      <c r="C674" t="s">
        <v>722</v>
      </c>
      <c r="D674" s="1">
        <v>11744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</row>
    <row r="675" spans="1:10" x14ac:dyDescent="0.25">
      <c r="A675" t="s">
        <v>858</v>
      </c>
      <c r="B675" t="s">
        <v>878</v>
      </c>
      <c r="C675" t="s">
        <v>723</v>
      </c>
      <c r="D675" s="1">
        <v>12338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</row>
    <row r="676" spans="1:10" x14ac:dyDescent="0.25">
      <c r="A676" t="s">
        <v>864</v>
      </c>
      <c r="B676" t="s">
        <v>878</v>
      </c>
      <c r="C676" t="s">
        <v>724</v>
      </c>
      <c r="D676" s="1">
        <v>110480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</row>
    <row r="677" spans="1:10" x14ac:dyDescent="0.25">
      <c r="A677" t="s">
        <v>794</v>
      </c>
      <c r="B677" t="s">
        <v>878</v>
      </c>
      <c r="C677" t="s">
        <v>725</v>
      </c>
      <c r="D677" s="1">
        <v>44438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</row>
    <row r="678" spans="1:10" x14ac:dyDescent="0.25">
      <c r="A678" t="s">
        <v>864</v>
      </c>
      <c r="B678" t="s">
        <v>878</v>
      </c>
      <c r="C678" t="s">
        <v>726</v>
      </c>
      <c r="D678" s="1">
        <v>52703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</row>
    <row r="679" spans="1:10" x14ac:dyDescent="0.25">
      <c r="A679" t="s">
        <v>824</v>
      </c>
      <c r="B679" t="s">
        <v>878</v>
      </c>
      <c r="C679" t="s">
        <v>727</v>
      </c>
      <c r="D679" s="1">
        <v>11580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</row>
    <row r="680" spans="1:10" x14ac:dyDescent="0.25">
      <c r="A680" t="s">
        <v>134</v>
      </c>
      <c r="B680" t="s">
        <v>878</v>
      </c>
      <c r="C680" t="s">
        <v>728</v>
      </c>
      <c r="D680" s="1">
        <v>3796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</row>
    <row r="681" spans="1:10" x14ac:dyDescent="0.25">
      <c r="A681" t="s">
        <v>138</v>
      </c>
      <c r="B681" t="s">
        <v>878</v>
      </c>
      <c r="C681" t="s">
        <v>729</v>
      </c>
      <c r="D681" s="1">
        <v>44459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</row>
    <row r="682" spans="1:10" x14ac:dyDescent="0.25">
      <c r="A682" t="s">
        <v>788</v>
      </c>
      <c r="B682" t="s">
        <v>878</v>
      </c>
      <c r="C682" t="s">
        <v>730</v>
      </c>
      <c r="D682" s="1">
        <v>2856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</row>
    <row r="683" spans="1:10" x14ac:dyDescent="0.25">
      <c r="A683" t="s">
        <v>831</v>
      </c>
      <c r="B683" t="s">
        <v>878</v>
      </c>
      <c r="C683" t="s">
        <v>731</v>
      </c>
      <c r="D683" s="1">
        <v>3611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</row>
    <row r="684" spans="1:10" x14ac:dyDescent="0.25">
      <c r="A684" t="s">
        <v>76</v>
      </c>
      <c r="B684" t="s">
        <v>878</v>
      </c>
      <c r="C684" t="s">
        <v>732</v>
      </c>
      <c r="D684" s="1">
        <v>9395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</row>
    <row r="685" spans="1:10" x14ac:dyDescent="0.25">
      <c r="A685" t="s">
        <v>809</v>
      </c>
      <c r="B685" t="s">
        <v>878</v>
      </c>
      <c r="C685" t="s">
        <v>733</v>
      </c>
      <c r="D685" s="1">
        <v>30041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</row>
    <row r="686" spans="1:10" x14ac:dyDescent="0.25">
      <c r="A686" t="s">
        <v>120</v>
      </c>
      <c r="B686" t="s">
        <v>878</v>
      </c>
      <c r="C686" t="s">
        <v>734</v>
      </c>
      <c r="D686" s="1">
        <v>1954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</row>
    <row r="687" spans="1:10" x14ac:dyDescent="0.25">
      <c r="A687" t="s">
        <v>817</v>
      </c>
      <c r="B687" t="s">
        <v>878</v>
      </c>
      <c r="C687" t="s">
        <v>735</v>
      </c>
      <c r="D687" s="1">
        <v>10889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</row>
    <row r="688" spans="1:10" x14ac:dyDescent="0.25">
      <c r="A688" t="s">
        <v>801</v>
      </c>
      <c r="B688" t="s">
        <v>878</v>
      </c>
      <c r="C688" t="s">
        <v>736</v>
      </c>
      <c r="D688" s="1">
        <v>1899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</row>
    <row r="689" spans="1:10" x14ac:dyDescent="0.25">
      <c r="A689" t="s">
        <v>138</v>
      </c>
      <c r="B689" t="s">
        <v>878</v>
      </c>
      <c r="C689" t="s">
        <v>737</v>
      </c>
      <c r="D689" s="1">
        <v>14532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</row>
    <row r="690" spans="1:10" x14ac:dyDescent="0.25">
      <c r="A690" t="s">
        <v>138</v>
      </c>
      <c r="B690" t="s">
        <v>878</v>
      </c>
      <c r="C690" t="s">
        <v>738</v>
      </c>
      <c r="D690" s="1">
        <v>12488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</row>
    <row r="691" spans="1:10" x14ac:dyDescent="0.25">
      <c r="A691" t="s">
        <v>248</v>
      </c>
      <c r="B691" t="s">
        <v>878</v>
      </c>
      <c r="C691" t="s">
        <v>739</v>
      </c>
      <c r="D691" s="1">
        <v>21357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</row>
    <row r="692" spans="1:10" x14ac:dyDescent="0.25">
      <c r="A692" t="s">
        <v>138</v>
      </c>
      <c r="B692" t="s">
        <v>878</v>
      </c>
      <c r="C692" t="s">
        <v>740</v>
      </c>
      <c r="D692" s="1">
        <v>8187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</row>
    <row r="693" spans="1:10" x14ac:dyDescent="0.25">
      <c r="A693" t="s">
        <v>134</v>
      </c>
      <c r="B693" t="s">
        <v>878</v>
      </c>
      <c r="C693" t="s">
        <v>741</v>
      </c>
      <c r="D693" s="1">
        <v>8456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</row>
    <row r="694" spans="1:10" x14ac:dyDescent="0.25">
      <c r="A694" t="s">
        <v>231</v>
      </c>
      <c r="B694" t="s">
        <v>878</v>
      </c>
      <c r="C694" t="s">
        <v>742</v>
      </c>
      <c r="D694" s="1">
        <v>41572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</row>
    <row r="695" spans="1:10" x14ac:dyDescent="0.25">
      <c r="A695" t="s">
        <v>83</v>
      </c>
      <c r="B695" t="s">
        <v>878</v>
      </c>
      <c r="C695" t="s">
        <v>743</v>
      </c>
      <c r="D695" s="1">
        <v>3114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</row>
    <row r="696" spans="1:10" x14ac:dyDescent="0.25">
      <c r="A696" t="s">
        <v>826</v>
      </c>
      <c r="B696" t="s">
        <v>878</v>
      </c>
      <c r="C696" t="s">
        <v>744</v>
      </c>
      <c r="D696" s="1">
        <v>2288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</row>
    <row r="697" spans="1:10" x14ac:dyDescent="0.25">
      <c r="A697" t="s">
        <v>811</v>
      </c>
      <c r="B697" t="s">
        <v>878</v>
      </c>
      <c r="C697" t="s">
        <v>745</v>
      </c>
      <c r="D697" s="1">
        <v>22116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</row>
    <row r="698" spans="1:10" x14ac:dyDescent="0.25">
      <c r="A698" t="s">
        <v>248</v>
      </c>
      <c r="B698" t="s">
        <v>878</v>
      </c>
      <c r="C698" t="s">
        <v>746</v>
      </c>
      <c r="D698" s="1">
        <v>122459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</row>
    <row r="699" spans="1:10" x14ac:dyDescent="0.25">
      <c r="A699" t="s">
        <v>801</v>
      </c>
      <c r="B699" t="s">
        <v>879</v>
      </c>
      <c r="C699" t="s">
        <v>747</v>
      </c>
      <c r="D699" s="1">
        <v>6706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</row>
    <row r="700" spans="1:10" x14ac:dyDescent="0.25">
      <c r="A700" s="9" t="s">
        <v>809</v>
      </c>
      <c r="B700" t="s">
        <v>879</v>
      </c>
      <c r="C700" t="s">
        <v>748</v>
      </c>
      <c r="D700" s="1">
        <v>26637</v>
      </c>
      <c r="E700" s="1">
        <v>653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</row>
    <row r="701" spans="1:10" x14ac:dyDescent="0.25">
      <c r="A701" s="9" t="s">
        <v>823</v>
      </c>
      <c r="B701" t="s">
        <v>879</v>
      </c>
      <c r="C701" t="s">
        <v>749</v>
      </c>
      <c r="D701" s="1">
        <v>44070</v>
      </c>
      <c r="E701" s="1">
        <v>41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</row>
    <row r="702" spans="1:10" x14ac:dyDescent="0.25">
      <c r="A702" s="9" t="s">
        <v>226</v>
      </c>
      <c r="B702" t="s">
        <v>879</v>
      </c>
      <c r="C702" t="s">
        <v>750</v>
      </c>
      <c r="D702" s="1">
        <v>3685</v>
      </c>
      <c r="E702" s="1">
        <v>46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</row>
    <row r="703" spans="1:10" x14ac:dyDescent="0.25">
      <c r="A703" t="s">
        <v>10</v>
      </c>
      <c r="B703" t="s">
        <v>879</v>
      </c>
      <c r="C703" t="s">
        <v>751</v>
      </c>
      <c r="D703" s="1"/>
      <c r="E703" s="1"/>
      <c r="F703" s="1"/>
      <c r="G703" s="1"/>
      <c r="H703" s="1"/>
      <c r="I703" s="1"/>
      <c r="J703" s="1"/>
    </row>
    <row r="704" spans="1:10" x14ac:dyDescent="0.25">
      <c r="A704" t="s">
        <v>797</v>
      </c>
      <c r="B704" t="s">
        <v>879</v>
      </c>
      <c r="C704" t="s">
        <v>752</v>
      </c>
      <c r="D704" s="1">
        <v>36372</v>
      </c>
      <c r="E704" s="1">
        <v>35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</row>
    <row r="705" spans="1:10" x14ac:dyDescent="0.25">
      <c r="A705" t="s">
        <v>69</v>
      </c>
      <c r="B705" t="s">
        <v>879</v>
      </c>
      <c r="C705" t="s">
        <v>753</v>
      </c>
      <c r="D705" s="1">
        <v>64462</v>
      </c>
      <c r="E705" s="1">
        <v>25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</row>
    <row r="706" spans="1:10" x14ac:dyDescent="0.25">
      <c r="A706" t="s">
        <v>824</v>
      </c>
      <c r="B706" t="s">
        <v>879</v>
      </c>
      <c r="C706" t="s">
        <v>754</v>
      </c>
      <c r="D706" s="1">
        <v>17714</v>
      </c>
      <c r="E706" s="1">
        <v>21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</row>
    <row r="707" spans="1:10" x14ac:dyDescent="0.25">
      <c r="A707" t="s">
        <v>817</v>
      </c>
      <c r="B707" t="s">
        <v>879</v>
      </c>
      <c r="C707" t="s">
        <v>755</v>
      </c>
      <c r="D707" s="1">
        <v>64393</v>
      </c>
      <c r="E707" s="1">
        <v>132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</row>
    <row r="708" spans="1:10" x14ac:dyDescent="0.25">
      <c r="A708" t="s">
        <v>794</v>
      </c>
      <c r="B708" t="s">
        <v>879</v>
      </c>
      <c r="C708" t="s">
        <v>756</v>
      </c>
      <c r="D708" s="1">
        <v>55048</v>
      </c>
      <c r="E708" s="1">
        <v>298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</row>
    <row r="709" spans="1:10" x14ac:dyDescent="0.25">
      <c r="A709" t="s">
        <v>10</v>
      </c>
      <c r="B709" t="s">
        <v>879</v>
      </c>
      <c r="C709" t="s">
        <v>757</v>
      </c>
      <c r="D709" s="1"/>
      <c r="E709" s="1"/>
      <c r="F709" s="1"/>
      <c r="G709" s="1"/>
      <c r="H709" s="1"/>
      <c r="I709" s="1"/>
      <c r="J709" s="1"/>
    </row>
    <row r="710" spans="1:10" x14ac:dyDescent="0.25">
      <c r="A710" t="s">
        <v>788</v>
      </c>
      <c r="B710" t="s">
        <v>879</v>
      </c>
      <c r="C710" t="s">
        <v>758</v>
      </c>
      <c r="D710" s="1">
        <v>29747</v>
      </c>
      <c r="E710" s="1">
        <v>1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</row>
    <row r="711" spans="1:10" x14ac:dyDescent="0.25">
      <c r="A711" t="s">
        <v>146</v>
      </c>
      <c r="B711" t="s">
        <v>879</v>
      </c>
      <c r="C711" t="s">
        <v>759</v>
      </c>
      <c r="D711" s="1">
        <v>102815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</row>
    <row r="712" spans="1:10" x14ac:dyDescent="0.25">
      <c r="A712" t="s">
        <v>795</v>
      </c>
      <c r="B712" t="s">
        <v>879</v>
      </c>
      <c r="C712" t="s">
        <v>760</v>
      </c>
      <c r="D712" s="1">
        <v>73752</v>
      </c>
      <c r="E712" s="1">
        <v>90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</row>
    <row r="713" spans="1:10" x14ac:dyDescent="0.25">
      <c r="A713" t="s">
        <v>248</v>
      </c>
      <c r="B713" t="s">
        <v>879</v>
      </c>
      <c r="C713" t="s">
        <v>761</v>
      </c>
      <c r="D713" s="1">
        <v>44801</v>
      </c>
      <c r="E713" s="1">
        <v>6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</row>
    <row r="714" spans="1:10" x14ac:dyDescent="0.25">
      <c r="A714" t="s">
        <v>796</v>
      </c>
      <c r="B714" t="s">
        <v>879</v>
      </c>
      <c r="C714" t="s">
        <v>762</v>
      </c>
      <c r="D714" s="1">
        <v>13960</v>
      </c>
      <c r="E714" s="1">
        <v>14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</row>
    <row r="715" spans="1:10" x14ac:dyDescent="0.25">
      <c r="A715" t="s">
        <v>138</v>
      </c>
      <c r="B715" t="s">
        <v>879</v>
      </c>
      <c r="C715" t="s">
        <v>763</v>
      </c>
      <c r="D715" s="1">
        <v>31089</v>
      </c>
      <c r="E715" s="1">
        <v>232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</row>
    <row r="716" spans="1:10" x14ac:dyDescent="0.25">
      <c r="A716" t="s">
        <v>10</v>
      </c>
      <c r="B716" t="s">
        <v>879</v>
      </c>
      <c r="C716" t="s">
        <v>764</v>
      </c>
      <c r="D716" s="1"/>
      <c r="E716" s="1"/>
      <c r="F716" s="1"/>
      <c r="G716" s="1"/>
      <c r="H716" s="1"/>
      <c r="I716" s="1"/>
      <c r="J716" s="1"/>
    </row>
    <row r="717" spans="1:10" x14ac:dyDescent="0.25">
      <c r="A717" t="s">
        <v>823</v>
      </c>
      <c r="B717" t="s">
        <v>879</v>
      </c>
      <c r="C717" t="s">
        <v>765</v>
      </c>
      <c r="D717" s="1">
        <v>34467</v>
      </c>
      <c r="E717" s="1">
        <v>555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</row>
    <row r="718" spans="1:10" x14ac:dyDescent="0.25">
      <c r="A718" t="s">
        <v>83</v>
      </c>
      <c r="B718" t="s">
        <v>879</v>
      </c>
      <c r="C718" t="s">
        <v>766</v>
      </c>
      <c r="D718" s="1">
        <v>9885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</row>
    <row r="719" spans="1:10" x14ac:dyDescent="0.25">
      <c r="A719" t="s">
        <v>864</v>
      </c>
      <c r="B719" t="s">
        <v>879</v>
      </c>
      <c r="C719" t="s">
        <v>767</v>
      </c>
      <c r="D719" s="1">
        <v>25550</v>
      </c>
      <c r="E719" s="1">
        <v>91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</row>
    <row r="720" spans="1:10" x14ac:dyDescent="0.25">
      <c r="A720" t="s">
        <v>76</v>
      </c>
      <c r="B720" t="s">
        <v>879</v>
      </c>
      <c r="C720" t="s">
        <v>768</v>
      </c>
      <c r="D720" s="1">
        <v>47613</v>
      </c>
      <c r="E720" s="1">
        <v>219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</row>
    <row r="721" spans="1:10" x14ac:dyDescent="0.25">
      <c r="A721" t="s">
        <v>101</v>
      </c>
      <c r="B721" t="s">
        <v>879</v>
      </c>
      <c r="C721" t="s">
        <v>769</v>
      </c>
      <c r="D721" s="60">
        <v>26705</v>
      </c>
      <c r="E721" s="60">
        <v>19</v>
      </c>
      <c r="F721" s="60">
        <v>0</v>
      </c>
      <c r="G721" s="60">
        <v>0</v>
      </c>
      <c r="H721" s="60">
        <v>0</v>
      </c>
      <c r="I721" s="60">
        <v>0</v>
      </c>
      <c r="J721" s="60">
        <v>0</v>
      </c>
    </row>
    <row r="722" spans="1:10" x14ac:dyDescent="0.25">
      <c r="A722" t="s">
        <v>831</v>
      </c>
      <c r="B722" t="s">
        <v>879</v>
      </c>
      <c r="C722" t="s">
        <v>770</v>
      </c>
      <c r="D722" s="60">
        <v>5390</v>
      </c>
      <c r="E722" s="60">
        <v>390</v>
      </c>
      <c r="F722" s="60">
        <v>0</v>
      </c>
      <c r="G722" s="60">
        <v>0</v>
      </c>
      <c r="H722" s="60">
        <v>0</v>
      </c>
      <c r="I722" s="60">
        <v>0</v>
      </c>
      <c r="J722" s="60">
        <v>0</v>
      </c>
    </row>
    <row r="723" spans="1:10" x14ac:dyDescent="0.25">
      <c r="A723" t="s">
        <v>512</v>
      </c>
      <c r="B723" t="s">
        <v>879</v>
      </c>
      <c r="C723" t="s">
        <v>771</v>
      </c>
      <c r="D723" s="60">
        <v>14740</v>
      </c>
      <c r="E723" s="60">
        <v>1</v>
      </c>
      <c r="F723" s="60">
        <v>0</v>
      </c>
      <c r="G723" s="60">
        <v>0</v>
      </c>
      <c r="H723" s="60">
        <v>0</v>
      </c>
      <c r="I723" s="60">
        <v>0</v>
      </c>
      <c r="J723" s="60">
        <v>0</v>
      </c>
    </row>
    <row r="724" spans="1:10" x14ac:dyDescent="0.25">
      <c r="A724" t="s">
        <v>848</v>
      </c>
      <c r="B724" t="s">
        <v>879</v>
      </c>
      <c r="C724" t="s">
        <v>772</v>
      </c>
      <c r="D724" s="60">
        <v>6929</v>
      </c>
      <c r="E724" s="60">
        <v>7</v>
      </c>
      <c r="F724" s="60">
        <v>0</v>
      </c>
      <c r="G724" s="60">
        <v>0</v>
      </c>
      <c r="H724" s="60">
        <v>0</v>
      </c>
      <c r="I724" s="60">
        <v>0</v>
      </c>
      <c r="J724" s="60">
        <v>0</v>
      </c>
    </row>
    <row r="725" spans="1:10" x14ac:dyDescent="0.25">
      <c r="A725" t="s">
        <v>796</v>
      </c>
      <c r="B725" t="s">
        <v>879</v>
      </c>
      <c r="C725" t="s">
        <v>773</v>
      </c>
      <c r="D725" s="60">
        <v>28654</v>
      </c>
      <c r="E725" s="60">
        <v>26</v>
      </c>
      <c r="F725" s="60">
        <v>0</v>
      </c>
      <c r="G725" s="60">
        <v>0</v>
      </c>
      <c r="H725" s="60">
        <v>0</v>
      </c>
      <c r="I725" s="60">
        <v>0</v>
      </c>
      <c r="J725" s="60">
        <v>0</v>
      </c>
    </row>
    <row r="726" spans="1:10" x14ac:dyDescent="0.25">
      <c r="A726" t="s">
        <v>826</v>
      </c>
      <c r="B726" t="s">
        <v>879</v>
      </c>
      <c r="C726" t="s">
        <v>774</v>
      </c>
      <c r="D726" s="60">
        <v>4218</v>
      </c>
      <c r="E726" s="60">
        <v>755</v>
      </c>
      <c r="F726" s="60">
        <v>0</v>
      </c>
      <c r="G726" s="60">
        <v>0</v>
      </c>
      <c r="H726" s="60">
        <v>0</v>
      </c>
      <c r="I726" s="60">
        <v>0</v>
      </c>
      <c r="J726" s="60">
        <v>0</v>
      </c>
    </row>
    <row r="727" spans="1:10" x14ac:dyDescent="0.25">
      <c r="A727" t="s">
        <v>806</v>
      </c>
      <c r="B727" t="s">
        <v>877</v>
      </c>
      <c r="C727" t="s">
        <v>775</v>
      </c>
      <c r="D727" s="60"/>
      <c r="E727" s="60"/>
      <c r="F727" s="60"/>
      <c r="G727" s="60"/>
      <c r="H727" s="60"/>
      <c r="I727" s="60"/>
      <c r="J727" s="60"/>
    </row>
    <row r="728" spans="1:10" x14ac:dyDescent="0.25">
      <c r="A728" t="s">
        <v>823</v>
      </c>
      <c r="B728" t="s">
        <v>877</v>
      </c>
      <c r="C728" t="s">
        <v>776</v>
      </c>
      <c r="D728" s="60">
        <v>584</v>
      </c>
      <c r="E728" s="60">
        <v>0</v>
      </c>
      <c r="F728" s="60">
        <v>0</v>
      </c>
      <c r="G728" s="60">
        <v>497</v>
      </c>
      <c r="H728" s="60">
        <v>6</v>
      </c>
      <c r="I728" s="60">
        <v>0</v>
      </c>
      <c r="J728" s="60">
        <v>0</v>
      </c>
    </row>
    <row r="729" spans="1:10" x14ac:dyDescent="0.25">
      <c r="A729" t="s">
        <v>859</v>
      </c>
      <c r="B729" t="s">
        <v>877</v>
      </c>
      <c r="C729" t="s">
        <v>777</v>
      </c>
      <c r="D729" s="61">
        <v>73</v>
      </c>
      <c r="E729" s="61">
        <v>0</v>
      </c>
      <c r="F729" s="61">
        <v>0</v>
      </c>
      <c r="G729" s="61">
        <v>347</v>
      </c>
      <c r="H729" s="61">
        <v>0</v>
      </c>
      <c r="I729" s="61">
        <v>0</v>
      </c>
      <c r="J729" s="61">
        <v>0</v>
      </c>
    </row>
  </sheetData>
  <sheetProtection formatCells="0" formatColumns="0" sort="0" autoFilter="0" pivotTables="0"/>
  <phoneticPr fontId="2" type="noConversion"/>
  <conditionalFormatting sqref="C721:C729">
    <cfRule type="expression" dxfId="22" priority="1">
      <formula>C721&lt;&gt;O721</formula>
    </cfRule>
  </conditionalFormatting>
  <conditionalFormatting sqref="D721:J729">
    <cfRule type="expression" dxfId="21" priority="3">
      <formula>D721&lt;&gt;O721</formula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8BF1B11D-1D99-467E-AB8C-C356EAE1819A}">
            <xm:f>A721&lt;&gt;'202212 DICIEMBRE'!#REF!</xm:f>
            <x14:dxf>
              <fill>
                <patternFill>
                  <bgColor theme="7" tint="0.39994506668294322"/>
                </patternFill>
              </fill>
            </x14:dxf>
          </x14:cfRule>
          <xm:sqref>A721:C729</xm:sqref>
        </x14:conditionalFormatting>
        <x14:conditionalFormatting xmlns:xm="http://schemas.microsoft.com/office/excel/2006/main">
          <x14:cfRule type="expression" priority="4" id="{3C2FDFD1-279A-4A88-91E8-0ED5F46FFD7A}">
            <xm:f>D721&lt;&gt;'202212 DICIEMBRE'!#REF!</xm:f>
            <x14:dxf>
              <fill>
                <patternFill>
                  <bgColor theme="7" tint="0.39994506668294322"/>
                </patternFill>
              </fill>
            </x14:dxf>
          </x14:cfRule>
          <xm:sqref>D721:J729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23BA2-BF82-41B1-990E-A790CFB4E25E}">
  <sheetPr>
    <tabColor theme="1"/>
  </sheetPr>
  <dimension ref="A1:J729"/>
  <sheetViews>
    <sheetView topLeftCell="A306" zoomScaleNormal="100" workbookViewId="0">
      <selection activeCell="A335" sqref="A335"/>
    </sheetView>
  </sheetViews>
  <sheetFormatPr baseColWidth="10" defaultColWidth="11.5703125" defaultRowHeight="15" x14ac:dyDescent="0.25"/>
  <cols>
    <col min="1" max="1" width="11.85546875" bestFit="1" customWidth="1"/>
    <col min="2" max="2" width="9" bestFit="1" customWidth="1"/>
    <col min="3" max="3" width="13.85546875" bestFit="1" customWidth="1"/>
    <col min="4" max="4" width="12.140625" bestFit="1" customWidth="1"/>
    <col min="5" max="5" width="12.42578125" bestFit="1" customWidth="1"/>
    <col min="6" max="6" width="8.7109375" bestFit="1" customWidth="1"/>
    <col min="7" max="7" width="15.5703125" bestFit="1" customWidth="1"/>
    <col min="8" max="8" width="15.85546875" bestFit="1" customWidth="1"/>
    <col min="9" max="10" width="10" bestFit="1" customWidth="1"/>
  </cols>
  <sheetData>
    <row r="1" spans="1:10" x14ac:dyDescent="0.25">
      <c r="A1" t="s">
        <v>0</v>
      </c>
      <c r="B1" t="s">
        <v>869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 t="s">
        <v>76</v>
      </c>
      <c r="B2" t="s">
        <v>870</v>
      </c>
      <c r="C2" t="s">
        <v>11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48958</v>
      </c>
      <c r="J2" s="1">
        <v>0</v>
      </c>
    </row>
    <row r="3" spans="1:10" x14ac:dyDescent="0.25">
      <c r="A3" t="s">
        <v>69</v>
      </c>
      <c r="B3" t="s">
        <v>870</v>
      </c>
      <c r="C3" t="s">
        <v>12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101810</v>
      </c>
      <c r="J3" s="1">
        <v>0</v>
      </c>
    </row>
    <row r="4" spans="1:10" x14ac:dyDescent="0.25">
      <c r="A4" t="s">
        <v>76</v>
      </c>
      <c r="B4" t="s">
        <v>870</v>
      </c>
      <c r="C4" t="s">
        <v>13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15422</v>
      </c>
      <c r="J4" s="1">
        <v>0</v>
      </c>
    </row>
    <row r="5" spans="1:10" x14ac:dyDescent="0.25">
      <c r="A5" t="s">
        <v>801</v>
      </c>
      <c r="B5" t="s">
        <v>870</v>
      </c>
      <c r="C5" t="s">
        <v>14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23272</v>
      </c>
      <c r="J5" s="1">
        <v>0</v>
      </c>
    </row>
    <row r="6" spans="1:10" x14ac:dyDescent="0.25">
      <c r="A6" t="s">
        <v>826</v>
      </c>
      <c r="B6" t="s">
        <v>870</v>
      </c>
      <c r="C6" t="s">
        <v>15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10588</v>
      </c>
      <c r="J6" s="1">
        <v>0</v>
      </c>
    </row>
    <row r="7" spans="1:10" x14ac:dyDescent="0.25">
      <c r="A7" t="s">
        <v>811</v>
      </c>
      <c r="B7" t="s">
        <v>870</v>
      </c>
      <c r="C7" t="s">
        <v>16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6990</v>
      </c>
      <c r="J7" s="1">
        <v>0</v>
      </c>
    </row>
    <row r="8" spans="1:10" x14ac:dyDescent="0.25">
      <c r="A8" t="s">
        <v>83</v>
      </c>
      <c r="B8" t="s">
        <v>870</v>
      </c>
      <c r="C8" t="s">
        <v>17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911</v>
      </c>
      <c r="J8" s="1">
        <v>0</v>
      </c>
    </row>
    <row r="9" spans="1:10" x14ac:dyDescent="0.25">
      <c r="A9" t="s">
        <v>803</v>
      </c>
      <c r="B9" t="s">
        <v>870</v>
      </c>
      <c r="C9" t="s">
        <v>18</v>
      </c>
      <c r="D9" s="1"/>
      <c r="E9" s="1"/>
      <c r="F9" s="1"/>
      <c r="G9" s="1"/>
      <c r="H9" s="1"/>
      <c r="I9" s="1"/>
      <c r="J9" s="1"/>
    </row>
    <row r="10" spans="1:10" x14ac:dyDescent="0.25">
      <c r="A10" t="s">
        <v>76</v>
      </c>
      <c r="B10" t="s">
        <v>870</v>
      </c>
      <c r="C10" t="s">
        <v>19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32279</v>
      </c>
      <c r="J10" s="1">
        <v>0</v>
      </c>
    </row>
    <row r="11" spans="1:10" x14ac:dyDescent="0.25">
      <c r="A11" t="s">
        <v>83</v>
      </c>
      <c r="B11" t="s">
        <v>870</v>
      </c>
      <c r="C11" t="s">
        <v>20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955</v>
      </c>
      <c r="J11" s="1">
        <v>0</v>
      </c>
    </row>
    <row r="12" spans="1:10" x14ac:dyDescent="0.25">
      <c r="A12" t="s">
        <v>248</v>
      </c>
      <c r="B12" t="s">
        <v>870</v>
      </c>
      <c r="C12" t="s">
        <v>21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10229</v>
      </c>
      <c r="J12" s="1">
        <v>0</v>
      </c>
    </row>
    <row r="13" spans="1:10" x14ac:dyDescent="0.25">
      <c r="A13" t="s">
        <v>83</v>
      </c>
      <c r="B13" t="s">
        <v>870</v>
      </c>
      <c r="C13" t="s">
        <v>22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2750</v>
      </c>
      <c r="J13" s="1">
        <v>0</v>
      </c>
    </row>
    <row r="14" spans="1:10" x14ac:dyDescent="0.25">
      <c r="A14" t="s">
        <v>801</v>
      </c>
      <c r="B14" t="s">
        <v>870</v>
      </c>
      <c r="C14" t="s">
        <v>23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1642</v>
      </c>
      <c r="J14" s="1">
        <v>0</v>
      </c>
    </row>
    <row r="15" spans="1:10" x14ac:dyDescent="0.25">
      <c r="A15" t="s">
        <v>69</v>
      </c>
      <c r="B15" t="s">
        <v>870</v>
      </c>
      <c r="C15" t="s">
        <v>24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16676</v>
      </c>
      <c r="J15" s="1">
        <v>0</v>
      </c>
    </row>
    <row r="16" spans="1:10" x14ac:dyDescent="0.25">
      <c r="A16" t="s">
        <v>804</v>
      </c>
      <c r="B16" t="s">
        <v>870</v>
      </c>
      <c r="C16" t="s">
        <v>25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3173</v>
      </c>
      <c r="J16" s="1">
        <v>0</v>
      </c>
    </row>
    <row r="17" spans="1:10" x14ac:dyDescent="0.25">
      <c r="A17" t="s">
        <v>788</v>
      </c>
      <c r="B17" t="s">
        <v>871</v>
      </c>
      <c r="C17" t="s">
        <v>26</v>
      </c>
      <c r="D17" s="1"/>
      <c r="E17" s="1"/>
      <c r="F17" s="1"/>
      <c r="G17" s="1"/>
      <c r="H17" s="1"/>
      <c r="I17" s="1"/>
      <c r="J17" s="1"/>
    </row>
    <row r="18" spans="1:10" x14ac:dyDescent="0.25">
      <c r="A18" t="s">
        <v>849</v>
      </c>
      <c r="B18" t="s">
        <v>872</v>
      </c>
      <c r="C18" t="s">
        <v>27</v>
      </c>
      <c r="D18" s="1">
        <v>45430</v>
      </c>
      <c r="E18" s="1">
        <v>815</v>
      </c>
      <c r="F18" s="1">
        <v>0</v>
      </c>
      <c r="G18" s="1">
        <v>0</v>
      </c>
      <c r="H18" s="1">
        <v>0</v>
      </c>
      <c r="I18" s="1">
        <v>96637</v>
      </c>
      <c r="J18" s="1">
        <v>17551</v>
      </c>
    </row>
    <row r="19" spans="1:10" x14ac:dyDescent="0.25">
      <c r="A19" t="s">
        <v>791</v>
      </c>
      <c r="B19" t="s">
        <v>872</v>
      </c>
      <c r="C19" t="s">
        <v>28</v>
      </c>
      <c r="D19" s="1">
        <v>136056</v>
      </c>
      <c r="E19" s="1">
        <v>138</v>
      </c>
      <c r="F19" s="1">
        <v>0</v>
      </c>
      <c r="G19" s="1">
        <v>0</v>
      </c>
      <c r="H19" s="1">
        <v>0</v>
      </c>
      <c r="I19" s="1">
        <v>37910</v>
      </c>
      <c r="J19" s="1">
        <v>19702</v>
      </c>
    </row>
    <row r="20" spans="1:10" x14ac:dyDescent="0.25">
      <c r="A20" t="s">
        <v>806</v>
      </c>
      <c r="B20" t="s">
        <v>872</v>
      </c>
      <c r="C20" t="s">
        <v>29</v>
      </c>
      <c r="D20" s="1"/>
      <c r="E20" s="1"/>
      <c r="F20" s="1"/>
      <c r="G20" s="1"/>
      <c r="H20" s="1"/>
      <c r="I20" s="1"/>
      <c r="J20" s="1"/>
    </row>
    <row r="21" spans="1:10" x14ac:dyDescent="0.25">
      <c r="A21" t="s">
        <v>817</v>
      </c>
      <c r="B21" t="s">
        <v>872</v>
      </c>
      <c r="C21" s="1" t="s">
        <v>30</v>
      </c>
      <c r="D21" s="1">
        <v>54966</v>
      </c>
      <c r="E21" s="1">
        <v>483</v>
      </c>
      <c r="F21" s="1">
        <v>0</v>
      </c>
      <c r="G21" s="1">
        <v>0</v>
      </c>
      <c r="H21" s="1">
        <v>0</v>
      </c>
      <c r="I21" s="1">
        <v>86839</v>
      </c>
      <c r="J21" s="1">
        <v>11288</v>
      </c>
    </row>
    <row r="22" spans="1:10" x14ac:dyDescent="0.25">
      <c r="A22" t="s">
        <v>829</v>
      </c>
      <c r="B22" t="s">
        <v>872</v>
      </c>
      <c r="C22" t="s">
        <v>32</v>
      </c>
      <c r="D22" s="1">
        <v>35262</v>
      </c>
      <c r="E22" s="1">
        <v>30</v>
      </c>
      <c r="F22" s="1">
        <v>0</v>
      </c>
      <c r="G22" s="1">
        <v>0</v>
      </c>
      <c r="H22" s="1">
        <v>0</v>
      </c>
      <c r="I22" s="1">
        <v>23924</v>
      </c>
      <c r="J22" s="1">
        <v>5512</v>
      </c>
    </row>
    <row r="23" spans="1:10" x14ac:dyDescent="0.25">
      <c r="A23" t="s">
        <v>830</v>
      </c>
      <c r="B23" t="s">
        <v>872</v>
      </c>
      <c r="C23" t="s">
        <v>34</v>
      </c>
      <c r="D23" s="1">
        <v>15650</v>
      </c>
      <c r="E23" s="1">
        <v>110</v>
      </c>
      <c r="F23" s="1">
        <v>0</v>
      </c>
      <c r="G23" s="1">
        <v>0</v>
      </c>
      <c r="H23" s="1">
        <v>0</v>
      </c>
      <c r="I23" s="1">
        <v>9832</v>
      </c>
      <c r="J23" s="1">
        <v>6310</v>
      </c>
    </row>
    <row r="24" spans="1:10" x14ac:dyDescent="0.25">
      <c r="A24" t="s">
        <v>831</v>
      </c>
      <c r="B24" t="s">
        <v>872</v>
      </c>
      <c r="C24" t="s">
        <v>35</v>
      </c>
      <c r="D24" s="1">
        <v>14666</v>
      </c>
      <c r="E24" s="1">
        <v>1</v>
      </c>
      <c r="F24" s="1">
        <v>0</v>
      </c>
      <c r="G24" s="1">
        <v>0</v>
      </c>
      <c r="H24" s="1">
        <v>0</v>
      </c>
      <c r="I24" s="1">
        <v>5136</v>
      </c>
      <c r="J24" s="1">
        <v>1695</v>
      </c>
    </row>
    <row r="25" spans="1:10" x14ac:dyDescent="0.25">
      <c r="A25" t="s">
        <v>832</v>
      </c>
      <c r="B25" t="s">
        <v>872</v>
      </c>
      <c r="C25" t="s">
        <v>37</v>
      </c>
      <c r="D25" s="1">
        <v>15399</v>
      </c>
      <c r="E25" s="1">
        <v>46</v>
      </c>
      <c r="F25" s="1">
        <v>0</v>
      </c>
      <c r="G25" s="1">
        <v>0</v>
      </c>
      <c r="H25" s="1">
        <v>0</v>
      </c>
      <c r="I25" s="1">
        <v>11865</v>
      </c>
      <c r="J25" s="1">
        <v>3513</v>
      </c>
    </row>
    <row r="26" spans="1:10" x14ac:dyDescent="0.25">
      <c r="A26" t="s">
        <v>833</v>
      </c>
      <c r="B26" t="s">
        <v>872</v>
      </c>
      <c r="C26" t="s">
        <v>39</v>
      </c>
      <c r="D26" s="1">
        <v>9895</v>
      </c>
      <c r="E26" s="1">
        <v>14</v>
      </c>
      <c r="F26" s="1">
        <v>0</v>
      </c>
      <c r="G26" s="1">
        <v>0</v>
      </c>
      <c r="H26" s="1">
        <v>0</v>
      </c>
      <c r="I26" s="1">
        <v>19425</v>
      </c>
      <c r="J26" s="1">
        <v>4275</v>
      </c>
    </row>
    <row r="27" spans="1:10" x14ac:dyDescent="0.25">
      <c r="A27" t="s">
        <v>834</v>
      </c>
      <c r="B27" t="s">
        <v>872</v>
      </c>
      <c r="C27" t="s">
        <v>41</v>
      </c>
      <c r="D27" s="1">
        <v>32793</v>
      </c>
      <c r="E27" s="1">
        <v>172</v>
      </c>
      <c r="F27" s="1">
        <v>0</v>
      </c>
      <c r="G27" s="1">
        <v>0</v>
      </c>
      <c r="H27" s="1">
        <v>0</v>
      </c>
      <c r="I27" s="1">
        <v>10023</v>
      </c>
      <c r="J27" s="1">
        <v>8104</v>
      </c>
    </row>
    <row r="28" spans="1:10" x14ac:dyDescent="0.25">
      <c r="A28" t="s">
        <v>835</v>
      </c>
      <c r="B28" t="s">
        <v>872</v>
      </c>
      <c r="C28" t="s">
        <v>42</v>
      </c>
      <c r="D28" s="1">
        <v>11997</v>
      </c>
      <c r="E28" s="1">
        <v>66</v>
      </c>
      <c r="F28" s="1">
        <v>0</v>
      </c>
      <c r="G28" s="1">
        <v>0</v>
      </c>
      <c r="H28" s="1">
        <v>0</v>
      </c>
      <c r="I28" s="1">
        <v>6963</v>
      </c>
      <c r="J28" s="1">
        <v>3050</v>
      </c>
    </row>
    <row r="29" spans="1:10" x14ac:dyDescent="0.25">
      <c r="A29" t="s">
        <v>836</v>
      </c>
      <c r="B29" t="s">
        <v>872</v>
      </c>
      <c r="C29" t="s">
        <v>44</v>
      </c>
      <c r="D29" s="1">
        <v>36053</v>
      </c>
      <c r="E29" s="1">
        <v>53</v>
      </c>
      <c r="F29" s="1">
        <v>0</v>
      </c>
      <c r="G29" s="1">
        <v>0</v>
      </c>
      <c r="H29" s="1">
        <v>0</v>
      </c>
      <c r="I29" s="1">
        <v>18765</v>
      </c>
      <c r="J29" s="1">
        <v>10812</v>
      </c>
    </row>
    <row r="30" spans="1:10" x14ac:dyDescent="0.25">
      <c r="A30" t="s">
        <v>837</v>
      </c>
      <c r="B30" t="s">
        <v>872</v>
      </c>
      <c r="C30" t="s">
        <v>46</v>
      </c>
      <c r="D30" s="1">
        <v>16581</v>
      </c>
      <c r="E30" s="1">
        <v>8</v>
      </c>
      <c r="F30" s="1">
        <v>0</v>
      </c>
      <c r="G30" s="1">
        <v>0</v>
      </c>
      <c r="H30" s="1">
        <v>0</v>
      </c>
      <c r="I30" s="1">
        <v>16262</v>
      </c>
      <c r="J30" s="1">
        <v>3701</v>
      </c>
    </row>
    <row r="31" spans="1:10" x14ac:dyDescent="0.25">
      <c r="A31" t="s">
        <v>838</v>
      </c>
      <c r="B31" t="s">
        <v>872</v>
      </c>
      <c r="C31" t="s">
        <v>48</v>
      </c>
      <c r="D31" s="1">
        <v>34268</v>
      </c>
      <c r="E31" s="1">
        <v>35</v>
      </c>
      <c r="F31" s="1">
        <v>0</v>
      </c>
      <c r="G31" s="1">
        <v>0</v>
      </c>
      <c r="H31" s="1">
        <v>0</v>
      </c>
      <c r="I31" s="1">
        <v>22330</v>
      </c>
      <c r="J31" s="1">
        <v>11108</v>
      </c>
    </row>
    <row r="32" spans="1:10" x14ac:dyDescent="0.25">
      <c r="A32" t="s">
        <v>839</v>
      </c>
      <c r="B32" t="s">
        <v>872</v>
      </c>
      <c r="C32" t="s">
        <v>49</v>
      </c>
      <c r="D32" s="1">
        <v>34125</v>
      </c>
      <c r="E32" s="1">
        <v>27</v>
      </c>
      <c r="F32" s="1">
        <v>0</v>
      </c>
      <c r="G32" s="1">
        <v>0</v>
      </c>
      <c r="H32" s="1">
        <v>0</v>
      </c>
      <c r="I32" s="1">
        <v>23117</v>
      </c>
      <c r="J32" s="1">
        <v>15231</v>
      </c>
    </row>
    <row r="33" spans="1:10" x14ac:dyDescent="0.25">
      <c r="A33" t="s">
        <v>840</v>
      </c>
      <c r="B33" t="s">
        <v>872</v>
      </c>
      <c r="C33" t="s">
        <v>51</v>
      </c>
      <c r="D33" s="1">
        <v>11474</v>
      </c>
      <c r="E33" s="1">
        <v>31</v>
      </c>
      <c r="F33" s="1">
        <v>0</v>
      </c>
      <c r="G33" s="1">
        <v>0</v>
      </c>
      <c r="H33" s="1">
        <v>0</v>
      </c>
      <c r="I33" s="1">
        <v>3528</v>
      </c>
      <c r="J33" s="1">
        <v>4024</v>
      </c>
    </row>
    <row r="34" spans="1:10" x14ac:dyDescent="0.25">
      <c r="A34" t="s">
        <v>841</v>
      </c>
      <c r="B34" t="s">
        <v>872</v>
      </c>
      <c r="C34" t="s">
        <v>53</v>
      </c>
      <c r="D34" s="1">
        <v>31727</v>
      </c>
      <c r="E34" s="1">
        <v>0</v>
      </c>
      <c r="F34" s="1">
        <v>0</v>
      </c>
      <c r="G34" s="1">
        <v>0</v>
      </c>
      <c r="H34" s="1">
        <v>0</v>
      </c>
      <c r="I34" s="1">
        <v>13291</v>
      </c>
      <c r="J34" s="1">
        <v>14437</v>
      </c>
    </row>
    <row r="35" spans="1:10" x14ac:dyDescent="0.25">
      <c r="A35" t="s">
        <v>842</v>
      </c>
      <c r="B35" t="s">
        <v>872</v>
      </c>
      <c r="C35" t="s">
        <v>55</v>
      </c>
      <c r="D35" s="1">
        <v>25620</v>
      </c>
      <c r="E35" s="1">
        <v>379</v>
      </c>
      <c r="F35" s="1">
        <v>0</v>
      </c>
      <c r="G35" s="1">
        <v>0</v>
      </c>
      <c r="H35" s="1">
        <v>0</v>
      </c>
      <c r="I35" s="1">
        <v>20892</v>
      </c>
      <c r="J35" s="1">
        <v>7492</v>
      </c>
    </row>
    <row r="36" spans="1:10" x14ac:dyDescent="0.25">
      <c r="A36" t="s">
        <v>788</v>
      </c>
      <c r="B36" t="s">
        <v>872</v>
      </c>
      <c r="C36" t="s">
        <v>56</v>
      </c>
      <c r="D36" s="1">
        <v>77533</v>
      </c>
      <c r="E36" s="1">
        <v>190</v>
      </c>
      <c r="F36" s="1">
        <v>0</v>
      </c>
      <c r="G36" s="1">
        <v>0</v>
      </c>
      <c r="H36" s="1">
        <v>0</v>
      </c>
      <c r="I36" s="1">
        <v>18391</v>
      </c>
      <c r="J36" s="1">
        <v>21922</v>
      </c>
    </row>
    <row r="37" spans="1:10" x14ac:dyDescent="0.25">
      <c r="A37" t="s">
        <v>495</v>
      </c>
      <c r="B37" t="s">
        <v>872</v>
      </c>
      <c r="C37" t="s">
        <v>57</v>
      </c>
      <c r="D37" s="1">
        <v>36379</v>
      </c>
      <c r="E37" s="1">
        <v>8</v>
      </c>
      <c r="F37" s="1">
        <v>0</v>
      </c>
      <c r="G37" s="1">
        <v>0</v>
      </c>
      <c r="H37" s="1">
        <v>0</v>
      </c>
      <c r="I37" s="1">
        <v>5897</v>
      </c>
      <c r="J37" s="1">
        <v>1669</v>
      </c>
    </row>
    <row r="38" spans="1:10" x14ac:dyDescent="0.25">
      <c r="A38" t="s">
        <v>248</v>
      </c>
      <c r="B38" t="s">
        <v>872</v>
      </c>
      <c r="C38" t="s">
        <v>58</v>
      </c>
      <c r="D38" s="1">
        <v>44306</v>
      </c>
      <c r="E38" s="1">
        <v>438</v>
      </c>
      <c r="F38" s="1">
        <v>0</v>
      </c>
      <c r="G38" s="1">
        <v>0</v>
      </c>
      <c r="H38" s="1">
        <v>0</v>
      </c>
      <c r="I38" s="1">
        <v>35893</v>
      </c>
      <c r="J38" s="1">
        <v>7199</v>
      </c>
    </row>
    <row r="39" spans="1:10" x14ac:dyDescent="0.25">
      <c r="A39" t="s">
        <v>843</v>
      </c>
      <c r="B39" t="s">
        <v>872</v>
      </c>
      <c r="C39" t="s">
        <v>60</v>
      </c>
      <c r="D39" s="1">
        <v>12640</v>
      </c>
      <c r="E39" s="1">
        <v>0</v>
      </c>
      <c r="F39" s="1">
        <v>0</v>
      </c>
      <c r="G39" s="1">
        <v>0</v>
      </c>
      <c r="H39" s="1">
        <v>0</v>
      </c>
      <c r="I39" s="1">
        <v>13079</v>
      </c>
      <c r="J39" s="1">
        <v>3907</v>
      </c>
    </row>
    <row r="40" spans="1:10" x14ac:dyDescent="0.25">
      <c r="A40" t="s">
        <v>844</v>
      </c>
      <c r="B40" t="s">
        <v>872</v>
      </c>
      <c r="C40" t="s">
        <v>62</v>
      </c>
      <c r="D40" s="1">
        <v>16862</v>
      </c>
      <c r="E40" s="1">
        <v>27</v>
      </c>
      <c r="F40" s="1">
        <v>0</v>
      </c>
      <c r="G40" s="1">
        <v>0</v>
      </c>
      <c r="H40" s="1">
        <v>0</v>
      </c>
      <c r="I40" s="1">
        <v>10143</v>
      </c>
      <c r="J40" s="1">
        <v>4513</v>
      </c>
    </row>
    <row r="41" spans="1:10" x14ac:dyDescent="0.25">
      <c r="A41" t="s">
        <v>845</v>
      </c>
      <c r="B41" t="s">
        <v>872</v>
      </c>
      <c r="C41" t="s">
        <v>63</v>
      </c>
      <c r="D41" s="1">
        <v>50255</v>
      </c>
      <c r="E41" s="1">
        <v>314</v>
      </c>
      <c r="F41" s="1">
        <v>0</v>
      </c>
      <c r="G41" s="1">
        <v>0</v>
      </c>
      <c r="H41" s="1">
        <v>0</v>
      </c>
      <c r="I41" s="1">
        <v>26022</v>
      </c>
      <c r="J41" s="1">
        <v>9352</v>
      </c>
    </row>
    <row r="42" spans="1:10" x14ac:dyDescent="0.25">
      <c r="A42" t="s">
        <v>846</v>
      </c>
      <c r="B42" t="s">
        <v>872</v>
      </c>
      <c r="C42" t="s">
        <v>64</v>
      </c>
      <c r="D42" s="1">
        <v>12081</v>
      </c>
      <c r="E42" s="1">
        <v>0</v>
      </c>
      <c r="F42" s="1">
        <v>0</v>
      </c>
      <c r="G42" s="1">
        <v>0</v>
      </c>
      <c r="H42" s="1">
        <v>0</v>
      </c>
      <c r="I42" s="1">
        <v>20051</v>
      </c>
      <c r="J42" s="1">
        <v>3369</v>
      </c>
    </row>
    <row r="43" spans="1:10" x14ac:dyDescent="0.25">
      <c r="A43" t="s">
        <v>788</v>
      </c>
      <c r="B43" t="s">
        <v>872</v>
      </c>
      <c r="C43" t="s">
        <v>65</v>
      </c>
      <c r="D43" s="1">
        <v>32203</v>
      </c>
      <c r="E43" s="1">
        <v>158</v>
      </c>
      <c r="F43" s="1">
        <v>0</v>
      </c>
      <c r="G43" s="1">
        <v>0</v>
      </c>
      <c r="H43" s="1">
        <v>0</v>
      </c>
      <c r="I43" s="1">
        <v>32049</v>
      </c>
      <c r="J43" s="1">
        <v>10242</v>
      </c>
    </row>
    <row r="44" spans="1:10" x14ac:dyDescent="0.25">
      <c r="A44" t="s">
        <v>76</v>
      </c>
      <c r="B44" t="s">
        <v>872</v>
      </c>
      <c r="C44" t="s">
        <v>66</v>
      </c>
      <c r="D44" s="1">
        <v>21855</v>
      </c>
      <c r="E44" s="1">
        <v>137</v>
      </c>
      <c r="F44" s="1">
        <v>0</v>
      </c>
      <c r="G44" s="1">
        <v>0</v>
      </c>
      <c r="H44" s="1">
        <v>0</v>
      </c>
      <c r="I44" s="1">
        <v>2518</v>
      </c>
      <c r="J44" s="1">
        <v>5329</v>
      </c>
    </row>
    <row r="45" spans="1:10" x14ac:dyDescent="0.25">
      <c r="A45" t="s">
        <v>67</v>
      </c>
      <c r="B45" t="s">
        <v>872</v>
      </c>
      <c r="C45" t="s">
        <v>68</v>
      </c>
      <c r="D45" s="1">
        <v>31713</v>
      </c>
      <c r="E45" s="1">
        <v>473</v>
      </c>
      <c r="F45" s="1">
        <v>0</v>
      </c>
      <c r="G45" s="1">
        <v>0</v>
      </c>
      <c r="H45" s="1">
        <v>0</v>
      </c>
      <c r="I45" s="1">
        <v>26294</v>
      </c>
      <c r="J45" s="1">
        <v>3967</v>
      </c>
    </row>
    <row r="46" spans="1:10" x14ac:dyDescent="0.25">
      <c r="A46" t="s">
        <v>76</v>
      </c>
      <c r="B46" t="s">
        <v>872</v>
      </c>
      <c r="C46" t="s">
        <v>70</v>
      </c>
      <c r="D46" s="1">
        <v>146841</v>
      </c>
      <c r="E46" s="1">
        <v>743</v>
      </c>
      <c r="F46" s="1">
        <v>0</v>
      </c>
      <c r="G46" s="1">
        <v>0</v>
      </c>
      <c r="H46" s="1">
        <v>0</v>
      </c>
      <c r="I46" s="1">
        <v>96426</v>
      </c>
      <c r="J46" s="1">
        <v>31695</v>
      </c>
    </row>
    <row r="47" spans="1:10" x14ac:dyDescent="0.25">
      <c r="A47" t="s">
        <v>803</v>
      </c>
      <c r="B47" t="s">
        <v>872</v>
      </c>
      <c r="C47" t="s">
        <v>71</v>
      </c>
      <c r="D47" s="1"/>
      <c r="E47" s="1"/>
      <c r="F47" s="1"/>
      <c r="G47" s="1"/>
      <c r="H47" s="1"/>
      <c r="I47" s="1"/>
      <c r="J47" s="1"/>
    </row>
    <row r="48" spans="1:10" x14ac:dyDescent="0.25">
      <c r="A48" t="s">
        <v>72</v>
      </c>
      <c r="B48" t="s">
        <v>872</v>
      </c>
      <c r="C48" t="s">
        <v>73</v>
      </c>
      <c r="D48" s="1">
        <v>28421</v>
      </c>
      <c r="E48" s="1">
        <v>104</v>
      </c>
      <c r="F48" s="1">
        <v>0</v>
      </c>
      <c r="G48" s="1">
        <v>0</v>
      </c>
      <c r="H48" s="1">
        <v>0</v>
      </c>
      <c r="I48" s="1">
        <v>16334</v>
      </c>
      <c r="J48" s="1">
        <v>4598</v>
      </c>
    </row>
    <row r="49" spans="1:10" x14ac:dyDescent="0.25">
      <c r="A49" t="s">
        <v>809</v>
      </c>
      <c r="B49" t="s">
        <v>872</v>
      </c>
      <c r="C49" t="s">
        <v>74</v>
      </c>
      <c r="D49" s="1">
        <v>60042</v>
      </c>
      <c r="E49" s="1">
        <v>1792</v>
      </c>
      <c r="F49" s="1">
        <v>0</v>
      </c>
      <c r="G49" s="1">
        <v>0</v>
      </c>
      <c r="H49" s="1">
        <v>0</v>
      </c>
      <c r="I49" s="1">
        <v>29060</v>
      </c>
      <c r="J49" s="1">
        <v>8714</v>
      </c>
    </row>
    <row r="50" spans="1:10" x14ac:dyDescent="0.25">
      <c r="A50" t="s">
        <v>146</v>
      </c>
      <c r="B50" t="s">
        <v>872</v>
      </c>
      <c r="C50" t="s">
        <v>75</v>
      </c>
      <c r="D50" s="1">
        <v>40131</v>
      </c>
      <c r="E50" s="1">
        <v>162</v>
      </c>
      <c r="F50" s="1">
        <v>0</v>
      </c>
      <c r="G50" s="1">
        <v>0</v>
      </c>
      <c r="H50" s="1">
        <v>0</v>
      </c>
      <c r="I50" s="1">
        <v>25451</v>
      </c>
      <c r="J50" s="1">
        <v>25027</v>
      </c>
    </row>
    <row r="51" spans="1:10" x14ac:dyDescent="0.25">
      <c r="A51" t="s">
        <v>76</v>
      </c>
      <c r="B51" t="s">
        <v>872</v>
      </c>
      <c r="C51" t="s">
        <v>77</v>
      </c>
      <c r="D51" s="1">
        <v>65693</v>
      </c>
      <c r="E51" s="1">
        <v>232</v>
      </c>
      <c r="F51" s="1">
        <v>0</v>
      </c>
      <c r="G51" s="1">
        <v>0</v>
      </c>
      <c r="H51" s="1">
        <v>0</v>
      </c>
      <c r="I51" s="1">
        <v>17516</v>
      </c>
      <c r="J51" s="1">
        <v>18918</v>
      </c>
    </row>
    <row r="52" spans="1:10" x14ac:dyDescent="0.25">
      <c r="A52" t="s">
        <v>801</v>
      </c>
      <c r="B52" t="s">
        <v>872</v>
      </c>
      <c r="C52" t="s">
        <v>78</v>
      </c>
      <c r="D52" s="1">
        <v>51796</v>
      </c>
      <c r="E52" s="1">
        <v>51</v>
      </c>
      <c r="F52" s="1">
        <v>0</v>
      </c>
      <c r="G52" s="1">
        <v>0</v>
      </c>
      <c r="H52" s="1">
        <v>0</v>
      </c>
      <c r="I52" s="1">
        <v>94341</v>
      </c>
      <c r="J52" s="1">
        <v>14180</v>
      </c>
    </row>
    <row r="53" spans="1:10" x14ac:dyDescent="0.25">
      <c r="A53" t="s">
        <v>847</v>
      </c>
      <c r="B53" t="s">
        <v>872</v>
      </c>
      <c r="C53" t="s">
        <v>79</v>
      </c>
      <c r="D53" s="1">
        <v>18972</v>
      </c>
      <c r="E53" s="1">
        <v>0</v>
      </c>
      <c r="F53" s="1">
        <v>0</v>
      </c>
      <c r="G53" s="1">
        <v>0</v>
      </c>
      <c r="H53" s="1">
        <v>0</v>
      </c>
      <c r="I53" s="1">
        <v>3503</v>
      </c>
      <c r="J53" s="1">
        <v>2808</v>
      </c>
    </row>
    <row r="54" spans="1:10" x14ac:dyDescent="0.25">
      <c r="A54" t="s">
        <v>226</v>
      </c>
      <c r="B54" t="s">
        <v>872</v>
      </c>
      <c r="C54" t="s">
        <v>80</v>
      </c>
      <c r="D54" s="1">
        <v>11303</v>
      </c>
      <c r="E54" s="1">
        <v>7</v>
      </c>
      <c r="F54" s="1">
        <v>0</v>
      </c>
      <c r="G54" s="1">
        <v>0</v>
      </c>
      <c r="H54" s="1">
        <v>0</v>
      </c>
      <c r="I54" s="1">
        <v>6466</v>
      </c>
      <c r="J54" s="1">
        <v>2781</v>
      </c>
    </row>
    <row r="55" spans="1:10" x14ac:dyDescent="0.25">
      <c r="A55" t="s">
        <v>826</v>
      </c>
      <c r="B55" t="s">
        <v>872</v>
      </c>
      <c r="C55" t="s">
        <v>81</v>
      </c>
      <c r="D55" s="1">
        <v>19043</v>
      </c>
      <c r="E55" s="1">
        <v>0</v>
      </c>
      <c r="F55" s="1">
        <v>0</v>
      </c>
      <c r="G55" s="1">
        <v>0</v>
      </c>
      <c r="H55" s="1">
        <v>0</v>
      </c>
      <c r="I55" s="1">
        <v>5275</v>
      </c>
      <c r="J55" s="1">
        <v>4070</v>
      </c>
    </row>
    <row r="56" spans="1:10" x14ac:dyDescent="0.25">
      <c r="A56" t="s">
        <v>76</v>
      </c>
      <c r="B56" t="s">
        <v>872</v>
      </c>
      <c r="C56" t="s">
        <v>82</v>
      </c>
      <c r="D56" s="1">
        <v>91927</v>
      </c>
      <c r="E56" s="1">
        <v>798</v>
      </c>
      <c r="F56" s="1">
        <v>0</v>
      </c>
      <c r="G56" s="1">
        <v>0</v>
      </c>
      <c r="H56" s="1">
        <v>0</v>
      </c>
      <c r="I56" s="1">
        <v>13441</v>
      </c>
      <c r="J56" s="1">
        <v>9407</v>
      </c>
    </row>
    <row r="57" spans="1:10" x14ac:dyDescent="0.25">
      <c r="A57" t="s">
        <v>83</v>
      </c>
      <c r="B57" t="s">
        <v>872</v>
      </c>
      <c r="C57" t="s">
        <v>84</v>
      </c>
      <c r="D57" s="1">
        <v>33709</v>
      </c>
      <c r="E57" s="1">
        <v>40</v>
      </c>
      <c r="F57" s="1">
        <v>0</v>
      </c>
      <c r="G57" s="1">
        <v>0</v>
      </c>
      <c r="H57" s="1">
        <v>0</v>
      </c>
      <c r="I57" s="1">
        <v>26090</v>
      </c>
      <c r="J57" s="1">
        <v>23238</v>
      </c>
    </row>
    <row r="58" spans="1:10" x14ac:dyDescent="0.25">
      <c r="A58" t="s">
        <v>809</v>
      </c>
      <c r="B58" t="s">
        <v>872</v>
      </c>
      <c r="C58" t="s">
        <v>85</v>
      </c>
      <c r="D58" s="1">
        <v>14110</v>
      </c>
      <c r="E58" s="1">
        <v>269</v>
      </c>
      <c r="F58" s="1">
        <v>0</v>
      </c>
      <c r="G58" s="1">
        <v>0</v>
      </c>
      <c r="H58" s="1">
        <v>0</v>
      </c>
      <c r="I58" s="1">
        <v>7813</v>
      </c>
      <c r="J58" s="1">
        <v>1993</v>
      </c>
    </row>
    <row r="59" spans="1:10" x14ac:dyDescent="0.25">
      <c r="A59" t="s">
        <v>811</v>
      </c>
      <c r="B59" t="s">
        <v>872</v>
      </c>
      <c r="C59" t="s">
        <v>86</v>
      </c>
      <c r="D59" s="1">
        <v>97111</v>
      </c>
      <c r="E59" s="1">
        <v>23057</v>
      </c>
      <c r="F59" s="1">
        <v>0</v>
      </c>
      <c r="G59" s="1">
        <v>0</v>
      </c>
      <c r="H59" s="1">
        <v>0</v>
      </c>
      <c r="I59" s="1">
        <v>16921</v>
      </c>
      <c r="J59" s="1">
        <v>53678</v>
      </c>
    </row>
    <row r="60" spans="1:10" x14ac:dyDescent="0.25">
      <c r="A60" t="s">
        <v>811</v>
      </c>
      <c r="B60" t="s">
        <v>872</v>
      </c>
      <c r="C60" t="s">
        <v>87</v>
      </c>
      <c r="D60" s="1">
        <v>51077</v>
      </c>
      <c r="E60" s="1">
        <v>2632</v>
      </c>
      <c r="F60" s="1">
        <v>0</v>
      </c>
      <c r="G60" s="1">
        <v>0</v>
      </c>
      <c r="H60" s="1">
        <v>0</v>
      </c>
      <c r="I60" s="1">
        <v>15595</v>
      </c>
      <c r="J60" s="1">
        <v>13167</v>
      </c>
    </row>
    <row r="61" spans="1:10" x14ac:dyDescent="0.25">
      <c r="A61" t="s">
        <v>791</v>
      </c>
      <c r="B61" t="s">
        <v>872</v>
      </c>
      <c r="C61" t="s">
        <v>88</v>
      </c>
      <c r="D61" s="1">
        <v>36839</v>
      </c>
      <c r="E61" s="1">
        <v>527</v>
      </c>
      <c r="F61" s="1">
        <v>0</v>
      </c>
      <c r="G61" s="1">
        <v>0</v>
      </c>
      <c r="H61" s="1">
        <v>0</v>
      </c>
      <c r="I61" s="1">
        <v>8928</v>
      </c>
      <c r="J61" s="1">
        <v>12386</v>
      </c>
    </row>
    <row r="62" spans="1:10" x14ac:dyDescent="0.25">
      <c r="A62" t="s">
        <v>809</v>
      </c>
      <c r="B62" t="s">
        <v>872</v>
      </c>
      <c r="C62" t="s">
        <v>89</v>
      </c>
      <c r="D62" s="1">
        <v>6763</v>
      </c>
      <c r="E62" s="1">
        <v>48</v>
      </c>
      <c r="F62" s="1">
        <v>0</v>
      </c>
      <c r="G62" s="1">
        <v>0</v>
      </c>
      <c r="H62" s="1">
        <v>0</v>
      </c>
      <c r="I62" s="1">
        <v>7845</v>
      </c>
      <c r="J62" s="1">
        <v>385</v>
      </c>
    </row>
    <row r="63" spans="1:10" x14ac:dyDescent="0.25">
      <c r="A63" t="s">
        <v>848</v>
      </c>
      <c r="B63" t="s">
        <v>872</v>
      </c>
      <c r="C63" t="s">
        <v>90</v>
      </c>
      <c r="D63" s="1">
        <v>54208</v>
      </c>
      <c r="E63" s="1">
        <v>199</v>
      </c>
      <c r="F63" s="1">
        <v>0</v>
      </c>
      <c r="G63" s="1">
        <v>0</v>
      </c>
      <c r="H63" s="1">
        <v>0</v>
      </c>
      <c r="I63" s="1">
        <v>8710</v>
      </c>
      <c r="J63" s="1">
        <v>23859</v>
      </c>
    </row>
    <row r="64" spans="1:10" x14ac:dyDescent="0.25">
      <c r="A64" t="s">
        <v>248</v>
      </c>
      <c r="B64" t="s">
        <v>872</v>
      </c>
      <c r="C64" t="s">
        <v>91</v>
      </c>
      <c r="D64" s="1">
        <v>268601</v>
      </c>
      <c r="E64" s="1">
        <v>5205</v>
      </c>
      <c r="F64" s="1">
        <v>0</v>
      </c>
      <c r="G64" s="1">
        <v>0</v>
      </c>
      <c r="H64" s="1">
        <v>0</v>
      </c>
      <c r="I64" s="1">
        <v>99769</v>
      </c>
      <c r="J64" s="1">
        <v>121419</v>
      </c>
    </row>
    <row r="65" spans="1:10" x14ac:dyDescent="0.25">
      <c r="A65" t="s">
        <v>826</v>
      </c>
      <c r="B65" t="s">
        <v>872</v>
      </c>
      <c r="C65" t="s">
        <v>92</v>
      </c>
      <c r="D65" s="1">
        <v>48271</v>
      </c>
      <c r="E65" s="1">
        <v>1988</v>
      </c>
      <c r="F65" s="1">
        <v>0</v>
      </c>
      <c r="G65" s="1">
        <v>0</v>
      </c>
      <c r="H65" s="1">
        <v>0</v>
      </c>
      <c r="I65" s="1">
        <v>10100</v>
      </c>
      <c r="J65" s="1">
        <v>7924</v>
      </c>
    </row>
    <row r="66" spans="1:10" x14ac:dyDescent="0.25">
      <c r="A66" t="s">
        <v>803</v>
      </c>
      <c r="B66" t="s">
        <v>872</v>
      </c>
      <c r="C66" t="s">
        <v>93</v>
      </c>
      <c r="D66" s="1"/>
      <c r="E66" s="1"/>
      <c r="F66" s="1"/>
      <c r="G66" s="1"/>
      <c r="H66" s="1"/>
      <c r="I66" s="1"/>
      <c r="J66" s="1"/>
    </row>
    <row r="67" spans="1:10" x14ac:dyDescent="0.25">
      <c r="A67" t="s">
        <v>791</v>
      </c>
      <c r="B67" t="s">
        <v>872</v>
      </c>
      <c r="C67" t="s">
        <v>94</v>
      </c>
      <c r="D67" s="1">
        <v>19926</v>
      </c>
      <c r="E67" s="1">
        <v>220</v>
      </c>
      <c r="F67" s="1">
        <v>0</v>
      </c>
      <c r="G67" s="1">
        <v>0</v>
      </c>
      <c r="H67" s="1">
        <v>0</v>
      </c>
      <c r="I67" s="1">
        <v>7764</v>
      </c>
      <c r="J67" s="1">
        <v>1786</v>
      </c>
    </row>
    <row r="68" spans="1:10" x14ac:dyDescent="0.25">
      <c r="A68" t="s">
        <v>848</v>
      </c>
      <c r="B68" t="s">
        <v>872</v>
      </c>
      <c r="C68" t="s">
        <v>95</v>
      </c>
      <c r="D68" s="1">
        <v>6834</v>
      </c>
      <c r="E68" s="1">
        <v>136</v>
      </c>
      <c r="F68" s="1">
        <v>0</v>
      </c>
      <c r="G68" s="1">
        <v>0</v>
      </c>
      <c r="H68" s="1">
        <v>0</v>
      </c>
      <c r="I68" s="1">
        <v>2905</v>
      </c>
      <c r="J68" s="1">
        <v>1583</v>
      </c>
    </row>
    <row r="69" spans="1:10" x14ac:dyDescent="0.25">
      <c r="A69" t="s">
        <v>826</v>
      </c>
      <c r="B69" t="s">
        <v>872</v>
      </c>
      <c r="C69" t="s">
        <v>96</v>
      </c>
      <c r="D69" s="1">
        <v>15154</v>
      </c>
      <c r="E69" s="1">
        <v>160</v>
      </c>
      <c r="F69" s="1">
        <v>0</v>
      </c>
      <c r="G69" s="1">
        <v>0</v>
      </c>
      <c r="H69" s="1">
        <v>0</v>
      </c>
      <c r="I69" s="1">
        <v>4998</v>
      </c>
      <c r="J69" s="1">
        <v>2760</v>
      </c>
    </row>
    <row r="70" spans="1:10" x14ac:dyDescent="0.25">
      <c r="A70" t="s">
        <v>850</v>
      </c>
      <c r="B70" t="s">
        <v>872</v>
      </c>
      <c r="C70" t="s">
        <v>98</v>
      </c>
      <c r="D70" s="1">
        <v>14770</v>
      </c>
      <c r="E70" s="1">
        <v>36</v>
      </c>
      <c r="F70" s="1">
        <v>0</v>
      </c>
      <c r="G70" s="1">
        <v>0</v>
      </c>
      <c r="H70" s="1">
        <v>0</v>
      </c>
      <c r="I70" s="1">
        <v>9683</v>
      </c>
      <c r="J70" s="1">
        <v>4274</v>
      </c>
    </row>
    <row r="71" spans="1:10" x14ac:dyDescent="0.25">
      <c r="A71" t="s">
        <v>851</v>
      </c>
      <c r="B71" t="s">
        <v>872</v>
      </c>
      <c r="C71" t="s">
        <v>100</v>
      </c>
      <c r="D71" s="1">
        <v>10857</v>
      </c>
      <c r="E71" s="1">
        <v>519</v>
      </c>
      <c r="F71" s="1">
        <v>0</v>
      </c>
      <c r="G71" s="1">
        <v>0</v>
      </c>
      <c r="H71" s="1">
        <v>0</v>
      </c>
      <c r="I71" s="1">
        <v>6949</v>
      </c>
      <c r="J71" s="1">
        <v>2731</v>
      </c>
    </row>
    <row r="72" spans="1:10" x14ac:dyDescent="0.25">
      <c r="A72" t="s">
        <v>101</v>
      </c>
      <c r="B72" t="s">
        <v>872</v>
      </c>
      <c r="C72" t="s">
        <v>102</v>
      </c>
      <c r="D72" s="1">
        <v>61303</v>
      </c>
      <c r="E72" s="1">
        <v>6</v>
      </c>
      <c r="F72" s="1">
        <v>0</v>
      </c>
      <c r="G72" s="1">
        <v>0</v>
      </c>
      <c r="H72" s="1">
        <v>0</v>
      </c>
      <c r="I72" s="1">
        <v>59881</v>
      </c>
      <c r="J72" s="1">
        <v>9077</v>
      </c>
    </row>
    <row r="73" spans="1:10" x14ac:dyDescent="0.25">
      <c r="A73" t="s">
        <v>512</v>
      </c>
      <c r="B73" t="s">
        <v>872</v>
      </c>
      <c r="C73" t="s">
        <v>103</v>
      </c>
      <c r="D73" s="1">
        <v>32350</v>
      </c>
      <c r="E73" s="1">
        <v>0</v>
      </c>
      <c r="F73" s="1">
        <v>0</v>
      </c>
      <c r="G73" s="1">
        <v>0</v>
      </c>
      <c r="H73" s="1">
        <v>0</v>
      </c>
      <c r="I73" s="1">
        <v>1432</v>
      </c>
      <c r="J73" s="1">
        <v>6103</v>
      </c>
    </row>
    <row r="74" spans="1:10" x14ac:dyDescent="0.25">
      <c r="A74" t="s">
        <v>852</v>
      </c>
      <c r="B74" t="s">
        <v>872</v>
      </c>
      <c r="C74" t="s">
        <v>105</v>
      </c>
      <c r="D74" s="1">
        <v>18130</v>
      </c>
      <c r="E74" s="1">
        <v>273</v>
      </c>
      <c r="F74" s="1">
        <v>0</v>
      </c>
      <c r="G74" s="1">
        <v>0</v>
      </c>
      <c r="H74" s="1">
        <v>0</v>
      </c>
      <c r="I74" s="1">
        <v>12576</v>
      </c>
      <c r="J74" s="1">
        <v>6088</v>
      </c>
    </row>
    <row r="75" spans="1:10" x14ac:dyDescent="0.25">
      <c r="A75" t="s">
        <v>853</v>
      </c>
      <c r="B75" t="s">
        <v>872</v>
      </c>
      <c r="C75" t="s">
        <v>107</v>
      </c>
      <c r="D75" s="1">
        <v>48379</v>
      </c>
      <c r="E75" s="1">
        <v>376</v>
      </c>
      <c r="F75" s="1">
        <v>0</v>
      </c>
      <c r="G75" s="1">
        <v>0</v>
      </c>
      <c r="H75" s="1">
        <v>0</v>
      </c>
      <c r="I75" s="1">
        <v>42776</v>
      </c>
      <c r="J75" s="1">
        <v>11674</v>
      </c>
    </row>
    <row r="76" spans="1:10" x14ac:dyDescent="0.25">
      <c r="A76" t="s">
        <v>854</v>
      </c>
      <c r="B76" t="s">
        <v>872</v>
      </c>
      <c r="C76" t="s">
        <v>109</v>
      </c>
      <c r="D76" s="1">
        <v>26369</v>
      </c>
      <c r="E76" s="1">
        <v>1460</v>
      </c>
      <c r="F76" s="1">
        <v>0</v>
      </c>
      <c r="G76" s="1">
        <v>0</v>
      </c>
      <c r="H76" s="1">
        <v>0</v>
      </c>
      <c r="I76" s="1">
        <v>29949</v>
      </c>
      <c r="J76" s="1">
        <v>8339</v>
      </c>
    </row>
    <row r="77" spans="1:10" x14ac:dyDescent="0.25">
      <c r="A77" t="s">
        <v>855</v>
      </c>
      <c r="B77" t="s">
        <v>872</v>
      </c>
      <c r="C77" t="s">
        <v>111</v>
      </c>
      <c r="D77" s="1">
        <v>15960</v>
      </c>
      <c r="E77" s="1">
        <v>167</v>
      </c>
      <c r="F77" s="1">
        <v>0</v>
      </c>
      <c r="G77" s="1">
        <v>0</v>
      </c>
      <c r="H77" s="1">
        <v>0</v>
      </c>
      <c r="I77" s="1">
        <v>17500</v>
      </c>
      <c r="J77" s="1">
        <v>5519</v>
      </c>
    </row>
    <row r="78" spans="1:10" x14ac:dyDescent="0.25">
      <c r="A78" t="s">
        <v>101</v>
      </c>
      <c r="B78" t="s">
        <v>872</v>
      </c>
      <c r="C78" t="s">
        <v>112</v>
      </c>
      <c r="D78" s="1">
        <v>45606</v>
      </c>
      <c r="E78" s="1">
        <v>12</v>
      </c>
      <c r="F78" s="1">
        <v>0</v>
      </c>
      <c r="G78" s="1">
        <v>0</v>
      </c>
      <c r="H78" s="1">
        <v>0</v>
      </c>
      <c r="I78" s="1">
        <v>111867</v>
      </c>
      <c r="J78" s="1">
        <v>4647</v>
      </c>
    </row>
    <row r="79" spans="1:10" x14ac:dyDescent="0.25">
      <c r="A79" t="s">
        <v>856</v>
      </c>
      <c r="B79" t="s">
        <v>872</v>
      </c>
      <c r="C79" t="s">
        <v>114</v>
      </c>
      <c r="D79" s="1">
        <v>17387</v>
      </c>
      <c r="E79" s="1">
        <v>407</v>
      </c>
      <c r="F79" s="1">
        <v>0</v>
      </c>
      <c r="G79" s="1">
        <v>0</v>
      </c>
      <c r="H79" s="1">
        <v>0</v>
      </c>
      <c r="I79" s="1">
        <v>25748</v>
      </c>
      <c r="J79" s="1">
        <v>12548</v>
      </c>
    </row>
    <row r="80" spans="1:10" x14ac:dyDescent="0.25">
      <c r="A80" t="s">
        <v>857</v>
      </c>
      <c r="B80" t="s">
        <v>872</v>
      </c>
      <c r="C80" t="s">
        <v>116</v>
      </c>
      <c r="D80" s="1">
        <v>22732</v>
      </c>
      <c r="E80" s="1">
        <v>279</v>
      </c>
      <c r="F80" s="1">
        <v>0</v>
      </c>
      <c r="G80" s="1">
        <v>0</v>
      </c>
      <c r="H80" s="1">
        <v>0</v>
      </c>
      <c r="I80" s="1">
        <v>4698</v>
      </c>
      <c r="J80" s="1">
        <v>6703</v>
      </c>
    </row>
    <row r="81" spans="1:10" x14ac:dyDescent="0.25">
      <c r="A81" t="s">
        <v>823</v>
      </c>
      <c r="B81" t="s">
        <v>872</v>
      </c>
      <c r="C81" t="s">
        <v>117</v>
      </c>
      <c r="D81" s="1">
        <v>30840</v>
      </c>
      <c r="E81" s="1">
        <v>95</v>
      </c>
      <c r="F81" s="1">
        <v>0</v>
      </c>
      <c r="G81" s="1">
        <v>0</v>
      </c>
      <c r="H81" s="1">
        <v>0</v>
      </c>
      <c r="I81" s="1">
        <v>14404</v>
      </c>
      <c r="J81" s="1">
        <v>6352</v>
      </c>
    </row>
    <row r="82" spans="1:10" x14ac:dyDescent="0.25">
      <c r="A82" t="s">
        <v>858</v>
      </c>
      <c r="B82" t="s">
        <v>872</v>
      </c>
      <c r="C82" t="s">
        <v>119</v>
      </c>
      <c r="D82" s="1">
        <v>25616</v>
      </c>
      <c r="E82" s="1">
        <v>285</v>
      </c>
      <c r="F82" s="1">
        <v>0</v>
      </c>
      <c r="G82" s="1">
        <v>0</v>
      </c>
      <c r="H82" s="1">
        <v>0</v>
      </c>
      <c r="I82" s="1">
        <v>11424</v>
      </c>
      <c r="J82" s="1">
        <v>8731</v>
      </c>
    </row>
    <row r="83" spans="1:10" x14ac:dyDescent="0.25">
      <c r="A83" t="s">
        <v>859</v>
      </c>
      <c r="B83" t="s">
        <v>872</v>
      </c>
      <c r="C83" t="s">
        <v>121</v>
      </c>
      <c r="D83" s="1">
        <v>35291</v>
      </c>
      <c r="E83" s="1">
        <v>96</v>
      </c>
      <c r="F83" s="1">
        <v>0</v>
      </c>
      <c r="G83" s="1">
        <v>0</v>
      </c>
      <c r="H83" s="1">
        <v>0</v>
      </c>
      <c r="I83" s="1">
        <v>26518</v>
      </c>
      <c r="J83" s="1">
        <v>5363</v>
      </c>
    </row>
    <row r="84" spans="1:10" x14ac:dyDescent="0.25">
      <c r="A84" t="s">
        <v>860</v>
      </c>
      <c r="B84" t="s">
        <v>872</v>
      </c>
      <c r="C84" t="s">
        <v>122</v>
      </c>
      <c r="D84" s="1">
        <v>22420</v>
      </c>
      <c r="E84" s="1">
        <v>41</v>
      </c>
      <c r="F84" s="1">
        <v>0</v>
      </c>
      <c r="G84" s="1">
        <v>0</v>
      </c>
      <c r="H84" s="1">
        <v>0</v>
      </c>
      <c r="I84" s="1">
        <v>13649</v>
      </c>
      <c r="J84" s="1">
        <v>5626</v>
      </c>
    </row>
    <row r="85" spans="1:10" x14ac:dyDescent="0.25">
      <c r="A85" t="s">
        <v>861</v>
      </c>
      <c r="B85" t="s">
        <v>872</v>
      </c>
      <c r="C85" t="s">
        <v>124</v>
      </c>
      <c r="D85" s="1">
        <v>23653</v>
      </c>
      <c r="E85" s="1">
        <v>0</v>
      </c>
      <c r="F85" s="1">
        <v>0</v>
      </c>
      <c r="G85" s="1">
        <v>0</v>
      </c>
      <c r="H85" s="1">
        <v>0</v>
      </c>
      <c r="I85" s="1">
        <v>12360</v>
      </c>
      <c r="J85" s="1">
        <v>5869</v>
      </c>
    </row>
    <row r="86" spans="1:10" x14ac:dyDescent="0.25">
      <c r="A86" t="s">
        <v>823</v>
      </c>
      <c r="B86" t="s">
        <v>872</v>
      </c>
      <c r="C86" t="s">
        <v>125</v>
      </c>
      <c r="D86" s="1">
        <v>100747</v>
      </c>
      <c r="E86" s="1">
        <v>64</v>
      </c>
      <c r="F86" s="1">
        <v>0</v>
      </c>
      <c r="G86" s="1">
        <v>0</v>
      </c>
      <c r="H86" s="1">
        <v>0</v>
      </c>
      <c r="I86" s="1">
        <v>7105</v>
      </c>
      <c r="J86" s="1">
        <v>10099</v>
      </c>
    </row>
    <row r="87" spans="1:10" x14ac:dyDescent="0.25">
      <c r="A87" t="s">
        <v>248</v>
      </c>
      <c r="B87" t="s">
        <v>872</v>
      </c>
      <c r="C87" t="s">
        <v>126</v>
      </c>
      <c r="D87" s="1">
        <v>31770</v>
      </c>
      <c r="E87" s="1">
        <v>70</v>
      </c>
      <c r="F87" s="1">
        <v>0</v>
      </c>
      <c r="G87" s="1">
        <v>0</v>
      </c>
      <c r="H87" s="1">
        <v>0</v>
      </c>
      <c r="I87" s="1">
        <v>49505</v>
      </c>
      <c r="J87" s="1">
        <v>6369</v>
      </c>
    </row>
    <row r="88" spans="1:10" x14ac:dyDescent="0.25">
      <c r="A88" t="s">
        <v>862</v>
      </c>
      <c r="B88" t="s">
        <v>872</v>
      </c>
      <c r="C88" t="s">
        <v>127</v>
      </c>
      <c r="D88" s="1">
        <v>10756</v>
      </c>
      <c r="E88" s="1">
        <v>123</v>
      </c>
      <c r="F88" s="1">
        <v>0</v>
      </c>
      <c r="G88" s="1">
        <v>0</v>
      </c>
      <c r="H88" s="1">
        <v>0</v>
      </c>
      <c r="I88" s="1">
        <v>7320</v>
      </c>
      <c r="J88" s="1">
        <v>3505</v>
      </c>
    </row>
    <row r="89" spans="1:10" x14ac:dyDescent="0.25">
      <c r="A89" t="s">
        <v>863</v>
      </c>
      <c r="B89" t="s">
        <v>872</v>
      </c>
      <c r="C89" t="s">
        <v>129</v>
      </c>
      <c r="D89" s="1">
        <v>29595</v>
      </c>
      <c r="E89" s="1">
        <v>401</v>
      </c>
      <c r="F89" s="1">
        <v>0</v>
      </c>
      <c r="G89" s="1">
        <v>0</v>
      </c>
      <c r="H89" s="1">
        <v>0</v>
      </c>
      <c r="I89" s="1">
        <v>10810</v>
      </c>
      <c r="J89" s="1">
        <v>8078</v>
      </c>
    </row>
    <row r="90" spans="1:10" x14ac:dyDescent="0.25">
      <c r="A90" t="s">
        <v>794</v>
      </c>
      <c r="B90" t="s">
        <v>872</v>
      </c>
      <c r="C90" t="s">
        <v>130</v>
      </c>
      <c r="D90" s="1">
        <v>61703</v>
      </c>
      <c r="E90" s="1">
        <v>146</v>
      </c>
      <c r="F90" s="1">
        <v>0</v>
      </c>
      <c r="G90" s="1">
        <v>0</v>
      </c>
      <c r="H90" s="1">
        <v>0</v>
      </c>
      <c r="I90" s="1">
        <v>6753</v>
      </c>
      <c r="J90" s="1">
        <v>6529</v>
      </c>
    </row>
    <row r="91" spans="1:10" x14ac:dyDescent="0.25">
      <c r="A91" t="s">
        <v>803</v>
      </c>
      <c r="B91" t="s">
        <v>872</v>
      </c>
      <c r="C91" t="s">
        <v>132</v>
      </c>
      <c r="D91" s="1"/>
      <c r="E91" s="1"/>
      <c r="F91" s="1"/>
      <c r="G91" s="1"/>
      <c r="H91" s="1"/>
      <c r="I91" s="1"/>
      <c r="J91" s="1"/>
    </row>
    <row r="92" spans="1:10" x14ac:dyDescent="0.25">
      <c r="A92" t="s">
        <v>512</v>
      </c>
      <c r="B92" t="s">
        <v>872</v>
      </c>
      <c r="C92" t="s">
        <v>133</v>
      </c>
      <c r="D92" s="1">
        <v>14860</v>
      </c>
      <c r="E92" s="1">
        <v>700</v>
      </c>
      <c r="F92" s="1">
        <v>0</v>
      </c>
      <c r="G92" s="1">
        <v>0</v>
      </c>
      <c r="H92" s="1">
        <v>0</v>
      </c>
      <c r="I92" s="1">
        <v>10287</v>
      </c>
      <c r="J92" s="1">
        <v>2972</v>
      </c>
    </row>
    <row r="93" spans="1:10" x14ac:dyDescent="0.25">
      <c r="A93" t="s">
        <v>134</v>
      </c>
      <c r="B93" t="s">
        <v>872</v>
      </c>
      <c r="C93" t="s">
        <v>135</v>
      </c>
      <c r="D93" s="1">
        <v>39447</v>
      </c>
      <c r="E93" s="1">
        <v>40</v>
      </c>
      <c r="F93" s="1">
        <v>0</v>
      </c>
      <c r="G93" s="1">
        <v>0</v>
      </c>
      <c r="H93" s="1">
        <v>0</v>
      </c>
      <c r="I93" s="1">
        <v>47012</v>
      </c>
      <c r="J93" s="1">
        <v>10556</v>
      </c>
    </row>
    <row r="94" spans="1:10" x14ac:dyDescent="0.25">
      <c r="A94" t="s">
        <v>795</v>
      </c>
      <c r="B94" t="s">
        <v>872</v>
      </c>
      <c r="C94" t="s">
        <v>136</v>
      </c>
      <c r="D94" s="1">
        <v>22379</v>
      </c>
      <c r="E94" s="1">
        <v>455</v>
      </c>
      <c r="F94" s="1">
        <v>0</v>
      </c>
      <c r="G94" s="1">
        <v>0</v>
      </c>
      <c r="H94" s="1">
        <v>0</v>
      </c>
      <c r="I94" s="1">
        <v>22735</v>
      </c>
      <c r="J94" s="1">
        <v>6862</v>
      </c>
    </row>
    <row r="95" spans="1:10" x14ac:dyDescent="0.25">
      <c r="A95" t="s">
        <v>120</v>
      </c>
      <c r="B95" t="s">
        <v>872</v>
      </c>
      <c r="C95" t="s">
        <v>137</v>
      </c>
      <c r="D95" s="1">
        <v>69453</v>
      </c>
      <c r="E95" s="1">
        <v>97</v>
      </c>
      <c r="F95" s="1">
        <v>0</v>
      </c>
      <c r="G95" s="1">
        <v>0</v>
      </c>
      <c r="H95" s="1">
        <v>0</v>
      </c>
      <c r="I95" s="1">
        <v>30071</v>
      </c>
      <c r="J95" s="1">
        <v>5135</v>
      </c>
    </row>
    <row r="96" spans="1:10" x14ac:dyDescent="0.25">
      <c r="A96" t="s">
        <v>138</v>
      </c>
      <c r="B96" t="s">
        <v>872</v>
      </c>
      <c r="C96" t="s">
        <v>139</v>
      </c>
      <c r="D96" s="1">
        <v>56350</v>
      </c>
      <c r="E96" s="1">
        <v>113</v>
      </c>
      <c r="F96" s="1">
        <v>0</v>
      </c>
      <c r="G96" s="1">
        <v>0</v>
      </c>
      <c r="H96" s="1">
        <v>0</v>
      </c>
      <c r="I96" s="1">
        <v>61771</v>
      </c>
      <c r="J96" s="1">
        <v>11767</v>
      </c>
    </row>
    <row r="97" spans="1:10" x14ac:dyDescent="0.25">
      <c r="A97" t="s">
        <v>868</v>
      </c>
      <c r="B97" t="s">
        <v>872</v>
      </c>
      <c r="C97" t="s">
        <v>141</v>
      </c>
      <c r="D97" s="1">
        <v>4461</v>
      </c>
      <c r="E97" s="1">
        <v>4</v>
      </c>
      <c r="F97" s="1">
        <v>0</v>
      </c>
      <c r="G97" s="1">
        <v>0</v>
      </c>
      <c r="H97" s="1">
        <v>0</v>
      </c>
      <c r="I97" s="1">
        <v>2332</v>
      </c>
      <c r="J97" s="1">
        <v>369</v>
      </c>
    </row>
    <row r="98" spans="1:10" x14ac:dyDescent="0.25">
      <c r="A98" t="s">
        <v>67</v>
      </c>
      <c r="B98" t="s">
        <v>872</v>
      </c>
      <c r="C98" t="s">
        <v>142</v>
      </c>
      <c r="D98" s="1">
        <v>42569</v>
      </c>
      <c r="E98" s="1">
        <v>80</v>
      </c>
      <c r="F98" s="1">
        <v>0</v>
      </c>
      <c r="G98" s="1">
        <v>0</v>
      </c>
      <c r="H98" s="1">
        <v>0</v>
      </c>
      <c r="I98" s="1">
        <v>9727</v>
      </c>
      <c r="J98" s="1">
        <v>3799</v>
      </c>
    </row>
    <row r="99" spans="1:10" x14ac:dyDescent="0.25">
      <c r="A99" t="s">
        <v>823</v>
      </c>
      <c r="B99" t="s">
        <v>872</v>
      </c>
      <c r="C99" t="s">
        <v>143</v>
      </c>
      <c r="D99" s="1">
        <v>29375</v>
      </c>
      <c r="E99" s="1">
        <v>0</v>
      </c>
      <c r="F99" s="1">
        <v>0</v>
      </c>
      <c r="G99" s="1">
        <v>0</v>
      </c>
      <c r="H99" s="1">
        <v>0</v>
      </c>
      <c r="I99" s="1">
        <v>1375</v>
      </c>
      <c r="J99" s="1">
        <v>5395</v>
      </c>
    </row>
    <row r="100" spans="1:10" x14ac:dyDescent="0.25">
      <c r="A100" t="s">
        <v>848</v>
      </c>
      <c r="B100" t="s">
        <v>872</v>
      </c>
      <c r="C100" t="s">
        <v>144</v>
      </c>
      <c r="D100" s="1">
        <v>14540</v>
      </c>
      <c r="E100" s="1">
        <v>546</v>
      </c>
      <c r="F100" s="1">
        <v>0</v>
      </c>
      <c r="G100" s="1">
        <v>0</v>
      </c>
      <c r="H100" s="1">
        <v>0</v>
      </c>
      <c r="I100" s="1">
        <v>2248</v>
      </c>
      <c r="J100" s="1">
        <v>4886</v>
      </c>
    </row>
    <row r="101" spans="1:10" x14ac:dyDescent="0.25">
      <c r="A101" t="s">
        <v>816</v>
      </c>
      <c r="B101" t="s">
        <v>872</v>
      </c>
      <c r="C101" t="s">
        <v>145</v>
      </c>
      <c r="D101" s="1">
        <v>78265</v>
      </c>
      <c r="E101" s="1">
        <v>123</v>
      </c>
      <c r="F101" s="1">
        <v>0</v>
      </c>
      <c r="G101" s="1">
        <v>0</v>
      </c>
      <c r="H101" s="1">
        <v>0</v>
      </c>
      <c r="I101" s="1">
        <v>60166</v>
      </c>
      <c r="J101" s="1">
        <v>27010</v>
      </c>
    </row>
    <row r="102" spans="1:10" x14ac:dyDescent="0.25">
      <c r="A102" t="s">
        <v>146</v>
      </c>
      <c r="B102" t="s">
        <v>872</v>
      </c>
      <c r="C102" t="s">
        <v>147</v>
      </c>
      <c r="D102" s="1">
        <v>106610</v>
      </c>
      <c r="E102" s="1">
        <v>230</v>
      </c>
      <c r="F102" s="1">
        <v>0</v>
      </c>
      <c r="G102" s="1">
        <v>0</v>
      </c>
      <c r="H102" s="1">
        <v>0</v>
      </c>
      <c r="I102" s="1">
        <v>60323</v>
      </c>
      <c r="J102" s="1">
        <v>30477</v>
      </c>
    </row>
    <row r="103" spans="1:10" x14ac:dyDescent="0.25">
      <c r="A103" t="s">
        <v>804</v>
      </c>
      <c r="B103" t="s">
        <v>872</v>
      </c>
      <c r="C103" t="s">
        <v>148</v>
      </c>
      <c r="D103" s="1">
        <v>107882</v>
      </c>
      <c r="E103" s="1">
        <v>106</v>
      </c>
      <c r="F103" s="1">
        <v>0</v>
      </c>
      <c r="G103" s="1">
        <v>0</v>
      </c>
      <c r="H103" s="1">
        <v>0</v>
      </c>
      <c r="I103" s="1">
        <v>119443</v>
      </c>
      <c r="J103" s="1">
        <v>20979</v>
      </c>
    </row>
    <row r="104" spans="1:10" x14ac:dyDescent="0.25">
      <c r="A104" t="s">
        <v>817</v>
      </c>
      <c r="B104" t="s">
        <v>872</v>
      </c>
      <c r="C104" t="s">
        <v>149</v>
      </c>
      <c r="D104" s="1">
        <v>30340</v>
      </c>
      <c r="E104" s="1">
        <v>952</v>
      </c>
      <c r="F104" s="1">
        <v>0</v>
      </c>
      <c r="G104" s="1">
        <v>0</v>
      </c>
      <c r="H104" s="1">
        <v>0</v>
      </c>
      <c r="I104" s="1">
        <v>31670</v>
      </c>
      <c r="J104" s="1">
        <v>12255</v>
      </c>
    </row>
    <row r="105" spans="1:10" x14ac:dyDescent="0.25">
      <c r="A105" t="s">
        <v>831</v>
      </c>
      <c r="B105" t="s">
        <v>872</v>
      </c>
      <c r="C105" t="s">
        <v>151</v>
      </c>
      <c r="D105" s="1">
        <v>7165</v>
      </c>
      <c r="E105" s="1">
        <v>51</v>
      </c>
      <c r="F105" s="1">
        <v>0</v>
      </c>
      <c r="G105" s="1">
        <v>0</v>
      </c>
      <c r="H105" s="1">
        <v>0</v>
      </c>
      <c r="I105" s="1">
        <v>3369</v>
      </c>
      <c r="J105" s="1">
        <v>1448</v>
      </c>
    </row>
    <row r="106" spans="1:10" x14ac:dyDescent="0.25">
      <c r="A106" t="s">
        <v>146</v>
      </c>
      <c r="B106" t="s">
        <v>872</v>
      </c>
      <c r="C106" t="s">
        <v>152</v>
      </c>
      <c r="D106" s="1">
        <v>37893</v>
      </c>
      <c r="E106" s="1">
        <v>91</v>
      </c>
      <c r="F106" s="1">
        <v>0</v>
      </c>
      <c r="G106" s="1">
        <v>0</v>
      </c>
      <c r="H106" s="1">
        <v>0</v>
      </c>
      <c r="I106" s="1">
        <v>43054</v>
      </c>
      <c r="J106" s="1">
        <v>13896</v>
      </c>
    </row>
    <row r="107" spans="1:10" x14ac:dyDescent="0.25">
      <c r="A107" t="s">
        <v>495</v>
      </c>
      <c r="B107" t="s">
        <v>872</v>
      </c>
      <c r="C107" t="s">
        <v>153</v>
      </c>
      <c r="D107" s="1">
        <v>10424</v>
      </c>
      <c r="E107" s="1">
        <v>6</v>
      </c>
      <c r="F107" s="1">
        <v>0</v>
      </c>
      <c r="G107" s="1">
        <v>0</v>
      </c>
      <c r="H107" s="1">
        <v>0</v>
      </c>
      <c r="I107" s="1">
        <v>12109</v>
      </c>
      <c r="J107" s="1">
        <v>1430</v>
      </c>
    </row>
    <row r="108" spans="1:10" x14ac:dyDescent="0.25">
      <c r="A108" t="s">
        <v>76</v>
      </c>
      <c r="B108" t="s">
        <v>872</v>
      </c>
      <c r="C108" t="s">
        <v>154</v>
      </c>
      <c r="D108" s="1">
        <v>58418</v>
      </c>
      <c r="E108" s="1">
        <v>507</v>
      </c>
      <c r="F108" s="1">
        <v>0</v>
      </c>
      <c r="G108" s="1">
        <v>0</v>
      </c>
      <c r="H108" s="1">
        <v>0</v>
      </c>
      <c r="I108" s="1">
        <v>7654</v>
      </c>
      <c r="J108" s="1">
        <v>21260</v>
      </c>
    </row>
    <row r="109" spans="1:10" x14ac:dyDescent="0.25">
      <c r="A109" t="s">
        <v>83</v>
      </c>
      <c r="B109" t="s">
        <v>872</v>
      </c>
      <c r="C109" t="s">
        <v>155</v>
      </c>
      <c r="D109" s="1">
        <v>20397</v>
      </c>
      <c r="E109" s="1">
        <v>87</v>
      </c>
      <c r="F109" s="1">
        <v>0</v>
      </c>
      <c r="G109" s="1">
        <v>0</v>
      </c>
      <c r="H109" s="1">
        <v>0</v>
      </c>
      <c r="I109" s="1">
        <v>69209</v>
      </c>
      <c r="J109" s="1">
        <v>4266</v>
      </c>
    </row>
    <row r="110" spans="1:10" x14ac:dyDescent="0.25">
      <c r="A110" t="s">
        <v>138</v>
      </c>
      <c r="B110" t="s">
        <v>872</v>
      </c>
      <c r="C110" t="s">
        <v>156</v>
      </c>
      <c r="D110" s="1">
        <v>67818</v>
      </c>
      <c r="E110" s="1">
        <v>222</v>
      </c>
      <c r="F110" s="1">
        <v>0</v>
      </c>
      <c r="G110" s="1">
        <v>0</v>
      </c>
      <c r="H110" s="1">
        <v>0</v>
      </c>
      <c r="I110" s="1">
        <v>67589</v>
      </c>
      <c r="J110" s="1">
        <v>15361</v>
      </c>
    </row>
    <row r="111" spans="1:10" x14ac:dyDescent="0.25">
      <c r="A111" t="s">
        <v>831</v>
      </c>
      <c r="B111" t="s">
        <v>872</v>
      </c>
      <c r="C111" t="s">
        <v>157</v>
      </c>
      <c r="D111" s="1">
        <v>9480</v>
      </c>
      <c r="E111" s="1">
        <v>218</v>
      </c>
      <c r="F111" s="1">
        <v>0</v>
      </c>
      <c r="G111" s="1">
        <v>0</v>
      </c>
      <c r="H111" s="1">
        <v>0</v>
      </c>
      <c r="I111" s="1">
        <v>3842</v>
      </c>
      <c r="J111" s="1">
        <v>2529</v>
      </c>
    </row>
    <row r="112" spans="1:10" x14ac:dyDescent="0.25">
      <c r="A112" t="s">
        <v>818</v>
      </c>
      <c r="B112" t="s">
        <v>872</v>
      </c>
      <c r="C112" t="s">
        <v>158</v>
      </c>
      <c r="D112" s="1">
        <v>28580</v>
      </c>
      <c r="E112" s="1">
        <v>14</v>
      </c>
      <c r="F112" s="1">
        <v>0</v>
      </c>
      <c r="G112" s="1">
        <v>0</v>
      </c>
      <c r="H112" s="1">
        <v>0</v>
      </c>
      <c r="I112" s="1">
        <v>17968</v>
      </c>
      <c r="J112" s="1">
        <v>4373</v>
      </c>
    </row>
    <row r="113" spans="1:10" x14ac:dyDescent="0.25">
      <c r="A113" t="s">
        <v>134</v>
      </c>
      <c r="B113" t="s">
        <v>872</v>
      </c>
      <c r="C113" t="s">
        <v>159</v>
      </c>
      <c r="D113" s="1">
        <v>9492</v>
      </c>
      <c r="E113" s="1">
        <v>90</v>
      </c>
      <c r="F113" s="1">
        <v>0</v>
      </c>
      <c r="G113" s="1">
        <v>0</v>
      </c>
      <c r="H113" s="1">
        <v>0</v>
      </c>
      <c r="I113" s="1">
        <v>9312</v>
      </c>
      <c r="J113" s="1">
        <v>1525</v>
      </c>
    </row>
    <row r="114" spans="1:10" x14ac:dyDescent="0.25">
      <c r="A114" t="s">
        <v>72</v>
      </c>
      <c r="B114" t="s">
        <v>872</v>
      </c>
      <c r="C114" t="s">
        <v>160</v>
      </c>
      <c r="D114" s="1">
        <v>81832</v>
      </c>
      <c r="E114" s="1">
        <v>1784</v>
      </c>
      <c r="F114" s="1">
        <v>0</v>
      </c>
      <c r="G114" s="1">
        <v>0</v>
      </c>
      <c r="H114" s="1">
        <v>0</v>
      </c>
      <c r="I114" s="1">
        <v>21315</v>
      </c>
      <c r="J114" s="1">
        <v>25753</v>
      </c>
    </row>
    <row r="115" spans="1:10" x14ac:dyDescent="0.25">
      <c r="A115" t="s">
        <v>226</v>
      </c>
      <c r="B115" t="s">
        <v>872</v>
      </c>
      <c r="C115" t="s">
        <v>161</v>
      </c>
      <c r="D115" s="1">
        <v>6196</v>
      </c>
      <c r="E115" s="1">
        <v>1</v>
      </c>
      <c r="F115" s="1">
        <v>0</v>
      </c>
      <c r="G115" s="1">
        <v>0</v>
      </c>
      <c r="H115" s="1">
        <v>0</v>
      </c>
      <c r="I115" s="1">
        <v>1221</v>
      </c>
      <c r="J115" s="1">
        <v>316</v>
      </c>
    </row>
    <row r="116" spans="1:10" x14ac:dyDescent="0.25">
      <c r="A116" t="s">
        <v>791</v>
      </c>
      <c r="B116" t="s">
        <v>872</v>
      </c>
      <c r="C116" t="s">
        <v>162</v>
      </c>
      <c r="D116" s="1">
        <v>26331</v>
      </c>
      <c r="E116" s="1">
        <v>206</v>
      </c>
      <c r="F116" s="1">
        <v>0</v>
      </c>
      <c r="G116" s="1">
        <v>0</v>
      </c>
      <c r="H116" s="1">
        <v>0</v>
      </c>
      <c r="I116" s="1">
        <v>10478</v>
      </c>
      <c r="J116" s="1">
        <v>7992</v>
      </c>
    </row>
    <row r="117" spans="1:10" x14ac:dyDescent="0.25">
      <c r="A117" t="s">
        <v>811</v>
      </c>
      <c r="B117" t="s">
        <v>872</v>
      </c>
      <c r="C117" t="s">
        <v>163</v>
      </c>
      <c r="D117" s="1">
        <v>73521</v>
      </c>
      <c r="E117" s="1">
        <v>1801</v>
      </c>
      <c r="F117" s="1">
        <v>0</v>
      </c>
      <c r="G117" s="1">
        <v>0</v>
      </c>
      <c r="H117" s="1">
        <v>0</v>
      </c>
      <c r="I117" s="1">
        <v>64379</v>
      </c>
      <c r="J117" s="1">
        <v>25876</v>
      </c>
    </row>
    <row r="118" spans="1:10" x14ac:dyDescent="0.25">
      <c r="A118" t="s">
        <v>791</v>
      </c>
      <c r="B118" t="s">
        <v>872</v>
      </c>
      <c r="C118" t="s">
        <v>164</v>
      </c>
      <c r="D118" s="1">
        <v>69544</v>
      </c>
      <c r="E118" s="1">
        <v>199</v>
      </c>
      <c r="F118" s="1">
        <v>0</v>
      </c>
      <c r="G118" s="1">
        <v>0</v>
      </c>
      <c r="H118" s="1">
        <v>0</v>
      </c>
      <c r="I118" s="1">
        <v>34530</v>
      </c>
      <c r="J118" s="1">
        <v>15652</v>
      </c>
    </row>
    <row r="119" spans="1:10" x14ac:dyDescent="0.25">
      <c r="A119" t="s">
        <v>83</v>
      </c>
      <c r="B119" t="s">
        <v>872</v>
      </c>
      <c r="C119" t="s">
        <v>165</v>
      </c>
      <c r="D119" s="1">
        <v>14641</v>
      </c>
      <c r="E119" s="1">
        <v>155</v>
      </c>
      <c r="F119" s="1">
        <v>0</v>
      </c>
      <c r="G119" s="1">
        <v>0</v>
      </c>
      <c r="H119" s="1">
        <v>0</v>
      </c>
      <c r="I119" s="1">
        <v>6194</v>
      </c>
      <c r="J119" s="1">
        <v>2782</v>
      </c>
    </row>
    <row r="120" spans="1:10" x14ac:dyDescent="0.25">
      <c r="A120" t="s">
        <v>818</v>
      </c>
      <c r="B120" t="s">
        <v>872</v>
      </c>
      <c r="C120" t="s">
        <v>166</v>
      </c>
      <c r="D120" s="1">
        <v>10237</v>
      </c>
      <c r="E120" s="1">
        <v>19</v>
      </c>
      <c r="F120" s="1">
        <v>0</v>
      </c>
      <c r="G120" s="1">
        <v>0</v>
      </c>
      <c r="H120" s="1">
        <v>0</v>
      </c>
      <c r="I120" s="1">
        <v>11390</v>
      </c>
      <c r="J120" s="1">
        <v>735</v>
      </c>
    </row>
    <row r="121" spans="1:10" x14ac:dyDescent="0.25">
      <c r="A121" t="s">
        <v>801</v>
      </c>
      <c r="B121" t="s">
        <v>872</v>
      </c>
      <c r="C121" t="s">
        <v>167</v>
      </c>
      <c r="D121" s="1">
        <v>34900</v>
      </c>
      <c r="E121" s="1">
        <v>25</v>
      </c>
      <c r="F121" s="1">
        <v>0</v>
      </c>
      <c r="G121" s="1">
        <v>0</v>
      </c>
      <c r="H121" s="1">
        <v>0</v>
      </c>
      <c r="I121" s="1">
        <v>32455</v>
      </c>
      <c r="J121" s="1">
        <v>3753</v>
      </c>
    </row>
    <row r="122" spans="1:10" x14ac:dyDescent="0.25">
      <c r="A122" t="s">
        <v>826</v>
      </c>
      <c r="B122" t="s">
        <v>872</v>
      </c>
      <c r="C122" t="s">
        <v>168</v>
      </c>
      <c r="D122" s="1">
        <v>51189</v>
      </c>
      <c r="E122" s="1">
        <v>338</v>
      </c>
      <c r="F122" s="1">
        <v>0</v>
      </c>
      <c r="G122" s="1">
        <v>0</v>
      </c>
      <c r="H122" s="1">
        <v>0</v>
      </c>
      <c r="I122" s="1">
        <v>17885</v>
      </c>
      <c r="J122" s="1">
        <v>2709</v>
      </c>
    </row>
    <row r="123" spans="1:10" x14ac:dyDescent="0.25">
      <c r="A123" t="s">
        <v>848</v>
      </c>
      <c r="B123" t="s">
        <v>872</v>
      </c>
      <c r="C123" t="s">
        <v>169</v>
      </c>
      <c r="D123" s="1">
        <v>11214</v>
      </c>
      <c r="E123" s="1">
        <v>99</v>
      </c>
      <c r="F123" s="1">
        <v>0</v>
      </c>
      <c r="G123" s="1">
        <v>0</v>
      </c>
      <c r="H123" s="1">
        <v>0</v>
      </c>
      <c r="I123" s="1">
        <v>2379</v>
      </c>
      <c r="J123" s="1">
        <v>3654</v>
      </c>
    </row>
    <row r="124" spans="1:10" x14ac:dyDescent="0.25">
      <c r="A124" t="s">
        <v>811</v>
      </c>
      <c r="B124" t="s">
        <v>872</v>
      </c>
      <c r="C124" t="s">
        <v>170</v>
      </c>
      <c r="D124" s="1">
        <v>47519</v>
      </c>
      <c r="E124" s="1">
        <v>861</v>
      </c>
      <c r="F124" s="1">
        <v>0</v>
      </c>
      <c r="G124" s="1">
        <v>0</v>
      </c>
      <c r="H124" s="1">
        <v>0</v>
      </c>
      <c r="I124" s="1">
        <v>16045</v>
      </c>
      <c r="J124" s="1">
        <v>14090</v>
      </c>
    </row>
    <row r="125" spans="1:10" x14ac:dyDescent="0.25">
      <c r="A125" t="s">
        <v>512</v>
      </c>
      <c r="B125" t="s">
        <v>872</v>
      </c>
      <c r="C125" t="s">
        <v>171</v>
      </c>
      <c r="D125" s="1">
        <v>14058</v>
      </c>
      <c r="E125" s="1">
        <v>3</v>
      </c>
      <c r="F125" s="1">
        <v>0</v>
      </c>
      <c r="G125" s="1">
        <v>0</v>
      </c>
      <c r="H125" s="1">
        <v>0</v>
      </c>
      <c r="I125" s="1">
        <v>5067</v>
      </c>
      <c r="J125" s="1">
        <v>3246</v>
      </c>
    </row>
    <row r="126" spans="1:10" x14ac:dyDescent="0.25">
      <c r="A126" t="s">
        <v>848</v>
      </c>
      <c r="B126" t="s">
        <v>872</v>
      </c>
      <c r="C126" t="s">
        <v>172</v>
      </c>
      <c r="D126" s="1">
        <v>10952</v>
      </c>
      <c r="E126" s="1">
        <v>5</v>
      </c>
      <c r="F126" s="1">
        <v>0</v>
      </c>
      <c r="G126" s="1">
        <v>0</v>
      </c>
      <c r="H126" s="1">
        <v>0</v>
      </c>
      <c r="I126" s="1">
        <v>4231</v>
      </c>
      <c r="J126" s="1">
        <v>1298</v>
      </c>
    </row>
    <row r="127" spans="1:10" x14ac:dyDescent="0.25">
      <c r="A127" t="s">
        <v>801</v>
      </c>
      <c r="B127" t="s">
        <v>872</v>
      </c>
      <c r="C127" t="s">
        <v>173</v>
      </c>
      <c r="D127" s="1">
        <v>72752</v>
      </c>
      <c r="E127" s="1">
        <v>1689</v>
      </c>
      <c r="F127" s="1">
        <v>0</v>
      </c>
      <c r="G127" s="1">
        <v>0</v>
      </c>
      <c r="H127" s="1">
        <v>0</v>
      </c>
      <c r="I127" s="1">
        <v>57476</v>
      </c>
      <c r="J127" s="1">
        <v>27146</v>
      </c>
    </row>
    <row r="128" spans="1:10" x14ac:dyDescent="0.25">
      <c r="A128" t="s">
        <v>864</v>
      </c>
      <c r="B128" t="s">
        <v>872</v>
      </c>
      <c r="C128" t="s">
        <v>174</v>
      </c>
      <c r="D128" s="1">
        <v>26197</v>
      </c>
      <c r="E128" s="1">
        <v>103</v>
      </c>
      <c r="F128" s="1">
        <v>0</v>
      </c>
      <c r="G128" s="1">
        <v>0</v>
      </c>
      <c r="H128" s="1">
        <v>0</v>
      </c>
      <c r="I128" s="1">
        <v>21154</v>
      </c>
      <c r="J128" s="1">
        <v>5355</v>
      </c>
    </row>
    <row r="129" spans="1:10" x14ac:dyDescent="0.25">
      <c r="A129" t="s">
        <v>226</v>
      </c>
      <c r="B129" t="s">
        <v>872</v>
      </c>
      <c r="C129" t="s">
        <v>175</v>
      </c>
      <c r="D129" s="1">
        <v>4860</v>
      </c>
      <c r="E129" s="1">
        <v>344</v>
      </c>
      <c r="F129" s="1">
        <v>0</v>
      </c>
      <c r="G129" s="1">
        <v>0</v>
      </c>
      <c r="H129" s="1">
        <v>0</v>
      </c>
      <c r="I129" s="1">
        <v>1860</v>
      </c>
      <c r="J129" s="1">
        <v>951</v>
      </c>
    </row>
    <row r="130" spans="1:10" x14ac:dyDescent="0.25">
      <c r="A130" t="s">
        <v>794</v>
      </c>
      <c r="B130" t="s">
        <v>872</v>
      </c>
      <c r="C130" t="s">
        <v>176</v>
      </c>
      <c r="D130" s="1">
        <v>110439</v>
      </c>
      <c r="E130" s="1">
        <v>106</v>
      </c>
      <c r="F130" s="1">
        <v>0</v>
      </c>
      <c r="G130" s="1">
        <v>0</v>
      </c>
      <c r="H130" s="1">
        <v>0</v>
      </c>
      <c r="I130" s="1">
        <v>26956</v>
      </c>
      <c r="J130" s="1">
        <v>8036</v>
      </c>
    </row>
    <row r="131" spans="1:10" x14ac:dyDescent="0.25">
      <c r="A131" t="s">
        <v>248</v>
      </c>
      <c r="B131" t="s">
        <v>872</v>
      </c>
      <c r="C131" t="s">
        <v>177</v>
      </c>
      <c r="D131" s="1">
        <v>30367</v>
      </c>
      <c r="E131" s="1">
        <v>200</v>
      </c>
      <c r="F131" s="1">
        <v>0</v>
      </c>
      <c r="G131" s="1">
        <v>0</v>
      </c>
      <c r="H131" s="1">
        <v>0</v>
      </c>
      <c r="I131" s="1">
        <v>25051</v>
      </c>
      <c r="J131" s="1">
        <v>8100</v>
      </c>
    </row>
    <row r="132" spans="1:10" x14ac:dyDescent="0.25">
      <c r="A132" t="s">
        <v>83</v>
      </c>
      <c r="B132" t="s">
        <v>872</v>
      </c>
      <c r="C132" t="s">
        <v>178</v>
      </c>
      <c r="D132" s="1">
        <v>57009</v>
      </c>
      <c r="E132" s="1">
        <v>355</v>
      </c>
      <c r="F132" s="1">
        <v>0</v>
      </c>
      <c r="G132" s="1">
        <v>0</v>
      </c>
      <c r="H132" s="1">
        <v>0</v>
      </c>
      <c r="I132" s="1">
        <v>71442</v>
      </c>
      <c r="J132" s="1">
        <v>9422</v>
      </c>
    </row>
    <row r="133" spans="1:10" x14ac:dyDescent="0.25">
      <c r="A133" t="s">
        <v>823</v>
      </c>
      <c r="B133" t="s">
        <v>872</v>
      </c>
      <c r="C133" t="s">
        <v>179</v>
      </c>
      <c r="D133" s="1">
        <v>69567</v>
      </c>
      <c r="E133" s="1">
        <v>795</v>
      </c>
      <c r="F133" s="1">
        <v>0</v>
      </c>
      <c r="G133" s="1">
        <v>0</v>
      </c>
      <c r="H133" s="1">
        <v>0</v>
      </c>
      <c r="I133" s="1">
        <v>14051</v>
      </c>
      <c r="J133" s="1">
        <v>23311</v>
      </c>
    </row>
    <row r="134" spans="1:10" x14ac:dyDescent="0.25">
      <c r="A134" t="s">
        <v>795</v>
      </c>
      <c r="B134" t="s">
        <v>872</v>
      </c>
      <c r="C134" t="s">
        <v>180</v>
      </c>
      <c r="D134" s="1">
        <v>141168</v>
      </c>
      <c r="E134" s="1">
        <v>91</v>
      </c>
      <c r="F134" s="1">
        <v>0</v>
      </c>
      <c r="G134" s="1">
        <v>0</v>
      </c>
      <c r="H134" s="1">
        <v>0</v>
      </c>
      <c r="I134" s="1">
        <v>69869</v>
      </c>
      <c r="J134" s="1">
        <v>46419</v>
      </c>
    </row>
    <row r="135" spans="1:10" x14ac:dyDescent="0.25">
      <c r="A135" t="s">
        <v>791</v>
      </c>
      <c r="B135" t="s">
        <v>872</v>
      </c>
      <c r="C135" t="s">
        <v>181</v>
      </c>
      <c r="D135" s="1">
        <v>10855</v>
      </c>
      <c r="E135" s="1">
        <v>553</v>
      </c>
      <c r="F135" s="1">
        <v>0</v>
      </c>
      <c r="G135" s="1">
        <v>0</v>
      </c>
      <c r="H135" s="1">
        <v>0</v>
      </c>
      <c r="I135" s="1">
        <v>15128</v>
      </c>
      <c r="J135" s="1">
        <v>3072</v>
      </c>
    </row>
    <row r="136" spans="1:10" x14ac:dyDescent="0.25">
      <c r="A136" t="s">
        <v>83</v>
      </c>
      <c r="B136" t="s">
        <v>872</v>
      </c>
      <c r="C136" t="s">
        <v>182</v>
      </c>
      <c r="D136" s="1">
        <v>33907</v>
      </c>
      <c r="E136" s="1">
        <v>81</v>
      </c>
      <c r="F136" s="1">
        <v>0</v>
      </c>
      <c r="G136" s="1">
        <v>0</v>
      </c>
      <c r="H136" s="1">
        <v>0</v>
      </c>
      <c r="I136" s="1">
        <v>4770</v>
      </c>
      <c r="J136" s="1">
        <v>8690</v>
      </c>
    </row>
    <row r="137" spans="1:10" x14ac:dyDescent="0.25">
      <c r="A137" t="s">
        <v>803</v>
      </c>
      <c r="B137" t="s">
        <v>872</v>
      </c>
      <c r="C137" t="s">
        <v>183</v>
      </c>
      <c r="D137" s="1"/>
      <c r="E137" s="1"/>
      <c r="F137" s="1"/>
      <c r="G137" s="1"/>
      <c r="H137" s="1"/>
      <c r="I137" s="1"/>
      <c r="J137" s="1"/>
    </row>
    <row r="138" spans="1:10" x14ac:dyDescent="0.25">
      <c r="A138" t="s">
        <v>67</v>
      </c>
      <c r="B138" t="s">
        <v>872</v>
      </c>
      <c r="C138" t="s">
        <v>184</v>
      </c>
      <c r="D138" s="1">
        <v>60820</v>
      </c>
      <c r="E138" s="1">
        <v>303</v>
      </c>
      <c r="F138" s="1">
        <v>0</v>
      </c>
      <c r="G138" s="1">
        <v>0</v>
      </c>
      <c r="H138" s="1">
        <v>0</v>
      </c>
      <c r="I138" s="1">
        <v>65283</v>
      </c>
      <c r="J138" s="1">
        <v>8370</v>
      </c>
    </row>
    <row r="139" spans="1:10" x14ac:dyDescent="0.25">
      <c r="A139" t="s">
        <v>865</v>
      </c>
      <c r="B139" t="s">
        <v>872</v>
      </c>
      <c r="C139" t="s">
        <v>186</v>
      </c>
      <c r="D139" s="1">
        <v>25942</v>
      </c>
      <c r="E139" s="1">
        <v>27</v>
      </c>
      <c r="F139" s="1">
        <v>0</v>
      </c>
      <c r="G139" s="1">
        <v>0</v>
      </c>
      <c r="H139" s="1">
        <v>0</v>
      </c>
      <c r="I139" s="1">
        <v>35355</v>
      </c>
      <c r="J139" s="1">
        <v>6184</v>
      </c>
    </row>
    <row r="140" spans="1:10" x14ac:dyDescent="0.25">
      <c r="A140" t="s">
        <v>512</v>
      </c>
      <c r="B140" t="s">
        <v>872</v>
      </c>
      <c r="C140" t="s">
        <v>187</v>
      </c>
      <c r="D140" s="1">
        <v>38042</v>
      </c>
      <c r="E140" s="1">
        <v>13</v>
      </c>
      <c r="F140" s="1">
        <v>0</v>
      </c>
      <c r="G140" s="1">
        <v>0</v>
      </c>
      <c r="H140" s="1">
        <v>0</v>
      </c>
      <c r="I140" s="1">
        <v>18364</v>
      </c>
      <c r="J140" s="1">
        <v>5433</v>
      </c>
    </row>
    <row r="141" spans="1:10" x14ac:dyDescent="0.25">
      <c r="A141" t="s">
        <v>824</v>
      </c>
      <c r="B141" t="s">
        <v>872</v>
      </c>
      <c r="C141" t="s">
        <v>189</v>
      </c>
      <c r="D141" s="1">
        <v>57614</v>
      </c>
      <c r="E141" s="1">
        <v>161</v>
      </c>
      <c r="F141" s="1">
        <v>0</v>
      </c>
      <c r="G141" s="1">
        <v>0</v>
      </c>
      <c r="H141" s="1">
        <v>0</v>
      </c>
      <c r="I141" s="1">
        <v>9485</v>
      </c>
      <c r="J141" s="1">
        <v>7990</v>
      </c>
    </row>
    <row r="142" spans="1:10" x14ac:dyDescent="0.25">
      <c r="A142" t="s">
        <v>83</v>
      </c>
      <c r="B142" t="s">
        <v>872</v>
      </c>
      <c r="C142" t="s">
        <v>190</v>
      </c>
      <c r="D142" s="1">
        <v>33406</v>
      </c>
      <c r="E142" s="1">
        <v>96</v>
      </c>
      <c r="F142" s="1">
        <v>0</v>
      </c>
      <c r="G142" s="1">
        <v>0</v>
      </c>
      <c r="H142" s="1">
        <v>0</v>
      </c>
      <c r="I142" s="1">
        <v>3649</v>
      </c>
      <c r="J142" s="1">
        <v>1875</v>
      </c>
    </row>
    <row r="143" spans="1:10" x14ac:dyDescent="0.25">
      <c r="A143" t="s">
        <v>76</v>
      </c>
      <c r="B143" t="s">
        <v>872</v>
      </c>
      <c r="C143" t="s">
        <v>191</v>
      </c>
      <c r="D143" s="1">
        <v>91180</v>
      </c>
      <c r="E143" s="1">
        <v>2807</v>
      </c>
      <c r="F143" s="1">
        <v>0</v>
      </c>
      <c r="G143" s="1">
        <v>0</v>
      </c>
      <c r="H143" s="1">
        <v>0</v>
      </c>
      <c r="I143" s="1">
        <v>3418</v>
      </c>
      <c r="J143" s="1">
        <v>19227</v>
      </c>
    </row>
    <row r="144" spans="1:10" x14ac:dyDescent="0.25">
      <c r="A144" t="s">
        <v>101</v>
      </c>
      <c r="B144" t="s">
        <v>872</v>
      </c>
      <c r="C144" t="s">
        <v>192</v>
      </c>
      <c r="D144" s="1">
        <v>62502</v>
      </c>
      <c r="E144" s="1">
        <v>405</v>
      </c>
      <c r="F144" s="1">
        <v>0</v>
      </c>
      <c r="G144" s="1">
        <v>0</v>
      </c>
      <c r="H144" s="1">
        <v>0</v>
      </c>
      <c r="I144" s="1">
        <v>74957</v>
      </c>
      <c r="J144" s="1">
        <v>8299</v>
      </c>
    </row>
    <row r="145" spans="1:10" x14ac:dyDescent="0.25">
      <c r="A145" t="s">
        <v>831</v>
      </c>
      <c r="B145" t="s">
        <v>872</v>
      </c>
      <c r="C145" t="s">
        <v>193</v>
      </c>
      <c r="D145" s="1">
        <v>2586</v>
      </c>
      <c r="E145" s="1">
        <v>0</v>
      </c>
      <c r="F145" s="1">
        <v>0</v>
      </c>
      <c r="G145" s="1">
        <v>0</v>
      </c>
      <c r="H145" s="1">
        <v>0</v>
      </c>
      <c r="I145" s="1">
        <v>1111</v>
      </c>
      <c r="J145" s="1">
        <v>336</v>
      </c>
    </row>
    <row r="146" spans="1:10" x14ac:dyDescent="0.25">
      <c r="A146" t="s">
        <v>811</v>
      </c>
      <c r="B146" t="s">
        <v>872</v>
      </c>
      <c r="C146" t="s">
        <v>194</v>
      </c>
      <c r="D146" s="1">
        <v>119532</v>
      </c>
      <c r="E146" s="1">
        <v>897</v>
      </c>
      <c r="F146" s="1">
        <v>0</v>
      </c>
      <c r="G146" s="1">
        <v>0</v>
      </c>
      <c r="H146" s="1">
        <v>0</v>
      </c>
      <c r="I146" s="1">
        <v>3138</v>
      </c>
      <c r="J146" s="1">
        <v>10407</v>
      </c>
    </row>
    <row r="147" spans="1:10" x14ac:dyDescent="0.25">
      <c r="A147" t="s">
        <v>76</v>
      </c>
      <c r="B147" t="s">
        <v>872</v>
      </c>
      <c r="C147" t="s">
        <v>195</v>
      </c>
      <c r="D147" s="1">
        <v>83738</v>
      </c>
      <c r="E147" s="1">
        <v>1112</v>
      </c>
      <c r="F147" s="1">
        <v>0</v>
      </c>
      <c r="G147" s="1">
        <v>0</v>
      </c>
      <c r="H147" s="1">
        <v>0</v>
      </c>
      <c r="I147" s="1">
        <v>61073</v>
      </c>
      <c r="J147" s="1">
        <v>15778</v>
      </c>
    </row>
    <row r="148" spans="1:10" x14ac:dyDescent="0.25">
      <c r="A148" t="s">
        <v>788</v>
      </c>
      <c r="B148" t="s">
        <v>872</v>
      </c>
      <c r="C148" t="s">
        <v>196</v>
      </c>
      <c r="D148" s="1">
        <v>58514</v>
      </c>
      <c r="E148" s="1">
        <v>808</v>
      </c>
      <c r="F148" s="1">
        <v>0</v>
      </c>
      <c r="G148" s="1">
        <v>0</v>
      </c>
      <c r="H148" s="1">
        <v>0</v>
      </c>
      <c r="I148" s="1">
        <v>100984</v>
      </c>
      <c r="J148" s="1">
        <v>23290</v>
      </c>
    </row>
    <row r="149" spans="1:10" x14ac:dyDescent="0.25">
      <c r="A149" t="s">
        <v>817</v>
      </c>
      <c r="B149" t="s">
        <v>872</v>
      </c>
      <c r="C149" t="s">
        <v>197</v>
      </c>
      <c r="D149" s="1">
        <v>33972</v>
      </c>
      <c r="E149" s="1">
        <v>148</v>
      </c>
      <c r="F149" s="1">
        <v>0</v>
      </c>
      <c r="G149" s="1">
        <v>0</v>
      </c>
      <c r="H149" s="1">
        <v>0</v>
      </c>
      <c r="I149" s="1">
        <v>71638</v>
      </c>
      <c r="J149" s="1">
        <v>22618</v>
      </c>
    </row>
    <row r="150" spans="1:10" x14ac:dyDescent="0.25">
      <c r="A150" t="s">
        <v>817</v>
      </c>
      <c r="B150" t="s">
        <v>872</v>
      </c>
      <c r="C150" t="s">
        <v>198</v>
      </c>
      <c r="D150" s="1">
        <v>25950</v>
      </c>
      <c r="E150" s="1">
        <v>575</v>
      </c>
      <c r="F150" s="1">
        <v>0</v>
      </c>
      <c r="G150" s="1">
        <v>0</v>
      </c>
      <c r="H150" s="1">
        <v>0</v>
      </c>
      <c r="I150" s="1">
        <v>28578</v>
      </c>
      <c r="J150" s="1">
        <v>16241</v>
      </c>
    </row>
    <row r="151" spans="1:10" x14ac:dyDescent="0.25">
      <c r="A151" t="s">
        <v>69</v>
      </c>
      <c r="B151" t="s">
        <v>872</v>
      </c>
      <c r="C151" t="s">
        <v>199</v>
      </c>
      <c r="D151" s="1">
        <v>88673</v>
      </c>
      <c r="E151" s="1">
        <v>104</v>
      </c>
      <c r="F151" s="1">
        <v>0</v>
      </c>
      <c r="G151" s="1">
        <v>0</v>
      </c>
      <c r="H151" s="1">
        <v>0</v>
      </c>
      <c r="I151" s="1">
        <v>140048</v>
      </c>
      <c r="J151" s="1">
        <v>18710</v>
      </c>
    </row>
    <row r="152" spans="1:10" x14ac:dyDescent="0.25">
      <c r="A152" t="s">
        <v>76</v>
      </c>
      <c r="B152" t="s">
        <v>872</v>
      </c>
      <c r="C152" t="s">
        <v>200</v>
      </c>
      <c r="D152" s="1">
        <v>26197</v>
      </c>
      <c r="E152" s="1">
        <v>291</v>
      </c>
      <c r="F152" s="1">
        <v>0</v>
      </c>
      <c r="G152" s="1">
        <v>0</v>
      </c>
      <c r="H152" s="1">
        <v>0</v>
      </c>
      <c r="I152" s="1">
        <v>14515</v>
      </c>
      <c r="J152" s="1">
        <v>5221</v>
      </c>
    </row>
    <row r="153" spans="1:10" x14ac:dyDescent="0.25">
      <c r="A153" t="s">
        <v>120</v>
      </c>
      <c r="B153" t="s">
        <v>872</v>
      </c>
      <c r="C153" t="s">
        <v>201</v>
      </c>
      <c r="D153" s="1">
        <v>33384</v>
      </c>
      <c r="E153" s="1">
        <v>423</v>
      </c>
      <c r="F153" s="1">
        <v>0</v>
      </c>
      <c r="G153" s="1">
        <v>0</v>
      </c>
      <c r="H153" s="1">
        <v>0</v>
      </c>
      <c r="I153" s="1">
        <v>8854</v>
      </c>
      <c r="J153" s="1">
        <v>4966</v>
      </c>
    </row>
    <row r="154" spans="1:10" x14ac:dyDescent="0.25">
      <c r="A154" t="s">
        <v>495</v>
      </c>
      <c r="B154" t="s">
        <v>872</v>
      </c>
      <c r="C154" t="s">
        <v>202</v>
      </c>
      <c r="D154" s="1">
        <v>82566</v>
      </c>
      <c r="E154" s="1">
        <v>263</v>
      </c>
      <c r="F154" s="1">
        <v>0</v>
      </c>
      <c r="G154" s="1">
        <v>0</v>
      </c>
      <c r="H154" s="1">
        <v>0</v>
      </c>
      <c r="I154" s="1">
        <v>39954</v>
      </c>
      <c r="J154" s="1">
        <v>16744</v>
      </c>
    </row>
    <row r="155" spans="1:10" x14ac:dyDescent="0.25">
      <c r="A155" t="s">
        <v>788</v>
      </c>
      <c r="B155" t="s">
        <v>872</v>
      </c>
      <c r="C155" t="s">
        <v>203</v>
      </c>
      <c r="D155" s="1">
        <v>94044</v>
      </c>
      <c r="E155" s="1">
        <v>166</v>
      </c>
      <c r="F155" s="1">
        <v>0</v>
      </c>
      <c r="G155" s="1">
        <v>0</v>
      </c>
      <c r="H155" s="1">
        <v>0</v>
      </c>
      <c r="I155" s="1">
        <v>22364</v>
      </c>
      <c r="J155" s="1">
        <v>14890</v>
      </c>
    </row>
    <row r="156" spans="1:10" x14ac:dyDescent="0.25">
      <c r="A156" t="s">
        <v>72</v>
      </c>
      <c r="B156" t="s">
        <v>872</v>
      </c>
      <c r="C156" t="s">
        <v>204</v>
      </c>
      <c r="D156" s="1">
        <v>29125</v>
      </c>
      <c r="E156" s="1">
        <v>122</v>
      </c>
      <c r="F156" s="1">
        <v>0</v>
      </c>
      <c r="G156" s="1">
        <v>0</v>
      </c>
      <c r="H156" s="1">
        <v>0</v>
      </c>
      <c r="I156" s="1">
        <v>9542</v>
      </c>
      <c r="J156" s="1">
        <v>4215</v>
      </c>
    </row>
    <row r="157" spans="1:10" x14ac:dyDescent="0.25">
      <c r="A157" t="s">
        <v>76</v>
      </c>
      <c r="B157" t="s">
        <v>873</v>
      </c>
      <c r="C157" t="s">
        <v>205</v>
      </c>
      <c r="D157" s="1">
        <v>42304</v>
      </c>
      <c r="E157" s="1">
        <v>210</v>
      </c>
      <c r="F157" s="1">
        <v>0</v>
      </c>
      <c r="G157" s="1">
        <v>0</v>
      </c>
      <c r="H157" s="1">
        <v>0</v>
      </c>
      <c r="I157" s="1">
        <v>25400</v>
      </c>
      <c r="J157" s="1">
        <v>18869</v>
      </c>
    </row>
    <row r="158" spans="1:10" x14ac:dyDescent="0.25">
      <c r="A158" t="s">
        <v>864</v>
      </c>
      <c r="B158" t="s">
        <v>872</v>
      </c>
      <c r="C158" t="s">
        <v>206</v>
      </c>
      <c r="D158" s="1">
        <v>52111</v>
      </c>
      <c r="E158" s="1">
        <v>16</v>
      </c>
      <c r="F158" s="1">
        <v>0</v>
      </c>
      <c r="G158" s="1">
        <v>0</v>
      </c>
      <c r="H158" s="1">
        <v>0</v>
      </c>
      <c r="I158" s="1">
        <v>25766</v>
      </c>
      <c r="J158" s="1">
        <v>30299</v>
      </c>
    </row>
    <row r="159" spans="1:10" x14ac:dyDescent="0.25">
      <c r="A159" t="s">
        <v>76</v>
      </c>
      <c r="B159" t="s">
        <v>872</v>
      </c>
      <c r="C159" t="s">
        <v>207</v>
      </c>
      <c r="D159" s="1">
        <v>56039</v>
      </c>
      <c r="E159" s="1">
        <v>53</v>
      </c>
      <c r="F159" s="1">
        <v>0</v>
      </c>
      <c r="G159" s="1">
        <v>0</v>
      </c>
      <c r="H159" s="1">
        <v>0</v>
      </c>
      <c r="I159" s="1">
        <v>50779</v>
      </c>
      <c r="J159" s="1">
        <v>19657</v>
      </c>
    </row>
    <row r="160" spans="1:10" x14ac:dyDescent="0.25">
      <c r="A160" t="s">
        <v>265</v>
      </c>
      <c r="B160" t="s">
        <v>872</v>
      </c>
      <c r="C160" t="s">
        <v>208</v>
      </c>
      <c r="D160" s="1">
        <v>16524</v>
      </c>
      <c r="E160" s="1">
        <v>188</v>
      </c>
      <c r="F160" s="1">
        <v>0</v>
      </c>
      <c r="G160" s="1">
        <v>0</v>
      </c>
      <c r="H160" s="1">
        <v>0</v>
      </c>
      <c r="I160" s="1">
        <v>10467</v>
      </c>
      <c r="J160" s="1">
        <v>3874</v>
      </c>
    </row>
    <row r="161" spans="1:10" x14ac:dyDescent="0.25">
      <c r="A161" t="s">
        <v>801</v>
      </c>
      <c r="B161" t="s">
        <v>872</v>
      </c>
      <c r="C161" t="s">
        <v>209</v>
      </c>
      <c r="D161" s="1">
        <v>45767</v>
      </c>
      <c r="E161" s="1">
        <v>495</v>
      </c>
      <c r="F161" s="1">
        <v>0</v>
      </c>
      <c r="G161" s="1">
        <v>0</v>
      </c>
      <c r="H161" s="1">
        <v>0</v>
      </c>
      <c r="I161" s="1">
        <v>65769</v>
      </c>
      <c r="J161" s="1">
        <v>22635</v>
      </c>
    </row>
    <row r="162" spans="1:10" x14ac:dyDescent="0.25">
      <c r="A162" t="s">
        <v>72</v>
      </c>
      <c r="B162" t="s">
        <v>872</v>
      </c>
      <c r="C162" t="s">
        <v>210</v>
      </c>
      <c r="D162" s="1">
        <v>54772</v>
      </c>
      <c r="E162" s="1">
        <v>92</v>
      </c>
      <c r="F162" s="1">
        <v>0</v>
      </c>
      <c r="G162" s="1">
        <v>0</v>
      </c>
      <c r="H162" s="1">
        <v>0</v>
      </c>
      <c r="I162" s="1">
        <v>37778</v>
      </c>
      <c r="J162" s="1">
        <v>16382</v>
      </c>
    </row>
    <row r="163" spans="1:10" x14ac:dyDescent="0.25">
      <c r="A163" t="s">
        <v>817</v>
      </c>
      <c r="B163" t="s">
        <v>872</v>
      </c>
      <c r="C163" t="s">
        <v>211</v>
      </c>
      <c r="D163" s="1">
        <v>105872</v>
      </c>
      <c r="E163" s="1">
        <v>359</v>
      </c>
      <c r="F163" s="1">
        <v>0</v>
      </c>
      <c r="G163" s="1">
        <v>0</v>
      </c>
      <c r="H163" s="1">
        <v>0</v>
      </c>
      <c r="I163" s="1">
        <v>77540</v>
      </c>
      <c r="J163" s="1">
        <v>95956</v>
      </c>
    </row>
    <row r="164" spans="1:10" x14ac:dyDescent="0.25">
      <c r="A164" t="s">
        <v>72</v>
      </c>
      <c r="B164" t="s">
        <v>872</v>
      </c>
      <c r="C164" t="s">
        <v>212</v>
      </c>
      <c r="D164" s="1">
        <v>35958</v>
      </c>
      <c r="E164" s="1">
        <v>1</v>
      </c>
      <c r="F164" s="1">
        <v>0</v>
      </c>
      <c r="G164" s="1">
        <v>0</v>
      </c>
      <c r="H164" s="1">
        <v>0</v>
      </c>
      <c r="I164" s="1">
        <v>4913</v>
      </c>
      <c r="J164" s="1">
        <v>3838</v>
      </c>
    </row>
    <row r="165" spans="1:10" x14ac:dyDescent="0.25">
      <c r="A165" t="s">
        <v>134</v>
      </c>
      <c r="B165" t="s">
        <v>872</v>
      </c>
      <c r="C165" t="s">
        <v>213</v>
      </c>
      <c r="D165" s="1">
        <v>35366</v>
      </c>
      <c r="E165" s="1">
        <v>0</v>
      </c>
      <c r="F165" s="1">
        <v>0</v>
      </c>
      <c r="G165" s="1">
        <v>0</v>
      </c>
      <c r="H165" s="1">
        <v>0</v>
      </c>
      <c r="I165" s="1">
        <v>55102</v>
      </c>
      <c r="J165" s="1">
        <v>1121</v>
      </c>
    </row>
    <row r="166" spans="1:10" x14ac:dyDescent="0.25">
      <c r="A166" t="s">
        <v>495</v>
      </c>
      <c r="B166" t="s">
        <v>872</v>
      </c>
      <c r="C166" t="s">
        <v>214</v>
      </c>
      <c r="D166" s="1">
        <v>71864</v>
      </c>
      <c r="E166" s="1">
        <v>4110</v>
      </c>
      <c r="F166" s="1">
        <v>0</v>
      </c>
      <c r="G166" s="1">
        <v>0</v>
      </c>
      <c r="H166" s="1">
        <v>0</v>
      </c>
      <c r="I166" s="1">
        <v>37627</v>
      </c>
      <c r="J166" s="1">
        <v>15939</v>
      </c>
    </row>
    <row r="167" spans="1:10" x14ac:dyDescent="0.25">
      <c r="A167" t="s">
        <v>146</v>
      </c>
      <c r="B167" t="s">
        <v>872</v>
      </c>
      <c r="C167" t="s">
        <v>215</v>
      </c>
      <c r="D167" s="1">
        <v>80117</v>
      </c>
      <c r="E167" s="1">
        <v>7700</v>
      </c>
      <c r="F167" s="1">
        <v>0</v>
      </c>
      <c r="G167" s="1">
        <v>0</v>
      </c>
      <c r="H167" s="1">
        <v>0</v>
      </c>
      <c r="I167" s="1">
        <v>68277</v>
      </c>
      <c r="J167" s="1">
        <v>19329</v>
      </c>
    </row>
    <row r="168" spans="1:10" x14ac:dyDescent="0.25">
      <c r="A168" t="s">
        <v>138</v>
      </c>
      <c r="B168" t="s">
        <v>872</v>
      </c>
      <c r="C168" t="s">
        <v>216</v>
      </c>
      <c r="D168" s="1">
        <v>39063</v>
      </c>
      <c r="E168" s="1">
        <v>80</v>
      </c>
      <c r="F168" s="1">
        <v>0</v>
      </c>
      <c r="G168" s="1">
        <v>0</v>
      </c>
      <c r="H168" s="1">
        <v>0</v>
      </c>
      <c r="I168" s="1">
        <v>64382</v>
      </c>
      <c r="J168" s="1">
        <v>11341</v>
      </c>
    </row>
    <row r="169" spans="1:10" x14ac:dyDescent="0.25">
      <c r="A169" t="s">
        <v>794</v>
      </c>
      <c r="B169" t="s">
        <v>872</v>
      </c>
      <c r="C169" t="s">
        <v>217</v>
      </c>
      <c r="D169" s="1">
        <v>23017</v>
      </c>
      <c r="E169" s="1">
        <v>0</v>
      </c>
      <c r="F169" s="1">
        <v>0</v>
      </c>
      <c r="G169" s="1">
        <v>0</v>
      </c>
      <c r="H169" s="1">
        <v>0</v>
      </c>
      <c r="I169" s="1">
        <v>29862</v>
      </c>
      <c r="J169" s="1">
        <v>4752</v>
      </c>
    </row>
    <row r="170" spans="1:10" x14ac:dyDescent="0.25">
      <c r="A170" t="s">
        <v>265</v>
      </c>
      <c r="B170" t="s">
        <v>872</v>
      </c>
      <c r="C170" t="s">
        <v>218</v>
      </c>
      <c r="D170" s="1">
        <v>19927</v>
      </c>
      <c r="E170" s="1">
        <v>18</v>
      </c>
      <c r="F170" s="1">
        <v>0</v>
      </c>
      <c r="G170" s="1">
        <v>0</v>
      </c>
      <c r="H170" s="1">
        <v>0</v>
      </c>
      <c r="I170" s="1">
        <v>58824</v>
      </c>
      <c r="J170" s="1">
        <v>3149</v>
      </c>
    </row>
    <row r="171" spans="1:10" x14ac:dyDescent="0.25">
      <c r="A171" t="s">
        <v>801</v>
      </c>
      <c r="B171" t="s">
        <v>872</v>
      </c>
      <c r="C171" t="s">
        <v>219</v>
      </c>
      <c r="D171" s="1">
        <v>61698</v>
      </c>
      <c r="E171" s="1">
        <v>389</v>
      </c>
      <c r="F171" s="1">
        <v>0</v>
      </c>
      <c r="G171" s="1">
        <v>0</v>
      </c>
      <c r="H171" s="1">
        <v>0</v>
      </c>
      <c r="I171" s="1">
        <v>30294</v>
      </c>
      <c r="J171" s="1">
        <v>8255</v>
      </c>
    </row>
    <row r="172" spans="1:10" x14ac:dyDescent="0.25">
      <c r="A172" t="s">
        <v>831</v>
      </c>
      <c r="B172" t="s">
        <v>872</v>
      </c>
      <c r="C172" t="s">
        <v>220</v>
      </c>
      <c r="D172" s="1">
        <v>4638</v>
      </c>
      <c r="E172" s="1">
        <v>9</v>
      </c>
      <c r="F172" s="1">
        <v>0</v>
      </c>
      <c r="G172" s="1">
        <v>0</v>
      </c>
      <c r="H172" s="1">
        <v>0</v>
      </c>
      <c r="I172" s="1">
        <v>6009</v>
      </c>
      <c r="J172" s="1">
        <v>968</v>
      </c>
    </row>
    <row r="173" spans="1:10" x14ac:dyDescent="0.25">
      <c r="A173" t="s">
        <v>794</v>
      </c>
      <c r="B173" t="s">
        <v>872</v>
      </c>
      <c r="C173" t="s">
        <v>221</v>
      </c>
      <c r="D173" s="1">
        <v>54032</v>
      </c>
      <c r="E173" s="1">
        <v>53</v>
      </c>
      <c r="F173" s="1">
        <v>0</v>
      </c>
      <c r="G173" s="1">
        <v>0</v>
      </c>
      <c r="H173" s="1">
        <v>0</v>
      </c>
      <c r="I173" s="1">
        <v>27670</v>
      </c>
      <c r="J173" s="1">
        <v>17711</v>
      </c>
    </row>
    <row r="174" spans="1:10" x14ac:dyDescent="0.25">
      <c r="A174" t="s">
        <v>120</v>
      </c>
      <c r="B174" t="s">
        <v>872</v>
      </c>
      <c r="C174" t="s">
        <v>222</v>
      </c>
      <c r="D174" s="1">
        <v>91477</v>
      </c>
      <c r="E174" s="1">
        <v>62</v>
      </c>
      <c r="F174" s="1">
        <v>0</v>
      </c>
      <c r="G174" s="1">
        <v>0</v>
      </c>
      <c r="H174" s="1">
        <v>0</v>
      </c>
      <c r="I174" s="1">
        <v>9314</v>
      </c>
      <c r="J174" s="1">
        <v>7079</v>
      </c>
    </row>
    <row r="175" spans="1:10" x14ac:dyDescent="0.25">
      <c r="A175" t="s">
        <v>848</v>
      </c>
      <c r="B175" t="s">
        <v>872</v>
      </c>
      <c r="C175" t="s">
        <v>223</v>
      </c>
      <c r="D175" s="1">
        <v>17714</v>
      </c>
      <c r="E175" s="1">
        <v>13</v>
      </c>
      <c r="F175" s="1">
        <v>0</v>
      </c>
      <c r="G175" s="1">
        <v>0</v>
      </c>
      <c r="H175" s="1">
        <v>0</v>
      </c>
      <c r="I175" s="1">
        <v>2716</v>
      </c>
      <c r="J175" s="1">
        <v>2913</v>
      </c>
    </row>
    <row r="176" spans="1:10" x14ac:dyDescent="0.25">
      <c r="A176" t="s">
        <v>825</v>
      </c>
      <c r="B176" t="s">
        <v>872</v>
      </c>
      <c r="C176" t="s">
        <v>224</v>
      </c>
      <c r="D176" s="1">
        <v>17586</v>
      </c>
      <c r="E176" s="1">
        <v>107</v>
      </c>
      <c r="F176" s="1">
        <v>0</v>
      </c>
      <c r="G176" s="1">
        <v>0</v>
      </c>
      <c r="H176" s="1">
        <v>0</v>
      </c>
      <c r="I176" s="1">
        <v>9785</v>
      </c>
      <c r="J176" s="1">
        <v>2088</v>
      </c>
    </row>
    <row r="177" spans="1:10" x14ac:dyDescent="0.25">
      <c r="A177" t="s">
        <v>788</v>
      </c>
      <c r="B177" t="s">
        <v>872</v>
      </c>
      <c r="C177" t="s">
        <v>225</v>
      </c>
      <c r="D177" s="1">
        <v>63168</v>
      </c>
      <c r="E177" s="1">
        <v>39</v>
      </c>
      <c r="F177" s="1">
        <v>0</v>
      </c>
      <c r="G177" s="1">
        <v>0</v>
      </c>
      <c r="H177" s="1">
        <v>0</v>
      </c>
      <c r="I177" s="1">
        <v>133264</v>
      </c>
      <c r="J177" s="1">
        <v>29688</v>
      </c>
    </row>
    <row r="178" spans="1:10" x14ac:dyDescent="0.25">
      <c r="A178" t="s">
        <v>226</v>
      </c>
      <c r="B178" t="s">
        <v>872</v>
      </c>
      <c r="C178" t="s">
        <v>227</v>
      </c>
      <c r="D178" s="1">
        <v>32351</v>
      </c>
      <c r="E178" s="1">
        <v>17</v>
      </c>
      <c r="F178" s="1">
        <v>0</v>
      </c>
      <c r="G178" s="1">
        <v>0</v>
      </c>
      <c r="H178" s="1">
        <v>0</v>
      </c>
      <c r="I178" s="1">
        <v>13979</v>
      </c>
      <c r="J178" s="1">
        <v>7236</v>
      </c>
    </row>
    <row r="179" spans="1:10" x14ac:dyDescent="0.25">
      <c r="A179" t="s">
        <v>226</v>
      </c>
      <c r="B179" t="s">
        <v>872</v>
      </c>
      <c r="C179" t="s">
        <v>228</v>
      </c>
      <c r="D179" s="1">
        <v>19023</v>
      </c>
      <c r="E179" s="1">
        <v>27</v>
      </c>
      <c r="F179" s="1">
        <v>0</v>
      </c>
      <c r="G179" s="1">
        <v>0</v>
      </c>
      <c r="H179" s="1">
        <v>0</v>
      </c>
      <c r="I179" s="1">
        <v>15921</v>
      </c>
      <c r="J179" s="1">
        <v>3205</v>
      </c>
    </row>
    <row r="180" spans="1:10" x14ac:dyDescent="0.25">
      <c r="A180" t="s">
        <v>229</v>
      </c>
      <c r="B180" t="s">
        <v>872</v>
      </c>
      <c r="C180" t="s">
        <v>230</v>
      </c>
      <c r="D180" s="1">
        <v>24424</v>
      </c>
      <c r="E180" s="1">
        <v>25</v>
      </c>
      <c r="F180" s="1">
        <v>0</v>
      </c>
      <c r="G180" s="1">
        <v>0</v>
      </c>
      <c r="H180" s="1">
        <v>0</v>
      </c>
      <c r="I180" s="1">
        <v>13614</v>
      </c>
      <c r="J180" s="1">
        <v>6710</v>
      </c>
    </row>
    <row r="181" spans="1:10" x14ac:dyDescent="0.25">
      <c r="A181" t="s">
        <v>231</v>
      </c>
      <c r="B181" t="s">
        <v>872</v>
      </c>
      <c r="C181" t="s">
        <v>232</v>
      </c>
      <c r="D181" s="1">
        <v>18783</v>
      </c>
      <c r="E181" s="1">
        <v>2</v>
      </c>
      <c r="F181" s="1">
        <v>0</v>
      </c>
      <c r="G181" s="1">
        <v>0</v>
      </c>
      <c r="H181" s="1">
        <v>0</v>
      </c>
      <c r="I181" s="1">
        <v>3679</v>
      </c>
      <c r="J181" s="1">
        <v>2644</v>
      </c>
    </row>
    <row r="182" spans="1:10" x14ac:dyDescent="0.25">
      <c r="A182" t="s">
        <v>248</v>
      </c>
      <c r="B182" t="s">
        <v>872</v>
      </c>
      <c r="C182" t="s">
        <v>233</v>
      </c>
      <c r="D182" s="1">
        <v>20245</v>
      </c>
      <c r="E182" s="1">
        <v>81</v>
      </c>
      <c r="F182" s="1">
        <v>0</v>
      </c>
      <c r="G182" s="1">
        <v>0</v>
      </c>
      <c r="H182" s="1">
        <v>0</v>
      </c>
      <c r="I182" s="1">
        <v>27916</v>
      </c>
      <c r="J182" s="1">
        <v>1658</v>
      </c>
    </row>
    <row r="183" spans="1:10" x14ac:dyDescent="0.25">
      <c r="A183" t="s">
        <v>69</v>
      </c>
      <c r="B183" t="s">
        <v>872</v>
      </c>
      <c r="C183" t="s">
        <v>234</v>
      </c>
      <c r="D183" s="1">
        <v>128894</v>
      </c>
      <c r="E183" s="1">
        <v>141</v>
      </c>
      <c r="F183" s="1">
        <v>0</v>
      </c>
      <c r="G183" s="1">
        <v>0</v>
      </c>
      <c r="H183" s="1">
        <v>0</v>
      </c>
      <c r="I183" s="1">
        <v>256292</v>
      </c>
      <c r="J183" s="1">
        <v>18877</v>
      </c>
    </row>
    <row r="184" spans="1:10" x14ac:dyDescent="0.25">
      <c r="A184" t="s">
        <v>795</v>
      </c>
      <c r="B184" t="s">
        <v>872</v>
      </c>
      <c r="C184" t="s">
        <v>235</v>
      </c>
      <c r="D184" s="1">
        <v>48844</v>
      </c>
      <c r="E184" s="1">
        <v>30</v>
      </c>
      <c r="F184" s="1">
        <v>0</v>
      </c>
      <c r="G184" s="1">
        <v>0</v>
      </c>
      <c r="H184" s="1">
        <v>0</v>
      </c>
      <c r="I184" s="1">
        <v>947</v>
      </c>
      <c r="J184" s="1">
        <v>25711</v>
      </c>
    </row>
    <row r="185" spans="1:10" x14ac:dyDescent="0.25">
      <c r="A185" t="s">
        <v>795</v>
      </c>
      <c r="B185" t="s">
        <v>872</v>
      </c>
      <c r="C185" t="s">
        <v>236</v>
      </c>
      <c r="D185" s="1">
        <v>35622</v>
      </c>
      <c r="E185" s="1">
        <v>225</v>
      </c>
      <c r="F185" s="1">
        <v>0</v>
      </c>
      <c r="G185" s="1">
        <v>0</v>
      </c>
      <c r="H185" s="1">
        <v>0</v>
      </c>
      <c r="I185" s="1">
        <v>32019</v>
      </c>
      <c r="J185" s="1">
        <v>15933</v>
      </c>
    </row>
    <row r="186" spans="1:10" x14ac:dyDescent="0.25">
      <c r="A186" t="s">
        <v>801</v>
      </c>
      <c r="B186" t="s">
        <v>872</v>
      </c>
      <c r="C186" t="s">
        <v>237</v>
      </c>
      <c r="D186" s="1">
        <v>51585</v>
      </c>
      <c r="E186" s="1">
        <v>313</v>
      </c>
      <c r="F186" s="1">
        <v>0</v>
      </c>
      <c r="G186" s="1">
        <v>0</v>
      </c>
      <c r="H186" s="1">
        <v>0</v>
      </c>
      <c r="I186" s="1">
        <v>34736</v>
      </c>
      <c r="J186" s="1">
        <v>5289</v>
      </c>
    </row>
    <row r="187" spans="1:10" x14ac:dyDescent="0.25">
      <c r="A187" t="s">
        <v>788</v>
      </c>
      <c r="B187" t="s">
        <v>872</v>
      </c>
      <c r="C187" t="s">
        <v>238</v>
      </c>
      <c r="D187" s="1">
        <v>35136</v>
      </c>
      <c r="E187" s="1">
        <v>2</v>
      </c>
      <c r="F187" s="1">
        <v>0</v>
      </c>
      <c r="G187" s="1">
        <v>0</v>
      </c>
      <c r="H187" s="1">
        <v>0</v>
      </c>
      <c r="I187" s="1">
        <v>23060</v>
      </c>
      <c r="J187" s="1">
        <v>6644</v>
      </c>
    </row>
    <row r="188" spans="1:10" x14ac:dyDescent="0.25">
      <c r="A188" t="s">
        <v>791</v>
      </c>
      <c r="B188" t="s">
        <v>872</v>
      </c>
      <c r="C188" t="s">
        <v>239</v>
      </c>
      <c r="D188" s="1">
        <v>13683</v>
      </c>
      <c r="E188" s="1">
        <v>69</v>
      </c>
      <c r="F188" s="1">
        <v>0</v>
      </c>
      <c r="G188" s="1">
        <v>0</v>
      </c>
      <c r="H188" s="1">
        <v>0</v>
      </c>
      <c r="I188" s="1">
        <v>4343</v>
      </c>
      <c r="J188" s="1">
        <v>3965</v>
      </c>
    </row>
    <row r="189" spans="1:10" x14ac:dyDescent="0.25">
      <c r="A189" t="s">
        <v>801</v>
      </c>
      <c r="B189" t="s">
        <v>872</v>
      </c>
      <c r="C189" t="s">
        <v>240</v>
      </c>
      <c r="D189" s="1">
        <v>68160</v>
      </c>
      <c r="E189" s="1">
        <v>264</v>
      </c>
      <c r="F189" s="1">
        <v>0</v>
      </c>
      <c r="G189" s="1">
        <v>0</v>
      </c>
      <c r="H189" s="1">
        <v>0</v>
      </c>
      <c r="I189" s="1">
        <v>22239</v>
      </c>
      <c r="J189" s="1">
        <v>2581</v>
      </c>
    </row>
    <row r="190" spans="1:10" x14ac:dyDescent="0.25">
      <c r="A190" t="s">
        <v>788</v>
      </c>
      <c r="B190" t="s">
        <v>872</v>
      </c>
      <c r="C190" t="s">
        <v>241</v>
      </c>
      <c r="D190" s="1">
        <v>99326</v>
      </c>
      <c r="E190" s="1">
        <v>49</v>
      </c>
      <c r="F190" s="1">
        <v>0</v>
      </c>
      <c r="G190" s="1">
        <v>0</v>
      </c>
      <c r="H190" s="1">
        <v>0</v>
      </c>
      <c r="I190" s="1">
        <v>56286</v>
      </c>
      <c r="J190" s="1">
        <v>22903</v>
      </c>
    </row>
    <row r="191" spans="1:10" x14ac:dyDescent="0.25">
      <c r="A191" t="s">
        <v>138</v>
      </c>
      <c r="B191" t="s">
        <v>872</v>
      </c>
      <c r="C191" t="s">
        <v>242</v>
      </c>
      <c r="D191" s="1">
        <v>66084</v>
      </c>
      <c r="E191" s="1">
        <v>41</v>
      </c>
      <c r="F191" s="1">
        <v>0</v>
      </c>
      <c r="G191" s="1">
        <v>0</v>
      </c>
      <c r="H191" s="1">
        <v>0</v>
      </c>
      <c r="I191" s="1">
        <v>16884</v>
      </c>
      <c r="J191" s="1">
        <v>6997</v>
      </c>
    </row>
    <row r="192" spans="1:10" x14ac:dyDescent="0.25">
      <c r="A192" t="s">
        <v>512</v>
      </c>
      <c r="B192" t="s">
        <v>872</v>
      </c>
      <c r="C192" t="s">
        <v>243</v>
      </c>
      <c r="D192" s="1">
        <v>11866</v>
      </c>
      <c r="E192" s="1">
        <v>6</v>
      </c>
      <c r="F192" s="1">
        <v>0</v>
      </c>
      <c r="G192" s="1">
        <v>0</v>
      </c>
      <c r="H192" s="1">
        <v>0</v>
      </c>
      <c r="I192" s="1">
        <v>756</v>
      </c>
      <c r="J192" s="1">
        <v>1320</v>
      </c>
    </row>
    <row r="193" spans="1:10" x14ac:dyDescent="0.25">
      <c r="A193" t="s">
        <v>796</v>
      </c>
      <c r="B193" t="s">
        <v>872</v>
      </c>
      <c r="C193" t="s">
        <v>244</v>
      </c>
      <c r="D193" s="1">
        <v>79299</v>
      </c>
      <c r="E193" s="1">
        <v>859</v>
      </c>
      <c r="F193" s="1">
        <v>0</v>
      </c>
      <c r="G193" s="1">
        <v>0</v>
      </c>
      <c r="H193" s="1">
        <v>0</v>
      </c>
      <c r="I193" s="1">
        <v>100441</v>
      </c>
      <c r="J193" s="1">
        <v>16312</v>
      </c>
    </row>
    <row r="194" spans="1:10" x14ac:dyDescent="0.25">
      <c r="A194" t="s">
        <v>146</v>
      </c>
      <c r="B194" t="s">
        <v>872</v>
      </c>
      <c r="C194" t="s">
        <v>245</v>
      </c>
      <c r="D194" s="1">
        <v>34253</v>
      </c>
      <c r="E194" s="1">
        <v>90</v>
      </c>
      <c r="F194" s="1">
        <v>0</v>
      </c>
      <c r="G194" s="1">
        <v>0</v>
      </c>
      <c r="H194" s="1">
        <v>0</v>
      </c>
      <c r="I194" s="1">
        <v>36104</v>
      </c>
      <c r="J194" s="1">
        <v>8104</v>
      </c>
    </row>
    <row r="195" spans="1:10" x14ac:dyDescent="0.25">
      <c r="A195" t="s">
        <v>831</v>
      </c>
      <c r="B195" t="s">
        <v>872</v>
      </c>
      <c r="C195" t="s">
        <v>246</v>
      </c>
      <c r="D195" s="1">
        <v>5028</v>
      </c>
      <c r="E195" s="1">
        <v>8</v>
      </c>
      <c r="F195" s="1">
        <v>0</v>
      </c>
      <c r="G195" s="1">
        <v>0</v>
      </c>
      <c r="H195" s="1">
        <v>0</v>
      </c>
      <c r="I195" s="1">
        <v>1716</v>
      </c>
      <c r="J195" s="1">
        <v>1241</v>
      </c>
    </row>
    <row r="196" spans="1:10" x14ac:dyDescent="0.25">
      <c r="A196" t="s">
        <v>791</v>
      </c>
      <c r="B196" t="s">
        <v>872</v>
      </c>
      <c r="C196" t="s">
        <v>247</v>
      </c>
      <c r="D196" s="1">
        <v>10500</v>
      </c>
      <c r="E196" s="1">
        <v>309</v>
      </c>
      <c r="F196" s="1">
        <v>0</v>
      </c>
      <c r="G196" s="1">
        <v>0</v>
      </c>
      <c r="H196" s="1">
        <v>0</v>
      </c>
      <c r="I196" s="1">
        <v>3216</v>
      </c>
      <c r="J196" s="1">
        <v>5381</v>
      </c>
    </row>
    <row r="197" spans="1:10" x14ac:dyDescent="0.25">
      <c r="A197" t="s">
        <v>248</v>
      </c>
      <c r="B197" t="s">
        <v>872</v>
      </c>
      <c r="C197" t="s">
        <v>249</v>
      </c>
      <c r="D197" s="1">
        <v>63801</v>
      </c>
      <c r="E197" s="1">
        <v>347</v>
      </c>
      <c r="F197" s="1">
        <v>0</v>
      </c>
      <c r="G197" s="1">
        <v>0</v>
      </c>
      <c r="H197" s="1">
        <v>0</v>
      </c>
      <c r="I197" s="1">
        <v>76782</v>
      </c>
      <c r="J197" s="1">
        <v>11942</v>
      </c>
    </row>
    <row r="198" spans="1:10" x14ac:dyDescent="0.25">
      <c r="A198" t="s">
        <v>865</v>
      </c>
      <c r="B198" t="s">
        <v>872</v>
      </c>
      <c r="C198" t="s">
        <v>250</v>
      </c>
      <c r="D198" s="1">
        <v>21116</v>
      </c>
      <c r="E198" s="1">
        <v>36</v>
      </c>
      <c r="F198" s="1">
        <v>0</v>
      </c>
      <c r="G198" s="1">
        <v>0</v>
      </c>
      <c r="H198" s="1">
        <v>0</v>
      </c>
      <c r="I198" s="1">
        <v>10997</v>
      </c>
      <c r="J198" s="1">
        <v>2881</v>
      </c>
    </row>
    <row r="199" spans="1:10" x14ac:dyDescent="0.25">
      <c r="A199" t="s">
        <v>248</v>
      </c>
      <c r="B199" t="s">
        <v>872</v>
      </c>
      <c r="C199" t="s">
        <v>251</v>
      </c>
      <c r="D199" s="1">
        <v>43010</v>
      </c>
      <c r="E199" s="1">
        <v>707</v>
      </c>
      <c r="F199" s="1">
        <v>0</v>
      </c>
      <c r="G199" s="1">
        <v>0</v>
      </c>
      <c r="H199" s="1">
        <v>0</v>
      </c>
      <c r="I199" s="1">
        <v>33620</v>
      </c>
      <c r="J199" s="1">
        <v>7590</v>
      </c>
    </row>
    <row r="200" spans="1:10" x14ac:dyDescent="0.25">
      <c r="A200" t="s">
        <v>795</v>
      </c>
      <c r="B200" t="s">
        <v>872</v>
      </c>
      <c r="C200" t="s">
        <v>252</v>
      </c>
      <c r="D200" s="1">
        <v>43220</v>
      </c>
      <c r="E200" s="1">
        <v>100</v>
      </c>
      <c r="F200" s="1">
        <v>0</v>
      </c>
      <c r="G200" s="1">
        <v>0</v>
      </c>
      <c r="H200" s="1">
        <v>0</v>
      </c>
      <c r="I200" s="1">
        <v>17167</v>
      </c>
      <c r="J200" s="1">
        <v>12992</v>
      </c>
    </row>
    <row r="201" spans="1:10" x14ac:dyDescent="0.25">
      <c r="A201" t="s">
        <v>248</v>
      </c>
      <c r="B201" t="s">
        <v>872</v>
      </c>
      <c r="C201" t="s">
        <v>253</v>
      </c>
      <c r="D201" s="1">
        <v>82040</v>
      </c>
      <c r="E201" s="1">
        <v>373</v>
      </c>
      <c r="F201" s="1">
        <v>0</v>
      </c>
      <c r="G201" s="1">
        <v>0</v>
      </c>
      <c r="H201" s="1">
        <v>0</v>
      </c>
      <c r="I201" s="1">
        <v>37273</v>
      </c>
      <c r="J201" s="1">
        <v>14829</v>
      </c>
    </row>
    <row r="202" spans="1:10" x14ac:dyDescent="0.25">
      <c r="A202" t="s">
        <v>823</v>
      </c>
      <c r="B202" t="s">
        <v>872</v>
      </c>
      <c r="C202" t="s">
        <v>254</v>
      </c>
      <c r="D202" s="1">
        <v>51100</v>
      </c>
      <c r="E202" s="1">
        <v>270</v>
      </c>
      <c r="F202" s="1">
        <v>0</v>
      </c>
      <c r="G202" s="1">
        <v>0</v>
      </c>
      <c r="H202" s="1">
        <v>0</v>
      </c>
      <c r="I202" s="1">
        <v>12372</v>
      </c>
      <c r="J202" s="1">
        <v>15618</v>
      </c>
    </row>
    <row r="203" spans="1:10" x14ac:dyDescent="0.25">
      <c r="A203" t="s">
        <v>67</v>
      </c>
      <c r="B203" t="s">
        <v>872</v>
      </c>
      <c r="C203" t="s">
        <v>255</v>
      </c>
      <c r="D203" s="1">
        <v>39538</v>
      </c>
      <c r="E203" s="1">
        <v>124</v>
      </c>
      <c r="F203" s="1">
        <v>0</v>
      </c>
      <c r="G203" s="1">
        <v>0</v>
      </c>
      <c r="H203" s="1">
        <v>0</v>
      </c>
      <c r="I203" s="1">
        <v>37980</v>
      </c>
      <c r="J203" s="1">
        <v>6456</v>
      </c>
    </row>
    <row r="204" spans="1:10" x14ac:dyDescent="0.25">
      <c r="A204" t="s">
        <v>72</v>
      </c>
      <c r="B204" t="s">
        <v>872</v>
      </c>
      <c r="C204" t="s">
        <v>256</v>
      </c>
      <c r="D204" s="1">
        <v>22917</v>
      </c>
      <c r="E204" s="1">
        <v>18</v>
      </c>
      <c r="F204" s="1">
        <v>0</v>
      </c>
      <c r="G204" s="1">
        <v>0</v>
      </c>
      <c r="H204" s="1">
        <v>0</v>
      </c>
      <c r="I204" s="1">
        <v>20588</v>
      </c>
      <c r="J204" s="1">
        <v>3837</v>
      </c>
    </row>
    <row r="205" spans="1:10" x14ac:dyDescent="0.25">
      <c r="A205" t="s">
        <v>138</v>
      </c>
      <c r="B205" t="s">
        <v>872</v>
      </c>
      <c r="C205" t="s">
        <v>257</v>
      </c>
      <c r="D205" s="1">
        <v>63168</v>
      </c>
      <c r="E205" s="1">
        <v>2774</v>
      </c>
      <c r="F205" s="1">
        <v>0</v>
      </c>
      <c r="G205" s="1">
        <v>0</v>
      </c>
      <c r="H205" s="1">
        <v>0</v>
      </c>
      <c r="I205" s="1">
        <v>11025</v>
      </c>
      <c r="J205" s="1">
        <v>11085</v>
      </c>
    </row>
    <row r="206" spans="1:10" x14ac:dyDescent="0.25">
      <c r="A206" t="s">
        <v>817</v>
      </c>
      <c r="B206" t="s">
        <v>872</v>
      </c>
      <c r="C206" t="s">
        <v>258</v>
      </c>
      <c r="D206" s="1">
        <v>49355</v>
      </c>
      <c r="E206" s="1">
        <v>812</v>
      </c>
      <c r="F206" s="1">
        <v>0</v>
      </c>
      <c r="G206" s="1">
        <v>0</v>
      </c>
      <c r="H206" s="1">
        <v>0</v>
      </c>
      <c r="I206" s="1">
        <v>87063</v>
      </c>
      <c r="J206" s="1">
        <v>15897</v>
      </c>
    </row>
    <row r="207" spans="1:10" x14ac:dyDescent="0.25">
      <c r="A207" t="s">
        <v>795</v>
      </c>
      <c r="B207" t="s">
        <v>872</v>
      </c>
      <c r="C207" t="s">
        <v>259</v>
      </c>
      <c r="D207" s="1">
        <v>94459</v>
      </c>
      <c r="E207" s="1">
        <v>535</v>
      </c>
      <c r="F207" s="1">
        <v>0</v>
      </c>
      <c r="G207" s="1">
        <v>0</v>
      </c>
      <c r="H207" s="1">
        <v>0</v>
      </c>
      <c r="I207" s="1">
        <v>28236</v>
      </c>
      <c r="J207" s="1">
        <v>24816</v>
      </c>
    </row>
    <row r="208" spans="1:10" x14ac:dyDescent="0.25">
      <c r="A208" t="s">
        <v>864</v>
      </c>
      <c r="B208" t="s">
        <v>872</v>
      </c>
      <c r="C208" t="s">
        <v>260</v>
      </c>
      <c r="D208" s="1">
        <v>47137</v>
      </c>
      <c r="E208" s="1">
        <v>556</v>
      </c>
      <c r="F208" s="1">
        <v>0</v>
      </c>
      <c r="G208" s="1">
        <v>0</v>
      </c>
      <c r="H208" s="1">
        <v>0</v>
      </c>
      <c r="I208" s="1">
        <v>41837</v>
      </c>
      <c r="J208" s="1">
        <v>16998</v>
      </c>
    </row>
    <row r="209" spans="1:10" x14ac:dyDescent="0.25">
      <c r="A209" t="s">
        <v>826</v>
      </c>
      <c r="B209" t="s">
        <v>872</v>
      </c>
      <c r="C209" t="s">
        <v>261</v>
      </c>
      <c r="D209" s="1">
        <v>2252</v>
      </c>
      <c r="E209" s="1">
        <v>15</v>
      </c>
      <c r="F209" s="1">
        <v>0</v>
      </c>
      <c r="G209" s="1">
        <v>0</v>
      </c>
      <c r="H209" s="1">
        <v>0</v>
      </c>
      <c r="I209" s="1">
        <v>1013</v>
      </c>
      <c r="J209" s="1">
        <v>1112</v>
      </c>
    </row>
    <row r="210" spans="1:10" x14ac:dyDescent="0.25">
      <c r="A210" t="s">
        <v>801</v>
      </c>
      <c r="B210" t="s">
        <v>872</v>
      </c>
      <c r="C210" t="s">
        <v>262</v>
      </c>
      <c r="D210" s="1">
        <v>66967</v>
      </c>
      <c r="E210" s="1">
        <v>833</v>
      </c>
      <c r="F210" s="1">
        <v>0</v>
      </c>
      <c r="G210" s="1">
        <v>0</v>
      </c>
      <c r="H210" s="1">
        <v>0</v>
      </c>
      <c r="I210" s="1">
        <v>99299</v>
      </c>
      <c r="J210" s="1">
        <v>19971</v>
      </c>
    </row>
    <row r="211" spans="1:10" x14ac:dyDescent="0.25">
      <c r="A211" t="s">
        <v>120</v>
      </c>
      <c r="B211" t="s">
        <v>872</v>
      </c>
      <c r="C211" t="s">
        <v>263</v>
      </c>
      <c r="D211" s="1">
        <v>36924</v>
      </c>
      <c r="E211" s="1">
        <v>17</v>
      </c>
      <c r="F211" s="1">
        <v>0</v>
      </c>
      <c r="G211" s="1">
        <v>0</v>
      </c>
      <c r="H211" s="1">
        <v>0</v>
      </c>
      <c r="I211" s="1">
        <v>3595</v>
      </c>
      <c r="J211" s="1">
        <v>2416</v>
      </c>
    </row>
    <row r="212" spans="1:10" x14ac:dyDescent="0.25">
      <c r="A212" t="s">
        <v>868</v>
      </c>
      <c r="B212" t="s">
        <v>872</v>
      </c>
      <c r="C212" t="s">
        <v>264</v>
      </c>
      <c r="D212" s="1">
        <v>17037</v>
      </c>
      <c r="E212" s="1">
        <v>37</v>
      </c>
      <c r="F212" s="1">
        <v>0</v>
      </c>
      <c r="G212" s="1">
        <v>0</v>
      </c>
      <c r="H212" s="1">
        <v>0</v>
      </c>
      <c r="I212" s="1">
        <v>7689</v>
      </c>
      <c r="J212" s="1">
        <v>2969</v>
      </c>
    </row>
    <row r="213" spans="1:10" x14ac:dyDescent="0.25">
      <c r="A213" t="s">
        <v>265</v>
      </c>
      <c r="B213" t="s">
        <v>872</v>
      </c>
      <c r="C213" t="s">
        <v>266</v>
      </c>
      <c r="D213" s="1">
        <v>99945</v>
      </c>
      <c r="E213" s="1">
        <v>500</v>
      </c>
      <c r="F213" s="1">
        <v>0</v>
      </c>
      <c r="G213" s="1">
        <v>0</v>
      </c>
      <c r="H213" s="1">
        <v>0</v>
      </c>
      <c r="I213" s="1">
        <v>53768</v>
      </c>
      <c r="J213" s="1">
        <v>20336</v>
      </c>
    </row>
    <row r="214" spans="1:10" x14ac:dyDescent="0.25">
      <c r="A214" t="s">
        <v>797</v>
      </c>
      <c r="B214" t="s">
        <v>872</v>
      </c>
      <c r="C214" t="s">
        <v>267</v>
      </c>
      <c r="D214" s="1">
        <v>81973</v>
      </c>
      <c r="E214" s="1">
        <v>1555</v>
      </c>
      <c r="F214" s="1">
        <v>0</v>
      </c>
      <c r="G214" s="1">
        <v>0</v>
      </c>
      <c r="H214" s="1">
        <v>0</v>
      </c>
      <c r="I214" s="1">
        <v>50858</v>
      </c>
      <c r="J214" s="1">
        <v>43214</v>
      </c>
    </row>
    <row r="215" spans="1:10" x14ac:dyDescent="0.25">
      <c r="A215" t="s">
        <v>831</v>
      </c>
      <c r="B215" t="s">
        <v>872</v>
      </c>
      <c r="C215" t="s">
        <v>268</v>
      </c>
      <c r="D215" s="1">
        <v>30237</v>
      </c>
      <c r="E215" s="1">
        <v>317</v>
      </c>
      <c r="F215" s="1">
        <v>0</v>
      </c>
      <c r="G215" s="1">
        <v>0</v>
      </c>
      <c r="H215" s="1">
        <v>0</v>
      </c>
      <c r="I215" s="1">
        <v>36029</v>
      </c>
      <c r="J215" s="1">
        <v>7861</v>
      </c>
    </row>
    <row r="216" spans="1:10" x14ac:dyDescent="0.25">
      <c r="A216" t="s">
        <v>794</v>
      </c>
      <c r="B216" t="s">
        <v>872</v>
      </c>
      <c r="C216" t="s">
        <v>269</v>
      </c>
      <c r="D216" s="1">
        <v>36433</v>
      </c>
      <c r="E216" s="1">
        <v>102</v>
      </c>
      <c r="F216" s="1">
        <v>0</v>
      </c>
      <c r="G216" s="1">
        <v>0</v>
      </c>
      <c r="H216" s="1">
        <v>0</v>
      </c>
      <c r="I216" s="1">
        <v>21346</v>
      </c>
      <c r="J216" s="1">
        <v>6384</v>
      </c>
    </row>
    <row r="217" spans="1:10" x14ac:dyDescent="0.25">
      <c r="A217" t="s">
        <v>809</v>
      </c>
      <c r="B217" t="s">
        <v>872</v>
      </c>
      <c r="C217" t="s">
        <v>270</v>
      </c>
      <c r="D217" s="1">
        <v>31653</v>
      </c>
      <c r="E217" s="1">
        <v>123</v>
      </c>
      <c r="F217" s="1">
        <v>0</v>
      </c>
      <c r="G217" s="1">
        <v>0</v>
      </c>
      <c r="H217" s="1">
        <v>0</v>
      </c>
      <c r="I217" s="1">
        <v>14848</v>
      </c>
      <c r="J217" s="1">
        <v>7161</v>
      </c>
    </row>
    <row r="218" spans="1:10" x14ac:dyDescent="0.25">
      <c r="A218" t="s">
        <v>265</v>
      </c>
      <c r="B218" t="s">
        <v>872</v>
      </c>
      <c r="C218" t="s">
        <v>271</v>
      </c>
      <c r="D218" s="1">
        <v>132275</v>
      </c>
      <c r="E218" s="1">
        <v>2182</v>
      </c>
      <c r="F218" s="1">
        <v>0</v>
      </c>
      <c r="G218" s="1">
        <v>0</v>
      </c>
      <c r="H218" s="1">
        <v>0</v>
      </c>
      <c r="I218" s="1">
        <v>144430</v>
      </c>
      <c r="J218" s="1">
        <v>21462</v>
      </c>
    </row>
    <row r="219" spans="1:10" x14ac:dyDescent="0.25">
      <c r="A219" t="s">
        <v>823</v>
      </c>
      <c r="B219" t="s">
        <v>872</v>
      </c>
      <c r="C219" t="s">
        <v>272</v>
      </c>
      <c r="D219" s="1">
        <v>69541</v>
      </c>
      <c r="E219" s="1">
        <v>308</v>
      </c>
      <c r="F219" s="1">
        <v>0</v>
      </c>
      <c r="G219" s="1">
        <v>0</v>
      </c>
      <c r="H219" s="1">
        <v>0</v>
      </c>
      <c r="I219" s="1">
        <v>30834</v>
      </c>
      <c r="J219" s="1">
        <v>22826</v>
      </c>
    </row>
    <row r="220" spans="1:10" x14ac:dyDescent="0.25">
      <c r="A220" t="s">
        <v>146</v>
      </c>
      <c r="B220" t="s">
        <v>872</v>
      </c>
      <c r="C220" t="s">
        <v>273</v>
      </c>
      <c r="D220" s="1">
        <v>47442</v>
      </c>
      <c r="E220" s="1">
        <v>525</v>
      </c>
      <c r="F220" s="1">
        <v>0</v>
      </c>
      <c r="G220" s="1">
        <v>0</v>
      </c>
      <c r="H220" s="1">
        <v>0</v>
      </c>
      <c r="I220" s="1">
        <v>101860</v>
      </c>
      <c r="J220" s="1">
        <v>21322</v>
      </c>
    </row>
    <row r="221" spans="1:10" x14ac:dyDescent="0.25">
      <c r="A221" t="s">
        <v>788</v>
      </c>
      <c r="B221" t="s">
        <v>872</v>
      </c>
      <c r="C221" t="s">
        <v>274</v>
      </c>
      <c r="D221" s="1">
        <v>42926</v>
      </c>
      <c r="E221" s="1">
        <v>45</v>
      </c>
      <c r="F221" s="1">
        <v>0</v>
      </c>
      <c r="G221" s="1">
        <v>0</v>
      </c>
      <c r="H221" s="1">
        <v>0</v>
      </c>
      <c r="I221" s="1">
        <v>34397</v>
      </c>
      <c r="J221" s="1">
        <v>10544</v>
      </c>
    </row>
    <row r="222" spans="1:10" x14ac:dyDescent="0.25">
      <c r="A222" t="s">
        <v>495</v>
      </c>
      <c r="B222" t="s">
        <v>874</v>
      </c>
      <c r="C222" t="s">
        <v>275</v>
      </c>
      <c r="D222" s="1">
        <v>515943</v>
      </c>
      <c r="E222" s="1">
        <v>4448</v>
      </c>
      <c r="F222" s="1">
        <v>0</v>
      </c>
      <c r="G222" s="1">
        <v>0</v>
      </c>
      <c r="H222" s="1">
        <v>0</v>
      </c>
      <c r="I222" s="1">
        <v>51874</v>
      </c>
      <c r="J222" s="1">
        <v>149729</v>
      </c>
    </row>
    <row r="223" spans="1:10" x14ac:dyDescent="0.25">
      <c r="A223" t="s">
        <v>120</v>
      </c>
      <c r="B223" t="s">
        <v>874</v>
      </c>
      <c r="C223" t="s">
        <v>276</v>
      </c>
      <c r="D223" s="1">
        <v>312913</v>
      </c>
      <c r="E223" s="1">
        <v>3186</v>
      </c>
      <c r="F223" s="1">
        <v>0</v>
      </c>
      <c r="G223" s="1">
        <v>0</v>
      </c>
      <c r="H223" s="1">
        <v>0</v>
      </c>
      <c r="I223" s="1">
        <v>42752</v>
      </c>
      <c r="J223" s="1">
        <v>82874</v>
      </c>
    </row>
    <row r="224" spans="1:10" x14ac:dyDescent="0.25">
      <c r="A224" t="s">
        <v>76</v>
      </c>
      <c r="B224" t="s">
        <v>875</v>
      </c>
      <c r="C224" t="s">
        <v>277</v>
      </c>
      <c r="D224" s="1">
        <v>106598</v>
      </c>
      <c r="E224" s="1">
        <v>579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</row>
    <row r="225" spans="1:10" x14ac:dyDescent="0.25">
      <c r="A225" t="s">
        <v>823</v>
      </c>
      <c r="B225" t="s">
        <v>875</v>
      </c>
      <c r="C225" t="s">
        <v>278</v>
      </c>
      <c r="D225" s="1">
        <v>61221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</row>
    <row r="226" spans="1:10" x14ac:dyDescent="0.25">
      <c r="A226" t="s">
        <v>120</v>
      </c>
      <c r="B226" t="s">
        <v>876</v>
      </c>
      <c r="C226" t="s">
        <v>279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65552</v>
      </c>
      <c r="J226" s="1">
        <v>0</v>
      </c>
    </row>
    <row r="227" spans="1:10" x14ac:dyDescent="0.25">
      <c r="A227" t="s">
        <v>817</v>
      </c>
      <c r="B227" t="s">
        <v>875</v>
      </c>
      <c r="C227" t="s">
        <v>280</v>
      </c>
      <c r="D227" s="1">
        <v>227332</v>
      </c>
      <c r="E227" s="1">
        <v>561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</row>
    <row r="228" spans="1:10" x14ac:dyDescent="0.25">
      <c r="A228" t="s">
        <v>791</v>
      </c>
      <c r="B228" t="s">
        <v>875</v>
      </c>
      <c r="C228" t="s">
        <v>281</v>
      </c>
      <c r="D228" s="1">
        <v>16915</v>
      </c>
      <c r="E228" s="1">
        <v>6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</row>
    <row r="229" spans="1:10" x14ac:dyDescent="0.25">
      <c r="A229" t="s">
        <v>801</v>
      </c>
      <c r="B229" t="s">
        <v>875</v>
      </c>
      <c r="C229" t="s">
        <v>282</v>
      </c>
      <c r="D229" s="1">
        <v>21495</v>
      </c>
      <c r="E229" s="1">
        <v>138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</row>
    <row r="230" spans="1:10" x14ac:dyDescent="0.25">
      <c r="A230" t="s">
        <v>795</v>
      </c>
      <c r="B230" t="s">
        <v>875</v>
      </c>
      <c r="C230" t="s">
        <v>283</v>
      </c>
      <c r="D230" s="1">
        <v>204746</v>
      </c>
      <c r="E230" s="1">
        <v>178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</row>
    <row r="231" spans="1:10" x14ac:dyDescent="0.25">
      <c r="A231" t="s">
        <v>811</v>
      </c>
      <c r="B231" t="s">
        <v>875</v>
      </c>
      <c r="C231" t="s">
        <v>284</v>
      </c>
      <c r="D231" s="1">
        <v>138278</v>
      </c>
      <c r="E231" s="1">
        <v>4068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</row>
    <row r="232" spans="1:10" x14ac:dyDescent="0.25">
      <c r="A232" t="s">
        <v>10</v>
      </c>
      <c r="B232" t="s">
        <v>875</v>
      </c>
      <c r="C232" t="s">
        <v>285</v>
      </c>
      <c r="D232" s="1"/>
      <c r="E232" s="1"/>
      <c r="F232" s="1"/>
      <c r="G232" s="1"/>
      <c r="H232" s="1"/>
      <c r="I232" s="1"/>
      <c r="J232" s="1"/>
    </row>
    <row r="233" spans="1:10" x14ac:dyDescent="0.25">
      <c r="A233" t="s">
        <v>101</v>
      </c>
      <c r="B233" t="s">
        <v>875</v>
      </c>
      <c r="C233" t="s">
        <v>286</v>
      </c>
      <c r="D233" s="1">
        <v>34047</v>
      </c>
      <c r="E233" s="1">
        <v>306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</row>
    <row r="234" spans="1:10" x14ac:dyDescent="0.25">
      <c r="A234" t="s">
        <v>226</v>
      </c>
      <c r="B234" t="s">
        <v>875</v>
      </c>
      <c r="C234" t="s">
        <v>287</v>
      </c>
      <c r="D234" s="1">
        <v>15855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</row>
    <row r="235" spans="1:10" x14ac:dyDescent="0.25">
      <c r="A235" t="s">
        <v>120</v>
      </c>
      <c r="B235" t="s">
        <v>877</v>
      </c>
      <c r="C235" t="s">
        <v>288</v>
      </c>
      <c r="D235" s="1">
        <v>8613</v>
      </c>
      <c r="E235" s="1">
        <v>2</v>
      </c>
      <c r="F235" s="1">
        <v>0</v>
      </c>
      <c r="G235" s="1">
        <v>59634</v>
      </c>
      <c r="H235" s="1">
        <v>46</v>
      </c>
      <c r="I235" s="1">
        <v>0</v>
      </c>
      <c r="J235" s="1">
        <v>0</v>
      </c>
    </row>
    <row r="236" spans="1:10" x14ac:dyDescent="0.25">
      <c r="A236" t="s">
        <v>826</v>
      </c>
      <c r="B236" t="s">
        <v>877</v>
      </c>
      <c r="C236" t="s">
        <v>289</v>
      </c>
      <c r="D236" s="1">
        <v>2583</v>
      </c>
      <c r="E236" s="1">
        <v>122</v>
      </c>
      <c r="F236" s="1">
        <v>0</v>
      </c>
      <c r="G236" s="1">
        <v>8140</v>
      </c>
      <c r="H236" s="1">
        <v>172</v>
      </c>
      <c r="I236" s="1">
        <v>0</v>
      </c>
      <c r="J236" s="1">
        <v>0</v>
      </c>
    </row>
    <row r="237" spans="1:10" x14ac:dyDescent="0.25">
      <c r="A237" t="s">
        <v>791</v>
      </c>
      <c r="B237" t="s">
        <v>877</v>
      </c>
      <c r="C237" t="s">
        <v>290</v>
      </c>
      <c r="D237" s="1">
        <v>6392</v>
      </c>
      <c r="E237" s="1">
        <v>1653</v>
      </c>
      <c r="F237" s="1">
        <v>0</v>
      </c>
      <c r="G237" s="1">
        <v>18314</v>
      </c>
      <c r="H237" s="1">
        <v>287</v>
      </c>
      <c r="I237" s="1">
        <v>0</v>
      </c>
      <c r="J237" s="1">
        <v>0</v>
      </c>
    </row>
    <row r="238" spans="1:10" x14ac:dyDescent="0.25">
      <c r="A238" t="s">
        <v>826</v>
      </c>
      <c r="B238" t="s">
        <v>877</v>
      </c>
      <c r="C238" t="s">
        <v>291</v>
      </c>
      <c r="D238" s="1">
        <v>1689</v>
      </c>
      <c r="E238" s="1">
        <v>58</v>
      </c>
      <c r="F238" s="1">
        <v>0</v>
      </c>
      <c r="G238" s="1">
        <v>11483</v>
      </c>
      <c r="H238" s="1">
        <v>60</v>
      </c>
      <c r="I238" s="1">
        <v>0</v>
      </c>
      <c r="J238" s="1">
        <v>0</v>
      </c>
    </row>
    <row r="239" spans="1:10" x14ac:dyDescent="0.25">
      <c r="A239" t="s">
        <v>226</v>
      </c>
      <c r="B239" t="s">
        <v>877</v>
      </c>
      <c r="C239" t="s">
        <v>292</v>
      </c>
      <c r="D239" s="1">
        <v>1305</v>
      </c>
      <c r="E239" s="1">
        <v>28</v>
      </c>
      <c r="F239" s="1">
        <v>0</v>
      </c>
      <c r="G239" s="1">
        <v>14946</v>
      </c>
      <c r="H239" s="1">
        <v>87</v>
      </c>
      <c r="I239" s="1">
        <v>0</v>
      </c>
      <c r="J239" s="1">
        <v>0</v>
      </c>
    </row>
    <row r="240" spans="1:10" x14ac:dyDescent="0.25">
      <c r="A240" t="s">
        <v>495</v>
      </c>
      <c r="B240" t="s">
        <v>877</v>
      </c>
      <c r="C240" t="s">
        <v>293</v>
      </c>
      <c r="D240" s="1">
        <v>9877</v>
      </c>
      <c r="E240" s="1">
        <v>51</v>
      </c>
      <c r="F240" s="1">
        <v>0</v>
      </c>
      <c r="G240" s="1">
        <v>10581</v>
      </c>
      <c r="H240" s="1">
        <v>6</v>
      </c>
      <c r="I240" s="1">
        <v>0</v>
      </c>
      <c r="J240" s="1">
        <v>0</v>
      </c>
    </row>
    <row r="241" spans="1:10" x14ac:dyDescent="0.25">
      <c r="A241" t="s">
        <v>248</v>
      </c>
      <c r="B241" t="s">
        <v>877</v>
      </c>
      <c r="C241" t="s">
        <v>294</v>
      </c>
      <c r="D241" s="1">
        <v>3252</v>
      </c>
      <c r="E241" s="1">
        <v>0</v>
      </c>
      <c r="F241" s="1">
        <v>0</v>
      </c>
      <c r="G241" s="1">
        <v>15230</v>
      </c>
      <c r="H241" s="1">
        <v>55</v>
      </c>
      <c r="I241" s="1">
        <v>0</v>
      </c>
      <c r="J241" s="1">
        <v>0</v>
      </c>
    </row>
    <row r="242" spans="1:10" x14ac:dyDescent="0.25">
      <c r="A242" t="s">
        <v>865</v>
      </c>
      <c r="B242" t="s">
        <v>877</v>
      </c>
      <c r="C242" t="s">
        <v>295</v>
      </c>
      <c r="D242" s="1">
        <v>1518</v>
      </c>
      <c r="E242" s="1">
        <v>22</v>
      </c>
      <c r="F242" s="1">
        <v>0</v>
      </c>
      <c r="G242" s="1">
        <v>24304</v>
      </c>
      <c r="H242" s="1">
        <v>75</v>
      </c>
      <c r="I242" s="1">
        <v>0</v>
      </c>
      <c r="J242" s="1">
        <v>0</v>
      </c>
    </row>
    <row r="243" spans="1:10" x14ac:dyDescent="0.25">
      <c r="A243" t="s">
        <v>831</v>
      </c>
      <c r="B243" t="s">
        <v>877</v>
      </c>
      <c r="C243" t="s">
        <v>296</v>
      </c>
      <c r="D243" s="1">
        <v>1327</v>
      </c>
      <c r="E243" s="1">
        <v>13</v>
      </c>
      <c r="F243" s="1">
        <v>0</v>
      </c>
      <c r="G243" s="1">
        <v>22560</v>
      </c>
      <c r="H243" s="1">
        <v>58</v>
      </c>
      <c r="I243" s="1">
        <v>0</v>
      </c>
      <c r="J243" s="1">
        <v>0</v>
      </c>
    </row>
    <row r="244" spans="1:10" x14ac:dyDescent="0.25">
      <c r="A244" t="s">
        <v>818</v>
      </c>
      <c r="B244" t="s">
        <v>877</v>
      </c>
      <c r="C244" t="s">
        <v>297</v>
      </c>
      <c r="D244" s="1">
        <v>5511</v>
      </c>
      <c r="E244" s="1">
        <v>0</v>
      </c>
      <c r="F244" s="1">
        <v>0</v>
      </c>
      <c r="G244" s="1">
        <v>15430</v>
      </c>
      <c r="H244" s="1">
        <v>54</v>
      </c>
      <c r="I244" s="1">
        <v>0</v>
      </c>
      <c r="J244" s="1">
        <v>0</v>
      </c>
    </row>
    <row r="245" spans="1:10" x14ac:dyDescent="0.25">
      <c r="A245" t="s">
        <v>811</v>
      </c>
      <c r="B245" t="s">
        <v>877</v>
      </c>
      <c r="C245" t="s">
        <v>298</v>
      </c>
      <c r="D245" s="1">
        <v>14453</v>
      </c>
      <c r="E245" s="1">
        <v>293</v>
      </c>
      <c r="F245" s="1">
        <v>0</v>
      </c>
      <c r="G245" s="1">
        <v>13170</v>
      </c>
      <c r="H245" s="1">
        <v>121</v>
      </c>
      <c r="I245" s="1">
        <v>0</v>
      </c>
      <c r="J245" s="1">
        <v>0</v>
      </c>
    </row>
    <row r="246" spans="1:10" x14ac:dyDescent="0.25">
      <c r="A246" t="s">
        <v>72</v>
      </c>
      <c r="B246" t="s">
        <v>877</v>
      </c>
      <c r="C246" t="s">
        <v>299</v>
      </c>
      <c r="D246" s="1">
        <v>3375</v>
      </c>
      <c r="E246" s="1">
        <v>0</v>
      </c>
      <c r="F246" s="1">
        <v>0</v>
      </c>
      <c r="G246" s="1">
        <v>15382</v>
      </c>
      <c r="H246" s="1">
        <v>19</v>
      </c>
      <c r="I246" s="1">
        <v>0</v>
      </c>
      <c r="J246" s="1">
        <v>0</v>
      </c>
    </row>
    <row r="247" spans="1:10" x14ac:dyDescent="0.25">
      <c r="A247" t="s">
        <v>67</v>
      </c>
      <c r="B247" t="s">
        <v>877</v>
      </c>
      <c r="C247" t="s">
        <v>300</v>
      </c>
      <c r="D247" s="1">
        <v>2734</v>
      </c>
      <c r="E247" s="1">
        <v>0</v>
      </c>
      <c r="F247" s="1">
        <v>0</v>
      </c>
      <c r="G247" s="1">
        <v>6962</v>
      </c>
      <c r="H247" s="1">
        <v>8</v>
      </c>
      <c r="I247" s="1">
        <v>0</v>
      </c>
      <c r="J247" s="1">
        <v>0</v>
      </c>
    </row>
    <row r="248" spans="1:10" x14ac:dyDescent="0.25">
      <c r="A248" t="s">
        <v>798</v>
      </c>
      <c r="B248" t="s">
        <v>877</v>
      </c>
      <c r="C248" t="s">
        <v>301</v>
      </c>
      <c r="D248" s="1">
        <v>3309</v>
      </c>
      <c r="E248" s="1">
        <v>26</v>
      </c>
      <c r="F248" s="1">
        <v>0</v>
      </c>
      <c r="G248" s="1">
        <v>20883</v>
      </c>
      <c r="H248" s="1">
        <v>153</v>
      </c>
      <c r="I248" s="1">
        <v>0</v>
      </c>
      <c r="J248" s="1">
        <v>0</v>
      </c>
    </row>
    <row r="249" spans="1:10" x14ac:dyDescent="0.25">
      <c r="A249" t="s">
        <v>824</v>
      </c>
      <c r="B249" t="s">
        <v>877</v>
      </c>
      <c r="C249" t="s">
        <v>302</v>
      </c>
      <c r="D249" s="1">
        <v>11510</v>
      </c>
      <c r="E249" s="1">
        <v>18</v>
      </c>
      <c r="F249" s="1">
        <v>0</v>
      </c>
      <c r="G249" s="1">
        <v>42017</v>
      </c>
      <c r="H249" s="1">
        <v>60</v>
      </c>
      <c r="I249" s="1">
        <v>0</v>
      </c>
      <c r="J249" s="1">
        <v>0</v>
      </c>
    </row>
    <row r="250" spans="1:10" x14ac:dyDescent="0.25">
      <c r="A250" t="s">
        <v>788</v>
      </c>
      <c r="B250" t="s">
        <v>877</v>
      </c>
      <c r="C250" t="s">
        <v>303</v>
      </c>
      <c r="D250" s="1">
        <v>2415</v>
      </c>
      <c r="E250" s="1">
        <v>6</v>
      </c>
      <c r="F250" s="1">
        <v>0</v>
      </c>
      <c r="G250" s="1">
        <v>17722</v>
      </c>
      <c r="H250" s="1">
        <v>93</v>
      </c>
      <c r="I250" s="1">
        <v>0</v>
      </c>
      <c r="J250" s="1">
        <v>0</v>
      </c>
    </row>
    <row r="251" spans="1:10" x14ac:dyDescent="0.25">
      <c r="A251" t="s">
        <v>120</v>
      </c>
      <c r="B251" t="s">
        <v>877</v>
      </c>
      <c r="C251" t="s">
        <v>304</v>
      </c>
      <c r="D251" s="1">
        <v>4603</v>
      </c>
      <c r="E251" s="1">
        <v>5</v>
      </c>
      <c r="F251" s="1">
        <v>0</v>
      </c>
      <c r="G251" s="1">
        <v>32876</v>
      </c>
      <c r="H251" s="1">
        <v>49</v>
      </c>
      <c r="I251" s="1">
        <v>0</v>
      </c>
      <c r="J251" s="1">
        <v>0</v>
      </c>
    </row>
    <row r="252" spans="1:10" x14ac:dyDescent="0.25">
      <c r="A252" t="s">
        <v>229</v>
      </c>
      <c r="B252" t="s">
        <v>877</v>
      </c>
      <c r="C252" t="s">
        <v>306</v>
      </c>
      <c r="D252" s="1">
        <v>5113</v>
      </c>
      <c r="E252" s="1">
        <v>0</v>
      </c>
      <c r="F252" s="1">
        <v>0</v>
      </c>
      <c r="G252" s="1">
        <v>11494</v>
      </c>
      <c r="H252" s="1">
        <v>59</v>
      </c>
      <c r="I252" s="1">
        <v>0</v>
      </c>
      <c r="J252" s="1">
        <v>0</v>
      </c>
    </row>
    <row r="253" spans="1:10" x14ac:dyDescent="0.25">
      <c r="A253" t="s">
        <v>512</v>
      </c>
      <c r="B253" t="s">
        <v>877</v>
      </c>
      <c r="C253" t="s">
        <v>307</v>
      </c>
      <c r="D253" s="1">
        <v>906</v>
      </c>
      <c r="E253" s="1">
        <v>9</v>
      </c>
      <c r="F253" s="1">
        <v>0</v>
      </c>
      <c r="G253" s="1">
        <v>12088</v>
      </c>
      <c r="H253" s="1">
        <v>43</v>
      </c>
      <c r="I253" s="1">
        <v>0</v>
      </c>
      <c r="J253" s="1">
        <v>0</v>
      </c>
    </row>
    <row r="254" spans="1:10" x14ac:dyDescent="0.25">
      <c r="A254" t="s">
        <v>791</v>
      </c>
      <c r="B254" t="s">
        <v>877</v>
      </c>
      <c r="C254" t="s">
        <v>308</v>
      </c>
      <c r="D254" s="1">
        <v>1152</v>
      </c>
      <c r="E254" s="1">
        <v>0</v>
      </c>
      <c r="F254" s="1">
        <v>0</v>
      </c>
      <c r="G254" s="1">
        <v>7580</v>
      </c>
      <c r="H254" s="1">
        <v>25</v>
      </c>
      <c r="I254" s="1">
        <v>0</v>
      </c>
      <c r="J254" s="1">
        <v>0</v>
      </c>
    </row>
    <row r="255" spans="1:10" x14ac:dyDescent="0.25">
      <c r="A255" t="s">
        <v>841</v>
      </c>
      <c r="B255" t="s">
        <v>877</v>
      </c>
      <c r="C255" t="s">
        <v>309</v>
      </c>
      <c r="D255" s="1">
        <v>5991</v>
      </c>
      <c r="E255" s="1">
        <v>3</v>
      </c>
      <c r="F255" s="1">
        <v>0</v>
      </c>
      <c r="G255" s="1">
        <v>46042</v>
      </c>
      <c r="H255" s="1">
        <v>23</v>
      </c>
      <c r="I255" s="1">
        <v>0</v>
      </c>
      <c r="J255" s="1">
        <v>0</v>
      </c>
    </row>
    <row r="256" spans="1:10" x14ac:dyDescent="0.25">
      <c r="A256" t="s">
        <v>831</v>
      </c>
      <c r="B256" t="s">
        <v>877</v>
      </c>
      <c r="C256" t="s">
        <v>310</v>
      </c>
      <c r="D256" s="1">
        <v>460</v>
      </c>
      <c r="E256" s="1">
        <v>0</v>
      </c>
      <c r="F256" s="1">
        <v>0</v>
      </c>
      <c r="G256" s="1">
        <v>3887</v>
      </c>
      <c r="H256" s="1">
        <v>12</v>
      </c>
      <c r="I256" s="1">
        <v>0</v>
      </c>
      <c r="J256" s="1">
        <v>0</v>
      </c>
    </row>
    <row r="257" spans="1:10" x14ac:dyDescent="0.25">
      <c r="A257" t="s">
        <v>864</v>
      </c>
      <c r="B257" t="s">
        <v>877</v>
      </c>
      <c r="C257" t="s">
        <v>311</v>
      </c>
      <c r="D257" s="1">
        <v>2060</v>
      </c>
      <c r="E257" s="1">
        <v>0</v>
      </c>
      <c r="F257" s="1">
        <v>0</v>
      </c>
      <c r="G257" s="1">
        <v>12211</v>
      </c>
      <c r="H257" s="1">
        <v>2</v>
      </c>
      <c r="I257" s="1">
        <v>0</v>
      </c>
      <c r="J257" s="1">
        <v>0</v>
      </c>
    </row>
    <row r="258" spans="1:10" x14ac:dyDescent="0.25">
      <c r="A258" t="s">
        <v>838</v>
      </c>
      <c r="B258" t="s">
        <v>877</v>
      </c>
      <c r="C258" t="s">
        <v>312</v>
      </c>
      <c r="D258" s="1">
        <v>13593</v>
      </c>
      <c r="E258" s="1">
        <v>25</v>
      </c>
      <c r="F258" s="1">
        <v>0</v>
      </c>
      <c r="G258" s="1">
        <v>1761</v>
      </c>
      <c r="H258" s="1">
        <v>0</v>
      </c>
      <c r="I258" s="1">
        <v>0</v>
      </c>
      <c r="J258" s="1">
        <v>0</v>
      </c>
    </row>
    <row r="259" spans="1:10" x14ac:dyDescent="0.25">
      <c r="A259" t="s">
        <v>794</v>
      </c>
      <c r="B259" t="s">
        <v>877</v>
      </c>
      <c r="C259" t="s">
        <v>313</v>
      </c>
      <c r="D259" s="1">
        <v>5644</v>
      </c>
      <c r="E259" s="1">
        <v>0</v>
      </c>
      <c r="F259" s="1">
        <v>0</v>
      </c>
      <c r="G259" s="1">
        <v>12970</v>
      </c>
      <c r="H259" s="1">
        <v>23</v>
      </c>
      <c r="I259" s="1">
        <v>0</v>
      </c>
      <c r="J259" s="1">
        <v>0</v>
      </c>
    </row>
    <row r="260" spans="1:10" x14ac:dyDescent="0.25">
      <c r="A260" t="s">
        <v>830</v>
      </c>
      <c r="B260" t="s">
        <v>877</v>
      </c>
      <c r="C260" t="s">
        <v>314</v>
      </c>
      <c r="D260" s="1">
        <v>3414</v>
      </c>
      <c r="E260" s="1">
        <v>515</v>
      </c>
      <c r="F260" s="1">
        <v>0</v>
      </c>
      <c r="G260" s="1">
        <v>3630</v>
      </c>
      <c r="H260" s="1">
        <v>94</v>
      </c>
      <c r="I260" s="1">
        <v>0</v>
      </c>
      <c r="J260" s="1">
        <v>0</v>
      </c>
    </row>
    <row r="261" spans="1:10" x14ac:dyDescent="0.25">
      <c r="A261" t="s">
        <v>844</v>
      </c>
      <c r="B261" t="s">
        <v>877</v>
      </c>
      <c r="C261" t="s">
        <v>315</v>
      </c>
      <c r="D261" s="1">
        <v>1208</v>
      </c>
      <c r="E261" s="1">
        <v>8</v>
      </c>
      <c r="F261" s="1">
        <v>0</v>
      </c>
      <c r="G261" s="1">
        <v>6937</v>
      </c>
      <c r="H261" s="1">
        <v>1</v>
      </c>
      <c r="I261" s="1">
        <v>0</v>
      </c>
      <c r="J261" s="1">
        <v>0</v>
      </c>
    </row>
    <row r="262" spans="1:10" x14ac:dyDescent="0.25">
      <c r="A262" t="s">
        <v>836</v>
      </c>
      <c r="B262" t="s">
        <v>877</v>
      </c>
      <c r="C262" t="s">
        <v>316</v>
      </c>
      <c r="D262" s="1">
        <v>1871</v>
      </c>
      <c r="E262" s="1">
        <v>0</v>
      </c>
      <c r="F262" s="1">
        <v>0</v>
      </c>
      <c r="G262" s="1">
        <v>8807</v>
      </c>
      <c r="H262" s="1">
        <v>18</v>
      </c>
      <c r="I262" s="1">
        <v>0</v>
      </c>
      <c r="J262" s="1">
        <v>0</v>
      </c>
    </row>
    <row r="263" spans="1:10" x14ac:dyDescent="0.25">
      <c r="A263" t="s">
        <v>845</v>
      </c>
      <c r="B263" t="s">
        <v>877</v>
      </c>
      <c r="C263" t="s">
        <v>317</v>
      </c>
      <c r="D263" s="1">
        <v>9206</v>
      </c>
      <c r="E263" s="1">
        <v>3</v>
      </c>
      <c r="F263" s="1">
        <v>0</v>
      </c>
      <c r="G263" s="1">
        <v>5408</v>
      </c>
      <c r="H263" s="1">
        <v>41</v>
      </c>
      <c r="I263" s="1">
        <v>0</v>
      </c>
      <c r="J263" s="1">
        <v>0</v>
      </c>
    </row>
    <row r="264" spans="1:10" x14ac:dyDescent="0.25">
      <c r="A264" t="s">
        <v>846</v>
      </c>
      <c r="B264" t="s">
        <v>877</v>
      </c>
      <c r="C264" t="s">
        <v>318</v>
      </c>
      <c r="D264" s="1">
        <v>2599</v>
      </c>
      <c r="E264" s="1">
        <v>13</v>
      </c>
      <c r="F264" s="1">
        <v>0</v>
      </c>
      <c r="G264" s="1">
        <v>5560</v>
      </c>
      <c r="H264" s="1">
        <v>6</v>
      </c>
      <c r="I264" s="1">
        <v>0</v>
      </c>
      <c r="J264" s="1">
        <v>0</v>
      </c>
    </row>
    <row r="265" spans="1:10" x14ac:dyDescent="0.25">
      <c r="A265" t="s">
        <v>804</v>
      </c>
      <c r="B265" t="s">
        <v>877</v>
      </c>
      <c r="C265" t="s">
        <v>319</v>
      </c>
      <c r="D265" s="1">
        <v>7138</v>
      </c>
      <c r="E265" s="1">
        <v>23</v>
      </c>
      <c r="F265" s="1">
        <v>0</v>
      </c>
      <c r="G265" s="1">
        <v>17533</v>
      </c>
      <c r="H265" s="1">
        <v>55</v>
      </c>
      <c r="I265" s="1">
        <v>0</v>
      </c>
      <c r="J265" s="1">
        <v>0</v>
      </c>
    </row>
    <row r="266" spans="1:10" x14ac:dyDescent="0.25">
      <c r="A266" t="s">
        <v>809</v>
      </c>
      <c r="B266" t="s">
        <v>877</v>
      </c>
      <c r="C266" t="s">
        <v>320</v>
      </c>
      <c r="D266" s="1">
        <v>12176</v>
      </c>
      <c r="E266" s="1">
        <v>10</v>
      </c>
      <c r="F266" s="1">
        <v>0</v>
      </c>
      <c r="G266" s="1">
        <v>11017</v>
      </c>
      <c r="H266" s="1">
        <v>39</v>
      </c>
      <c r="I266" s="1">
        <v>0</v>
      </c>
      <c r="J266" s="1">
        <v>0</v>
      </c>
    </row>
    <row r="267" spans="1:10" x14ac:dyDescent="0.25">
      <c r="A267" t="s">
        <v>801</v>
      </c>
      <c r="B267" t="s">
        <v>877</v>
      </c>
      <c r="C267" t="s">
        <v>321</v>
      </c>
      <c r="D267" s="1">
        <v>8666</v>
      </c>
      <c r="E267" s="1">
        <v>55</v>
      </c>
      <c r="F267" s="1">
        <v>0</v>
      </c>
      <c r="G267" s="1">
        <v>27870</v>
      </c>
      <c r="H267" s="1">
        <v>417</v>
      </c>
      <c r="I267" s="1">
        <v>0</v>
      </c>
      <c r="J267" s="1">
        <v>0</v>
      </c>
    </row>
    <row r="268" spans="1:10" x14ac:dyDescent="0.25">
      <c r="A268" t="s">
        <v>138</v>
      </c>
      <c r="B268" t="s">
        <v>877</v>
      </c>
      <c r="C268" t="s">
        <v>322</v>
      </c>
      <c r="D268" s="1">
        <v>14148</v>
      </c>
      <c r="E268" s="1">
        <v>35</v>
      </c>
      <c r="F268" s="1">
        <v>0</v>
      </c>
      <c r="G268" s="1">
        <v>84173</v>
      </c>
      <c r="H268" s="1">
        <v>411</v>
      </c>
      <c r="I268" s="1">
        <v>0</v>
      </c>
      <c r="J268" s="1">
        <v>0</v>
      </c>
    </row>
    <row r="269" spans="1:10" x14ac:dyDescent="0.25">
      <c r="A269" t="s">
        <v>83</v>
      </c>
      <c r="B269" t="s">
        <v>877</v>
      </c>
      <c r="C269" t="s">
        <v>323</v>
      </c>
      <c r="D269" s="1">
        <v>16604</v>
      </c>
      <c r="E269" s="1">
        <v>60</v>
      </c>
      <c r="F269" s="1">
        <v>0</v>
      </c>
      <c r="G269" s="1">
        <v>10244</v>
      </c>
      <c r="H269" s="1">
        <v>120</v>
      </c>
      <c r="I269" s="1">
        <v>0</v>
      </c>
      <c r="J269" s="1">
        <v>0</v>
      </c>
    </row>
    <row r="270" spans="1:10" x14ac:dyDescent="0.25">
      <c r="A270" t="s">
        <v>825</v>
      </c>
      <c r="B270" t="s">
        <v>877</v>
      </c>
      <c r="C270" t="s">
        <v>324</v>
      </c>
      <c r="D270" s="1">
        <v>4049</v>
      </c>
      <c r="E270" s="1">
        <v>31</v>
      </c>
      <c r="F270" s="1">
        <v>0</v>
      </c>
      <c r="G270" s="1">
        <v>12677</v>
      </c>
      <c r="H270" s="1">
        <v>200</v>
      </c>
      <c r="I270" s="1">
        <v>0</v>
      </c>
      <c r="J270" s="1">
        <v>0</v>
      </c>
    </row>
    <row r="271" spans="1:10" x14ac:dyDescent="0.25">
      <c r="A271" t="s">
        <v>248</v>
      </c>
      <c r="B271" t="s">
        <v>877</v>
      </c>
      <c r="C271" t="s">
        <v>325</v>
      </c>
      <c r="D271" s="1">
        <v>1707</v>
      </c>
      <c r="E271" s="1">
        <v>0</v>
      </c>
      <c r="F271" s="1">
        <v>0</v>
      </c>
      <c r="G271" s="1">
        <v>7105</v>
      </c>
      <c r="H271" s="1">
        <v>22</v>
      </c>
      <c r="I271" s="1">
        <v>0</v>
      </c>
      <c r="J271" s="1">
        <v>0</v>
      </c>
    </row>
    <row r="272" spans="1:10" x14ac:dyDescent="0.25">
      <c r="A272" t="s">
        <v>83</v>
      </c>
      <c r="B272" t="s">
        <v>877</v>
      </c>
      <c r="C272" t="s">
        <v>326</v>
      </c>
      <c r="D272" s="1">
        <v>1204</v>
      </c>
      <c r="E272" s="1">
        <v>0</v>
      </c>
      <c r="F272" s="1">
        <v>0</v>
      </c>
      <c r="G272" s="1">
        <v>6132</v>
      </c>
      <c r="H272" s="1">
        <v>40</v>
      </c>
      <c r="I272" s="1">
        <v>0</v>
      </c>
      <c r="J272" s="1">
        <v>0</v>
      </c>
    </row>
    <row r="273" spans="1:10" x14ac:dyDescent="0.25">
      <c r="A273" t="s">
        <v>795</v>
      </c>
      <c r="B273" t="s">
        <v>877</v>
      </c>
      <c r="C273" t="s">
        <v>327</v>
      </c>
      <c r="D273" s="1">
        <v>4794</v>
      </c>
      <c r="E273" s="1">
        <v>2</v>
      </c>
      <c r="F273" s="1">
        <v>0</v>
      </c>
      <c r="G273" s="1">
        <v>1704</v>
      </c>
      <c r="H273" s="1">
        <v>45</v>
      </c>
      <c r="I273" s="1">
        <v>0</v>
      </c>
      <c r="J273" s="1">
        <v>0</v>
      </c>
    </row>
    <row r="274" spans="1:10" x14ac:dyDescent="0.25">
      <c r="A274" t="s">
        <v>76</v>
      </c>
      <c r="B274" t="s">
        <v>877</v>
      </c>
      <c r="C274" t="s">
        <v>329</v>
      </c>
      <c r="D274" s="1">
        <v>4770</v>
      </c>
      <c r="E274" s="1">
        <v>40</v>
      </c>
      <c r="F274" s="1">
        <v>0</v>
      </c>
      <c r="G274" s="1">
        <v>29121</v>
      </c>
      <c r="H274" s="1">
        <v>575</v>
      </c>
      <c r="I274" s="1">
        <v>0</v>
      </c>
      <c r="J274" s="1">
        <v>0</v>
      </c>
    </row>
    <row r="275" spans="1:10" x14ac:dyDescent="0.25">
      <c r="A275" t="s">
        <v>809</v>
      </c>
      <c r="B275" t="s">
        <v>877</v>
      </c>
      <c r="C275" t="s">
        <v>330</v>
      </c>
      <c r="D275" s="1">
        <v>7370</v>
      </c>
      <c r="E275" s="1">
        <v>603</v>
      </c>
      <c r="F275" s="1">
        <v>0</v>
      </c>
      <c r="G275" s="1">
        <v>38546</v>
      </c>
      <c r="H275" s="1">
        <v>764</v>
      </c>
      <c r="I275" s="1">
        <v>0</v>
      </c>
      <c r="J275" s="1">
        <v>0</v>
      </c>
    </row>
    <row r="276" spans="1:10" x14ac:dyDescent="0.25">
      <c r="A276" t="s">
        <v>839</v>
      </c>
      <c r="B276" t="s">
        <v>877</v>
      </c>
      <c r="C276" t="s">
        <v>331</v>
      </c>
      <c r="D276" s="1">
        <v>2210</v>
      </c>
      <c r="E276" s="1">
        <v>2</v>
      </c>
      <c r="F276" s="1">
        <v>0</v>
      </c>
      <c r="G276" s="1">
        <v>9966</v>
      </c>
      <c r="H276" s="1">
        <v>29</v>
      </c>
      <c r="I276" s="1">
        <v>0</v>
      </c>
      <c r="J276" s="1">
        <v>0</v>
      </c>
    </row>
    <row r="277" spans="1:10" x14ac:dyDescent="0.25">
      <c r="A277" t="s">
        <v>248</v>
      </c>
      <c r="B277" t="s">
        <v>877</v>
      </c>
      <c r="C277" t="s">
        <v>332</v>
      </c>
      <c r="D277" s="1">
        <v>6714</v>
      </c>
      <c r="E277" s="1">
        <v>0</v>
      </c>
      <c r="F277" s="1">
        <v>0</v>
      </c>
      <c r="G277" s="1">
        <v>14438</v>
      </c>
      <c r="H277" s="1">
        <v>93</v>
      </c>
      <c r="I277" s="1">
        <v>0</v>
      </c>
      <c r="J277" s="1">
        <v>0</v>
      </c>
    </row>
    <row r="278" spans="1:10" x14ac:dyDescent="0.25">
      <c r="A278" t="s">
        <v>862</v>
      </c>
      <c r="B278" t="s">
        <v>877</v>
      </c>
      <c r="C278" t="s">
        <v>333</v>
      </c>
      <c r="D278" s="1">
        <v>465</v>
      </c>
      <c r="E278" s="1">
        <v>0</v>
      </c>
      <c r="F278" s="1">
        <v>0</v>
      </c>
      <c r="G278" s="1">
        <v>7393</v>
      </c>
      <c r="H278" s="1">
        <v>0</v>
      </c>
      <c r="I278" s="1">
        <v>0</v>
      </c>
      <c r="J278" s="1">
        <v>0</v>
      </c>
    </row>
    <row r="279" spans="1:10" x14ac:dyDescent="0.25">
      <c r="A279" t="s">
        <v>857</v>
      </c>
      <c r="B279" t="s">
        <v>877</v>
      </c>
      <c r="C279" t="s">
        <v>334</v>
      </c>
      <c r="D279" s="1">
        <v>6134</v>
      </c>
      <c r="E279" s="1">
        <v>0</v>
      </c>
      <c r="F279" s="1">
        <v>0</v>
      </c>
      <c r="G279" s="1">
        <v>2579</v>
      </c>
      <c r="H279" s="1">
        <v>0</v>
      </c>
      <c r="I279" s="1">
        <v>0</v>
      </c>
      <c r="J279" s="1">
        <v>0</v>
      </c>
    </row>
    <row r="280" spans="1:10" x14ac:dyDescent="0.25">
      <c r="A280" t="s">
        <v>265</v>
      </c>
      <c r="B280" t="s">
        <v>877</v>
      </c>
      <c r="C280" t="s">
        <v>335</v>
      </c>
      <c r="D280" s="1">
        <v>6079</v>
      </c>
      <c r="E280" s="1">
        <v>0</v>
      </c>
      <c r="F280" s="1">
        <v>0</v>
      </c>
      <c r="G280" s="1">
        <v>18877</v>
      </c>
      <c r="H280" s="1">
        <v>32</v>
      </c>
      <c r="I280" s="1">
        <v>0</v>
      </c>
      <c r="J280" s="1">
        <v>0</v>
      </c>
    </row>
    <row r="281" spans="1:10" x14ac:dyDescent="0.25">
      <c r="A281" t="s">
        <v>855</v>
      </c>
      <c r="B281" t="s">
        <v>877</v>
      </c>
      <c r="C281" t="s">
        <v>336</v>
      </c>
      <c r="D281" s="1">
        <v>3111</v>
      </c>
      <c r="E281" s="1">
        <v>69</v>
      </c>
      <c r="F281" s="1">
        <v>0</v>
      </c>
      <c r="G281" s="1">
        <v>11119</v>
      </c>
      <c r="H281" s="1">
        <v>17</v>
      </c>
      <c r="I281" s="1">
        <v>0</v>
      </c>
      <c r="J281" s="1">
        <v>0</v>
      </c>
    </row>
    <row r="282" spans="1:10" x14ac:dyDescent="0.25">
      <c r="A282" t="s">
        <v>868</v>
      </c>
      <c r="B282" t="s">
        <v>877</v>
      </c>
      <c r="C282" t="s">
        <v>337</v>
      </c>
      <c r="D282" s="1">
        <v>7600</v>
      </c>
      <c r="E282" s="1">
        <v>51</v>
      </c>
      <c r="F282" s="1">
        <v>0</v>
      </c>
      <c r="G282" s="1">
        <v>38817</v>
      </c>
      <c r="H282" s="1">
        <v>240</v>
      </c>
      <c r="I282" s="1">
        <v>0</v>
      </c>
      <c r="J282" s="1">
        <v>0</v>
      </c>
    </row>
    <row r="283" spans="1:10" x14ac:dyDescent="0.25">
      <c r="A283" t="s">
        <v>852</v>
      </c>
      <c r="B283" t="s">
        <v>877</v>
      </c>
      <c r="C283" t="s">
        <v>338</v>
      </c>
      <c r="D283" s="1">
        <v>1008</v>
      </c>
      <c r="E283" s="1">
        <v>1</v>
      </c>
      <c r="F283" s="1">
        <v>0</v>
      </c>
      <c r="G283" s="1">
        <v>10690</v>
      </c>
      <c r="H283" s="1">
        <v>22</v>
      </c>
      <c r="I283" s="1">
        <v>0</v>
      </c>
      <c r="J283" s="1">
        <v>0</v>
      </c>
    </row>
    <row r="284" spans="1:10" x14ac:dyDescent="0.25">
      <c r="A284" t="s">
        <v>860</v>
      </c>
      <c r="B284" t="s">
        <v>877</v>
      </c>
      <c r="C284" t="s">
        <v>339</v>
      </c>
      <c r="D284" s="1">
        <v>5242</v>
      </c>
      <c r="E284" s="1">
        <v>0</v>
      </c>
      <c r="F284" s="1">
        <v>0</v>
      </c>
      <c r="G284" s="1">
        <v>4976</v>
      </c>
      <c r="H284" s="1">
        <v>77</v>
      </c>
      <c r="I284" s="1">
        <v>0</v>
      </c>
      <c r="J284" s="1">
        <v>0</v>
      </c>
    </row>
    <row r="285" spans="1:10" x14ac:dyDescent="0.25">
      <c r="A285" t="s">
        <v>861</v>
      </c>
      <c r="B285" t="s">
        <v>877</v>
      </c>
      <c r="C285" t="s">
        <v>340</v>
      </c>
      <c r="D285" s="1">
        <v>1422</v>
      </c>
      <c r="E285" s="1">
        <v>0</v>
      </c>
      <c r="F285" s="1">
        <v>0</v>
      </c>
      <c r="G285" s="1">
        <v>3988</v>
      </c>
      <c r="H285" s="1">
        <v>7</v>
      </c>
      <c r="I285" s="1">
        <v>0</v>
      </c>
      <c r="J285" s="1">
        <v>0</v>
      </c>
    </row>
    <row r="286" spans="1:10" x14ac:dyDescent="0.25">
      <c r="A286" t="s">
        <v>834</v>
      </c>
      <c r="B286" t="s">
        <v>877</v>
      </c>
      <c r="C286" t="s">
        <v>341</v>
      </c>
      <c r="D286" s="1">
        <v>1912</v>
      </c>
      <c r="E286" s="1">
        <v>0</v>
      </c>
      <c r="F286" s="1">
        <v>0</v>
      </c>
      <c r="G286" s="1">
        <v>13514</v>
      </c>
      <c r="H286" s="1">
        <v>6</v>
      </c>
      <c r="I286" s="1">
        <v>0</v>
      </c>
      <c r="J286" s="1">
        <v>0</v>
      </c>
    </row>
    <row r="287" spans="1:10" x14ac:dyDescent="0.25">
      <c r="A287" t="s">
        <v>850</v>
      </c>
      <c r="B287" t="s">
        <v>877</v>
      </c>
      <c r="C287" t="s">
        <v>342</v>
      </c>
      <c r="D287" s="1">
        <v>1381</v>
      </c>
      <c r="E287" s="1">
        <v>16</v>
      </c>
      <c r="F287" s="1">
        <v>0</v>
      </c>
      <c r="G287" s="1">
        <v>2675</v>
      </c>
      <c r="H287" s="1">
        <v>2</v>
      </c>
      <c r="I287" s="1">
        <v>0</v>
      </c>
      <c r="J287" s="1">
        <v>0</v>
      </c>
    </row>
    <row r="288" spans="1:10" x14ac:dyDescent="0.25">
      <c r="A288" t="s">
        <v>801</v>
      </c>
      <c r="B288" t="s">
        <v>877</v>
      </c>
      <c r="C288" t="s">
        <v>343</v>
      </c>
      <c r="D288" s="1">
        <v>1185</v>
      </c>
      <c r="E288" s="1">
        <v>0</v>
      </c>
      <c r="F288" s="1">
        <v>0</v>
      </c>
      <c r="G288" s="1">
        <v>3700</v>
      </c>
      <c r="H288" s="1">
        <v>1</v>
      </c>
      <c r="I288" s="1">
        <v>0</v>
      </c>
      <c r="J288" s="1">
        <v>0</v>
      </c>
    </row>
    <row r="289" spans="1:10" x14ac:dyDescent="0.25">
      <c r="A289" t="s">
        <v>138</v>
      </c>
      <c r="B289" t="s">
        <v>877</v>
      </c>
      <c r="C289" t="s">
        <v>344</v>
      </c>
      <c r="D289" s="1">
        <v>8844</v>
      </c>
      <c r="E289" s="1">
        <v>0</v>
      </c>
      <c r="F289" s="1">
        <v>0</v>
      </c>
      <c r="G289" s="1">
        <v>41044</v>
      </c>
      <c r="H289" s="1">
        <v>309</v>
      </c>
      <c r="I289" s="1">
        <v>0</v>
      </c>
      <c r="J289" s="1">
        <v>0</v>
      </c>
    </row>
    <row r="290" spans="1:10" x14ac:dyDescent="0.25">
      <c r="A290" t="s">
        <v>868</v>
      </c>
      <c r="B290" t="s">
        <v>877</v>
      </c>
      <c r="C290" t="s">
        <v>345</v>
      </c>
      <c r="D290" s="1">
        <v>932</v>
      </c>
      <c r="E290" s="1">
        <v>0</v>
      </c>
      <c r="F290" s="1">
        <v>0</v>
      </c>
      <c r="G290" s="1">
        <v>6825</v>
      </c>
      <c r="H290" s="1">
        <v>0</v>
      </c>
      <c r="I290" s="1">
        <v>0</v>
      </c>
      <c r="J290" s="1">
        <v>0</v>
      </c>
    </row>
    <row r="291" spans="1:10" x14ac:dyDescent="0.25">
      <c r="A291" t="s">
        <v>69</v>
      </c>
      <c r="B291" t="s">
        <v>877</v>
      </c>
      <c r="C291" t="s">
        <v>346</v>
      </c>
      <c r="D291" s="1">
        <v>7055</v>
      </c>
      <c r="E291" s="1">
        <v>9</v>
      </c>
      <c r="F291" s="1">
        <v>0</v>
      </c>
      <c r="G291" s="1">
        <v>56523</v>
      </c>
      <c r="H291" s="1">
        <v>1060</v>
      </c>
      <c r="I291" s="1">
        <v>0</v>
      </c>
      <c r="J291" s="1">
        <v>0</v>
      </c>
    </row>
    <row r="292" spans="1:10" x14ac:dyDescent="0.25">
      <c r="A292" t="s">
        <v>83</v>
      </c>
      <c r="B292" t="s">
        <v>877</v>
      </c>
      <c r="C292" t="s">
        <v>347</v>
      </c>
      <c r="D292" s="1">
        <v>30</v>
      </c>
      <c r="E292" s="1">
        <v>0</v>
      </c>
      <c r="F292" s="1">
        <v>0</v>
      </c>
      <c r="G292" s="1">
        <v>16</v>
      </c>
      <c r="H292" s="1">
        <v>0</v>
      </c>
      <c r="I292" s="1">
        <v>0</v>
      </c>
      <c r="J292" s="1">
        <v>0</v>
      </c>
    </row>
    <row r="293" spans="1:10" x14ac:dyDescent="0.25">
      <c r="A293" t="s">
        <v>101</v>
      </c>
      <c r="B293" t="s">
        <v>877</v>
      </c>
      <c r="C293" t="s">
        <v>348</v>
      </c>
      <c r="D293" s="1">
        <v>4428</v>
      </c>
      <c r="E293" s="1">
        <v>42</v>
      </c>
      <c r="F293" s="1">
        <v>0</v>
      </c>
      <c r="G293" s="1">
        <v>19789</v>
      </c>
      <c r="H293" s="1">
        <v>30</v>
      </c>
      <c r="I293" s="1">
        <v>0</v>
      </c>
      <c r="J293" s="1">
        <v>0</v>
      </c>
    </row>
    <row r="294" spans="1:10" x14ac:dyDescent="0.25">
      <c r="A294" t="s">
        <v>797</v>
      </c>
      <c r="B294" t="s">
        <v>877</v>
      </c>
      <c r="C294" t="s">
        <v>349</v>
      </c>
      <c r="D294" s="1">
        <v>600</v>
      </c>
      <c r="E294" s="1">
        <v>0</v>
      </c>
      <c r="F294" s="1">
        <v>0</v>
      </c>
      <c r="G294" s="1">
        <v>8842</v>
      </c>
      <c r="H294" s="1">
        <v>16</v>
      </c>
      <c r="I294" s="1">
        <v>0</v>
      </c>
      <c r="J294" s="1">
        <v>0</v>
      </c>
    </row>
    <row r="295" spans="1:10" x14ac:dyDescent="0.25">
      <c r="A295" t="s">
        <v>811</v>
      </c>
      <c r="B295" t="s">
        <v>877</v>
      </c>
      <c r="C295" t="s">
        <v>350</v>
      </c>
      <c r="D295" s="1">
        <v>6917</v>
      </c>
      <c r="E295" s="1">
        <v>133</v>
      </c>
      <c r="F295" s="1">
        <v>0</v>
      </c>
      <c r="G295" s="1">
        <v>30717</v>
      </c>
      <c r="H295" s="1">
        <v>129</v>
      </c>
      <c r="I295" s="1">
        <v>0</v>
      </c>
      <c r="J295" s="1">
        <v>0</v>
      </c>
    </row>
    <row r="296" spans="1:10" x14ac:dyDescent="0.25">
      <c r="A296" t="s">
        <v>837</v>
      </c>
      <c r="B296" t="s">
        <v>877</v>
      </c>
      <c r="C296" t="s">
        <v>351</v>
      </c>
      <c r="D296" s="1">
        <v>2647</v>
      </c>
      <c r="E296" s="1">
        <v>32</v>
      </c>
      <c r="F296" s="1">
        <v>0</v>
      </c>
      <c r="G296" s="1">
        <v>10430</v>
      </c>
      <c r="H296" s="1">
        <v>75</v>
      </c>
      <c r="I296" s="1">
        <v>0</v>
      </c>
      <c r="J296" s="1">
        <v>0</v>
      </c>
    </row>
    <row r="297" spans="1:10" x14ac:dyDescent="0.25">
      <c r="A297" t="s">
        <v>824</v>
      </c>
      <c r="B297" t="s">
        <v>877</v>
      </c>
      <c r="C297" t="s">
        <v>352</v>
      </c>
      <c r="D297" s="1">
        <v>2324</v>
      </c>
      <c r="E297" s="1">
        <v>0</v>
      </c>
      <c r="F297" s="1">
        <v>0</v>
      </c>
      <c r="G297" s="1">
        <v>11584</v>
      </c>
      <c r="H297" s="1">
        <v>10</v>
      </c>
      <c r="I297" s="1">
        <v>0</v>
      </c>
      <c r="J297" s="1">
        <v>0</v>
      </c>
    </row>
    <row r="298" spans="1:10" x14ac:dyDescent="0.25">
      <c r="A298" t="s">
        <v>829</v>
      </c>
      <c r="B298" t="s">
        <v>877</v>
      </c>
      <c r="C298" t="s">
        <v>353</v>
      </c>
      <c r="D298" s="1">
        <v>11542</v>
      </c>
      <c r="E298" s="1">
        <v>3</v>
      </c>
      <c r="F298" s="1">
        <v>0</v>
      </c>
      <c r="G298" s="1">
        <v>11479</v>
      </c>
      <c r="H298" s="1">
        <v>148</v>
      </c>
      <c r="I298" s="1">
        <v>0</v>
      </c>
      <c r="J298" s="1">
        <v>0</v>
      </c>
    </row>
    <row r="299" spans="1:10" x14ac:dyDescent="0.25">
      <c r="A299" t="s">
        <v>832</v>
      </c>
      <c r="B299" t="s">
        <v>877</v>
      </c>
      <c r="C299" t="s">
        <v>354</v>
      </c>
      <c r="D299" s="1">
        <v>1922</v>
      </c>
      <c r="E299" s="1">
        <v>0</v>
      </c>
      <c r="F299" s="1">
        <v>0</v>
      </c>
      <c r="G299" s="1">
        <v>4801</v>
      </c>
      <c r="H299" s="1">
        <v>10</v>
      </c>
      <c r="I299" s="1">
        <v>0</v>
      </c>
      <c r="J299" s="1">
        <v>0</v>
      </c>
    </row>
    <row r="300" spans="1:10" x14ac:dyDescent="0.25">
      <c r="A300" t="s">
        <v>833</v>
      </c>
      <c r="B300" t="s">
        <v>877</v>
      </c>
      <c r="C300" t="s">
        <v>355</v>
      </c>
      <c r="D300" s="1">
        <v>3835</v>
      </c>
      <c r="E300" s="1">
        <v>0</v>
      </c>
      <c r="F300" s="1">
        <v>0</v>
      </c>
      <c r="G300" s="1">
        <v>5678</v>
      </c>
      <c r="H300" s="1">
        <v>0</v>
      </c>
      <c r="I300" s="1">
        <v>0</v>
      </c>
      <c r="J300" s="1">
        <v>0</v>
      </c>
    </row>
    <row r="301" spans="1:10" x14ac:dyDescent="0.25">
      <c r="A301" t="s">
        <v>840</v>
      </c>
      <c r="B301" t="s">
        <v>877</v>
      </c>
      <c r="C301" t="s">
        <v>356</v>
      </c>
      <c r="D301" s="1">
        <v>2229</v>
      </c>
      <c r="E301" s="1">
        <v>29</v>
      </c>
      <c r="F301" s="1">
        <v>0</v>
      </c>
      <c r="G301" s="1">
        <v>12568</v>
      </c>
      <c r="H301" s="1">
        <v>128</v>
      </c>
      <c r="I301" s="1">
        <v>0</v>
      </c>
      <c r="J301" s="1">
        <v>0</v>
      </c>
    </row>
    <row r="302" spans="1:10" x14ac:dyDescent="0.25">
      <c r="A302" t="s">
        <v>843</v>
      </c>
      <c r="B302" t="s">
        <v>877</v>
      </c>
      <c r="C302" t="s">
        <v>357</v>
      </c>
      <c r="D302" s="1">
        <v>1338</v>
      </c>
      <c r="E302" s="1">
        <v>26</v>
      </c>
      <c r="F302" s="1">
        <v>0</v>
      </c>
      <c r="G302" s="1">
        <v>16739</v>
      </c>
      <c r="H302" s="1">
        <v>37</v>
      </c>
      <c r="I302" s="1">
        <v>0</v>
      </c>
      <c r="J302" s="1">
        <v>0</v>
      </c>
    </row>
    <row r="303" spans="1:10" x14ac:dyDescent="0.25">
      <c r="A303" t="s">
        <v>791</v>
      </c>
      <c r="B303" t="s">
        <v>877</v>
      </c>
      <c r="C303" t="s">
        <v>358</v>
      </c>
      <c r="D303" s="1">
        <v>14476</v>
      </c>
      <c r="E303" s="1">
        <v>13</v>
      </c>
      <c r="F303" s="1">
        <v>0</v>
      </c>
      <c r="G303" s="1">
        <v>33658</v>
      </c>
      <c r="H303" s="1">
        <v>98</v>
      </c>
      <c r="I303" s="1">
        <v>0</v>
      </c>
      <c r="J303" s="1">
        <v>0</v>
      </c>
    </row>
    <row r="304" spans="1:10" x14ac:dyDescent="0.25">
      <c r="A304" t="s">
        <v>842</v>
      </c>
      <c r="B304" t="s">
        <v>877</v>
      </c>
      <c r="C304" t="s">
        <v>359</v>
      </c>
      <c r="D304" s="1">
        <v>3668</v>
      </c>
      <c r="E304" s="1">
        <v>0</v>
      </c>
      <c r="F304" s="1">
        <v>0</v>
      </c>
      <c r="G304" s="1">
        <v>17358</v>
      </c>
      <c r="H304" s="1">
        <v>1</v>
      </c>
      <c r="I304" s="1">
        <v>0</v>
      </c>
      <c r="J304" s="1">
        <v>0</v>
      </c>
    </row>
    <row r="305" spans="1:10" x14ac:dyDescent="0.25">
      <c r="A305" t="s">
        <v>835</v>
      </c>
      <c r="B305" t="s">
        <v>877</v>
      </c>
      <c r="C305" t="s">
        <v>360</v>
      </c>
      <c r="D305" s="1">
        <v>1350</v>
      </c>
      <c r="E305" s="1">
        <v>60</v>
      </c>
      <c r="F305" s="1">
        <v>0</v>
      </c>
      <c r="G305" s="1">
        <v>9740</v>
      </c>
      <c r="H305" s="1">
        <v>23</v>
      </c>
      <c r="I305" s="1">
        <v>0</v>
      </c>
      <c r="J305" s="1">
        <v>0</v>
      </c>
    </row>
    <row r="306" spans="1:10" x14ac:dyDescent="0.25">
      <c r="A306" t="s">
        <v>826</v>
      </c>
      <c r="B306" t="s">
        <v>877</v>
      </c>
      <c r="C306" t="s">
        <v>361</v>
      </c>
      <c r="D306" s="1">
        <v>10059</v>
      </c>
      <c r="E306" s="1">
        <v>58</v>
      </c>
      <c r="F306" s="1">
        <v>0</v>
      </c>
      <c r="G306" s="1">
        <v>35293</v>
      </c>
      <c r="H306" s="1">
        <v>391</v>
      </c>
      <c r="I306" s="1">
        <v>0</v>
      </c>
      <c r="J306" s="1">
        <v>0</v>
      </c>
    </row>
    <row r="307" spans="1:10" x14ac:dyDescent="0.25">
      <c r="A307" t="s">
        <v>67</v>
      </c>
      <c r="B307" t="s">
        <v>877</v>
      </c>
      <c r="C307" t="s">
        <v>362</v>
      </c>
      <c r="D307" s="1">
        <v>11457</v>
      </c>
      <c r="E307" s="1">
        <v>0</v>
      </c>
      <c r="F307" s="1">
        <v>0</v>
      </c>
      <c r="G307" s="1">
        <v>45827</v>
      </c>
      <c r="H307" s="1">
        <v>26</v>
      </c>
      <c r="I307" s="1">
        <v>0</v>
      </c>
      <c r="J307" s="1">
        <v>0</v>
      </c>
    </row>
    <row r="308" spans="1:10" x14ac:dyDescent="0.25">
      <c r="A308" t="s">
        <v>831</v>
      </c>
      <c r="B308" t="s">
        <v>877</v>
      </c>
      <c r="C308" t="s">
        <v>363</v>
      </c>
      <c r="D308" s="1">
        <v>532</v>
      </c>
      <c r="E308" s="1">
        <v>0</v>
      </c>
      <c r="F308" s="1">
        <v>0</v>
      </c>
      <c r="G308" s="1">
        <v>4264</v>
      </c>
      <c r="H308" s="1">
        <v>2</v>
      </c>
      <c r="I308" s="1">
        <v>0</v>
      </c>
      <c r="J308" s="1">
        <v>0</v>
      </c>
    </row>
    <row r="309" spans="1:10" x14ac:dyDescent="0.25">
      <c r="A309" t="s">
        <v>248</v>
      </c>
      <c r="B309" t="s">
        <v>877</v>
      </c>
      <c r="C309" t="s">
        <v>364</v>
      </c>
      <c r="D309" s="1">
        <v>1239</v>
      </c>
      <c r="E309" s="1">
        <v>0</v>
      </c>
      <c r="F309" s="1">
        <v>0</v>
      </c>
      <c r="G309" s="1">
        <v>9874</v>
      </c>
      <c r="H309" s="1">
        <v>0</v>
      </c>
      <c r="I309" s="1">
        <v>0</v>
      </c>
      <c r="J309" s="1">
        <v>0</v>
      </c>
    </row>
    <row r="310" spans="1:10" x14ac:dyDescent="0.25">
      <c r="A310" t="s">
        <v>791</v>
      </c>
      <c r="B310" t="s">
        <v>877</v>
      </c>
      <c r="C310" t="s">
        <v>365</v>
      </c>
      <c r="D310" s="1">
        <v>5814</v>
      </c>
      <c r="E310" s="1">
        <v>216</v>
      </c>
      <c r="F310" s="1">
        <v>0</v>
      </c>
      <c r="G310" s="1">
        <v>14824</v>
      </c>
      <c r="H310" s="1">
        <v>763</v>
      </c>
      <c r="I310" s="1">
        <v>0</v>
      </c>
      <c r="J310" s="1">
        <v>0</v>
      </c>
    </row>
    <row r="311" spans="1:10" x14ac:dyDescent="0.25">
      <c r="A311" t="s">
        <v>797</v>
      </c>
      <c r="B311" t="s">
        <v>877</v>
      </c>
      <c r="C311" t="s">
        <v>366</v>
      </c>
      <c r="D311" s="1">
        <v>4393</v>
      </c>
      <c r="E311" s="1">
        <v>12</v>
      </c>
      <c r="F311" s="1">
        <v>0</v>
      </c>
      <c r="G311" s="1">
        <v>8721</v>
      </c>
      <c r="H311" s="1">
        <v>58</v>
      </c>
      <c r="I311" s="1">
        <v>0</v>
      </c>
      <c r="J311" s="1">
        <v>0</v>
      </c>
    </row>
    <row r="312" spans="1:10" x14ac:dyDescent="0.25">
      <c r="A312" t="s">
        <v>120</v>
      </c>
      <c r="B312" t="s">
        <v>877</v>
      </c>
      <c r="C312" t="s">
        <v>367</v>
      </c>
      <c r="D312" s="1">
        <v>5709</v>
      </c>
      <c r="E312" s="1">
        <v>26</v>
      </c>
      <c r="F312" s="1">
        <v>0</v>
      </c>
      <c r="G312" s="1">
        <v>22798</v>
      </c>
      <c r="H312" s="1">
        <v>298</v>
      </c>
      <c r="I312" s="1">
        <v>0</v>
      </c>
      <c r="J312" s="1">
        <v>0</v>
      </c>
    </row>
    <row r="313" spans="1:10" x14ac:dyDescent="0.25">
      <c r="A313" t="s">
        <v>231</v>
      </c>
      <c r="B313" t="s">
        <v>877</v>
      </c>
      <c r="C313" t="s">
        <v>368</v>
      </c>
      <c r="D313" s="1">
        <v>4471</v>
      </c>
      <c r="E313" s="1">
        <v>35</v>
      </c>
      <c r="F313" s="1">
        <v>0</v>
      </c>
      <c r="G313" s="1">
        <v>25293</v>
      </c>
      <c r="H313" s="1">
        <v>41</v>
      </c>
      <c r="I313" s="1">
        <v>0</v>
      </c>
      <c r="J313" s="1">
        <v>0</v>
      </c>
    </row>
    <row r="314" spans="1:10" x14ac:dyDescent="0.25">
      <c r="A314" t="s">
        <v>809</v>
      </c>
      <c r="B314" t="s">
        <v>877</v>
      </c>
      <c r="C314" t="s">
        <v>369</v>
      </c>
      <c r="D314" s="1">
        <v>9544</v>
      </c>
      <c r="E314" s="1">
        <v>284</v>
      </c>
      <c r="F314" s="1">
        <v>0</v>
      </c>
      <c r="G314" s="1">
        <v>58107</v>
      </c>
      <c r="H314" s="1">
        <v>815</v>
      </c>
      <c r="I314" s="1">
        <v>0</v>
      </c>
      <c r="J314" s="1">
        <v>0</v>
      </c>
    </row>
    <row r="315" spans="1:10" x14ac:dyDescent="0.25">
      <c r="A315" t="s">
        <v>848</v>
      </c>
      <c r="B315" t="s">
        <v>877</v>
      </c>
      <c r="C315" t="s">
        <v>370</v>
      </c>
      <c r="D315" s="1">
        <v>2892</v>
      </c>
      <c r="E315" s="1">
        <v>47</v>
      </c>
      <c r="F315" s="1">
        <v>0</v>
      </c>
      <c r="G315" s="1">
        <v>12849</v>
      </c>
      <c r="H315" s="1">
        <v>41</v>
      </c>
      <c r="I315" s="1">
        <v>0</v>
      </c>
      <c r="J315" s="1">
        <v>0</v>
      </c>
    </row>
    <row r="316" spans="1:10" x14ac:dyDescent="0.25">
      <c r="A316" t="s">
        <v>226</v>
      </c>
      <c r="B316" t="s">
        <v>877</v>
      </c>
      <c r="C316" t="s">
        <v>371</v>
      </c>
      <c r="D316" s="1">
        <v>3795</v>
      </c>
      <c r="E316" s="1">
        <v>222</v>
      </c>
      <c r="F316" s="1">
        <v>0</v>
      </c>
      <c r="G316" s="1">
        <v>32057</v>
      </c>
      <c r="H316" s="1">
        <v>188</v>
      </c>
      <c r="I316" s="1">
        <v>0</v>
      </c>
      <c r="J316" s="1">
        <v>0</v>
      </c>
    </row>
    <row r="317" spans="1:10" x14ac:dyDescent="0.25">
      <c r="A317" t="s">
        <v>797</v>
      </c>
      <c r="B317" t="s">
        <v>877</v>
      </c>
      <c r="C317" t="s">
        <v>372</v>
      </c>
      <c r="D317" s="1">
        <v>1160</v>
      </c>
      <c r="E317" s="1">
        <v>10</v>
      </c>
      <c r="F317" s="1">
        <v>0</v>
      </c>
      <c r="G317" s="1">
        <v>7262</v>
      </c>
      <c r="H317" s="1">
        <v>158</v>
      </c>
      <c r="I317" s="1">
        <v>0</v>
      </c>
      <c r="J317" s="1">
        <v>0</v>
      </c>
    </row>
    <row r="318" spans="1:10" x14ac:dyDescent="0.25">
      <c r="A318" t="s">
        <v>791</v>
      </c>
      <c r="B318" t="s">
        <v>877</v>
      </c>
      <c r="C318" t="s">
        <v>373</v>
      </c>
      <c r="D318" s="1">
        <v>3050</v>
      </c>
      <c r="E318" s="1">
        <v>1</v>
      </c>
      <c r="F318" s="1">
        <v>0</v>
      </c>
      <c r="G318" s="1">
        <v>15518</v>
      </c>
      <c r="H318" s="1">
        <v>43</v>
      </c>
      <c r="I318" s="1">
        <v>0</v>
      </c>
      <c r="J318" s="1">
        <v>0</v>
      </c>
    </row>
    <row r="319" spans="1:10" x14ac:dyDescent="0.25">
      <c r="A319" t="s">
        <v>826</v>
      </c>
      <c r="B319" t="s">
        <v>877</v>
      </c>
      <c r="C319" t="s">
        <v>374</v>
      </c>
      <c r="D319" s="1">
        <v>6071</v>
      </c>
      <c r="E319" s="1">
        <v>8</v>
      </c>
      <c r="F319" s="1">
        <v>0</v>
      </c>
      <c r="G319" s="1">
        <v>16198</v>
      </c>
      <c r="H319" s="1">
        <v>68</v>
      </c>
      <c r="I319" s="1">
        <v>0</v>
      </c>
      <c r="J319" s="1">
        <v>0</v>
      </c>
    </row>
    <row r="320" spans="1:10" x14ac:dyDescent="0.25">
      <c r="A320" t="s">
        <v>512</v>
      </c>
      <c r="B320" t="s">
        <v>877</v>
      </c>
      <c r="C320" t="s">
        <v>375</v>
      </c>
      <c r="D320" s="1">
        <v>3829</v>
      </c>
      <c r="E320" s="1">
        <v>0</v>
      </c>
      <c r="F320" s="1">
        <v>0</v>
      </c>
      <c r="G320" s="1">
        <v>22384</v>
      </c>
      <c r="H320" s="1">
        <v>80</v>
      </c>
      <c r="I320" s="1">
        <v>0</v>
      </c>
      <c r="J320" s="1">
        <v>0</v>
      </c>
    </row>
    <row r="321" spans="1:10" x14ac:dyDescent="0.25">
      <c r="A321" t="s">
        <v>817</v>
      </c>
      <c r="B321" t="s">
        <v>877</v>
      </c>
      <c r="C321" t="s">
        <v>376</v>
      </c>
      <c r="D321" s="1">
        <v>7813</v>
      </c>
      <c r="E321" s="1">
        <v>18</v>
      </c>
      <c r="F321" s="1">
        <v>0</v>
      </c>
      <c r="G321" s="1">
        <v>7545</v>
      </c>
      <c r="H321" s="1">
        <v>77</v>
      </c>
      <c r="I321" s="1">
        <v>0</v>
      </c>
      <c r="J321" s="1">
        <v>0</v>
      </c>
    </row>
    <row r="322" spans="1:10" x14ac:dyDescent="0.25">
      <c r="A322" t="s">
        <v>83</v>
      </c>
      <c r="B322" t="s">
        <v>877</v>
      </c>
      <c r="C322" t="s">
        <v>377</v>
      </c>
      <c r="D322" s="1">
        <v>4726</v>
      </c>
      <c r="E322" s="1">
        <v>304</v>
      </c>
      <c r="F322" s="1">
        <v>0</v>
      </c>
      <c r="G322" s="1">
        <v>24096</v>
      </c>
      <c r="H322" s="1">
        <v>194</v>
      </c>
      <c r="I322" s="1">
        <v>0</v>
      </c>
      <c r="J322" s="1">
        <v>0</v>
      </c>
    </row>
    <row r="323" spans="1:10" x14ac:dyDescent="0.25">
      <c r="A323" t="s">
        <v>795</v>
      </c>
      <c r="B323" t="s">
        <v>877</v>
      </c>
      <c r="C323" t="s">
        <v>378</v>
      </c>
      <c r="D323" s="1">
        <v>19224</v>
      </c>
      <c r="E323" s="1">
        <v>85</v>
      </c>
      <c r="F323" s="1">
        <v>0</v>
      </c>
      <c r="G323" s="1">
        <v>18824</v>
      </c>
      <c r="H323" s="1">
        <v>50</v>
      </c>
      <c r="I323" s="1">
        <v>0</v>
      </c>
      <c r="J323" s="1">
        <v>0</v>
      </c>
    </row>
    <row r="324" spans="1:10" x14ac:dyDescent="0.25">
      <c r="A324" t="s">
        <v>858</v>
      </c>
      <c r="B324" t="s">
        <v>877</v>
      </c>
      <c r="C324" t="s">
        <v>379</v>
      </c>
      <c r="D324" s="1">
        <v>2704</v>
      </c>
      <c r="E324" s="1">
        <v>1</v>
      </c>
      <c r="F324" s="1">
        <v>0</v>
      </c>
      <c r="G324" s="1">
        <v>5382</v>
      </c>
      <c r="H324" s="1">
        <v>5</v>
      </c>
      <c r="I324" s="1">
        <v>0</v>
      </c>
      <c r="J324" s="1">
        <v>0</v>
      </c>
    </row>
    <row r="325" spans="1:10" x14ac:dyDescent="0.25">
      <c r="A325" t="s">
        <v>848</v>
      </c>
      <c r="B325" t="s">
        <v>877</v>
      </c>
      <c r="C325" t="s">
        <v>380</v>
      </c>
      <c r="D325" s="1">
        <v>3187</v>
      </c>
      <c r="E325" s="1">
        <v>1</v>
      </c>
      <c r="F325" s="1">
        <v>0</v>
      </c>
      <c r="G325" s="1">
        <v>20369</v>
      </c>
      <c r="H325" s="1">
        <v>53</v>
      </c>
      <c r="I325" s="1">
        <v>0</v>
      </c>
      <c r="J325" s="1">
        <v>0</v>
      </c>
    </row>
    <row r="326" spans="1:10" x14ac:dyDescent="0.25">
      <c r="A326" t="s">
        <v>863</v>
      </c>
      <c r="B326" t="s">
        <v>877</v>
      </c>
      <c r="C326" t="s">
        <v>381</v>
      </c>
      <c r="D326" s="1">
        <v>5683</v>
      </c>
      <c r="E326" s="1">
        <v>0</v>
      </c>
      <c r="F326" s="1">
        <v>0</v>
      </c>
      <c r="G326" s="1">
        <v>14076</v>
      </c>
      <c r="H326" s="1">
        <v>0</v>
      </c>
      <c r="I326" s="1">
        <v>0</v>
      </c>
      <c r="J326" s="1">
        <v>0</v>
      </c>
    </row>
    <row r="327" spans="1:10" x14ac:dyDescent="0.25">
      <c r="A327" t="s">
        <v>854</v>
      </c>
      <c r="B327" t="s">
        <v>877</v>
      </c>
      <c r="C327" t="s">
        <v>382</v>
      </c>
      <c r="D327" s="1">
        <v>13373</v>
      </c>
      <c r="E327" s="1">
        <v>194</v>
      </c>
      <c r="F327" s="1">
        <v>0</v>
      </c>
      <c r="G327" s="1">
        <v>9112</v>
      </c>
      <c r="H327" s="1">
        <v>52</v>
      </c>
      <c r="I327" s="1">
        <v>0</v>
      </c>
      <c r="J327" s="1">
        <v>0</v>
      </c>
    </row>
    <row r="328" spans="1:10" x14ac:dyDescent="0.25">
      <c r="A328" t="s">
        <v>853</v>
      </c>
      <c r="B328" t="s">
        <v>877</v>
      </c>
      <c r="C328" t="s">
        <v>383</v>
      </c>
      <c r="D328" s="1">
        <v>5846</v>
      </c>
      <c r="E328" s="1">
        <v>127</v>
      </c>
      <c r="F328" s="1">
        <v>0</v>
      </c>
      <c r="G328" s="1">
        <v>31860</v>
      </c>
      <c r="H328" s="1">
        <v>740</v>
      </c>
      <c r="I328" s="1">
        <v>0</v>
      </c>
      <c r="J328" s="1">
        <v>0</v>
      </c>
    </row>
    <row r="329" spans="1:10" x14ac:dyDescent="0.25">
      <c r="A329" t="s">
        <v>851</v>
      </c>
      <c r="B329" t="s">
        <v>877</v>
      </c>
      <c r="C329" t="s">
        <v>384</v>
      </c>
      <c r="D329" s="1">
        <v>15941</v>
      </c>
      <c r="E329" s="1">
        <v>9</v>
      </c>
      <c r="F329" s="1">
        <v>0</v>
      </c>
      <c r="G329" s="1">
        <v>240</v>
      </c>
      <c r="H329" s="1">
        <v>0</v>
      </c>
      <c r="I329" s="1">
        <v>0</v>
      </c>
      <c r="J329" s="1">
        <v>0</v>
      </c>
    </row>
    <row r="330" spans="1:10" x14ac:dyDescent="0.25">
      <c r="A330" t="s">
        <v>856</v>
      </c>
      <c r="B330" t="s">
        <v>877</v>
      </c>
      <c r="C330" t="s">
        <v>385</v>
      </c>
      <c r="D330" s="1">
        <v>4531</v>
      </c>
      <c r="E330" s="1">
        <v>12</v>
      </c>
      <c r="F330" s="1">
        <v>0</v>
      </c>
      <c r="G330" s="1">
        <v>12733</v>
      </c>
      <c r="H330" s="1">
        <v>50</v>
      </c>
      <c r="I330" s="1">
        <v>0</v>
      </c>
      <c r="J330" s="1">
        <v>0</v>
      </c>
    </row>
    <row r="331" spans="1:10" x14ac:dyDescent="0.25">
      <c r="A331" t="s">
        <v>847</v>
      </c>
      <c r="B331" t="s">
        <v>877</v>
      </c>
      <c r="C331" t="s">
        <v>386</v>
      </c>
      <c r="D331" s="1">
        <v>6040</v>
      </c>
      <c r="E331" s="1">
        <v>0</v>
      </c>
      <c r="F331" s="1">
        <v>0</v>
      </c>
      <c r="G331" s="1">
        <v>7385</v>
      </c>
      <c r="H331" s="1">
        <v>0</v>
      </c>
      <c r="I331" s="1">
        <v>0</v>
      </c>
      <c r="J331" s="1">
        <v>0</v>
      </c>
    </row>
    <row r="332" spans="1:10" x14ac:dyDescent="0.25">
      <c r="A332" t="s">
        <v>849</v>
      </c>
      <c r="B332" t="s">
        <v>877</v>
      </c>
      <c r="C332" t="s">
        <v>387</v>
      </c>
      <c r="D332" s="1">
        <v>4594</v>
      </c>
      <c r="E332" s="1">
        <v>2</v>
      </c>
      <c r="F332" s="1">
        <v>0</v>
      </c>
      <c r="G332" s="1">
        <v>9758</v>
      </c>
      <c r="H332" s="1">
        <v>31</v>
      </c>
      <c r="I332" s="1">
        <v>0</v>
      </c>
      <c r="J332" s="1">
        <v>0</v>
      </c>
    </row>
    <row r="333" spans="1:10" x14ac:dyDescent="0.25">
      <c r="A333" t="s">
        <v>794</v>
      </c>
      <c r="B333" t="s">
        <v>874</v>
      </c>
      <c r="C333" t="s">
        <v>388</v>
      </c>
      <c r="D333" s="1">
        <v>237163</v>
      </c>
      <c r="E333" s="1">
        <v>170</v>
      </c>
      <c r="F333" s="1">
        <v>0</v>
      </c>
      <c r="G333" s="1">
        <v>0</v>
      </c>
      <c r="H333" s="1">
        <v>0</v>
      </c>
      <c r="I333" s="1">
        <v>146582</v>
      </c>
      <c r="J333" s="1">
        <v>31500</v>
      </c>
    </row>
    <row r="334" spans="1:10" x14ac:dyDescent="0.25">
      <c r="A334" t="s">
        <v>231</v>
      </c>
      <c r="B334" t="s">
        <v>874</v>
      </c>
      <c r="C334" t="s">
        <v>389</v>
      </c>
      <c r="D334" s="1">
        <f>25625+59791</f>
        <v>85416</v>
      </c>
      <c r="E334" s="1">
        <f>369+861</f>
        <v>1230</v>
      </c>
      <c r="F334" s="1">
        <v>0</v>
      </c>
      <c r="G334" s="1">
        <v>0</v>
      </c>
      <c r="H334" s="1">
        <v>0</v>
      </c>
      <c r="I334" s="1">
        <v>15836</v>
      </c>
      <c r="J334" s="1">
        <v>11085</v>
      </c>
    </row>
    <row r="335" spans="1:10" x14ac:dyDescent="0.25">
      <c r="A335" t="s">
        <v>10</v>
      </c>
      <c r="B335" t="s">
        <v>874</v>
      </c>
      <c r="C335" t="s">
        <v>390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</row>
    <row r="336" spans="1:10" x14ac:dyDescent="0.25">
      <c r="A336" t="s">
        <v>226</v>
      </c>
      <c r="B336" t="s">
        <v>874</v>
      </c>
      <c r="C336" t="s">
        <v>391</v>
      </c>
      <c r="D336" s="1">
        <v>139890</v>
      </c>
      <c r="E336" s="1">
        <v>1020</v>
      </c>
      <c r="F336" s="1">
        <v>0</v>
      </c>
      <c r="G336" s="1">
        <v>0</v>
      </c>
      <c r="H336" s="1">
        <v>0</v>
      </c>
      <c r="I336" s="1">
        <v>36512</v>
      </c>
      <c r="J336" s="1">
        <v>23214</v>
      </c>
    </row>
    <row r="337" spans="1:10" x14ac:dyDescent="0.25">
      <c r="A337" t="s">
        <v>798</v>
      </c>
      <c r="B337" t="s">
        <v>874</v>
      </c>
      <c r="C337" t="s">
        <v>392</v>
      </c>
      <c r="D337" s="1">
        <v>168890</v>
      </c>
      <c r="E337" s="1">
        <v>1430</v>
      </c>
      <c r="F337" s="1">
        <v>0</v>
      </c>
      <c r="G337" s="1">
        <v>0</v>
      </c>
      <c r="H337" s="1">
        <v>0</v>
      </c>
      <c r="I337" s="1">
        <v>70687</v>
      </c>
      <c r="J337" s="1">
        <v>66238</v>
      </c>
    </row>
    <row r="338" spans="1:10" x14ac:dyDescent="0.25">
      <c r="A338" t="s">
        <v>10</v>
      </c>
      <c r="B338" t="s">
        <v>874</v>
      </c>
      <c r="C338" t="s">
        <v>393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</row>
    <row r="339" spans="1:10" x14ac:dyDescent="0.25">
      <c r="A339" t="s">
        <v>10</v>
      </c>
      <c r="B339" t="s">
        <v>874</v>
      </c>
      <c r="C339" t="s">
        <v>394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</row>
    <row r="340" spans="1:10" x14ac:dyDescent="0.25">
      <c r="A340" s="27" t="s">
        <v>10</v>
      </c>
      <c r="B340" s="27" t="s">
        <v>874</v>
      </c>
      <c r="C340" s="27" t="s">
        <v>778</v>
      </c>
      <c r="D340" s="32"/>
      <c r="E340" s="32"/>
      <c r="F340" s="32"/>
      <c r="G340" s="32"/>
      <c r="H340" s="32"/>
      <c r="I340" s="32"/>
      <c r="J340" s="32"/>
    </row>
    <row r="341" spans="1:10" x14ac:dyDescent="0.25">
      <c r="A341" t="s">
        <v>69</v>
      </c>
      <c r="B341" t="s">
        <v>874</v>
      </c>
      <c r="C341" t="s">
        <v>395</v>
      </c>
      <c r="D341" s="1">
        <v>227415</v>
      </c>
      <c r="E341" s="1">
        <v>754</v>
      </c>
      <c r="F341" s="1">
        <v>0</v>
      </c>
      <c r="G341" s="1">
        <v>0</v>
      </c>
      <c r="H341" s="1">
        <v>0</v>
      </c>
      <c r="I341" s="1">
        <v>103199</v>
      </c>
      <c r="J341" s="1">
        <v>35334</v>
      </c>
    </row>
    <row r="342" spans="1:10" x14ac:dyDescent="0.25">
      <c r="A342" t="s">
        <v>796</v>
      </c>
      <c r="B342" t="s">
        <v>874</v>
      </c>
      <c r="C342" t="s">
        <v>396</v>
      </c>
      <c r="D342" s="1"/>
      <c r="E342" s="1"/>
      <c r="F342" s="1"/>
      <c r="G342" s="1"/>
      <c r="H342" s="1"/>
      <c r="I342" s="1"/>
      <c r="J342" s="1"/>
    </row>
    <row r="343" spans="1:10" x14ac:dyDescent="0.25">
      <c r="A343" t="s">
        <v>512</v>
      </c>
      <c r="B343" t="s">
        <v>874</v>
      </c>
      <c r="C343" t="s">
        <v>397</v>
      </c>
      <c r="D343" s="1">
        <v>112384</v>
      </c>
      <c r="E343" s="1">
        <v>559</v>
      </c>
      <c r="F343" s="1">
        <v>0</v>
      </c>
      <c r="G343" s="1">
        <v>0</v>
      </c>
      <c r="H343" s="1">
        <v>0</v>
      </c>
      <c r="I343" s="1">
        <v>34630</v>
      </c>
      <c r="J343" s="1">
        <v>19509</v>
      </c>
    </row>
    <row r="344" spans="1:10" x14ac:dyDescent="0.25">
      <c r="A344" t="s">
        <v>811</v>
      </c>
      <c r="B344" t="s">
        <v>874</v>
      </c>
      <c r="C344" t="s">
        <v>398</v>
      </c>
      <c r="D344" s="1">
        <v>29431</v>
      </c>
      <c r="E344" s="1">
        <v>7181</v>
      </c>
      <c r="F344" s="1">
        <v>0</v>
      </c>
      <c r="G344" s="1">
        <v>0</v>
      </c>
      <c r="H344" s="1">
        <v>0</v>
      </c>
      <c r="I344" s="1">
        <v>6977</v>
      </c>
      <c r="J344" s="1">
        <v>14028</v>
      </c>
    </row>
    <row r="345" spans="1:10" x14ac:dyDescent="0.25">
      <c r="A345" t="s">
        <v>10</v>
      </c>
      <c r="B345" t="s">
        <v>874</v>
      </c>
      <c r="C345" t="s">
        <v>399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</row>
    <row r="346" spans="1:10" x14ac:dyDescent="0.25">
      <c r="A346" t="s">
        <v>811</v>
      </c>
      <c r="B346" t="s">
        <v>874</v>
      </c>
      <c r="C346" t="s">
        <v>400</v>
      </c>
      <c r="D346" s="1">
        <v>107332</v>
      </c>
      <c r="E346" s="1">
        <v>3144</v>
      </c>
      <c r="F346" s="1">
        <v>0</v>
      </c>
      <c r="G346" s="1">
        <v>0</v>
      </c>
      <c r="H346" s="1">
        <v>0</v>
      </c>
      <c r="I346" s="1">
        <v>30628</v>
      </c>
      <c r="J346" s="1">
        <v>42987</v>
      </c>
    </row>
    <row r="347" spans="1:10" x14ac:dyDescent="0.25">
      <c r="A347" t="s">
        <v>10</v>
      </c>
      <c r="B347" t="s">
        <v>874</v>
      </c>
      <c r="C347" t="s">
        <v>401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</row>
    <row r="348" spans="1:10" x14ac:dyDescent="0.25">
      <c r="A348" t="s">
        <v>795</v>
      </c>
      <c r="B348" t="s">
        <v>874</v>
      </c>
      <c r="C348" t="s">
        <v>402</v>
      </c>
      <c r="D348" s="1">
        <v>35166</v>
      </c>
      <c r="E348" s="1">
        <v>1759</v>
      </c>
      <c r="F348" s="1">
        <v>0</v>
      </c>
      <c r="G348" s="1">
        <v>0</v>
      </c>
      <c r="H348" s="1">
        <v>0</v>
      </c>
      <c r="I348" s="1">
        <v>7095</v>
      </c>
      <c r="J348" s="1">
        <v>12302</v>
      </c>
    </row>
    <row r="349" spans="1:10" x14ac:dyDescent="0.25">
      <c r="A349" t="s">
        <v>10</v>
      </c>
      <c r="B349" t="s">
        <v>874</v>
      </c>
      <c r="C349" t="s">
        <v>403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</row>
    <row r="350" spans="1:10" x14ac:dyDescent="0.25">
      <c r="A350" t="s">
        <v>797</v>
      </c>
      <c r="B350" t="s">
        <v>874</v>
      </c>
      <c r="C350" t="s">
        <v>404</v>
      </c>
      <c r="D350" s="1">
        <v>79476</v>
      </c>
      <c r="E350" s="1">
        <v>1528</v>
      </c>
      <c r="F350" s="1">
        <v>0</v>
      </c>
      <c r="G350" s="1">
        <v>0</v>
      </c>
      <c r="H350" s="1">
        <v>0</v>
      </c>
      <c r="I350" s="1">
        <v>51069</v>
      </c>
      <c r="J350" s="1">
        <v>23304</v>
      </c>
    </row>
    <row r="351" spans="1:10" x14ac:dyDescent="0.25">
      <c r="A351" t="s">
        <v>83</v>
      </c>
      <c r="B351" t="s">
        <v>874</v>
      </c>
      <c r="C351" t="s">
        <v>405</v>
      </c>
      <c r="D351" s="1">
        <v>11901</v>
      </c>
      <c r="E351" s="1">
        <v>20</v>
      </c>
      <c r="F351" s="1">
        <v>0</v>
      </c>
      <c r="G351" s="1">
        <v>0</v>
      </c>
      <c r="H351" s="1">
        <v>0</v>
      </c>
      <c r="I351" s="1">
        <v>7555</v>
      </c>
      <c r="J351" s="1">
        <v>2957</v>
      </c>
    </row>
    <row r="352" spans="1:10" x14ac:dyDescent="0.25">
      <c r="A352" t="s">
        <v>248</v>
      </c>
      <c r="B352" t="s">
        <v>874</v>
      </c>
      <c r="C352" t="s">
        <v>406</v>
      </c>
      <c r="D352" s="1">
        <v>64685</v>
      </c>
      <c r="E352" s="1">
        <v>1005</v>
      </c>
      <c r="F352" s="1">
        <v>0</v>
      </c>
      <c r="G352" s="1">
        <v>0</v>
      </c>
      <c r="H352" s="1">
        <v>0</v>
      </c>
      <c r="I352" s="1">
        <v>109223</v>
      </c>
      <c r="J352" s="1">
        <v>9290</v>
      </c>
    </row>
    <row r="353" spans="1:10" x14ac:dyDescent="0.25">
      <c r="A353" s="27" t="s">
        <v>10</v>
      </c>
      <c r="B353" s="27" t="s">
        <v>874</v>
      </c>
      <c r="C353" s="27" t="s">
        <v>779</v>
      </c>
      <c r="D353" s="32"/>
      <c r="E353" s="32"/>
      <c r="F353" s="32"/>
      <c r="G353" s="32"/>
      <c r="H353" s="32"/>
      <c r="I353" s="32"/>
      <c r="J353" s="32"/>
    </row>
    <row r="354" spans="1:10" x14ac:dyDescent="0.25">
      <c r="A354" t="s">
        <v>848</v>
      </c>
      <c r="B354" t="s">
        <v>874</v>
      </c>
      <c r="C354" t="s">
        <v>407</v>
      </c>
      <c r="D354" s="1">
        <v>35558</v>
      </c>
      <c r="E354" s="1">
        <v>256</v>
      </c>
      <c r="F354" s="1">
        <v>0</v>
      </c>
      <c r="G354" s="1">
        <v>0</v>
      </c>
      <c r="H354" s="1">
        <v>0</v>
      </c>
      <c r="I354" s="1">
        <v>6600</v>
      </c>
      <c r="J354" s="1">
        <v>5462</v>
      </c>
    </row>
    <row r="355" spans="1:10" x14ac:dyDescent="0.25">
      <c r="A355" t="s">
        <v>801</v>
      </c>
      <c r="B355" t="s">
        <v>874</v>
      </c>
      <c r="C355" t="s">
        <v>408</v>
      </c>
      <c r="D355" s="1">
        <v>91436</v>
      </c>
      <c r="E355" s="1">
        <v>788</v>
      </c>
      <c r="F355" s="1">
        <v>0</v>
      </c>
      <c r="G355" s="1">
        <v>0</v>
      </c>
      <c r="H355" s="1">
        <v>0</v>
      </c>
      <c r="I355" s="1">
        <v>128197</v>
      </c>
      <c r="J355" s="1">
        <v>23600</v>
      </c>
    </row>
    <row r="356" spans="1:10" x14ac:dyDescent="0.25">
      <c r="A356" t="s">
        <v>811</v>
      </c>
      <c r="B356" t="s">
        <v>874</v>
      </c>
      <c r="C356" t="s">
        <v>409</v>
      </c>
      <c r="D356" s="1">
        <v>160095</v>
      </c>
      <c r="E356" s="1">
        <v>901</v>
      </c>
      <c r="F356" s="1">
        <v>0</v>
      </c>
      <c r="G356" s="1">
        <v>0</v>
      </c>
      <c r="H356" s="1">
        <v>0</v>
      </c>
      <c r="I356" s="1">
        <v>104323</v>
      </c>
      <c r="J356" s="1">
        <v>66669</v>
      </c>
    </row>
    <row r="357" spans="1:10" x14ac:dyDescent="0.25">
      <c r="A357" t="s">
        <v>83</v>
      </c>
      <c r="B357" t="s">
        <v>874</v>
      </c>
      <c r="C357" t="s">
        <v>410</v>
      </c>
      <c r="D357" s="1">
        <v>8731</v>
      </c>
      <c r="E357" s="1">
        <v>69</v>
      </c>
      <c r="F357" s="1">
        <v>0</v>
      </c>
      <c r="G357" s="1">
        <v>0</v>
      </c>
      <c r="H357" s="1">
        <v>0</v>
      </c>
      <c r="I357" s="1">
        <v>28141</v>
      </c>
      <c r="J357" s="1">
        <v>1981</v>
      </c>
    </row>
    <row r="358" spans="1:10" x14ac:dyDescent="0.25">
      <c r="A358" t="s">
        <v>120</v>
      </c>
      <c r="B358" t="s">
        <v>874</v>
      </c>
      <c r="C358" t="s">
        <v>411</v>
      </c>
      <c r="D358" s="1">
        <v>84592</v>
      </c>
      <c r="E358" s="1">
        <v>53</v>
      </c>
      <c r="F358" s="1">
        <v>0</v>
      </c>
      <c r="G358" s="1">
        <v>0</v>
      </c>
      <c r="H358" s="1">
        <v>0</v>
      </c>
      <c r="I358" s="1">
        <v>76005</v>
      </c>
      <c r="J358" s="1">
        <v>30354</v>
      </c>
    </row>
    <row r="359" spans="1:10" x14ac:dyDescent="0.25">
      <c r="A359" t="s">
        <v>134</v>
      </c>
      <c r="B359" t="s">
        <v>874</v>
      </c>
      <c r="C359" t="s">
        <v>412</v>
      </c>
      <c r="D359" s="1">
        <v>21553</v>
      </c>
      <c r="E359" s="1">
        <v>86</v>
      </c>
      <c r="F359" s="1">
        <v>0</v>
      </c>
      <c r="G359" s="1">
        <v>0</v>
      </c>
      <c r="H359" s="1">
        <v>0</v>
      </c>
      <c r="I359" s="1">
        <v>18281</v>
      </c>
      <c r="J359" s="1">
        <v>4428</v>
      </c>
    </row>
    <row r="360" spans="1:10" x14ac:dyDescent="0.25">
      <c r="A360" t="s">
        <v>120</v>
      </c>
      <c r="B360" t="s">
        <v>874</v>
      </c>
      <c r="C360" t="s">
        <v>413</v>
      </c>
      <c r="D360" s="1">
        <v>61219</v>
      </c>
      <c r="E360" s="1">
        <v>159</v>
      </c>
      <c r="F360" s="1">
        <v>0</v>
      </c>
      <c r="G360" s="1">
        <v>0</v>
      </c>
      <c r="H360" s="1">
        <v>0</v>
      </c>
      <c r="I360" s="1">
        <v>20808</v>
      </c>
      <c r="J360" s="1">
        <v>8795</v>
      </c>
    </row>
    <row r="361" spans="1:10" x14ac:dyDescent="0.25">
      <c r="A361" t="s">
        <v>138</v>
      </c>
      <c r="B361" t="s">
        <v>874</v>
      </c>
      <c r="C361" t="s">
        <v>414</v>
      </c>
      <c r="D361" s="1">
        <v>77967</v>
      </c>
      <c r="E361" s="1">
        <v>178</v>
      </c>
      <c r="F361" s="1">
        <v>0</v>
      </c>
      <c r="G361" s="1">
        <v>0</v>
      </c>
      <c r="H361" s="1">
        <v>0</v>
      </c>
      <c r="I361" s="1">
        <v>98122</v>
      </c>
      <c r="J361" s="1">
        <v>19761</v>
      </c>
    </row>
    <row r="362" spans="1:10" x14ac:dyDescent="0.25">
      <c r="A362" t="s">
        <v>796</v>
      </c>
      <c r="B362" t="s">
        <v>874</v>
      </c>
      <c r="C362" t="s">
        <v>415</v>
      </c>
      <c r="D362" s="1">
        <v>64031</v>
      </c>
      <c r="E362" s="1">
        <v>726</v>
      </c>
      <c r="F362" s="1">
        <v>0</v>
      </c>
      <c r="G362" s="1">
        <v>0</v>
      </c>
      <c r="H362" s="1">
        <v>0</v>
      </c>
      <c r="I362" s="1">
        <v>70533</v>
      </c>
      <c r="J362" s="1">
        <v>19641</v>
      </c>
    </row>
    <row r="363" spans="1:10" x14ac:dyDescent="0.25">
      <c r="A363" t="s">
        <v>226</v>
      </c>
      <c r="B363" t="s">
        <v>874</v>
      </c>
      <c r="C363" t="s">
        <v>416</v>
      </c>
      <c r="D363" s="1">
        <v>17758</v>
      </c>
      <c r="E363" s="1">
        <v>73</v>
      </c>
      <c r="F363" s="1">
        <v>0</v>
      </c>
      <c r="G363" s="1">
        <v>0</v>
      </c>
      <c r="H363" s="1">
        <v>0</v>
      </c>
      <c r="I363" s="1">
        <v>67471</v>
      </c>
      <c r="J363" s="1">
        <v>3955</v>
      </c>
    </row>
    <row r="364" spans="1:10" x14ac:dyDescent="0.25">
      <c r="A364" t="s">
        <v>138</v>
      </c>
      <c r="B364" t="s">
        <v>874</v>
      </c>
      <c r="C364" t="s">
        <v>417</v>
      </c>
      <c r="D364" s="1">
        <v>107583</v>
      </c>
      <c r="E364" s="1">
        <v>786</v>
      </c>
      <c r="F364" s="1">
        <v>0</v>
      </c>
      <c r="G364" s="1">
        <v>0</v>
      </c>
      <c r="H364" s="1">
        <v>0</v>
      </c>
      <c r="I364" s="1">
        <v>121414</v>
      </c>
      <c r="J364" s="1">
        <v>37559</v>
      </c>
    </row>
    <row r="365" spans="1:10" x14ac:dyDescent="0.25">
      <c r="A365" t="s">
        <v>138</v>
      </c>
      <c r="B365" t="s">
        <v>874</v>
      </c>
      <c r="C365" t="s">
        <v>418</v>
      </c>
      <c r="D365" s="1">
        <v>96061</v>
      </c>
      <c r="E365" s="1">
        <v>544</v>
      </c>
      <c r="F365" s="1">
        <v>0</v>
      </c>
      <c r="G365" s="1">
        <v>0</v>
      </c>
      <c r="H365" s="1">
        <v>0</v>
      </c>
      <c r="I365" s="1">
        <v>92116</v>
      </c>
      <c r="J365" s="1">
        <v>20192</v>
      </c>
    </row>
    <row r="366" spans="1:10" x14ac:dyDescent="0.25">
      <c r="A366" t="s">
        <v>796</v>
      </c>
      <c r="B366" t="s">
        <v>874</v>
      </c>
      <c r="C366" t="s">
        <v>419</v>
      </c>
      <c r="D366" s="1">
        <v>106716</v>
      </c>
      <c r="E366" s="1">
        <v>805</v>
      </c>
      <c r="F366" s="1">
        <v>0</v>
      </c>
      <c r="G366" s="1">
        <v>0</v>
      </c>
      <c r="H366" s="1">
        <v>0</v>
      </c>
      <c r="I366" s="1">
        <v>234139</v>
      </c>
      <c r="J366" s="1">
        <v>31683</v>
      </c>
    </row>
    <row r="367" spans="1:10" x14ac:dyDescent="0.25">
      <c r="A367" t="s">
        <v>831</v>
      </c>
      <c r="B367" t="s">
        <v>874</v>
      </c>
      <c r="C367" t="s">
        <v>420</v>
      </c>
      <c r="D367" s="1">
        <v>48975</v>
      </c>
      <c r="E367" s="1">
        <v>181</v>
      </c>
      <c r="F367" s="1">
        <v>0</v>
      </c>
      <c r="G367" s="1">
        <v>0</v>
      </c>
      <c r="H367" s="1">
        <v>0</v>
      </c>
      <c r="I367" s="1">
        <v>50074</v>
      </c>
      <c r="J367" s="1">
        <v>26641</v>
      </c>
    </row>
    <row r="368" spans="1:10" x14ac:dyDescent="0.25">
      <c r="A368" t="s">
        <v>69</v>
      </c>
      <c r="B368" t="s">
        <v>874</v>
      </c>
      <c r="C368" t="s">
        <v>421</v>
      </c>
      <c r="D368" s="1">
        <v>117086</v>
      </c>
      <c r="E368" s="1">
        <v>296</v>
      </c>
      <c r="F368" s="1">
        <v>0</v>
      </c>
      <c r="G368" s="1">
        <v>0</v>
      </c>
      <c r="H368" s="1">
        <v>0</v>
      </c>
      <c r="I368" s="1">
        <v>63298</v>
      </c>
      <c r="J368" s="1">
        <v>22317</v>
      </c>
    </row>
    <row r="369" spans="1:10" x14ac:dyDescent="0.25">
      <c r="A369" t="s">
        <v>146</v>
      </c>
      <c r="B369" t="s">
        <v>874</v>
      </c>
      <c r="C369" t="s">
        <v>422</v>
      </c>
      <c r="D369" s="1">
        <v>94245</v>
      </c>
      <c r="E369" s="1">
        <v>693</v>
      </c>
      <c r="F369" s="1">
        <v>0</v>
      </c>
      <c r="G369" s="1">
        <v>0</v>
      </c>
      <c r="H369" s="1">
        <v>0</v>
      </c>
      <c r="I369" s="1">
        <v>54366</v>
      </c>
      <c r="J369" s="1">
        <v>27757</v>
      </c>
    </row>
    <row r="370" spans="1:10" x14ac:dyDescent="0.25">
      <c r="A370" t="s">
        <v>146</v>
      </c>
      <c r="B370" t="s">
        <v>874</v>
      </c>
      <c r="C370" t="s">
        <v>423</v>
      </c>
      <c r="D370" s="1">
        <v>74377</v>
      </c>
      <c r="E370" s="1">
        <v>65</v>
      </c>
      <c r="F370" s="1">
        <v>0</v>
      </c>
      <c r="G370" s="1">
        <v>0</v>
      </c>
      <c r="H370" s="1">
        <v>0</v>
      </c>
      <c r="I370" s="1">
        <v>37194</v>
      </c>
      <c r="J370" s="1">
        <v>27911</v>
      </c>
    </row>
    <row r="371" spans="1:10" x14ac:dyDescent="0.25">
      <c r="A371" t="s">
        <v>76</v>
      </c>
      <c r="B371" t="s">
        <v>874</v>
      </c>
      <c r="C371" t="s">
        <v>424</v>
      </c>
      <c r="D371" s="1">
        <v>117334</v>
      </c>
      <c r="E371" s="1">
        <v>46</v>
      </c>
      <c r="F371" s="1">
        <v>0</v>
      </c>
      <c r="G371" s="1">
        <v>0</v>
      </c>
      <c r="H371" s="1">
        <v>0</v>
      </c>
      <c r="I371" s="1">
        <v>155509</v>
      </c>
      <c r="J371" s="1">
        <v>25539</v>
      </c>
    </row>
    <row r="372" spans="1:10" x14ac:dyDescent="0.25">
      <c r="A372" t="s">
        <v>795</v>
      </c>
      <c r="B372" t="s">
        <v>874</v>
      </c>
      <c r="C372" t="s">
        <v>425</v>
      </c>
      <c r="D372" s="1">
        <v>208459</v>
      </c>
      <c r="E372" s="1">
        <v>102</v>
      </c>
      <c r="F372" s="1">
        <v>0</v>
      </c>
      <c r="G372" s="1">
        <v>0</v>
      </c>
      <c r="H372" s="1">
        <v>0</v>
      </c>
      <c r="I372" s="1">
        <v>121460</v>
      </c>
      <c r="J372" s="1">
        <v>56975</v>
      </c>
    </row>
    <row r="373" spans="1:10" x14ac:dyDescent="0.25">
      <c r="A373" t="s">
        <v>824</v>
      </c>
      <c r="B373" t="s">
        <v>874</v>
      </c>
      <c r="C373" t="s">
        <v>426</v>
      </c>
      <c r="D373" s="1">
        <v>59070</v>
      </c>
      <c r="E373" s="1">
        <v>142</v>
      </c>
      <c r="F373" s="1">
        <v>0</v>
      </c>
      <c r="G373" s="1">
        <v>0</v>
      </c>
      <c r="H373" s="1">
        <v>0</v>
      </c>
      <c r="I373" s="1">
        <v>63418</v>
      </c>
      <c r="J373" s="1">
        <v>26849</v>
      </c>
    </row>
    <row r="374" spans="1:10" x14ac:dyDescent="0.25">
      <c r="A374" t="s">
        <v>788</v>
      </c>
      <c r="B374" t="s">
        <v>874</v>
      </c>
      <c r="C374" t="s">
        <v>427</v>
      </c>
      <c r="D374" s="1">
        <v>159241</v>
      </c>
      <c r="E374" s="1">
        <v>488</v>
      </c>
      <c r="F374" s="1">
        <v>0</v>
      </c>
      <c r="G374" s="1">
        <v>0</v>
      </c>
      <c r="H374" s="1">
        <v>0</v>
      </c>
      <c r="I374" s="1">
        <v>152734</v>
      </c>
      <c r="J374" s="1">
        <v>40371</v>
      </c>
    </row>
    <row r="375" spans="1:10" x14ac:dyDescent="0.25">
      <c r="A375" t="s">
        <v>226</v>
      </c>
      <c r="B375" t="s">
        <v>874</v>
      </c>
      <c r="C375" t="s">
        <v>428</v>
      </c>
      <c r="D375" s="1">
        <v>23462</v>
      </c>
      <c r="E375" s="1">
        <v>5</v>
      </c>
      <c r="F375" s="1">
        <v>0</v>
      </c>
      <c r="G375" s="1">
        <v>0</v>
      </c>
      <c r="H375" s="1">
        <v>0</v>
      </c>
      <c r="I375" s="1">
        <v>27948</v>
      </c>
      <c r="J375" s="1">
        <v>4384</v>
      </c>
    </row>
    <row r="376" spans="1:10" x14ac:dyDescent="0.25">
      <c r="A376" t="s">
        <v>791</v>
      </c>
      <c r="B376" t="s">
        <v>874</v>
      </c>
      <c r="C376" t="s">
        <v>429</v>
      </c>
      <c r="D376" s="1">
        <v>13339</v>
      </c>
      <c r="E376" s="1">
        <v>54</v>
      </c>
      <c r="F376" s="1">
        <v>0</v>
      </c>
      <c r="G376" s="1">
        <v>0</v>
      </c>
      <c r="H376" s="1">
        <v>0</v>
      </c>
      <c r="I376" s="1">
        <v>9857</v>
      </c>
      <c r="J376" s="1">
        <v>2570</v>
      </c>
    </row>
    <row r="377" spans="1:10" x14ac:dyDescent="0.25">
      <c r="A377" t="s">
        <v>788</v>
      </c>
      <c r="B377" t="s">
        <v>874</v>
      </c>
      <c r="C377" t="s">
        <v>430</v>
      </c>
      <c r="D377" s="1">
        <v>43351</v>
      </c>
      <c r="E377" s="1">
        <v>86</v>
      </c>
      <c r="F377" s="1">
        <v>0</v>
      </c>
      <c r="G377" s="1">
        <v>0</v>
      </c>
      <c r="H377" s="1">
        <v>0</v>
      </c>
      <c r="I377" s="1">
        <v>30153</v>
      </c>
      <c r="J377" s="1">
        <v>11841</v>
      </c>
    </row>
    <row r="378" spans="1:10" x14ac:dyDescent="0.25">
      <c r="A378" t="s">
        <v>10</v>
      </c>
      <c r="B378" t="s">
        <v>874</v>
      </c>
      <c r="C378" t="s">
        <v>431</v>
      </c>
      <c r="D378" s="1"/>
      <c r="E378" s="1"/>
      <c r="F378" s="1"/>
      <c r="G378" s="1"/>
      <c r="H378" s="1"/>
      <c r="I378" s="1"/>
      <c r="J378" s="1"/>
    </row>
    <row r="379" spans="1:10" x14ac:dyDescent="0.25">
      <c r="A379" t="s">
        <v>69</v>
      </c>
      <c r="B379" t="s">
        <v>874</v>
      </c>
      <c r="C379" t="s">
        <v>432</v>
      </c>
      <c r="D379" s="1">
        <v>89366</v>
      </c>
      <c r="E379" s="1">
        <v>63</v>
      </c>
      <c r="F379" s="1">
        <v>0</v>
      </c>
      <c r="G379" s="1">
        <v>0</v>
      </c>
      <c r="H379" s="1">
        <v>0</v>
      </c>
      <c r="I379" s="1">
        <v>117185</v>
      </c>
      <c r="J379" s="1">
        <v>27586</v>
      </c>
    </row>
    <row r="380" spans="1:10" x14ac:dyDescent="0.25">
      <c r="A380" t="s">
        <v>226</v>
      </c>
      <c r="B380" t="s">
        <v>874</v>
      </c>
      <c r="C380" t="s">
        <v>433</v>
      </c>
      <c r="D380" s="1">
        <v>85168</v>
      </c>
      <c r="E380" s="1">
        <v>253</v>
      </c>
      <c r="F380" s="1">
        <v>0</v>
      </c>
      <c r="G380" s="1">
        <v>0</v>
      </c>
      <c r="H380" s="1">
        <v>0</v>
      </c>
      <c r="I380" s="1">
        <v>97333</v>
      </c>
      <c r="J380" s="1">
        <v>19835</v>
      </c>
    </row>
    <row r="381" spans="1:10" x14ac:dyDescent="0.25">
      <c r="A381" t="s">
        <v>864</v>
      </c>
      <c r="B381" t="s">
        <v>874</v>
      </c>
      <c r="C381" t="s">
        <v>434</v>
      </c>
      <c r="D381" s="1">
        <v>50165</v>
      </c>
      <c r="E381" s="1">
        <v>643</v>
      </c>
      <c r="F381" s="1">
        <v>0</v>
      </c>
      <c r="G381" s="1">
        <v>0</v>
      </c>
      <c r="H381" s="1">
        <v>0</v>
      </c>
      <c r="I381" s="1">
        <v>32669</v>
      </c>
      <c r="J381" s="1">
        <v>20485</v>
      </c>
    </row>
    <row r="382" spans="1:10" x14ac:dyDescent="0.25">
      <c r="A382" t="s">
        <v>809</v>
      </c>
      <c r="B382" t="s">
        <v>874</v>
      </c>
      <c r="C382" t="s">
        <v>435</v>
      </c>
      <c r="D382" s="1">
        <v>117025</v>
      </c>
      <c r="E382" s="1">
        <v>432</v>
      </c>
      <c r="F382" s="1">
        <v>0</v>
      </c>
      <c r="G382" s="1">
        <v>0</v>
      </c>
      <c r="H382" s="1">
        <v>0</v>
      </c>
      <c r="I382" s="1">
        <v>141413</v>
      </c>
      <c r="J382" s="1">
        <v>18654</v>
      </c>
    </row>
    <row r="383" spans="1:10" x14ac:dyDescent="0.25">
      <c r="A383" t="s">
        <v>138</v>
      </c>
      <c r="B383" t="s">
        <v>874</v>
      </c>
      <c r="C383" t="s">
        <v>436</v>
      </c>
      <c r="D383" s="1">
        <v>150201</v>
      </c>
      <c r="E383" s="1">
        <v>1297</v>
      </c>
      <c r="F383" s="1">
        <v>0</v>
      </c>
      <c r="G383" s="1">
        <v>0</v>
      </c>
      <c r="H383" s="1">
        <v>0</v>
      </c>
      <c r="I383" s="1">
        <v>163272</v>
      </c>
      <c r="J383" s="1">
        <v>32140</v>
      </c>
    </row>
    <row r="384" spans="1:10" x14ac:dyDescent="0.25">
      <c r="A384" t="s">
        <v>229</v>
      </c>
      <c r="B384" t="s">
        <v>874</v>
      </c>
      <c r="C384" t="s">
        <v>437</v>
      </c>
      <c r="D384" s="1">
        <v>86299</v>
      </c>
      <c r="E384" s="1">
        <v>477</v>
      </c>
      <c r="F384" s="1">
        <v>0</v>
      </c>
      <c r="G384" s="1">
        <v>0</v>
      </c>
      <c r="H384" s="1">
        <v>0</v>
      </c>
      <c r="I384" s="1">
        <v>152489</v>
      </c>
      <c r="J384" s="1">
        <v>19518</v>
      </c>
    </row>
    <row r="385" spans="1:10" x14ac:dyDescent="0.25">
      <c r="A385" t="s">
        <v>801</v>
      </c>
      <c r="B385" t="s">
        <v>874</v>
      </c>
      <c r="C385" t="s">
        <v>438</v>
      </c>
      <c r="D385" s="1">
        <v>125629</v>
      </c>
      <c r="E385" s="1">
        <v>51</v>
      </c>
      <c r="F385" s="1">
        <v>0</v>
      </c>
      <c r="G385" s="1">
        <v>0</v>
      </c>
      <c r="H385" s="1">
        <v>0</v>
      </c>
      <c r="I385" s="1">
        <v>309518</v>
      </c>
      <c r="J385" s="1">
        <v>41386</v>
      </c>
    </row>
    <row r="386" spans="1:10" x14ac:dyDescent="0.25">
      <c r="A386" s="27" t="s">
        <v>10</v>
      </c>
      <c r="B386" s="27" t="s">
        <v>874</v>
      </c>
      <c r="C386" s="27" t="s">
        <v>780</v>
      </c>
      <c r="D386" s="32"/>
      <c r="E386" s="32"/>
      <c r="F386" s="32"/>
      <c r="G386" s="32"/>
      <c r="H386" s="32"/>
      <c r="I386" s="32"/>
      <c r="J386" s="32"/>
    </row>
    <row r="387" spans="1:10" x14ac:dyDescent="0.25">
      <c r="A387" t="s">
        <v>69</v>
      </c>
      <c r="B387" t="s">
        <v>874</v>
      </c>
      <c r="C387" t="s">
        <v>439</v>
      </c>
      <c r="D387" s="1">
        <v>187263</v>
      </c>
      <c r="E387" s="1">
        <v>4534</v>
      </c>
      <c r="F387" s="1">
        <v>0</v>
      </c>
      <c r="G387" s="1">
        <v>0</v>
      </c>
      <c r="H387" s="1">
        <v>0</v>
      </c>
      <c r="I387" s="1">
        <v>174987</v>
      </c>
      <c r="J387" s="1">
        <v>49244</v>
      </c>
    </row>
    <row r="388" spans="1:10" x14ac:dyDescent="0.25">
      <c r="A388" t="s">
        <v>83</v>
      </c>
      <c r="B388" t="s">
        <v>874</v>
      </c>
      <c r="C388" t="s">
        <v>440</v>
      </c>
      <c r="D388" s="1">
        <v>11704</v>
      </c>
      <c r="E388" s="1">
        <v>24</v>
      </c>
      <c r="F388" s="1">
        <v>0</v>
      </c>
      <c r="G388" s="1">
        <v>0</v>
      </c>
      <c r="H388" s="1">
        <v>0</v>
      </c>
      <c r="I388" s="1">
        <v>22775</v>
      </c>
      <c r="J388" s="1">
        <v>2116</v>
      </c>
    </row>
    <row r="389" spans="1:10" x14ac:dyDescent="0.25">
      <c r="A389" t="s">
        <v>809</v>
      </c>
      <c r="B389" t="s">
        <v>874</v>
      </c>
      <c r="C389" t="s">
        <v>441</v>
      </c>
      <c r="D389" s="1">
        <v>66674</v>
      </c>
      <c r="E389" s="1">
        <v>1061</v>
      </c>
      <c r="F389" s="1">
        <v>0</v>
      </c>
      <c r="G389" s="1">
        <v>0</v>
      </c>
      <c r="H389" s="1">
        <v>0</v>
      </c>
      <c r="I389" s="1">
        <v>40716</v>
      </c>
      <c r="J389" s="1">
        <v>9645</v>
      </c>
    </row>
    <row r="390" spans="1:10" x14ac:dyDescent="0.25">
      <c r="A390" t="s">
        <v>794</v>
      </c>
      <c r="B390" t="s">
        <v>874</v>
      </c>
      <c r="C390" t="s">
        <v>442</v>
      </c>
      <c r="D390" s="1">
        <v>126522</v>
      </c>
      <c r="E390" s="1">
        <v>656</v>
      </c>
      <c r="F390" s="1">
        <v>0</v>
      </c>
      <c r="G390" s="1">
        <v>0</v>
      </c>
      <c r="H390" s="1">
        <v>0</v>
      </c>
      <c r="I390" s="1">
        <v>134585</v>
      </c>
      <c r="J390" s="1">
        <v>52291</v>
      </c>
    </row>
    <row r="391" spans="1:10" x14ac:dyDescent="0.25">
      <c r="A391" t="s">
        <v>796</v>
      </c>
      <c r="B391" t="s">
        <v>874</v>
      </c>
      <c r="C391" t="s">
        <v>443</v>
      </c>
      <c r="D391" s="1">
        <v>173104</v>
      </c>
      <c r="E391" s="1">
        <v>407</v>
      </c>
      <c r="F391" s="1">
        <v>0</v>
      </c>
      <c r="G391" s="1">
        <v>0</v>
      </c>
      <c r="H391" s="1">
        <v>0</v>
      </c>
      <c r="I391" s="1">
        <v>165542</v>
      </c>
      <c r="J391" s="1">
        <v>32089</v>
      </c>
    </row>
    <row r="392" spans="1:10" x14ac:dyDescent="0.25">
      <c r="A392" t="s">
        <v>794</v>
      </c>
      <c r="B392" t="s">
        <v>874</v>
      </c>
      <c r="C392" t="s">
        <v>444</v>
      </c>
      <c r="D392" s="1">
        <v>201284</v>
      </c>
      <c r="E392" s="1">
        <v>1405</v>
      </c>
      <c r="F392" s="1">
        <v>0</v>
      </c>
      <c r="G392" s="1">
        <v>0</v>
      </c>
      <c r="H392" s="1">
        <v>0</v>
      </c>
      <c r="I392" s="1">
        <v>103824</v>
      </c>
      <c r="J392" s="1">
        <v>74453</v>
      </c>
    </row>
    <row r="393" spans="1:10" x14ac:dyDescent="0.25">
      <c r="A393" t="s">
        <v>811</v>
      </c>
      <c r="B393" t="s">
        <v>874</v>
      </c>
      <c r="C393" t="s">
        <v>445</v>
      </c>
      <c r="D393" s="1">
        <v>146275</v>
      </c>
      <c r="E393" s="1">
        <v>42349</v>
      </c>
      <c r="F393" s="1">
        <v>0</v>
      </c>
      <c r="G393" s="1">
        <v>0</v>
      </c>
      <c r="H393" s="1">
        <v>0</v>
      </c>
      <c r="I393" s="1">
        <v>278574</v>
      </c>
      <c r="J393" s="1">
        <v>59357</v>
      </c>
    </row>
    <row r="394" spans="1:10" x14ac:dyDescent="0.25">
      <c r="A394" t="s">
        <v>848</v>
      </c>
      <c r="B394" t="s">
        <v>874</v>
      </c>
      <c r="C394" t="s">
        <v>446</v>
      </c>
      <c r="D394" s="1">
        <v>41008</v>
      </c>
      <c r="E394" s="1">
        <v>133</v>
      </c>
      <c r="F394" s="1">
        <v>0</v>
      </c>
      <c r="G394" s="1">
        <v>0</v>
      </c>
      <c r="H394" s="1">
        <v>0</v>
      </c>
      <c r="I394" s="1">
        <v>13866</v>
      </c>
      <c r="J394" s="1">
        <v>7203</v>
      </c>
    </row>
    <row r="395" spans="1:10" x14ac:dyDescent="0.25">
      <c r="A395" t="s">
        <v>134</v>
      </c>
      <c r="B395" t="s">
        <v>874</v>
      </c>
      <c r="C395" t="s">
        <v>447</v>
      </c>
      <c r="D395" s="1">
        <v>187250</v>
      </c>
      <c r="E395" s="1">
        <v>199</v>
      </c>
      <c r="F395" s="1">
        <v>0</v>
      </c>
      <c r="G395" s="1">
        <v>0</v>
      </c>
      <c r="H395" s="1">
        <v>0</v>
      </c>
      <c r="I395" s="1">
        <v>66883</v>
      </c>
      <c r="J395" s="1">
        <v>31981</v>
      </c>
    </row>
    <row r="396" spans="1:10" x14ac:dyDescent="0.25">
      <c r="A396" t="s">
        <v>76</v>
      </c>
      <c r="B396" t="s">
        <v>874</v>
      </c>
      <c r="C396" t="s">
        <v>448</v>
      </c>
      <c r="D396" s="1">
        <v>180317</v>
      </c>
      <c r="E396" s="1">
        <v>589</v>
      </c>
      <c r="F396" s="1">
        <v>0</v>
      </c>
      <c r="G396" s="1">
        <v>0</v>
      </c>
      <c r="H396" s="1">
        <v>0</v>
      </c>
      <c r="I396" s="1">
        <v>134707</v>
      </c>
      <c r="J396" s="1">
        <v>21198</v>
      </c>
    </row>
    <row r="397" spans="1:10" x14ac:dyDescent="0.25">
      <c r="A397" t="s">
        <v>801</v>
      </c>
      <c r="B397" t="s">
        <v>874</v>
      </c>
      <c r="C397" t="s">
        <v>449</v>
      </c>
      <c r="D397" s="1">
        <v>150629</v>
      </c>
      <c r="E397" s="1">
        <v>220</v>
      </c>
      <c r="F397" s="1">
        <v>0</v>
      </c>
      <c r="G397" s="1">
        <v>0</v>
      </c>
      <c r="H397" s="1">
        <v>0</v>
      </c>
      <c r="I397" s="1">
        <v>272340</v>
      </c>
      <c r="J397" s="1">
        <v>38486</v>
      </c>
    </row>
    <row r="398" spans="1:10" x14ac:dyDescent="0.25">
      <c r="A398" t="s">
        <v>788</v>
      </c>
      <c r="B398" t="s">
        <v>874</v>
      </c>
      <c r="C398" t="s">
        <v>450</v>
      </c>
      <c r="D398" s="1">
        <v>47982</v>
      </c>
      <c r="E398" s="1">
        <v>630</v>
      </c>
      <c r="F398" s="1">
        <v>0</v>
      </c>
      <c r="G398" s="1">
        <v>0</v>
      </c>
      <c r="H398" s="1">
        <v>0</v>
      </c>
      <c r="I398" s="1">
        <v>35474</v>
      </c>
      <c r="J398" s="1">
        <v>12622</v>
      </c>
    </row>
    <row r="399" spans="1:10" x14ac:dyDescent="0.25">
      <c r="A399" t="s">
        <v>803</v>
      </c>
      <c r="B399" t="s">
        <v>874</v>
      </c>
      <c r="C399" t="s">
        <v>451</v>
      </c>
      <c r="D399" s="1"/>
      <c r="E399" s="1"/>
      <c r="F399" s="1"/>
      <c r="G399" s="1"/>
      <c r="H399" s="1"/>
      <c r="I399" s="1"/>
      <c r="J399" s="1"/>
    </row>
    <row r="400" spans="1:10" x14ac:dyDescent="0.25">
      <c r="A400" t="s">
        <v>825</v>
      </c>
      <c r="B400" t="s">
        <v>874</v>
      </c>
      <c r="C400" t="s">
        <v>452</v>
      </c>
      <c r="D400" s="1">
        <v>19367</v>
      </c>
      <c r="E400" s="1">
        <v>56</v>
      </c>
      <c r="F400" s="1">
        <v>0</v>
      </c>
      <c r="G400" s="1">
        <v>0</v>
      </c>
      <c r="H400" s="1">
        <v>0</v>
      </c>
      <c r="I400" s="1">
        <v>22516</v>
      </c>
      <c r="J400" s="1">
        <v>4319</v>
      </c>
    </row>
    <row r="401" spans="1:10" x14ac:dyDescent="0.25">
      <c r="A401" t="s">
        <v>101</v>
      </c>
      <c r="B401" t="s">
        <v>874</v>
      </c>
      <c r="C401" t="s">
        <v>453</v>
      </c>
      <c r="D401" s="1">
        <v>86692</v>
      </c>
      <c r="E401" s="1">
        <v>244</v>
      </c>
      <c r="F401" s="1">
        <v>0</v>
      </c>
      <c r="G401" s="1">
        <v>0</v>
      </c>
      <c r="H401" s="1">
        <v>0</v>
      </c>
      <c r="I401" s="1">
        <v>56498</v>
      </c>
      <c r="J401" s="1">
        <v>18153</v>
      </c>
    </row>
    <row r="402" spans="1:10" x14ac:dyDescent="0.25">
      <c r="A402" t="s">
        <v>265</v>
      </c>
      <c r="B402" t="s">
        <v>874</v>
      </c>
      <c r="C402" t="s">
        <v>454</v>
      </c>
      <c r="D402" s="1">
        <v>90907</v>
      </c>
      <c r="E402" s="1">
        <v>55</v>
      </c>
      <c r="F402" s="1">
        <v>0</v>
      </c>
      <c r="G402" s="1">
        <v>0</v>
      </c>
      <c r="H402" s="1">
        <v>0</v>
      </c>
      <c r="I402" s="1">
        <v>158211</v>
      </c>
      <c r="J402" s="1">
        <v>8448</v>
      </c>
    </row>
    <row r="403" spans="1:10" x14ac:dyDescent="0.25">
      <c r="A403" t="s">
        <v>248</v>
      </c>
      <c r="B403" t="s">
        <v>874</v>
      </c>
      <c r="C403" t="s">
        <v>455</v>
      </c>
      <c r="D403" s="1">
        <v>34047</v>
      </c>
      <c r="E403" s="1">
        <v>454</v>
      </c>
      <c r="F403" s="1">
        <v>0</v>
      </c>
      <c r="G403" s="1">
        <v>0</v>
      </c>
      <c r="H403" s="1">
        <v>0</v>
      </c>
      <c r="I403" s="1">
        <v>133091</v>
      </c>
      <c r="J403" s="1">
        <v>7624</v>
      </c>
    </row>
    <row r="404" spans="1:10" x14ac:dyDescent="0.25">
      <c r="A404" t="s">
        <v>76</v>
      </c>
      <c r="B404" t="s">
        <v>874</v>
      </c>
      <c r="C404" t="s">
        <v>456</v>
      </c>
      <c r="D404" s="1">
        <v>134308</v>
      </c>
      <c r="E404" s="1">
        <v>327</v>
      </c>
      <c r="F404" s="1">
        <v>0</v>
      </c>
      <c r="G404" s="1">
        <v>0</v>
      </c>
      <c r="H404" s="1">
        <v>0</v>
      </c>
      <c r="I404" s="1">
        <v>333193</v>
      </c>
      <c r="J404" s="1">
        <v>22058</v>
      </c>
    </row>
    <row r="405" spans="1:10" x14ac:dyDescent="0.25">
      <c r="A405" t="s">
        <v>76</v>
      </c>
      <c r="B405" t="s">
        <v>874</v>
      </c>
      <c r="C405" t="s">
        <v>457</v>
      </c>
      <c r="D405" s="1">
        <v>88269</v>
      </c>
      <c r="E405" s="1">
        <v>927</v>
      </c>
      <c r="F405" s="1">
        <v>0</v>
      </c>
      <c r="G405" s="1">
        <v>0</v>
      </c>
      <c r="H405" s="1">
        <v>0</v>
      </c>
      <c r="I405" s="1">
        <v>52262</v>
      </c>
      <c r="J405" s="1">
        <v>25411</v>
      </c>
    </row>
    <row r="406" spans="1:10" x14ac:dyDescent="0.25">
      <c r="A406" t="s">
        <v>146</v>
      </c>
      <c r="B406" t="s">
        <v>874</v>
      </c>
      <c r="C406" t="s">
        <v>458</v>
      </c>
      <c r="D406" s="1">
        <v>63687</v>
      </c>
      <c r="E406" s="1">
        <v>2911</v>
      </c>
      <c r="F406" s="1">
        <v>0</v>
      </c>
      <c r="G406" s="1">
        <v>0</v>
      </c>
      <c r="H406" s="1">
        <v>0</v>
      </c>
      <c r="I406" s="1">
        <v>74093</v>
      </c>
      <c r="J406" s="1">
        <v>17146</v>
      </c>
    </row>
    <row r="407" spans="1:10" x14ac:dyDescent="0.25">
      <c r="A407" t="s">
        <v>83</v>
      </c>
      <c r="B407" t="s">
        <v>874</v>
      </c>
      <c r="C407" t="s">
        <v>459</v>
      </c>
      <c r="D407" s="1">
        <v>15311</v>
      </c>
      <c r="E407" s="1">
        <v>239</v>
      </c>
      <c r="F407" s="1">
        <v>0</v>
      </c>
      <c r="G407" s="1">
        <v>0</v>
      </c>
      <c r="H407" s="1">
        <v>0</v>
      </c>
      <c r="I407" s="1">
        <v>14567</v>
      </c>
      <c r="J407" s="1">
        <v>3679</v>
      </c>
    </row>
    <row r="408" spans="1:10" x14ac:dyDescent="0.25">
      <c r="A408" t="s">
        <v>248</v>
      </c>
      <c r="B408" t="s">
        <v>874</v>
      </c>
      <c r="C408" t="s">
        <v>460</v>
      </c>
      <c r="D408" s="1">
        <v>139804</v>
      </c>
      <c r="E408" s="1">
        <v>1568</v>
      </c>
      <c r="F408" s="1">
        <v>0</v>
      </c>
      <c r="G408" s="1">
        <v>0</v>
      </c>
      <c r="H408" s="1">
        <v>0</v>
      </c>
      <c r="I408" s="1">
        <v>429132</v>
      </c>
      <c r="J408" s="1">
        <v>55897</v>
      </c>
    </row>
    <row r="409" spans="1:10" x14ac:dyDescent="0.25">
      <c r="A409" t="s">
        <v>248</v>
      </c>
      <c r="B409" t="s">
        <v>874</v>
      </c>
      <c r="C409" t="s">
        <v>461</v>
      </c>
      <c r="D409" s="1">
        <v>130715</v>
      </c>
      <c r="E409" s="1">
        <v>286</v>
      </c>
      <c r="F409" s="1">
        <v>0</v>
      </c>
      <c r="G409" s="1">
        <v>0</v>
      </c>
      <c r="H409" s="1">
        <v>0</v>
      </c>
      <c r="I409" s="1">
        <v>180207</v>
      </c>
      <c r="J409" s="1">
        <v>22852</v>
      </c>
    </row>
    <row r="410" spans="1:10" x14ac:dyDescent="0.25">
      <c r="A410" t="s">
        <v>226</v>
      </c>
      <c r="B410" t="s">
        <v>874</v>
      </c>
      <c r="C410" t="s">
        <v>462</v>
      </c>
      <c r="D410" s="1">
        <v>31264</v>
      </c>
      <c r="E410" s="1">
        <v>53</v>
      </c>
      <c r="F410" s="1">
        <v>0</v>
      </c>
      <c r="G410" s="1">
        <v>0</v>
      </c>
      <c r="H410" s="1">
        <v>0</v>
      </c>
      <c r="I410" s="1">
        <v>3901</v>
      </c>
      <c r="J410" s="1">
        <v>2561</v>
      </c>
    </row>
    <row r="411" spans="1:10" x14ac:dyDescent="0.25">
      <c r="A411" t="s">
        <v>826</v>
      </c>
      <c r="B411" t="s">
        <v>874</v>
      </c>
      <c r="C411" t="s">
        <v>463</v>
      </c>
      <c r="D411" s="1">
        <v>37242</v>
      </c>
      <c r="E411" s="1">
        <v>1497</v>
      </c>
      <c r="F411" s="1">
        <v>0</v>
      </c>
      <c r="G411" s="1">
        <v>0</v>
      </c>
      <c r="H411" s="1">
        <v>0</v>
      </c>
      <c r="I411" s="1">
        <v>47928</v>
      </c>
      <c r="J411" s="1">
        <v>11791</v>
      </c>
    </row>
    <row r="412" spans="1:10" x14ac:dyDescent="0.25">
      <c r="A412" t="s">
        <v>248</v>
      </c>
      <c r="B412" t="s">
        <v>874</v>
      </c>
      <c r="C412" t="s">
        <v>464</v>
      </c>
      <c r="D412" s="1">
        <v>49229</v>
      </c>
      <c r="E412" s="1">
        <v>152</v>
      </c>
      <c r="F412" s="1">
        <v>0</v>
      </c>
      <c r="G412" s="1">
        <v>0</v>
      </c>
      <c r="H412" s="1">
        <v>0</v>
      </c>
      <c r="I412" s="1">
        <v>79326</v>
      </c>
      <c r="J412" s="1">
        <v>11068</v>
      </c>
    </row>
    <row r="413" spans="1:10" x14ac:dyDescent="0.25">
      <c r="A413" t="s">
        <v>101</v>
      </c>
      <c r="B413" t="s">
        <v>874</v>
      </c>
      <c r="C413" t="s">
        <v>465</v>
      </c>
      <c r="D413" s="1">
        <v>47320</v>
      </c>
      <c r="E413" s="1">
        <v>9</v>
      </c>
      <c r="F413" s="1">
        <v>0</v>
      </c>
      <c r="G413" s="1">
        <v>0</v>
      </c>
      <c r="H413" s="1">
        <v>0</v>
      </c>
      <c r="I413" s="1">
        <v>102499</v>
      </c>
      <c r="J413" s="1">
        <v>15901</v>
      </c>
    </row>
    <row r="414" spans="1:10" x14ac:dyDescent="0.25">
      <c r="A414" t="s">
        <v>865</v>
      </c>
      <c r="B414" t="s">
        <v>874</v>
      </c>
      <c r="C414" t="s">
        <v>466</v>
      </c>
      <c r="D414" s="1">
        <v>141183</v>
      </c>
      <c r="E414" s="1">
        <v>230</v>
      </c>
      <c r="F414" s="1">
        <v>0</v>
      </c>
      <c r="G414" s="1">
        <v>0</v>
      </c>
      <c r="H414" s="1">
        <v>0</v>
      </c>
      <c r="I414" s="1">
        <v>99734</v>
      </c>
      <c r="J414" s="1">
        <v>22551</v>
      </c>
    </row>
    <row r="415" spans="1:10" x14ac:dyDescent="0.25">
      <c r="A415" t="s">
        <v>512</v>
      </c>
      <c r="B415" t="s">
        <v>874</v>
      </c>
      <c r="C415" t="s">
        <v>467</v>
      </c>
      <c r="D415" s="1">
        <v>59893</v>
      </c>
      <c r="E415" s="1">
        <v>235</v>
      </c>
      <c r="F415" s="1">
        <v>0</v>
      </c>
      <c r="G415" s="1">
        <v>0</v>
      </c>
      <c r="H415" s="1">
        <v>0</v>
      </c>
      <c r="I415" s="1">
        <v>32714</v>
      </c>
      <c r="J415" s="1">
        <v>19886</v>
      </c>
    </row>
    <row r="416" spans="1:10" x14ac:dyDescent="0.25">
      <c r="A416" s="27" t="s">
        <v>10</v>
      </c>
      <c r="B416" s="27" t="s">
        <v>874</v>
      </c>
      <c r="C416" s="27" t="s">
        <v>781</v>
      </c>
      <c r="D416" s="32"/>
      <c r="E416" s="32"/>
      <c r="F416" s="32"/>
      <c r="G416" s="32"/>
      <c r="H416" s="32"/>
      <c r="I416" s="32"/>
      <c r="J416" s="32"/>
    </row>
    <row r="417" spans="1:10" x14ac:dyDescent="0.25">
      <c r="A417" t="s">
        <v>826</v>
      </c>
      <c r="B417" t="s">
        <v>874</v>
      </c>
      <c r="C417" t="s">
        <v>468</v>
      </c>
      <c r="D417" s="1">
        <v>37091</v>
      </c>
      <c r="E417" s="1">
        <v>229</v>
      </c>
      <c r="F417" s="1">
        <v>0</v>
      </c>
      <c r="G417" s="1">
        <v>0</v>
      </c>
      <c r="H417" s="1">
        <v>0</v>
      </c>
      <c r="I417" s="1">
        <v>29623</v>
      </c>
      <c r="J417" s="1">
        <v>12721</v>
      </c>
    </row>
    <row r="418" spans="1:10" x14ac:dyDescent="0.25">
      <c r="A418" t="s">
        <v>817</v>
      </c>
      <c r="B418" t="s">
        <v>874</v>
      </c>
      <c r="C418" t="s">
        <v>469</v>
      </c>
      <c r="D418" s="1">
        <v>349593</v>
      </c>
      <c r="E418" s="1">
        <v>336</v>
      </c>
      <c r="F418" s="1">
        <v>0</v>
      </c>
      <c r="G418" s="1">
        <v>0</v>
      </c>
      <c r="H418" s="1">
        <v>0</v>
      </c>
      <c r="I418" s="1">
        <v>90497</v>
      </c>
      <c r="J418" s="1">
        <v>3704</v>
      </c>
    </row>
    <row r="419" spans="1:10" x14ac:dyDescent="0.25">
      <c r="A419" t="s">
        <v>791</v>
      </c>
      <c r="B419" t="s">
        <v>874</v>
      </c>
      <c r="C419" t="s">
        <v>470</v>
      </c>
      <c r="D419" s="1">
        <v>47390</v>
      </c>
      <c r="E419" s="1">
        <v>1205</v>
      </c>
      <c r="F419" s="1">
        <v>0</v>
      </c>
      <c r="G419" s="1">
        <v>0</v>
      </c>
      <c r="H419" s="1">
        <v>0</v>
      </c>
      <c r="I419" s="1">
        <v>15285</v>
      </c>
      <c r="J419" s="1">
        <v>28665</v>
      </c>
    </row>
    <row r="420" spans="1:10" x14ac:dyDescent="0.25">
      <c r="A420" t="s">
        <v>788</v>
      </c>
      <c r="B420" t="s">
        <v>874</v>
      </c>
      <c r="C420" t="s">
        <v>471</v>
      </c>
      <c r="D420" s="1">
        <v>102939</v>
      </c>
      <c r="E420" s="1">
        <v>793</v>
      </c>
      <c r="F420" s="1">
        <v>0</v>
      </c>
      <c r="G420" s="1">
        <v>0</v>
      </c>
      <c r="H420" s="1">
        <v>0</v>
      </c>
      <c r="I420" s="1">
        <v>46636</v>
      </c>
      <c r="J420" s="1">
        <v>26408</v>
      </c>
    </row>
    <row r="421" spans="1:10" x14ac:dyDescent="0.25">
      <c r="A421" t="s">
        <v>795</v>
      </c>
      <c r="B421" t="s">
        <v>874</v>
      </c>
      <c r="C421" t="s">
        <v>472</v>
      </c>
      <c r="D421" s="1">
        <v>78895</v>
      </c>
      <c r="E421" s="1">
        <v>1887</v>
      </c>
      <c r="F421" s="1">
        <v>0</v>
      </c>
      <c r="G421" s="1">
        <v>0</v>
      </c>
      <c r="H421" s="1">
        <v>0</v>
      </c>
      <c r="I421" s="1">
        <v>49648</v>
      </c>
      <c r="J421" s="1">
        <v>23867</v>
      </c>
    </row>
    <row r="422" spans="1:10" x14ac:dyDescent="0.25">
      <c r="A422" t="s">
        <v>788</v>
      </c>
      <c r="B422" t="s">
        <v>874</v>
      </c>
      <c r="C422" t="s">
        <v>473</v>
      </c>
      <c r="D422" s="1">
        <v>120891</v>
      </c>
      <c r="E422" s="1">
        <v>3076</v>
      </c>
      <c r="F422" s="1">
        <v>0</v>
      </c>
      <c r="G422" s="1">
        <v>0</v>
      </c>
      <c r="H422" s="1">
        <v>0</v>
      </c>
      <c r="I422" s="1">
        <v>52875</v>
      </c>
      <c r="J422" s="1">
        <v>34683</v>
      </c>
    </row>
    <row r="423" spans="1:10" x14ac:dyDescent="0.25">
      <c r="A423" t="s">
        <v>817</v>
      </c>
      <c r="B423" t="s">
        <v>874</v>
      </c>
      <c r="C423" t="s">
        <v>474</v>
      </c>
      <c r="D423" s="1">
        <v>104323</v>
      </c>
      <c r="E423" s="1">
        <v>425</v>
      </c>
      <c r="F423" s="1">
        <v>0</v>
      </c>
      <c r="G423" s="1">
        <v>0</v>
      </c>
      <c r="H423" s="1">
        <v>0</v>
      </c>
      <c r="I423" s="1">
        <v>513488</v>
      </c>
      <c r="J423" s="1">
        <v>53535</v>
      </c>
    </row>
    <row r="424" spans="1:10" x14ac:dyDescent="0.25">
      <c r="A424" t="s">
        <v>512</v>
      </c>
      <c r="B424" t="s">
        <v>874</v>
      </c>
      <c r="C424" t="s">
        <v>475</v>
      </c>
      <c r="D424" s="1">
        <v>23833</v>
      </c>
      <c r="E424" s="1">
        <v>172</v>
      </c>
      <c r="F424" s="1">
        <v>0</v>
      </c>
      <c r="G424" s="1">
        <v>0</v>
      </c>
      <c r="H424" s="1">
        <v>0</v>
      </c>
      <c r="I424" s="1">
        <v>27338</v>
      </c>
      <c r="J424" s="1">
        <v>4321</v>
      </c>
    </row>
    <row r="425" spans="1:10" x14ac:dyDescent="0.25">
      <c r="A425" t="s">
        <v>146</v>
      </c>
      <c r="B425" t="s">
        <v>874</v>
      </c>
      <c r="C425" t="s">
        <v>476</v>
      </c>
      <c r="D425" s="1">
        <v>116608</v>
      </c>
      <c r="E425" s="1">
        <v>114</v>
      </c>
      <c r="F425" s="1">
        <v>0</v>
      </c>
      <c r="G425" s="1">
        <v>0</v>
      </c>
      <c r="H425" s="1">
        <v>0</v>
      </c>
      <c r="I425" s="1">
        <v>46786</v>
      </c>
      <c r="J425" s="1">
        <v>26235</v>
      </c>
    </row>
    <row r="426" spans="1:10" x14ac:dyDescent="0.25">
      <c r="A426" t="s">
        <v>76</v>
      </c>
      <c r="B426" t="s">
        <v>874</v>
      </c>
      <c r="C426" t="s">
        <v>477</v>
      </c>
      <c r="D426" s="1">
        <v>139599</v>
      </c>
      <c r="E426" s="1">
        <v>1149</v>
      </c>
      <c r="F426" s="1">
        <v>0</v>
      </c>
      <c r="G426" s="1">
        <v>0</v>
      </c>
      <c r="H426" s="1">
        <v>0</v>
      </c>
      <c r="I426" s="1">
        <v>128914</v>
      </c>
      <c r="J426" s="1">
        <v>44788</v>
      </c>
    </row>
    <row r="427" spans="1:10" x14ac:dyDescent="0.25">
      <c r="A427" t="s">
        <v>76</v>
      </c>
      <c r="B427" t="s">
        <v>874</v>
      </c>
      <c r="C427" t="s">
        <v>478</v>
      </c>
      <c r="D427" s="1">
        <v>146647</v>
      </c>
      <c r="E427" s="1">
        <v>816</v>
      </c>
      <c r="F427" s="1">
        <v>0</v>
      </c>
      <c r="G427" s="1">
        <v>0</v>
      </c>
      <c r="H427" s="1">
        <v>0</v>
      </c>
      <c r="I427" s="1">
        <v>64375</v>
      </c>
      <c r="J427" s="1">
        <v>42636</v>
      </c>
    </row>
    <row r="428" spans="1:10" x14ac:dyDescent="0.25">
      <c r="A428" t="s">
        <v>823</v>
      </c>
      <c r="B428" t="s">
        <v>874</v>
      </c>
      <c r="C428" t="s">
        <v>479</v>
      </c>
      <c r="D428" s="1">
        <v>122110</v>
      </c>
      <c r="E428" s="1">
        <v>1086</v>
      </c>
      <c r="F428" s="1">
        <v>0</v>
      </c>
      <c r="G428" s="1">
        <v>0</v>
      </c>
      <c r="H428" s="1">
        <v>0</v>
      </c>
      <c r="I428" s="1">
        <v>62641</v>
      </c>
      <c r="J428" s="1">
        <v>25279</v>
      </c>
    </row>
    <row r="429" spans="1:10" x14ac:dyDescent="0.25">
      <c r="A429" t="s">
        <v>83</v>
      </c>
      <c r="B429" t="s">
        <v>874</v>
      </c>
      <c r="C429" t="s">
        <v>480</v>
      </c>
      <c r="D429" s="1">
        <v>36763</v>
      </c>
      <c r="E429" s="1">
        <v>100</v>
      </c>
      <c r="F429" s="1">
        <v>0</v>
      </c>
      <c r="G429" s="1">
        <v>0</v>
      </c>
      <c r="H429" s="1">
        <v>0</v>
      </c>
      <c r="I429" s="1">
        <v>32078</v>
      </c>
      <c r="J429" s="1">
        <v>14184</v>
      </c>
    </row>
    <row r="430" spans="1:10" x14ac:dyDescent="0.25">
      <c r="A430" t="s">
        <v>512</v>
      </c>
      <c r="B430" t="s">
        <v>874</v>
      </c>
      <c r="C430" t="s">
        <v>481</v>
      </c>
      <c r="D430" s="1">
        <v>47435</v>
      </c>
      <c r="E430" s="1">
        <v>431</v>
      </c>
      <c r="F430" s="1">
        <v>0</v>
      </c>
      <c r="G430" s="1">
        <v>0</v>
      </c>
      <c r="H430" s="1">
        <v>0</v>
      </c>
      <c r="I430" s="1">
        <v>6420</v>
      </c>
      <c r="J430" s="1">
        <v>10513</v>
      </c>
    </row>
    <row r="431" spans="1:10" x14ac:dyDescent="0.25">
      <c r="A431" t="s">
        <v>824</v>
      </c>
      <c r="B431" t="s">
        <v>874</v>
      </c>
      <c r="C431" t="s">
        <v>482</v>
      </c>
      <c r="D431" s="1">
        <v>26752</v>
      </c>
      <c r="E431" s="1">
        <v>435</v>
      </c>
      <c r="F431" s="1">
        <v>0</v>
      </c>
      <c r="G431" s="1">
        <v>0</v>
      </c>
      <c r="H431" s="1">
        <v>0</v>
      </c>
      <c r="I431" s="1">
        <v>17940</v>
      </c>
      <c r="J431" s="1">
        <v>8111</v>
      </c>
    </row>
    <row r="432" spans="1:10" x14ac:dyDescent="0.25">
      <c r="A432" t="s">
        <v>248</v>
      </c>
      <c r="B432" t="s">
        <v>874</v>
      </c>
      <c r="C432" t="s">
        <v>483</v>
      </c>
      <c r="D432" s="1">
        <v>71368</v>
      </c>
      <c r="E432" s="1">
        <v>311</v>
      </c>
      <c r="F432" s="1">
        <v>0</v>
      </c>
      <c r="G432" s="1">
        <v>0</v>
      </c>
      <c r="H432" s="1">
        <v>0</v>
      </c>
      <c r="I432" s="1">
        <v>189634</v>
      </c>
      <c r="J432" s="1">
        <v>10206</v>
      </c>
    </row>
    <row r="433" spans="1:10" x14ac:dyDescent="0.25">
      <c r="A433" t="s">
        <v>801</v>
      </c>
      <c r="B433" t="s">
        <v>874</v>
      </c>
      <c r="C433" t="s">
        <v>484</v>
      </c>
      <c r="D433" s="1">
        <v>78773</v>
      </c>
      <c r="E433" s="1">
        <v>73</v>
      </c>
      <c r="F433" s="1">
        <v>0</v>
      </c>
      <c r="G433" s="1">
        <v>0</v>
      </c>
      <c r="H433" s="1">
        <v>0</v>
      </c>
      <c r="I433" s="1">
        <v>240805</v>
      </c>
      <c r="J433" s="1">
        <v>34963</v>
      </c>
    </row>
    <row r="434" spans="1:10" x14ac:dyDescent="0.25">
      <c r="A434" t="s">
        <v>818</v>
      </c>
      <c r="B434" t="s">
        <v>874</v>
      </c>
      <c r="C434" t="s">
        <v>485</v>
      </c>
      <c r="D434" s="1">
        <v>57822</v>
      </c>
      <c r="E434" s="1">
        <v>59</v>
      </c>
      <c r="F434" s="1">
        <v>0</v>
      </c>
      <c r="G434" s="1">
        <v>0</v>
      </c>
      <c r="H434" s="1">
        <v>0</v>
      </c>
      <c r="I434" s="1">
        <v>36036</v>
      </c>
      <c r="J434" s="1">
        <v>13599</v>
      </c>
    </row>
    <row r="435" spans="1:10" x14ac:dyDescent="0.25">
      <c r="A435" t="s">
        <v>797</v>
      </c>
      <c r="B435" t="s">
        <v>874</v>
      </c>
      <c r="C435" t="s">
        <v>486</v>
      </c>
      <c r="D435" s="1">
        <v>108703</v>
      </c>
      <c r="E435" s="1">
        <v>82</v>
      </c>
      <c r="F435" s="1">
        <v>0</v>
      </c>
      <c r="G435" s="1">
        <v>0</v>
      </c>
      <c r="H435" s="1">
        <v>0</v>
      </c>
      <c r="I435" s="1">
        <v>24531</v>
      </c>
      <c r="J435" s="1">
        <v>11187</v>
      </c>
    </row>
    <row r="436" spans="1:10" x14ac:dyDescent="0.25">
      <c r="A436" t="s">
        <v>804</v>
      </c>
      <c r="B436" t="s">
        <v>874</v>
      </c>
      <c r="C436" t="s">
        <v>487</v>
      </c>
      <c r="D436" s="1">
        <v>89856</v>
      </c>
      <c r="E436" s="1">
        <v>233</v>
      </c>
      <c r="F436" s="1">
        <v>0</v>
      </c>
      <c r="G436" s="1">
        <v>0</v>
      </c>
      <c r="H436" s="1">
        <v>0</v>
      </c>
      <c r="I436" s="1">
        <v>49835</v>
      </c>
      <c r="J436" s="1">
        <v>26469</v>
      </c>
    </row>
    <row r="437" spans="1:10" x14ac:dyDescent="0.25">
      <c r="A437" t="s">
        <v>226</v>
      </c>
      <c r="B437" t="s">
        <v>874</v>
      </c>
      <c r="C437" t="s">
        <v>488</v>
      </c>
      <c r="D437" s="1">
        <v>83526</v>
      </c>
      <c r="E437" s="1">
        <v>322</v>
      </c>
      <c r="F437" s="1">
        <v>0</v>
      </c>
      <c r="G437" s="1">
        <v>0</v>
      </c>
      <c r="H437" s="1">
        <v>0</v>
      </c>
      <c r="I437" s="1">
        <v>44195</v>
      </c>
      <c r="J437" s="1">
        <v>20176</v>
      </c>
    </row>
    <row r="438" spans="1:10" x14ac:dyDescent="0.25">
      <c r="A438" t="s">
        <v>795</v>
      </c>
      <c r="B438" t="s">
        <v>874</v>
      </c>
      <c r="C438" t="s">
        <v>489</v>
      </c>
      <c r="D438" s="1">
        <v>56163</v>
      </c>
      <c r="E438" s="1">
        <v>593</v>
      </c>
      <c r="F438" s="1">
        <v>0</v>
      </c>
      <c r="G438" s="1">
        <v>0</v>
      </c>
      <c r="H438" s="1">
        <v>0</v>
      </c>
      <c r="I438" s="1"/>
      <c r="J438" s="1"/>
    </row>
    <row r="439" spans="1:10" x14ac:dyDescent="0.25">
      <c r="A439" t="s">
        <v>10</v>
      </c>
      <c r="B439" t="s">
        <v>874</v>
      </c>
      <c r="C439" t="s">
        <v>490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</row>
    <row r="440" spans="1:10" x14ac:dyDescent="0.25">
      <c r="A440" t="s">
        <v>801</v>
      </c>
      <c r="B440" t="s">
        <v>874</v>
      </c>
      <c r="C440" t="s">
        <v>491</v>
      </c>
      <c r="D440" s="1">
        <v>70532</v>
      </c>
      <c r="E440" s="1">
        <v>1700</v>
      </c>
      <c r="F440" s="1">
        <v>0</v>
      </c>
      <c r="G440" s="1">
        <v>0</v>
      </c>
      <c r="H440" s="1">
        <v>0</v>
      </c>
      <c r="I440" s="1">
        <v>141433</v>
      </c>
      <c r="J440" s="1">
        <v>32761</v>
      </c>
    </row>
    <row r="441" spans="1:10" x14ac:dyDescent="0.25">
      <c r="A441" t="s">
        <v>818</v>
      </c>
      <c r="B441" t="s">
        <v>874</v>
      </c>
      <c r="C441" t="s">
        <v>492</v>
      </c>
      <c r="D441" s="1">
        <v>33684</v>
      </c>
      <c r="E441" s="1">
        <v>131</v>
      </c>
      <c r="F441" s="1">
        <v>0</v>
      </c>
      <c r="G441" s="1">
        <v>0</v>
      </c>
      <c r="H441" s="1">
        <v>0</v>
      </c>
      <c r="I441" s="1">
        <v>52059</v>
      </c>
      <c r="J441" s="1">
        <v>7789</v>
      </c>
    </row>
    <row r="442" spans="1:10" x14ac:dyDescent="0.25">
      <c r="A442" t="s">
        <v>791</v>
      </c>
      <c r="B442" t="s">
        <v>874</v>
      </c>
      <c r="C442" t="s">
        <v>493</v>
      </c>
      <c r="D442" s="1">
        <v>36712</v>
      </c>
      <c r="E442" s="1">
        <v>752</v>
      </c>
      <c r="F442" s="1">
        <v>0</v>
      </c>
      <c r="G442" s="1">
        <v>0</v>
      </c>
      <c r="H442" s="1">
        <v>0</v>
      </c>
      <c r="I442" s="1">
        <v>64672</v>
      </c>
      <c r="J442" s="1">
        <v>5225</v>
      </c>
    </row>
    <row r="443" spans="1:10" x14ac:dyDescent="0.25">
      <c r="A443" t="s">
        <v>138</v>
      </c>
      <c r="B443" t="s">
        <v>874</v>
      </c>
      <c r="C443" t="s">
        <v>494</v>
      </c>
      <c r="D443" s="1">
        <v>33143</v>
      </c>
      <c r="E443" s="1">
        <v>86</v>
      </c>
      <c r="F443" s="1">
        <v>0</v>
      </c>
      <c r="G443" s="1">
        <v>0</v>
      </c>
      <c r="H443" s="1">
        <v>0</v>
      </c>
      <c r="I443" s="1">
        <v>64532</v>
      </c>
      <c r="J443" s="1">
        <v>6387</v>
      </c>
    </row>
    <row r="444" spans="1:10" x14ac:dyDescent="0.25">
      <c r="A444" t="s">
        <v>495</v>
      </c>
      <c r="B444" t="s">
        <v>874</v>
      </c>
      <c r="C444" t="s">
        <v>496</v>
      </c>
      <c r="D444" s="1">
        <v>300592</v>
      </c>
      <c r="E444" s="1">
        <v>901</v>
      </c>
      <c r="F444" s="1">
        <v>0</v>
      </c>
      <c r="G444" s="1">
        <v>0</v>
      </c>
      <c r="H444" s="1">
        <v>0</v>
      </c>
      <c r="I444" s="1">
        <v>81399</v>
      </c>
      <c r="J444" s="1">
        <v>78799</v>
      </c>
    </row>
    <row r="445" spans="1:10" x14ac:dyDescent="0.25">
      <c r="A445" t="s">
        <v>791</v>
      </c>
      <c r="B445" t="s">
        <v>874</v>
      </c>
      <c r="C445" t="s">
        <v>497</v>
      </c>
      <c r="D445" s="1">
        <v>27184</v>
      </c>
      <c r="E445" s="1">
        <v>144</v>
      </c>
      <c r="F445" s="1">
        <v>0</v>
      </c>
      <c r="G445" s="1">
        <v>0</v>
      </c>
      <c r="H445" s="1">
        <v>0</v>
      </c>
      <c r="I445" s="1">
        <v>24971</v>
      </c>
      <c r="J445" s="1">
        <v>11077</v>
      </c>
    </row>
    <row r="446" spans="1:10" x14ac:dyDescent="0.25">
      <c r="A446" s="27" t="s">
        <v>10</v>
      </c>
      <c r="B446" s="27" t="s">
        <v>874</v>
      </c>
      <c r="C446" s="27" t="s">
        <v>782</v>
      </c>
      <c r="D446" s="32"/>
      <c r="E446" s="32"/>
      <c r="F446" s="32"/>
      <c r="G446" s="32"/>
      <c r="H446" s="32"/>
      <c r="I446" s="32"/>
      <c r="J446" s="32"/>
    </row>
    <row r="447" spans="1:10" x14ac:dyDescent="0.25">
      <c r="A447" s="27" t="s">
        <v>10</v>
      </c>
      <c r="B447" s="27" t="s">
        <v>874</v>
      </c>
      <c r="C447" s="27" t="s">
        <v>783</v>
      </c>
      <c r="D447" s="32"/>
      <c r="E447" s="32"/>
      <c r="F447" s="32"/>
      <c r="G447" s="32"/>
      <c r="H447" s="32"/>
      <c r="I447" s="32"/>
      <c r="J447" s="32"/>
    </row>
    <row r="448" spans="1:10" x14ac:dyDescent="0.25">
      <c r="A448" s="27" t="s">
        <v>10</v>
      </c>
      <c r="B448" s="27" t="s">
        <v>874</v>
      </c>
      <c r="C448" s="27" t="s">
        <v>784</v>
      </c>
      <c r="D448" s="32"/>
      <c r="E448" s="32"/>
      <c r="F448" s="32"/>
      <c r="G448" s="32"/>
      <c r="H448" s="32"/>
      <c r="I448" s="32"/>
      <c r="J448" s="32"/>
    </row>
    <row r="449" spans="1:10" x14ac:dyDescent="0.25">
      <c r="A449" s="27" t="s">
        <v>10</v>
      </c>
      <c r="B449" s="27" t="s">
        <v>874</v>
      </c>
      <c r="C449" s="27" t="s">
        <v>785</v>
      </c>
      <c r="D449" s="32"/>
      <c r="E449" s="32"/>
      <c r="F449" s="32"/>
      <c r="G449" s="32"/>
      <c r="H449" s="32"/>
      <c r="I449" s="32"/>
      <c r="J449" s="32"/>
    </row>
    <row r="450" spans="1:10" x14ac:dyDescent="0.25">
      <c r="A450" t="s">
        <v>10</v>
      </c>
      <c r="B450" t="s">
        <v>874</v>
      </c>
      <c r="C450" t="s">
        <v>498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</row>
    <row r="451" spans="1:10" x14ac:dyDescent="0.25">
      <c r="A451" s="27" t="s">
        <v>10</v>
      </c>
      <c r="B451" s="27" t="s">
        <v>874</v>
      </c>
      <c r="C451" s="27" t="s">
        <v>786</v>
      </c>
      <c r="D451" s="32"/>
      <c r="E451" s="32"/>
      <c r="F451" s="32"/>
      <c r="G451" s="32"/>
      <c r="H451" s="32"/>
      <c r="I451" s="32"/>
      <c r="J451" s="32"/>
    </row>
    <row r="452" spans="1:10" x14ac:dyDescent="0.25">
      <c r="A452" t="s">
        <v>10</v>
      </c>
      <c r="B452" t="s">
        <v>874</v>
      </c>
      <c r="C452" t="s">
        <v>499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</row>
    <row r="453" spans="1:10" x14ac:dyDescent="0.25">
      <c r="A453" t="s">
        <v>10</v>
      </c>
      <c r="B453" t="s">
        <v>874</v>
      </c>
      <c r="C453" t="s">
        <v>500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</row>
    <row r="454" spans="1:10" x14ac:dyDescent="0.25">
      <c r="A454" t="s">
        <v>76</v>
      </c>
      <c r="B454" t="s">
        <v>878</v>
      </c>
      <c r="C454" t="s">
        <v>501</v>
      </c>
      <c r="D454" s="1">
        <v>18644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</row>
    <row r="455" spans="1:10" x14ac:dyDescent="0.25">
      <c r="A455" t="s">
        <v>231</v>
      </c>
      <c r="B455" t="s">
        <v>878</v>
      </c>
      <c r="C455" t="s">
        <v>502</v>
      </c>
      <c r="D455" s="1">
        <v>4718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</row>
    <row r="456" spans="1:10" x14ac:dyDescent="0.25">
      <c r="A456" t="s">
        <v>831</v>
      </c>
      <c r="B456" t="s">
        <v>878</v>
      </c>
      <c r="C456" t="s">
        <v>503</v>
      </c>
      <c r="D456" s="1">
        <v>1686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</row>
    <row r="457" spans="1:10" x14ac:dyDescent="0.25">
      <c r="A457" t="s">
        <v>76</v>
      </c>
      <c r="B457" t="s">
        <v>878</v>
      </c>
      <c r="C457" t="s">
        <v>504</v>
      </c>
      <c r="D457" s="1">
        <v>41483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</row>
    <row r="458" spans="1:10" x14ac:dyDescent="0.25">
      <c r="A458" s="9" t="s">
        <v>817</v>
      </c>
      <c r="B458" t="s">
        <v>878</v>
      </c>
      <c r="C458" t="s">
        <v>505</v>
      </c>
      <c r="D458" s="1">
        <v>11783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</row>
    <row r="459" spans="1:10" x14ac:dyDescent="0.25">
      <c r="A459" t="s">
        <v>824</v>
      </c>
      <c r="B459" t="s">
        <v>878</v>
      </c>
      <c r="C459" t="s">
        <v>506</v>
      </c>
      <c r="D459" s="1">
        <v>9505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</row>
    <row r="460" spans="1:10" x14ac:dyDescent="0.25">
      <c r="A460" t="s">
        <v>817</v>
      </c>
      <c r="B460" t="s">
        <v>878</v>
      </c>
      <c r="C460" t="s">
        <v>507</v>
      </c>
      <c r="D460" s="1">
        <v>14602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</row>
    <row r="461" spans="1:10" x14ac:dyDescent="0.25">
      <c r="A461" t="s">
        <v>859</v>
      </c>
      <c r="B461" t="s">
        <v>878</v>
      </c>
      <c r="C461" t="s">
        <v>508</v>
      </c>
      <c r="D461" s="1"/>
      <c r="E461" s="1"/>
      <c r="F461" s="1"/>
      <c r="G461" s="1"/>
      <c r="H461" s="1"/>
      <c r="I461" s="1"/>
      <c r="J461" s="1"/>
    </row>
    <row r="462" spans="1:10" x14ac:dyDescent="0.25">
      <c r="A462" t="s">
        <v>801</v>
      </c>
      <c r="B462" t="s">
        <v>878</v>
      </c>
      <c r="C462" t="s">
        <v>509</v>
      </c>
      <c r="D462" s="1">
        <v>774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</row>
    <row r="463" spans="1:10" x14ac:dyDescent="0.25">
      <c r="A463" t="s">
        <v>801</v>
      </c>
      <c r="B463" t="s">
        <v>878</v>
      </c>
      <c r="C463" t="s">
        <v>510</v>
      </c>
      <c r="D463" s="1">
        <v>36990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</row>
    <row r="464" spans="1:10" x14ac:dyDescent="0.25">
      <c r="A464" t="s">
        <v>831</v>
      </c>
      <c r="B464" t="s">
        <v>878</v>
      </c>
      <c r="C464" t="s">
        <v>511</v>
      </c>
      <c r="D464" s="1">
        <v>3837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</row>
    <row r="465" spans="1:10" x14ac:dyDescent="0.25">
      <c r="A465" t="s">
        <v>816</v>
      </c>
      <c r="B465" t="s">
        <v>878</v>
      </c>
      <c r="C465" t="s">
        <v>513</v>
      </c>
      <c r="D465" s="1">
        <v>5538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</row>
    <row r="466" spans="1:10" x14ac:dyDescent="0.25">
      <c r="A466" t="s">
        <v>817</v>
      </c>
      <c r="B466" t="s">
        <v>878</v>
      </c>
      <c r="C466" t="s">
        <v>514</v>
      </c>
      <c r="D466" s="1">
        <v>11696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</row>
    <row r="467" spans="1:10" x14ac:dyDescent="0.25">
      <c r="A467" t="s">
        <v>801</v>
      </c>
      <c r="B467" t="s">
        <v>878</v>
      </c>
      <c r="C467" t="s">
        <v>515</v>
      </c>
      <c r="D467" s="1">
        <v>5252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</row>
    <row r="468" spans="1:10" x14ac:dyDescent="0.25">
      <c r="A468" t="s">
        <v>848</v>
      </c>
      <c r="B468" t="s">
        <v>878</v>
      </c>
      <c r="C468" t="s">
        <v>516</v>
      </c>
      <c r="D468" s="1">
        <v>6327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</row>
    <row r="469" spans="1:10" x14ac:dyDescent="0.25">
      <c r="A469" t="s">
        <v>797</v>
      </c>
      <c r="B469" t="s">
        <v>878</v>
      </c>
      <c r="C469" t="s">
        <v>517</v>
      </c>
      <c r="D469" s="1">
        <v>9278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</row>
    <row r="470" spans="1:10" x14ac:dyDescent="0.25">
      <c r="A470" t="s">
        <v>811</v>
      </c>
      <c r="B470" t="s">
        <v>878</v>
      </c>
      <c r="C470" t="s">
        <v>518</v>
      </c>
      <c r="D470" s="1">
        <v>35683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</row>
    <row r="471" spans="1:10" x14ac:dyDescent="0.25">
      <c r="A471" t="s">
        <v>226</v>
      </c>
      <c r="B471" t="s">
        <v>878</v>
      </c>
      <c r="C471" t="s">
        <v>519</v>
      </c>
      <c r="D471" s="1">
        <v>1829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</row>
    <row r="472" spans="1:10" x14ac:dyDescent="0.25">
      <c r="A472" t="s">
        <v>76</v>
      </c>
      <c r="B472" t="s">
        <v>878</v>
      </c>
      <c r="C472" t="s">
        <v>520</v>
      </c>
      <c r="D472" s="1">
        <v>18419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</row>
    <row r="473" spans="1:10" x14ac:dyDescent="0.25">
      <c r="A473" t="s">
        <v>831</v>
      </c>
      <c r="B473" t="s">
        <v>878</v>
      </c>
      <c r="C473" t="s">
        <v>521</v>
      </c>
      <c r="D473" s="1">
        <v>34732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</row>
    <row r="474" spans="1:10" x14ac:dyDescent="0.25">
      <c r="A474" t="s">
        <v>806</v>
      </c>
      <c r="B474" t="s">
        <v>878</v>
      </c>
      <c r="C474" t="s">
        <v>522</v>
      </c>
      <c r="D474" s="1">
        <v>6623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</row>
    <row r="475" spans="1:10" x14ac:dyDescent="0.25">
      <c r="A475" t="s">
        <v>823</v>
      </c>
      <c r="B475" t="s">
        <v>878</v>
      </c>
      <c r="C475" t="s">
        <v>523</v>
      </c>
      <c r="D475" s="1">
        <v>36686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</row>
    <row r="476" spans="1:10" x14ac:dyDescent="0.25">
      <c r="A476" t="s">
        <v>248</v>
      </c>
      <c r="B476" t="s">
        <v>878</v>
      </c>
      <c r="C476" t="s">
        <v>524</v>
      </c>
      <c r="D476" s="1">
        <v>7179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</row>
    <row r="477" spans="1:10" x14ac:dyDescent="0.25">
      <c r="A477" t="s">
        <v>231</v>
      </c>
      <c r="B477" t="s">
        <v>878</v>
      </c>
      <c r="C477" t="s">
        <v>525</v>
      </c>
      <c r="D477" s="1">
        <v>7350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</row>
    <row r="478" spans="1:10" x14ac:dyDescent="0.25">
      <c r="A478" t="s">
        <v>76</v>
      </c>
      <c r="B478" t="s">
        <v>878</v>
      </c>
      <c r="C478" t="s">
        <v>526</v>
      </c>
      <c r="D478" s="1">
        <v>3384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</row>
    <row r="479" spans="1:10" x14ac:dyDescent="0.25">
      <c r="A479" t="s">
        <v>804</v>
      </c>
      <c r="B479" t="s">
        <v>878</v>
      </c>
      <c r="C479" t="s">
        <v>527</v>
      </c>
      <c r="D479" s="1">
        <v>39428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</row>
    <row r="480" spans="1:10" x14ac:dyDescent="0.25">
      <c r="A480" t="s">
        <v>76</v>
      </c>
      <c r="B480" t="s">
        <v>878</v>
      </c>
      <c r="C480" t="s">
        <v>528</v>
      </c>
      <c r="D480" s="1">
        <v>1347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</row>
    <row r="481" spans="1:10" x14ac:dyDescent="0.25">
      <c r="A481" t="s">
        <v>801</v>
      </c>
      <c r="B481" t="s">
        <v>878</v>
      </c>
      <c r="C481" t="s">
        <v>529</v>
      </c>
      <c r="D481" s="1">
        <v>20009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</row>
    <row r="482" spans="1:10" x14ac:dyDescent="0.25">
      <c r="A482" t="s">
        <v>795</v>
      </c>
      <c r="B482" t="s">
        <v>878</v>
      </c>
      <c r="C482" t="s">
        <v>530</v>
      </c>
      <c r="D482" s="1">
        <v>137862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</row>
    <row r="483" spans="1:10" x14ac:dyDescent="0.25">
      <c r="A483" t="s">
        <v>848</v>
      </c>
      <c r="B483" t="s">
        <v>878</v>
      </c>
      <c r="C483" t="s">
        <v>531</v>
      </c>
      <c r="D483" s="1">
        <v>10515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</row>
    <row r="484" spans="1:10" x14ac:dyDescent="0.25">
      <c r="A484" t="s">
        <v>824</v>
      </c>
      <c r="B484" t="s">
        <v>878</v>
      </c>
      <c r="C484" t="s">
        <v>532</v>
      </c>
      <c r="D484" s="1">
        <v>15169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</row>
    <row r="485" spans="1:10" x14ac:dyDescent="0.25">
      <c r="A485" t="s">
        <v>76</v>
      </c>
      <c r="B485" t="s">
        <v>878</v>
      </c>
      <c r="C485" t="s">
        <v>533</v>
      </c>
      <c r="D485" s="1">
        <v>2079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</row>
    <row r="486" spans="1:10" x14ac:dyDescent="0.25">
      <c r="A486" t="s">
        <v>101</v>
      </c>
      <c r="B486" t="s">
        <v>878</v>
      </c>
      <c r="C486" t="s">
        <v>534</v>
      </c>
      <c r="D486" s="1">
        <v>12847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</row>
    <row r="487" spans="1:10" x14ac:dyDescent="0.25">
      <c r="A487" t="s">
        <v>803</v>
      </c>
      <c r="B487" t="s">
        <v>878</v>
      </c>
      <c r="C487" t="s">
        <v>535</v>
      </c>
      <c r="D487" s="1"/>
      <c r="E487" s="1"/>
      <c r="F487" s="1"/>
      <c r="G487" s="1"/>
      <c r="H487" s="1"/>
      <c r="I487" s="1"/>
      <c r="J487" s="1"/>
    </row>
    <row r="488" spans="1:10" x14ac:dyDescent="0.25">
      <c r="A488" t="s">
        <v>120</v>
      </c>
      <c r="B488" t="s">
        <v>878</v>
      </c>
      <c r="C488" t="s">
        <v>536</v>
      </c>
      <c r="D488" s="1">
        <v>7313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</row>
    <row r="489" spans="1:10" x14ac:dyDescent="0.25">
      <c r="A489" t="s">
        <v>817</v>
      </c>
      <c r="B489" t="s">
        <v>878</v>
      </c>
      <c r="C489" t="s">
        <v>537</v>
      </c>
      <c r="D489" s="1">
        <v>45995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</row>
    <row r="490" spans="1:10" x14ac:dyDescent="0.25">
      <c r="A490" t="s">
        <v>811</v>
      </c>
      <c r="B490" t="s">
        <v>878</v>
      </c>
      <c r="C490" t="s">
        <v>538</v>
      </c>
      <c r="D490" s="1">
        <v>172553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</row>
    <row r="491" spans="1:10" x14ac:dyDescent="0.25">
      <c r="A491" t="s">
        <v>817</v>
      </c>
      <c r="B491" t="s">
        <v>878</v>
      </c>
      <c r="C491" t="s">
        <v>539</v>
      </c>
      <c r="D491" s="1">
        <v>13950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</row>
    <row r="492" spans="1:10" x14ac:dyDescent="0.25">
      <c r="A492" t="s">
        <v>146</v>
      </c>
      <c r="B492" t="s">
        <v>878</v>
      </c>
      <c r="C492" t="s">
        <v>540</v>
      </c>
      <c r="D492" s="1">
        <v>24491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</row>
    <row r="493" spans="1:10" x14ac:dyDescent="0.25">
      <c r="A493" t="s">
        <v>817</v>
      </c>
      <c r="B493" t="s">
        <v>878</v>
      </c>
      <c r="C493" t="s">
        <v>541</v>
      </c>
      <c r="D493" s="1">
        <v>25240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</row>
    <row r="494" spans="1:10" x14ac:dyDescent="0.25">
      <c r="A494" t="s">
        <v>72</v>
      </c>
      <c r="B494" t="s">
        <v>878</v>
      </c>
      <c r="C494" t="s">
        <v>542</v>
      </c>
      <c r="D494" s="1">
        <v>30088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</row>
    <row r="495" spans="1:10" x14ac:dyDescent="0.25">
      <c r="A495" t="s">
        <v>848</v>
      </c>
      <c r="B495" t="s">
        <v>878</v>
      </c>
      <c r="C495" t="s">
        <v>543</v>
      </c>
      <c r="D495" s="1">
        <v>16208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</row>
    <row r="496" spans="1:10" x14ac:dyDescent="0.25">
      <c r="A496" t="s">
        <v>83</v>
      </c>
      <c r="B496" t="s">
        <v>878</v>
      </c>
      <c r="C496" t="s">
        <v>544</v>
      </c>
      <c r="D496" s="1">
        <v>1734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</row>
    <row r="497" spans="1:10" x14ac:dyDescent="0.25">
      <c r="A497" t="s">
        <v>248</v>
      </c>
      <c r="B497" t="s">
        <v>878</v>
      </c>
      <c r="C497" t="s">
        <v>545</v>
      </c>
      <c r="D497" s="1">
        <v>12232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</row>
    <row r="498" spans="1:10" x14ac:dyDescent="0.25">
      <c r="A498" t="s">
        <v>76</v>
      </c>
      <c r="B498" t="s">
        <v>878</v>
      </c>
      <c r="C498" t="s">
        <v>546</v>
      </c>
      <c r="D498" s="1">
        <v>6810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</row>
    <row r="499" spans="1:10" x14ac:dyDescent="0.25">
      <c r="A499" t="s">
        <v>495</v>
      </c>
      <c r="B499" t="s">
        <v>878</v>
      </c>
      <c r="C499" t="s">
        <v>547</v>
      </c>
      <c r="D499" s="1">
        <v>27901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</row>
    <row r="500" spans="1:10" x14ac:dyDescent="0.25">
      <c r="A500" t="s">
        <v>825</v>
      </c>
      <c r="B500" t="s">
        <v>878</v>
      </c>
      <c r="C500" t="s">
        <v>548</v>
      </c>
      <c r="D500" s="1">
        <v>14432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</row>
    <row r="501" spans="1:10" x14ac:dyDescent="0.25">
      <c r="A501" t="s">
        <v>72</v>
      </c>
      <c r="B501" t="s">
        <v>878</v>
      </c>
      <c r="C501" t="s">
        <v>549</v>
      </c>
      <c r="D501" s="1">
        <v>39714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</row>
    <row r="502" spans="1:10" x14ac:dyDescent="0.25">
      <c r="A502" t="s">
        <v>134</v>
      </c>
      <c r="B502" t="s">
        <v>878</v>
      </c>
      <c r="C502" t="s">
        <v>550</v>
      </c>
      <c r="D502" s="1">
        <v>30669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</row>
    <row r="503" spans="1:10" x14ac:dyDescent="0.25">
      <c r="A503" t="s">
        <v>795</v>
      </c>
      <c r="B503" t="s">
        <v>878</v>
      </c>
      <c r="C503" t="s">
        <v>551</v>
      </c>
      <c r="D503" s="1">
        <v>15224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</row>
    <row r="504" spans="1:10" x14ac:dyDescent="0.25">
      <c r="A504" t="s">
        <v>76</v>
      </c>
      <c r="B504" t="s">
        <v>878</v>
      </c>
      <c r="C504" t="s">
        <v>552</v>
      </c>
      <c r="D504" s="1">
        <v>3407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</row>
    <row r="505" spans="1:10" x14ac:dyDescent="0.25">
      <c r="A505" t="s">
        <v>824</v>
      </c>
      <c r="B505" t="s">
        <v>878</v>
      </c>
      <c r="C505" t="s">
        <v>553</v>
      </c>
      <c r="D505" s="1">
        <v>2907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</row>
    <row r="506" spans="1:10" x14ac:dyDescent="0.25">
      <c r="A506" t="s">
        <v>512</v>
      </c>
      <c r="B506" t="s">
        <v>878</v>
      </c>
      <c r="C506" t="s">
        <v>554</v>
      </c>
      <c r="D506" s="1">
        <v>19264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</row>
    <row r="507" spans="1:10" x14ac:dyDescent="0.25">
      <c r="A507" t="s">
        <v>788</v>
      </c>
      <c r="B507" t="s">
        <v>878</v>
      </c>
      <c r="C507" t="s">
        <v>555</v>
      </c>
      <c r="D507" s="1">
        <v>88169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</row>
    <row r="508" spans="1:10" x14ac:dyDescent="0.25">
      <c r="A508" t="s">
        <v>101</v>
      </c>
      <c r="B508" t="s">
        <v>878</v>
      </c>
      <c r="C508" t="s">
        <v>556</v>
      </c>
      <c r="D508" s="1">
        <v>35207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</row>
    <row r="509" spans="1:10" x14ac:dyDescent="0.25">
      <c r="A509" t="s">
        <v>231</v>
      </c>
      <c r="B509" t="s">
        <v>878</v>
      </c>
      <c r="C509" t="s">
        <v>557</v>
      </c>
      <c r="D509" s="1">
        <v>17425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</row>
    <row r="510" spans="1:10" x14ac:dyDescent="0.25">
      <c r="A510" t="s">
        <v>817</v>
      </c>
      <c r="B510" t="s">
        <v>878</v>
      </c>
      <c r="C510" t="s">
        <v>558</v>
      </c>
      <c r="D510" s="1">
        <v>10506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</row>
    <row r="511" spans="1:10" x14ac:dyDescent="0.25">
      <c r="A511" t="s">
        <v>76</v>
      </c>
      <c r="B511" t="s">
        <v>878</v>
      </c>
      <c r="C511" t="s">
        <v>559</v>
      </c>
      <c r="D511" s="1">
        <v>10696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</row>
    <row r="512" spans="1:10" x14ac:dyDescent="0.25">
      <c r="A512" t="s">
        <v>801</v>
      </c>
      <c r="B512" t="s">
        <v>878</v>
      </c>
      <c r="C512" t="s">
        <v>560</v>
      </c>
      <c r="D512" s="1">
        <v>51207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</row>
    <row r="513" spans="1:10" x14ac:dyDescent="0.25">
      <c r="A513" t="s">
        <v>796</v>
      </c>
      <c r="B513" t="s">
        <v>878</v>
      </c>
      <c r="C513" t="s">
        <v>561</v>
      </c>
      <c r="D513" s="1">
        <v>12851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</row>
    <row r="514" spans="1:10" x14ac:dyDescent="0.25">
      <c r="A514" t="s">
        <v>817</v>
      </c>
      <c r="B514" t="s">
        <v>878</v>
      </c>
      <c r="C514" t="s">
        <v>562</v>
      </c>
      <c r="D514" s="1">
        <v>12344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</row>
    <row r="515" spans="1:10" x14ac:dyDescent="0.25">
      <c r="A515" t="s">
        <v>248</v>
      </c>
      <c r="B515" t="s">
        <v>878</v>
      </c>
      <c r="C515" t="s">
        <v>563</v>
      </c>
      <c r="D515" s="1">
        <v>47197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</row>
    <row r="516" spans="1:10" x14ac:dyDescent="0.25">
      <c r="A516" t="s">
        <v>791</v>
      </c>
      <c r="B516" t="s">
        <v>878</v>
      </c>
      <c r="C516" t="s">
        <v>564</v>
      </c>
      <c r="D516" s="1">
        <v>9551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</row>
    <row r="517" spans="1:10" x14ac:dyDescent="0.25">
      <c r="A517" t="s">
        <v>69</v>
      </c>
      <c r="B517" t="s">
        <v>878</v>
      </c>
      <c r="C517" t="s">
        <v>565</v>
      </c>
      <c r="D517" s="1">
        <v>24445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</row>
    <row r="518" spans="1:10" x14ac:dyDescent="0.25">
      <c r="A518" t="s">
        <v>794</v>
      </c>
      <c r="B518" t="s">
        <v>878</v>
      </c>
      <c r="C518" t="s">
        <v>566</v>
      </c>
      <c r="D518" s="1">
        <v>8129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</row>
    <row r="519" spans="1:10" x14ac:dyDescent="0.25">
      <c r="A519" t="s">
        <v>797</v>
      </c>
      <c r="B519" t="s">
        <v>878</v>
      </c>
      <c r="C519" t="s">
        <v>567</v>
      </c>
      <c r="D519" s="1">
        <v>3757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</row>
    <row r="520" spans="1:10" x14ac:dyDescent="0.25">
      <c r="A520" t="s">
        <v>826</v>
      </c>
      <c r="B520" t="s">
        <v>878</v>
      </c>
      <c r="C520" t="s">
        <v>568</v>
      </c>
      <c r="D520" s="1"/>
      <c r="E520" s="1"/>
      <c r="F520" s="1"/>
      <c r="G520" s="1"/>
      <c r="H520" s="1"/>
      <c r="I520" s="1"/>
      <c r="J520" s="1"/>
    </row>
    <row r="521" spans="1:10" x14ac:dyDescent="0.25">
      <c r="A521" t="s">
        <v>864</v>
      </c>
      <c r="B521" t="s">
        <v>878</v>
      </c>
      <c r="C521" t="s">
        <v>569</v>
      </c>
      <c r="D521" s="1">
        <v>34936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</row>
    <row r="522" spans="1:10" x14ac:dyDescent="0.25">
      <c r="A522" t="s">
        <v>826</v>
      </c>
      <c r="B522" t="s">
        <v>878</v>
      </c>
      <c r="C522" t="s">
        <v>570</v>
      </c>
      <c r="D522" s="1">
        <v>2933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</row>
    <row r="523" spans="1:10" x14ac:dyDescent="0.25">
      <c r="A523" t="s">
        <v>72</v>
      </c>
      <c r="B523" t="s">
        <v>878</v>
      </c>
      <c r="C523" t="s">
        <v>571</v>
      </c>
      <c r="D523" s="1">
        <v>27018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</row>
    <row r="524" spans="1:10" x14ac:dyDescent="0.25">
      <c r="A524" t="s">
        <v>801</v>
      </c>
      <c r="B524" t="s">
        <v>878</v>
      </c>
      <c r="C524" t="s">
        <v>572</v>
      </c>
      <c r="D524" s="1">
        <v>35158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</row>
    <row r="525" spans="1:10" x14ac:dyDescent="0.25">
      <c r="A525" t="s">
        <v>859</v>
      </c>
      <c r="B525" t="s">
        <v>878</v>
      </c>
      <c r="C525" t="s">
        <v>573</v>
      </c>
      <c r="D525" s="1">
        <v>16138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</row>
    <row r="526" spans="1:10" x14ac:dyDescent="0.25">
      <c r="A526" t="s">
        <v>816</v>
      </c>
      <c r="B526" t="s">
        <v>878</v>
      </c>
      <c r="C526" t="s">
        <v>574</v>
      </c>
      <c r="D526" s="1">
        <v>34398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</row>
    <row r="527" spans="1:10" x14ac:dyDescent="0.25">
      <c r="A527" t="s">
        <v>864</v>
      </c>
      <c r="B527" t="s">
        <v>878</v>
      </c>
      <c r="C527" t="s">
        <v>575</v>
      </c>
      <c r="D527" s="1">
        <v>34994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</row>
    <row r="528" spans="1:10" x14ac:dyDescent="0.25">
      <c r="A528" t="s">
        <v>146</v>
      </c>
      <c r="B528" t="s">
        <v>878</v>
      </c>
      <c r="C528" t="s">
        <v>576</v>
      </c>
      <c r="D528" s="1">
        <v>17136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</row>
    <row r="529" spans="1:10" x14ac:dyDescent="0.25">
      <c r="A529" t="s">
        <v>794</v>
      </c>
      <c r="B529" t="s">
        <v>878</v>
      </c>
      <c r="C529" t="s">
        <v>577</v>
      </c>
      <c r="D529" s="1">
        <v>58839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</row>
    <row r="530" spans="1:10" x14ac:dyDescent="0.25">
      <c r="A530" t="s">
        <v>146</v>
      </c>
      <c r="B530" t="s">
        <v>878</v>
      </c>
      <c r="C530" t="s">
        <v>578</v>
      </c>
      <c r="D530" s="1">
        <v>34823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</row>
    <row r="531" spans="1:10" x14ac:dyDescent="0.25">
      <c r="A531" t="s">
        <v>832</v>
      </c>
      <c r="B531" t="s">
        <v>878</v>
      </c>
      <c r="C531" t="s">
        <v>579</v>
      </c>
      <c r="D531" s="1">
        <v>10778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</row>
    <row r="532" spans="1:10" x14ac:dyDescent="0.25">
      <c r="A532" t="s">
        <v>839</v>
      </c>
      <c r="B532" t="s">
        <v>878</v>
      </c>
      <c r="C532" t="s">
        <v>580</v>
      </c>
      <c r="D532" s="1">
        <v>47564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</row>
    <row r="533" spans="1:10" x14ac:dyDescent="0.25">
      <c r="A533" t="s">
        <v>69</v>
      </c>
      <c r="B533" t="s">
        <v>878</v>
      </c>
      <c r="C533" t="s">
        <v>581</v>
      </c>
      <c r="D533" s="1">
        <v>101191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</row>
    <row r="534" spans="1:10" x14ac:dyDescent="0.25">
      <c r="A534" t="s">
        <v>794</v>
      </c>
      <c r="B534" t="s">
        <v>878</v>
      </c>
      <c r="C534" t="s">
        <v>582</v>
      </c>
      <c r="D534" s="1">
        <v>30956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</row>
    <row r="535" spans="1:10" x14ac:dyDescent="0.25">
      <c r="A535" t="s">
        <v>794</v>
      </c>
      <c r="B535" t="s">
        <v>878</v>
      </c>
      <c r="C535" t="s">
        <v>583</v>
      </c>
      <c r="D535" s="1">
        <v>24571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</row>
    <row r="536" spans="1:10" x14ac:dyDescent="0.25">
      <c r="A536" t="s">
        <v>120</v>
      </c>
      <c r="B536" t="s">
        <v>878</v>
      </c>
      <c r="C536" t="s">
        <v>584</v>
      </c>
      <c r="D536" s="1">
        <v>5514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</row>
    <row r="537" spans="1:10" x14ac:dyDescent="0.25">
      <c r="A537" t="s">
        <v>837</v>
      </c>
      <c r="B537" t="s">
        <v>878</v>
      </c>
      <c r="C537" t="s">
        <v>585</v>
      </c>
      <c r="D537" s="1">
        <v>13279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</row>
    <row r="538" spans="1:10" x14ac:dyDescent="0.25">
      <c r="A538" t="s">
        <v>859</v>
      </c>
      <c r="B538" t="s">
        <v>878</v>
      </c>
      <c r="C538" t="s">
        <v>586</v>
      </c>
      <c r="D538" s="1">
        <v>31803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</row>
    <row r="539" spans="1:10" x14ac:dyDescent="0.25">
      <c r="A539" t="s">
        <v>836</v>
      </c>
      <c r="B539" t="s">
        <v>878</v>
      </c>
      <c r="C539" t="s">
        <v>587</v>
      </c>
      <c r="D539" s="1">
        <v>34944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</row>
    <row r="540" spans="1:10" x14ac:dyDescent="0.25">
      <c r="A540" t="s">
        <v>844</v>
      </c>
      <c r="B540" t="s">
        <v>878</v>
      </c>
      <c r="C540" t="s">
        <v>588</v>
      </c>
      <c r="D540" s="1">
        <v>20029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</row>
    <row r="541" spans="1:10" x14ac:dyDescent="0.25">
      <c r="A541" t="s">
        <v>838</v>
      </c>
      <c r="B541" t="s">
        <v>878</v>
      </c>
      <c r="C541" t="s">
        <v>589</v>
      </c>
      <c r="D541" s="1">
        <v>15182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</row>
    <row r="542" spans="1:10" x14ac:dyDescent="0.25">
      <c r="A542" t="s">
        <v>833</v>
      </c>
      <c r="B542" t="s">
        <v>878</v>
      </c>
      <c r="C542" t="s">
        <v>590</v>
      </c>
      <c r="D542" s="1">
        <v>19011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</row>
    <row r="543" spans="1:10" x14ac:dyDescent="0.25">
      <c r="A543" t="s">
        <v>845</v>
      </c>
      <c r="B543" t="s">
        <v>878</v>
      </c>
      <c r="C543" t="s">
        <v>591</v>
      </c>
      <c r="D543" s="1">
        <v>4965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</row>
    <row r="544" spans="1:10" x14ac:dyDescent="0.25">
      <c r="A544" t="s">
        <v>794</v>
      </c>
      <c r="B544" t="s">
        <v>878</v>
      </c>
      <c r="C544" t="s">
        <v>592</v>
      </c>
      <c r="D544" s="1">
        <v>10840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</row>
    <row r="545" spans="1:10" x14ac:dyDescent="0.25">
      <c r="A545" t="s">
        <v>843</v>
      </c>
      <c r="B545" t="s">
        <v>878</v>
      </c>
      <c r="C545" t="s">
        <v>593</v>
      </c>
      <c r="D545" s="1">
        <v>4613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</row>
    <row r="546" spans="1:10" x14ac:dyDescent="0.25">
      <c r="A546" t="s">
        <v>863</v>
      </c>
      <c r="B546" t="s">
        <v>878</v>
      </c>
      <c r="C546" t="s">
        <v>594</v>
      </c>
      <c r="D546" s="1">
        <v>11785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</row>
    <row r="547" spans="1:10" x14ac:dyDescent="0.25">
      <c r="A547" t="s">
        <v>804</v>
      </c>
      <c r="B547" t="s">
        <v>878</v>
      </c>
      <c r="C547" t="s">
        <v>595</v>
      </c>
      <c r="D547" s="1">
        <v>8451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</row>
    <row r="548" spans="1:10" x14ac:dyDescent="0.25">
      <c r="A548" t="s">
        <v>795</v>
      </c>
      <c r="B548" t="s">
        <v>878</v>
      </c>
      <c r="C548" t="s">
        <v>596</v>
      </c>
      <c r="D548" s="1">
        <v>29649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</row>
    <row r="549" spans="1:10" x14ac:dyDescent="0.25">
      <c r="A549" t="s">
        <v>101</v>
      </c>
      <c r="B549" t="s">
        <v>878</v>
      </c>
      <c r="C549" t="s">
        <v>597</v>
      </c>
      <c r="D549" s="1">
        <v>25829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</row>
    <row r="550" spans="1:10" x14ac:dyDescent="0.25">
      <c r="A550" t="s">
        <v>835</v>
      </c>
      <c r="B550" t="s">
        <v>878</v>
      </c>
      <c r="C550" t="s">
        <v>598</v>
      </c>
      <c r="D550" s="1">
        <v>8980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</row>
    <row r="551" spans="1:10" x14ac:dyDescent="0.25">
      <c r="A551" t="s">
        <v>842</v>
      </c>
      <c r="B551" t="s">
        <v>878</v>
      </c>
      <c r="C551" t="s">
        <v>599</v>
      </c>
      <c r="D551" s="1">
        <v>6173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</row>
    <row r="552" spans="1:10" x14ac:dyDescent="0.25">
      <c r="A552" t="s">
        <v>226</v>
      </c>
      <c r="B552" t="s">
        <v>878</v>
      </c>
      <c r="C552" t="s">
        <v>600</v>
      </c>
      <c r="D552" s="1">
        <v>3666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</row>
    <row r="553" spans="1:10" x14ac:dyDescent="0.25">
      <c r="A553" t="s">
        <v>817</v>
      </c>
      <c r="B553" t="s">
        <v>878</v>
      </c>
      <c r="C553" t="s">
        <v>601</v>
      </c>
      <c r="D553" s="1">
        <v>22058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</row>
    <row r="554" spans="1:10" x14ac:dyDescent="0.25">
      <c r="A554" t="s">
        <v>859</v>
      </c>
      <c r="B554" t="s">
        <v>878</v>
      </c>
      <c r="C554" t="s">
        <v>602</v>
      </c>
      <c r="D554" s="1">
        <v>43053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</row>
    <row r="555" spans="1:10" x14ac:dyDescent="0.25">
      <c r="A555" t="s">
        <v>859</v>
      </c>
      <c r="B555" t="s">
        <v>878</v>
      </c>
      <c r="C555" t="s">
        <v>603</v>
      </c>
      <c r="D555" s="1">
        <v>8511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</row>
    <row r="556" spans="1:10" x14ac:dyDescent="0.25">
      <c r="A556" t="s">
        <v>831</v>
      </c>
      <c r="B556" t="s">
        <v>878</v>
      </c>
      <c r="C556" t="s">
        <v>604</v>
      </c>
      <c r="D556" s="1">
        <v>19010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</row>
    <row r="557" spans="1:10" x14ac:dyDescent="0.25">
      <c r="A557" t="s">
        <v>809</v>
      </c>
      <c r="B557" t="s">
        <v>878</v>
      </c>
      <c r="C557" t="s">
        <v>605</v>
      </c>
      <c r="D557" s="1">
        <v>21225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</row>
    <row r="558" spans="1:10" x14ac:dyDescent="0.25">
      <c r="A558" t="s">
        <v>817</v>
      </c>
      <c r="B558" t="s">
        <v>878</v>
      </c>
      <c r="C558" t="s">
        <v>606</v>
      </c>
      <c r="D558" s="1">
        <v>97244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</row>
    <row r="559" spans="1:10" x14ac:dyDescent="0.25">
      <c r="A559" t="s">
        <v>824</v>
      </c>
      <c r="B559" t="s">
        <v>878</v>
      </c>
      <c r="C559" t="s">
        <v>607</v>
      </c>
      <c r="D559" s="1">
        <v>8277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</row>
    <row r="560" spans="1:10" x14ac:dyDescent="0.25">
      <c r="A560" t="s">
        <v>138</v>
      </c>
      <c r="B560" t="s">
        <v>878</v>
      </c>
      <c r="C560" t="s">
        <v>608</v>
      </c>
      <c r="D560" s="1">
        <v>36327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</row>
    <row r="561" spans="1:10" x14ac:dyDescent="0.25">
      <c r="A561" t="s">
        <v>859</v>
      </c>
      <c r="B561" t="s">
        <v>878</v>
      </c>
      <c r="C561" t="s">
        <v>609</v>
      </c>
      <c r="D561" s="1">
        <v>12931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</row>
    <row r="562" spans="1:10" x14ac:dyDescent="0.25">
      <c r="A562" t="s">
        <v>817</v>
      </c>
      <c r="B562" t="s">
        <v>878</v>
      </c>
      <c r="C562" t="s">
        <v>610</v>
      </c>
      <c r="D562" s="1">
        <v>82052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</row>
    <row r="563" spans="1:10" x14ac:dyDescent="0.25">
      <c r="A563" t="s">
        <v>817</v>
      </c>
      <c r="B563" t="s">
        <v>878</v>
      </c>
      <c r="C563" t="s">
        <v>611</v>
      </c>
      <c r="D563" s="1">
        <v>12159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</row>
    <row r="564" spans="1:10" x14ac:dyDescent="0.25">
      <c r="A564" t="s">
        <v>134</v>
      </c>
      <c r="B564" t="s">
        <v>878</v>
      </c>
      <c r="C564" t="s">
        <v>612</v>
      </c>
      <c r="D564" s="1">
        <v>48857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</row>
    <row r="565" spans="1:10" x14ac:dyDescent="0.25">
      <c r="A565" t="s">
        <v>817</v>
      </c>
      <c r="B565" t="s">
        <v>878</v>
      </c>
      <c r="C565" t="s">
        <v>613</v>
      </c>
      <c r="D565" s="1">
        <v>66638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</row>
    <row r="566" spans="1:10" x14ac:dyDescent="0.25">
      <c r="A566" t="s">
        <v>817</v>
      </c>
      <c r="B566" t="s">
        <v>878</v>
      </c>
      <c r="C566" t="s">
        <v>614</v>
      </c>
      <c r="D566" s="1">
        <v>9440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</row>
    <row r="567" spans="1:10" x14ac:dyDescent="0.25">
      <c r="A567" t="s">
        <v>826</v>
      </c>
      <c r="B567" t="s">
        <v>878</v>
      </c>
      <c r="C567" t="s">
        <v>615</v>
      </c>
      <c r="D567" s="1">
        <v>10043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</row>
    <row r="568" spans="1:10" x14ac:dyDescent="0.25">
      <c r="A568" t="s">
        <v>101</v>
      </c>
      <c r="B568" t="s">
        <v>878</v>
      </c>
      <c r="C568" t="s">
        <v>616</v>
      </c>
      <c r="D568" s="1">
        <v>15392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</row>
    <row r="569" spans="1:10" x14ac:dyDescent="0.25">
      <c r="A569" t="s">
        <v>811</v>
      </c>
      <c r="B569" t="s">
        <v>878</v>
      </c>
      <c r="C569" t="s">
        <v>617</v>
      </c>
      <c r="D569" s="1">
        <v>10641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</row>
    <row r="570" spans="1:10" x14ac:dyDescent="0.25">
      <c r="A570" t="s">
        <v>859</v>
      </c>
      <c r="B570" t="s">
        <v>878</v>
      </c>
      <c r="C570" t="s">
        <v>618</v>
      </c>
      <c r="D570" s="1">
        <v>5418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</row>
    <row r="571" spans="1:10" x14ac:dyDescent="0.25">
      <c r="A571" t="s">
        <v>788</v>
      </c>
      <c r="B571" t="s">
        <v>878</v>
      </c>
      <c r="C571" t="s">
        <v>619</v>
      </c>
      <c r="D571" s="1">
        <v>25304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</row>
    <row r="572" spans="1:10" x14ac:dyDescent="0.25">
      <c r="A572" t="s">
        <v>817</v>
      </c>
      <c r="B572" t="s">
        <v>878</v>
      </c>
      <c r="C572" t="s">
        <v>620</v>
      </c>
      <c r="D572" s="1">
        <v>24005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</row>
    <row r="573" spans="1:10" x14ac:dyDescent="0.25">
      <c r="A573" t="s">
        <v>248</v>
      </c>
      <c r="B573" t="s">
        <v>878</v>
      </c>
      <c r="C573" t="s">
        <v>621</v>
      </c>
      <c r="D573" s="1">
        <v>13031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</row>
    <row r="574" spans="1:10" x14ac:dyDescent="0.25">
      <c r="A574" t="s">
        <v>831</v>
      </c>
      <c r="B574" t="s">
        <v>878</v>
      </c>
      <c r="C574" t="s">
        <v>622</v>
      </c>
      <c r="D574" s="1">
        <v>35687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</row>
    <row r="575" spans="1:10" x14ac:dyDescent="0.25">
      <c r="A575" t="s">
        <v>823</v>
      </c>
      <c r="B575" t="s">
        <v>878</v>
      </c>
      <c r="C575" t="s">
        <v>623</v>
      </c>
      <c r="D575" s="1">
        <v>26360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</row>
    <row r="576" spans="1:10" x14ac:dyDescent="0.25">
      <c r="A576" t="s">
        <v>231</v>
      </c>
      <c r="B576" t="s">
        <v>878</v>
      </c>
      <c r="C576" t="s">
        <v>624</v>
      </c>
      <c r="D576" s="1">
        <v>10749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</row>
    <row r="577" spans="1:10" x14ac:dyDescent="0.25">
      <c r="A577" t="s">
        <v>76</v>
      </c>
      <c r="B577" t="s">
        <v>878</v>
      </c>
      <c r="C577" t="s">
        <v>625</v>
      </c>
      <c r="D577" s="1">
        <v>26632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</row>
    <row r="578" spans="1:10" x14ac:dyDescent="0.25">
      <c r="A578" t="s">
        <v>69</v>
      </c>
      <c r="B578" t="s">
        <v>878</v>
      </c>
      <c r="C578" t="s">
        <v>626</v>
      </c>
      <c r="D578" s="1">
        <v>61808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</row>
    <row r="579" spans="1:10" x14ac:dyDescent="0.25">
      <c r="A579" t="s">
        <v>83</v>
      </c>
      <c r="B579" t="s">
        <v>878</v>
      </c>
      <c r="C579" t="s">
        <v>627</v>
      </c>
      <c r="D579" s="1">
        <v>9418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</row>
    <row r="580" spans="1:10" x14ac:dyDescent="0.25">
      <c r="A580" t="s">
        <v>791</v>
      </c>
      <c r="B580" t="s">
        <v>878</v>
      </c>
      <c r="C580" t="s">
        <v>628</v>
      </c>
      <c r="D580" s="1">
        <v>6604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</row>
    <row r="581" spans="1:10" x14ac:dyDescent="0.25">
      <c r="A581" t="s">
        <v>797</v>
      </c>
      <c r="B581" t="s">
        <v>878</v>
      </c>
      <c r="C581" t="s">
        <v>629</v>
      </c>
      <c r="D581" s="1">
        <v>1094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</row>
    <row r="582" spans="1:10" x14ac:dyDescent="0.25">
      <c r="A582" t="s">
        <v>69</v>
      </c>
      <c r="B582" t="s">
        <v>878</v>
      </c>
      <c r="C582" t="s">
        <v>630</v>
      </c>
      <c r="D582" s="1">
        <v>30467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</row>
    <row r="583" spans="1:10" x14ac:dyDescent="0.25">
      <c r="A583" t="s">
        <v>69</v>
      </c>
      <c r="B583" t="s">
        <v>878</v>
      </c>
      <c r="C583" t="s">
        <v>631</v>
      </c>
      <c r="D583" s="1">
        <v>51795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</row>
    <row r="584" spans="1:10" x14ac:dyDescent="0.25">
      <c r="A584" t="s">
        <v>823</v>
      </c>
      <c r="B584" t="s">
        <v>878</v>
      </c>
      <c r="C584" t="s">
        <v>632</v>
      </c>
      <c r="D584" s="1">
        <v>16420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</row>
    <row r="585" spans="1:10" x14ac:dyDescent="0.25">
      <c r="A585" t="s">
        <v>76</v>
      </c>
      <c r="B585" t="s">
        <v>878</v>
      </c>
      <c r="C585" t="s">
        <v>633</v>
      </c>
      <c r="D585" s="1">
        <v>17158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</row>
    <row r="586" spans="1:10" x14ac:dyDescent="0.25">
      <c r="A586" t="s">
        <v>801</v>
      </c>
      <c r="B586" t="s">
        <v>878</v>
      </c>
      <c r="C586" t="s">
        <v>634</v>
      </c>
      <c r="D586" s="1"/>
      <c r="E586" s="1"/>
      <c r="F586" s="1"/>
      <c r="G586" s="1"/>
      <c r="H586" s="1"/>
      <c r="I586" s="1"/>
      <c r="J586" s="1"/>
    </row>
    <row r="587" spans="1:10" x14ac:dyDescent="0.25">
      <c r="A587" t="s">
        <v>801</v>
      </c>
      <c r="B587" t="s">
        <v>878</v>
      </c>
      <c r="C587" t="s">
        <v>635</v>
      </c>
      <c r="D587" s="1">
        <v>64903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</row>
    <row r="588" spans="1:10" x14ac:dyDescent="0.25">
      <c r="A588" t="s">
        <v>817</v>
      </c>
      <c r="B588" t="s">
        <v>878</v>
      </c>
      <c r="C588" t="s">
        <v>636</v>
      </c>
      <c r="D588" s="1">
        <v>15088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</row>
    <row r="589" spans="1:10" x14ac:dyDescent="0.25">
      <c r="A589" t="s">
        <v>824</v>
      </c>
      <c r="B589" t="s">
        <v>878</v>
      </c>
      <c r="C589" t="s">
        <v>637</v>
      </c>
      <c r="D589" s="1">
        <v>14283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</row>
    <row r="590" spans="1:10" x14ac:dyDescent="0.25">
      <c r="A590" t="s">
        <v>818</v>
      </c>
      <c r="B590" t="s">
        <v>878</v>
      </c>
      <c r="C590" t="s">
        <v>638</v>
      </c>
      <c r="D590" s="1">
        <v>35254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</row>
    <row r="591" spans="1:10" x14ac:dyDescent="0.25">
      <c r="A591" t="s">
        <v>817</v>
      </c>
      <c r="B591" t="s">
        <v>878</v>
      </c>
      <c r="C591" t="s">
        <v>639</v>
      </c>
      <c r="D591" s="1">
        <v>23640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</row>
    <row r="592" spans="1:10" x14ac:dyDescent="0.25">
      <c r="A592" t="s">
        <v>811</v>
      </c>
      <c r="B592" t="s">
        <v>878</v>
      </c>
      <c r="C592" t="s">
        <v>640</v>
      </c>
      <c r="D592" s="1">
        <v>139834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</row>
    <row r="593" spans="1:10" x14ac:dyDescent="0.25">
      <c r="A593" t="s">
        <v>811</v>
      </c>
      <c r="B593" t="s">
        <v>878</v>
      </c>
      <c r="C593" t="s">
        <v>641</v>
      </c>
      <c r="D593" s="1">
        <v>32518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</row>
    <row r="594" spans="1:10" x14ac:dyDescent="0.25">
      <c r="A594" t="s">
        <v>76</v>
      </c>
      <c r="B594" t="s">
        <v>878</v>
      </c>
      <c r="C594" t="s">
        <v>642</v>
      </c>
      <c r="D594" s="1">
        <v>13598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</row>
    <row r="595" spans="1:10" x14ac:dyDescent="0.25">
      <c r="A595" t="s">
        <v>791</v>
      </c>
      <c r="B595" t="s">
        <v>878</v>
      </c>
      <c r="C595" t="s">
        <v>643</v>
      </c>
      <c r="D595" s="1">
        <v>1876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</row>
    <row r="596" spans="1:10" x14ac:dyDescent="0.25">
      <c r="A596" t="s">
        <v>76</v>
      </c>
      <c r="B596" t="s">
        <v>878</v>
      </c>
      <c r="C596" t="s">
        <v>644</v>
      </c>
      <c r="D596" s="1">
        <v>9991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</row>
    <row r="597" spans="1:10" x14ac:dyDescent="0.25">
      <c r="A597" t="s">
        <v>817</v>
      </c>
      <c r="B597" t="s">
        <v>878</v>
      </c>
      <c r="C597" t="s">
        <v>645</v>
      </c>
      <c r="D597" s="1">
        <v>37632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</row>
    <row r="598" spans="1:10" x14ac:dyDescent="0.25">
      <c r="A598" t="s">
        <v>817</v>
      </c>
      <c r="B598" t="s">
        <v>878</v>
      </c>
      <c r="C598" t="s">
        <v>646</v>
      </c>
      <c r="D598" s="1">
        <v>20553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</row>
    <row r="599" spans="1:10" x14ac:dyDescent="0.25">
      <c r="A599" t="s">
        <v>226</v>
      </c>
      <c r="B599" t="s">
        <v>878</v>
      </c>
      <c r="C599" t="s">
        <v>647</v>
      </c>
      <c r="D599" s="1">
        <v>734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</row>
    <row r="600" spans="1:10" x14ac:dyDescent="0.25">
      <c r="A600" t="s">
        <v>831</v>
      </c>
      <c r="B600" t="s">
        <v>878</v>
      </c>
      <c r="C600" t="s">
        <v>648</v>
      </c>
      <c r="D600" s="1">
        <v>30439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</row>
    <row r="601" spans="1:10" x14ac:dyDescent="0.25">
      <c r="A601" t="s">
        <v>818</v>
      </c>
      <c r="B601" t="s">
        <v>878</v>
      </c>
      <c r="C601" t="s">
        <v>649</v>
      </c>
      <c r="D601" s="1">
        <v>14627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</row>
    <row r="602" spans="1:10" x14ac:dyDescent="0.25">
      <c r="A602" t="s">
        <v>817</v>
      </c>
      <c r="B602" t="s">
        <v>878</v>
      </c>
      <c r="C602" t="s">
        <v>650</v>
      </c>
      <c r="D602" s="1">
        <v>32424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</row>
    <row r="603" spans="1:10" x14ac:dyDescent="0.25">
      <c r="A603" t="s">
        <v>817</v>
      </c>
      <c r="B603" t="s">
        <v>878</v>
      </c>
      <c r="C603" t="s">
        <v>651</v>
      </c>
      <c r="D603" s="1">
        <v>16535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</row>
    <row r="604" spans="1:10" x14ac:dyDescent="0.25">
      <c r="A604" t="s">
        <v>817</v>
      </c>
      <c r="B604" t="s">
        <v>878</v>
      </c>
      <c r="C604" t="s">
        <v>652</v>
      </c>
      <c r="D604" s="1"/>
      <c r="E604" s="1"/>
      <c r="F604" s="1"/>
      <c r="G604" s="1"/>
      <c r="H604" s="1"/>
      <c r="I604" s="1"/>
      <c r="J604" s="1"/>
    </row>
    <row r="605" spans="1:10" x14ac:dyDescent="0.25">
      <c r="A605" t="s">
        <v>817</v>
      </c>
      <c r="B605" t="s">
        <v>878</v>
      </c>
      <c r="C605" t="s">
        <v>653</v>
      </c>
      <c r="D605" s="1">
        <v>50570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</row>
    <row r="606" spans="1:10" x14ac:dyDescent="0.25">
      <c r="A606" t="s">
        <v>817</v>
      </c>
      <c r="B606" t="s">
        <v>878</v>
      </c>
      <c r="C606" t="s">
        <v>654</v>
      </c>
      <c r="D606" s="1">
        <v>41354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</row>
    <row r="607" spans="1:10" x14ac:dyDescent="0.25">
      <c r="A607" t="s">
        <v>826</v>
      </c>
      <c r="B607" t="s">
        <v>878</v>
      </c>
      <c r="C607" t="s">
        <v>655</v>
      </c>
      <c r="D607" s="1"/>
      <c r="E607" s="1"/>
      <c r="F607" s="1"/>
      <c r="G607" s="1"/>
      <c r="H607" s="1"/>
      <c r="I607" s="1"/>
      <c r="J607" s="1"/>
    </row>
    <row r="608" spans="1:10" x14ac:dyDescent="0.25">
      <c r="A608" t="s">
        <v>817</v>
      </c>
      <c r="B608" t="s">
        <v>878</v>
      </c>
      <c r="C608" t="s">
        <v>656</v>
      </c>
      <c r="D608" s="1">
        <v>8567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</row>
    <row r="609" spans="1:10" x14ac:dyDescent="0.25">
      <c r="A609" t="s">
        <v>811</v>
      </c>
      <c r="B609" t="s">
        <v>878</v>
      </c>
      <c r="C609" t="s">
        <v>657</v>
      </c>
      <c r="D609" s="1">
        <v>50700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</row>
    <row r="610" spans="1:10" x14ac:dyDescent="0.25">
      <c r="A610" t="s">
        <v>817</v>
      </c>
      <c r="B610" t="s">
        <v>878</v>
      </c>
      <c r="C610" t="s">
        <v>658</v>
      </c>
      <c r="D610" s="1">
        <v>50938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</row>
    <row r="611" spans="1:10" x14ac:dyDescent="0.25">
      <c r="A611" t="s">
        <v>860</v>
      </c>
      <c r="B611" t="s">
        <v>878</v>
      </c>
      <c r="C611" t="s">
        <v>659</v>
      </c>
      <c r="D611" s="1">
        <v>9430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</row>
    <row r="612" spans="1:10" x14ac:dyDescent="0.25">
      <c r="A612" t="s">
        <v>248</v>
      </c>
      <c r="B612" t="s">
        <v>878</v>
      </c>
      <c r="C612" t="s">
        <v>660</v>
      </c>
      <c r="D612" s="1">
        <v>16551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</row>
    <row r="613" spans="1:10" x14ac:dyDescent="0.25">
      <c r="A613" t="s">
        <v>861</v>
      </c>
      <c r="B613" t="s">
        <v>878</v>
      </c>
      <c r="C613" t="s">
        <v>661</v>
      </c>
      <c r="D613" s="1">
        <v>10069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</row>
    <row r="614" spans="1:10" x14ac:dyDescent="0.25">
      <c r="A614" t="s">
        <v>229</v>
      </c>
      <c r="B614" t="s">
        <v>878</v>
      </c>
      <c r="C614" t="s">
        <v>662</v>
      </c>
      <c r="D614" s="1">
        <v>12772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</row>
    <row r="615" spans="1:10" x14ac:dyDescent="0.25">
      <c r="A615" t="s">
        <v>101</v>
      </c>
      <c r="B615" t="s">
        <v>878</v>
      </c>
      <c r="C615" t="s">
        <v>663</v>
      </c>
      <c r="D615" s="1">
        <v>11926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</row>
    <row r="616" spans="1:10" x14ac:dyDescent="0.25">
      <c r="A616" t="s">
        <v>69</v>
      </c>
      <c r="B616" t="s">
        <v>878</v>
      </c>
      <c r="C616" t="s">
        <v>664</v>
      </c>
      <c r="D616" s="1">
        <v>24192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</row>
    <row r="617" spans="1:10" x14ac:dyDescent="0.25">
      <c r="A617" t="s">
        <v>859</v>
      </c>
      <c r="B617" t="s">
        <v>878</v>
      </c>
      <c r="C617" t="s">
        <v>665</v>
      </c>
      <c r="D617" s="1">
        <v>19263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</row>
    <row r="618" spans="1:10" x14ac:dyDescent="0.25">
      <c r="A618" t="s">
        <v>804</v>
      </c>
      <c r="B618" t="s">
        <v>878</v>
      </c>
      <c r="C618" t="s">
        <v>666</v>
      </c>
      <c r="D618" s="1">
        <v>45003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</row>
    <row r="619" spans="1:10" x14ac:dyDescent="0.25">
      <c r="A619" t="s">
        <v>853</v>
      </c>
      <c r="B619" t="s">
        <v>878</v>
      </c>
      <c r="C619" t="s">
        <v>667</v>
      </c>
      <c r="D619" s="1">
        <v>8021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</row>
    <row r="620" spans="1:10" x14ac:dyDescent="0.25">
      <c r="A620" t="s">
        <v>862</v>
      </c>
      <c r="B620" t="s">
        <v>878</v>
      </c>
      <c r="C620" t="s">
        <v>668</v>
      </c>
      <c r="D620" s="1">
        <v>12914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</row>
    <row r="621" spans="1:10" x14ac:dyDescent="0.25">
      <c r="A621" t="s">
        <v>847</v>
      </c>
      <c r="B621" t="s">
        <v>878</v>
      </c>
      <c r="C621" t="s">
        <v>669</v>
      </c>
      <c r="D621" s="1">
        <v>13345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</row>
    <row r="622" spans="1:10" x14ac:dyDescent="0.25">
      <c r="A622" t="s">
        <v>849</v>
      </c>
      <c r="B622" t="s">
        <v>878</v>
      </c>
      <c r="C622" t="s">
        <v>670</v>
      </c>
      <c r="D622" s="1">
        <v>4462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</row>
    <row r="623" spans="1:10" x14ac:dyDescent="0.25">
      <c r="A623" t="s">
        <v>226</v>
      </c>
      <c r="B623" t="s">
        <v>878</v>
      </c>
      <c r="C623" t="s">
        <v>671</v>
      </c>
      <c r="D623" s="1">
        <v>958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</row>
    <row r="624" spans="1:10" x14ac:dyDescent="0.25">
      <c r="A624" t="s">
        <v>859</v>
      </c>
      <c r="B624" t="s">
        <v>878</v>
      </c>
      <c r="C624" t="s">
        <v>672</v>
      </c>
      <c r="D624" s="1">
        <v>37859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</row>
    <row r="625" spans="1:10" x14ac:dyDescent="0.25">
      <c r="A625" t="s">
        <v>830</v>
      </c>
      <c r="B625" t="s">
        <v>878</v>
      </c>
      <c r="C625" t="s">
        <v>673</v>
      </c>
      <c r="D625" s="1">
        <v>13209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</row>
    <row r="626" spans="1:10" x14ac:dyDescent="0.25">
      <c r="A626" t="s">
        <v>796</v>
      </c>
      <c r="B626" t="s">
        <v>878</v>
      </c>
      <c r="C626" t="s">
        <v>674</v>
      </c>
      <c r="D626" s="1">
        <v>30728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</row>
    <row r="627" spans="1:10" x14ac:dyDescent="0.25">
      <c r="A627" t="s">
        <v>854</v>
      </c>
      <c r="B627" t="s">
        <v>878</v>
      </c>
      <c r="C627" t="s">
        <v>675</v>
      </c>
      <c r="D627" s="1">
        <v>10914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</row>
    <row r="628" spans="1:10" x14ac:dyDescent="0.25">
      <c r="A628" t="s">
        <v>796</v>
      </c>
      <c r="B628" t="s">
        <v>878</v>
      </c>
      <c r="C628" t="s">
        <v>676</v>
      </c>
      <c r="D628" s="1">
        <v>25367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</row>
    <row r="629" spans="1:10" x14ac:dyDescent="0.25">
      <c r="A629" t="s">
        <v>226</v>
      </c>
      <c r="B629" t="s">
        <v>878</v>
      </c>
      <c r="C629" t="s">
        <v>677</v>
      </c>
      <c r="D629" s="1">
        <v>9227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</row>
    <row r="630" spans="1:10" x14ac:dyDescent="0.25">
      <c r="A630" t="s">
        <v>138</v>
      </c>
      <c r="B630" t="s">
        <v>878</v>
      </c>
      <c r="C630" t="s">
        <v>678</v>
      </c>
      <c r="D630" s="1"/>
      <c r="E630" s="1"/>
      <c r="F630" s="1"/>
      <c r="G630" s="1"/>
      <c r="H630" s="1"/>
      <c r="I630" s="1"/>
      <c r="J630" s="1"/>
    </row>
    <row r="631" spans="1:10" x14ac:dyDescent="0.25">
      <c r="A631" t="s">
        <v>804</v>
      </c>
      <c r="B631" t="s">
        <v>878</v>
      </c>
      <c r="C631" t="s">
        <v>679</v>
      </c>
      <c r="D631" s="1">
        <v>62658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</row>
    <row r="632" spans="1:10" x14ac:dyDescent="0.25">
      <c r="A632" t="s">
        <v>823</v>
      </c>
      <c r="B632" t="s">
        <v>878</v>
      </c>
      <c r="C632" t="s">
        <v>680</v>
      </c>
      <c r="D632" s="1">
        <v>47231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</row>
    <row r="633" spans="1:10" x14ac:dyDescent="0.25">
      <c r="A633" t="s">
        <v>809</v>
      </c>
      <c r="B633" t="s">
        <v>878</v>
      </c>
      <c r="C633" t="s">
        <v>681</v>
      </c>
      <c r="D633" s="1">
        <v>57241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</row>
    <row r="634" spans="1:10" x14ac:dyDescent="0.25">
      <c r="A634" t="s">
        <v>248</v>
      </c>
      <c r="B634" t="s">
        <v>878</v>
      </c>
      <c r="C634" t="s">
        <v>682</v>
      </c>
      <c r="D634" s="1">
        <v>28077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</row>
    <row r="635" spans="1:10" x14ac:dyDescent="0.25">
      <c r="A635" t="s">
        <v>795</v>
      </c>
      <c r="B635" t="s">
        <v>878</v>
      </c>
      <c r="C635" t="s">
        <v>683</v>
      </c>
      <c r="D635" s="1">
        <v>30018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</row>
    <row r="636" spans="1:10" x14ac:dyDescent="0.25">
      <c r="A636" t="s">
        <v>795</v>
      </c>
      <c r="B636" t="s">
        <v>878</v>
      </c>
      <c r="C636" t="s">
        <v>684</v>
      </c>
      <c r="D636" s="1">
        <v>92498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</row>
    <row r="637" spans="1:10" x14ac:dyDescent="0.25">
      <c r="A637" t="s">
        <v>795</v>
      </c>
      <c r="B637" t="s">
        <v>878</v>
      </c>
      <c r="C637" t="s">
        <v>685</v>
      </c>
      <c r="D637" s="1">
        <v>19057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</row>
    <row r="638" spans="1:10" x14ac:dyDescent="0.25">
      <c r="A638" t="s">
        <v>851</v>
      </c>
      <c r="B638" t="s">
        <v>878</v>
      </c>
      <c r="C638" t="s">
        <v>686</v>
      </c>
      <c r="D638" s="1">
        <v>6147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</row>
    <row r="639" spans="1:10" x14ac:dyDescent="0.25">
      <c r="A639" t="s">
        <v>841</v>
      </c>
      <c r="B639" t="s">
        <v>878</v>
      </c>
      <c r="C639" t="s">
        <v>687</v>
      </c>
      <c r="D639" s="1">
        <v>15738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</row>
    <row r="640" spans="1:10" x14ac:dyDescent="0.25">
      <c r="A640" t="s">
        <v>859</v>
      </c>
      <c r="B640" t="s">
        <v>878</v>
      </c>
      <c r="C640" t="s">
        <v>688</v>
      </c>
      <c r="D640" s="1">
        <v>9789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</row>
    <row r="641" spans="1:10" x14ac:dyDescent="0.25">
      <c r="A641" t="s">
        <v>248</v>
      </c>
      <c r="B641" t="s">
        <v>878</v>
      </c>
      <c r="C641" t="s">
        <v>689</v>
      </c>
      <c r="D641" s="1">
        <v>47359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</row>
    <row r="642" spans="1:10" x14ac:dyDescent="0.25">
      <c r="A642" t="s">
        <v>831</v>
      </c>
      <c r="B642" t="s">
        <v>878</v>
      </c>
      <c r="C642" t="s">
        <v>690</v>
      </c>
      <c r="D642" s="1">
        <v>16174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</row>
    <row r="643" spans="1:10" x14ac:dyDescent="0.25">
      <c r="A643" t="s">
        <v>840</v>
      </c>
      <c r="B643" t="s">
        <v>878</v>
      </c>
      <c r="C643" t="s">
        <v>691</v>
      </c>
      <c r="D643" s="1">
        <v>27346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</row>
    <row r="644" spans="1:10" x14ac:dyDescent="0.25">
      <c r="A644" t="s">
        <v>495</v>
      </c>
      <c r="B644" t="s">
        <v>878</v>
      </c>
      <c r="C644" t="s">
        <v>692</v>
      </c>
      <c r="D644" s="1">
        <v>22786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</row>
    <row r="645" spans="1:10" x14ac:dyDescent="0.25">
      <c r="A645" t="s">
        <v>824</v>
      </c>
      <c r="B645" t="s">
        <v>878</v>
      </c>
      <c r="C645" t="s">
        <v>693</v>
      </c>
      <c r="D645" s="1">
        <v>25585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</row>
    <row r="646" spans="1:10" x14ac:dyDescent="0.25">
      <c r="A646" t="s">
        <v>806</v>
      </c>
      <c r="B646" t="s">
        <v>878</v>
      </c>
      <c r="C646" t="s">
        <v>694</v>
      </c>
      <c r="D646" s="1">
        <v>5909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</row>
    <row r="647" spans="1:10" x14ac:dyDescent="0.25">
      <c r="A647" t="s">
        <v>806</v>
      </c>
      <c r="B647" t="s">
        <v>878</v>
      </c>
      <c r="C647" t="s">
        <v>695</v>
      </c>
      <c r="D647" s="1">
        <v>3399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</row>
    <row r="648" spans="1:10" x14ac:dyDescent="0.25">
      <c r="A648" t="s">
        <v>795</v>
      </c>
      <c r="B648" t="s">
        <v>878</v>
      </c>
      <c r="C648" t="s">
        <v>696</v>
      </c>
      <c r="D648" s="1">
        <v>12328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</row>
    <row r="649" spans="1:10" x14ac:dyDescent="0.25">
      <c r="A649" t="s">
        <v>831</v>
      </c>
      <c r="B649" t="s">
        <v>878</v>
      </c>
      <c r="C649" t="s">
        <v>697</v>
      </c>
      <c r="D649" s="1">
        <v>17191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</row>
    <row r="650" spans="1:10" x14ac:dyDescent="0.25">
      <c r="A650" t="s">
        <v>829</v>
      </c>
      <c r="B650" t="s">
        <v>878</v>
      </c>
      <c r="C650" t="s">
        <v>698</v>
      </c>
      <c r="D650" s="1">
        <v>25041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</row>
    <row r="651" spans="1:10" x14ac:dyDescent="0.25">
      <c r="A651" t="s">
        <v>811</v>
      </c>
      <c r="B651" t="s">
        <v>878</v>
      </c>
      <c r="C651" t="s">
        <v>699</v>
      </c>
      <c r="D651" s="1">
        <v>23043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</row>
    <row r="652" spans="1:10" x14ac:dyDescent="0.25">
      <c r="A652" t="s">
        <v>856</v>
      </c>
      <c r="B652" t="s">
        <v>878</v>
      </c>
      <c r="C652" t="s">
        <v>700</v>
      </c>
      <c r="D652" s="1">
        <v>29594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</row>
    <row r="653" spans="1:10" x14ac:dyDescent="0.25">
      <c r="A653" t="s">
        <v>796</v>
      </c>
      <c r="B653" t="s">
        <v>878</v>
      </c>
      <c r="C653" t="s">
        <v>701</v>
      </c>
      <c r="D653" s="1">
        <v>25058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</row>
    <row r="654" spans="1:10" x14ac:dyDescent="0.25">
      <c r="A654" t="s">
        <v>791</v>
      </c>
      <c r="B654" t="s">
        <v>878</v>
      </c>
      <c r="C654" t="s">
        <v>702</v>
      </c>
      <c r="D654" s="1">
        <v>4155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</row>
    <row r="655" spans="1:10" x14ac:dyDescent="0.25">
      <c r="A655" t="s">
        <v>850</v>
      </c>
      <c r="B655" t="s">
        <v>878</v>
      </c>
      <c r="C655" t="s">
        <v>703</v>
      </c>
      <c r="D655" s="1">
        <v>3594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</row>
    <row r="656" spans="1:10" x14ac:dyDescent="0.25">
      <c r="A656" t="s">
        <v>146</v>
      </c>
      <c r="B656" t="s">
        <v>878</v>
      </c>
      <c r="C656" t="s">
        <v>704</v>
      </c>
      <c r="D656" s="1">
        <v>25604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</row>
    <row r="657" spans="1:10" x14ac:dyDescent="0.25">
      <c r="A657" t="s">
        <v>846</v>
      </c>
      <c r="B657" t="s">
        <v>878</v>
      </c>
      <c r="C657" t="s">
        <v>705</v>
      </c>
      <c r="D657" s="1">
        <v>7993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</row>
    <row r="658" spans="1:10" x14ac:dyDescent="0.25">
      <c r="A658" t="s">
        <v>855</v>
      </c>
      <c r="B658" t="s">
        <v>878</v>
      </c>
      <c r="C658" t="s">
        <v>706</v>
      </c>
      <c r="D658" s="1">
        <v>8772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</row>
    <row r="659" spans="1:10" x14ac:dyDescent="0.25">
      <c r="A659" t="s">
        <v>794</v>
      </c>
      <c r="B659" t="s">
        <v>878</v>
      </c>
      <c r="C659" t="s">
        <v>707</v>
      </c>
      <c r="D659" s="1">
        <v>14395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</row>
    <row r="660" spans="1:10" x14ac:dyDescent="0.25">
      <c r="A660" t="s">
        <v>803</v>
      </c>
      <c r="B660" t="s">
        <v>878</v>
      </c>
      <c r="C660" t="s">
        <v>708</v>
      </c>
      <c r="D660" s="1"/>
      <c r="E660" s="1"/>
      <c r="F660" s="1"/>
      <c r="G660" s="1"/>
      <c r="H660" s="1"/>
      <c r="I660" s="1"/>
      <c r="J660" s="1"/>
    </row>
    <row r="661" spans="1:10" x14ac:dyDescent="0.25">
      <c r="A661" t="s">
        <v>834</v>
      </c>
      <c r="B661" t="s">
        <v>878</v>
      </c>
      <c r="C661" t="s">
        <v>709</v>
      </c>
      <c r="D661" s="1">
        <v>9960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</row>
    <row r="662" spans="1:10" x14ac:dyDescent="0.25">
      <c r="A662" t="s">
        <v>852</v>
      </c>
      <c r="B662" t="s">
        <v>878</v>
      </c>
      <c r="C662" t="s">
        <v>710</v>
      </c>
      <c r="D662" s="1">
        <v>10259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</row>
    <row r="663" spans="1:10" x14ac:dyDescent="0.25">
      <c r="A663" t="s">
        <v>824</v>
      </c>
      <c r="B663" t="s">
        <v>878</v>
      </c>
      <c r="C663" t="s">
        <v>711</v>
      </c>
      <c r="D663" s="1">
        <v>16382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</row>
    <row r="664" spans="1:10" x14ac:dyDescent="0.25">
      <c r="A664" t="s">
        <v>817</v>
      </c>
      <c r="B664" t="s">
        <v>878</v>
      </c>
      <c r="C664" t="s">
        <v>712</v>
      </c>
      <c r="D664" s="1">
        <v>43868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</row>
    <row r="665" spans="1:10" x14ac:dyDescent="0.25">
      <c r="A665" t="s">
        <v>857</v>
      </c>
      <c r="B665" t="s">
        <v>878</v>
      </c>
      <c r="C665" t="s">
        <v>713</v>
      </c>
      <c r="D665" s="1">
        <v>9401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</row>
    <row r="666" spans="1:10" x14ac:dyDescent="0.25">
      <c r="A666" t="s">
        <v>146</v>
      </c>
      <c r="B666" t="s">
        <v>878</v>
      </c>
      <c r="C666" t="s">
        <v>714</v>
      </c>
      <c r="D666" s="1">
        <v>34833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</row>
    <row r="667" spans="1:10" x14ac:dyDescent="0.25">
      <c r="A667" t="s">
        <v>120</v>
      </c>
      <c r="B667" t="s">
        <v>878</v>
      </c>
      <c r="C667" t="s">
        <v>715</v>
      </c>
      <c r="D667" s="1">
        <v>11984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</row>
    <row r="668" spans="1:10" x14ac:dyDescent="0.25">
      <c r="A668" t="s">
        <v>146</v>
      </c>
      <c r="B668" t="s">
        <v>878</v>
      </c>
      <c r="C668" t="s">
        <v>716</v>
      </c>
      <c r="D668" s="1">
        <v>8964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</row>
    <row r="669" spans="1:10" x14ac:dyDescent="0.25">
      <c r="A669" t="s">
        <v>811</v>
      </c>
      <c r="B669" t="s">
        <v>878</v>
      </c>
      <c r="C669" t="s">
        <v>717</v>
      </c>
      <c r="D669" s="1">
        <v>11348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</row>
    <row r="670" spans="1:10" x14ac:dyDescent="0.25">
      <c r="A670" t="s">
        <v>146</v>
      </c>
      <c r="B670" t="s">
        <v>878</v>
      </c>
      <c r="C670" t="s">
        <v>718</v>
      </c>
      <c r="D670" s="1">
        <v>27146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</row>
    <row r="671" spans="1:10" x14ac:dyDescent="0.25">
      <c r="A671" t="s">
        <v>816</v>
      </c>
      <c r="B671" t="s">
        <v>878</v>
      </c>
      <c r="C671" t="s">
        <v>719</v>
      </c>
      <c r="D671" s="1">
        <v>11333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</row>
    <row r="672" spans="1:10" x14ac:dyDescent="0.25">
      <c r="A672" t="s">
        <v>817</v>
      </c>
      <c r="B672" t="s">
        <v>878</v>
      </c>
      <c r="C672" t="s">
        <v>720</v>
      </c>
      <c r="D672" s="1">
        <v>45565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</row>
    <row r="673" spans="1:10" x14ac:dyDescent="0.25">
      <c r="A673" t="s">
        <v>864</v>
      </c>
      <c r="B673" t="s">
        <v>878</v>
      </c>
      <c r="C673" t="s">
        <v>721</v>
      </c>
      <c r="D673" s="1">
        <v>67684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</row>
    <row r="674" spans="1:10" x14ac:dyDescent="0.25">
      <c r="A674" t="s">
        <v>146</v>
      </c>
      <c r="B674" t="s">
        <v>878</v>
      </c>
      <c r="C674" t="s">
        <v>722</v>
      </c>
      <c r="D674" s="1">
        <v>14125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</row>
    <row r="675" spans="1:10" x14ac:dyDescent="0.25">
      <c r="A675" t="s">
        <v>858</v>
      </c>
      <c r="B675" t="s">
        <v>878</v>
      </c>
      <c r="C675" t="s">
        <v>723</v>
      </c>
      <c r="D675" s="1">
        <v>13017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</row>
    <row r="676" spans="1:10" x14ac:dyDescent="0.25">
      <c r="A676" t="s">
        <v>859</v>
      </c>
      <c r="B676" t="s">
        <v>878</v>
      </c>
      <c r="C676" t="s">
        <v>724</v>
      </c>
      <c r="D676" s="1">
        <v>114790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</row>
    <row r="677" spans="1:10" x14ac:dyDescent="0.25">
      <c r="A677" t="s">
        <v>794</v>
      </c>
      <c r="B677" t="s">
        <v>878</v>
      </c>
      <c r="C677" t="s">
        <v>725</v>
      </c>
      <c r="D677" s="1">
        <v>48441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</row>
    <row r="678" spans="1:10" x14ac:dyDescent="0.25">
      <c r="A678" t="s">
        <v>864</v>
      </c>
      <c r="B678" t="s">
        <v>878</v>
      </c>
      <c r="C678" t="s">
        <v>726</v>
      </c>
      <c r="D678" s="1">
        <v>55156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</row>
    <row r="679" spans="1:10" x14ac:dyDescent="0.25">
      <c r="A679" t="s">
        <v>824</v>
      </c>
      <c r="B679" t="s">
        <v>878</v>
      </c>
      <c r="C679" t="s">
        <v>727</v>
      </c>
      <c r="D679" s="1">
        <v>13495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</row>
    <row r="680" spans="1:10" x14ac:dyDescent="0.25">
      <c r="A680" t="s">
        <v>134</v>
      </c>
      <c r="B680" t="s">
        <v>878</v>
      </c>
      <c r="C680" t="s">
        <v>728</v>
      </c>
      <c r="D680" s="1">
        <v>4167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</row>
    <row r="681" spans="1:10" x14ac:dyDescent="0.25">
      <c r="A681" t="s">
        <v>138</v>
      </c>
      <c r="B681" t="s">
        <v>878</v>
      </c>
      <c r="C681" t="s">
        <v>729</v>
      </c>
      <c r="D681" s="1">
        <v>45889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</row>
    <row r="682" spans="1:10" x14ac:dyDescent="0.25">
      <c r="A682" t="s">
        <v>788</v>
      </c>
      <c r="B682" t="s">
        <v>878</v>
      </c>
      <c r="C682" t="s">
        <v>730</v>
      </c>
      <c r="D682" s="1">
        <v>3020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</row>
    <row r="683" spans="1:10" x14ac:dyDescent="0.25">
      <c r="A683" t="s">
        <v>831</v>
      </c>
      <c r="B683" t="s">
        <v>878</v>
      </c>
      <c r="C683" t="s">
        <v>731</v>
      </c>
      <c r="D683" s="1">
        <v>3676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</row>
    <row r="684" spans="1:10" x14ac:dyDescent="0.25">
      <c r="A684" t="s">
        <v>76</v>
      </c>
      <c r="B684" t="s">
        <v>878</v>
      </c>
      <c r="C684" t="s">
        <v>732</v>
      </c>
      <c r="D684" s="1">
        <v>10677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</row>
    <row r="685" spans="1:10" x14ac:dyDescent="0.25">
      <c r="A685" t="s">
        <v>809</v>
      </c>
      <c r="B685" t="s">
        <v>878</v>
      </c>
      <c r="C685" t="s">
        <v>733</v>
      </c>
      <c r="D685" s="1">
        <v>32930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</row>
    <row r="686" spans="1:10" x14ac:dyDescent="0.25">
      <c r="A686" t="s">
        <v>120</v>
      </c>
      <c r="B686" t="s">
        <v>878</v>
      </c>
      <c r="C686" t="s">
        <v>734</v>
      </c>
      <c r="D686" s="1">
        <v>4658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</row>
    <row r="687" spans="1:10" x14ac:dyDescent="0.25">
      <c r="A687" t="s">
        <v>817</v>
      </c>
      <c r="B687" t="s">
        <v>878</v>
      </c>
      <c r="C687" t="s">
        <v>735</v>
      </c>
      <c r="D687" s="1">
        <v>11983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</row>
    <row r="688" spans="1:10" x14ac:dyDescent="0.25">
      <c r="A688" t="s">
        <v>801</v>
      </c>
      <c r="B688" t="s">
        <v>878</v>
      </c>
      <c r="C688" t="s">
        <v>736</v>
      </c>
      <c r="D688" s="1">
        <v>2277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</row>
    <row r="689" spans="1:10" x14ac:dyDescent="0.25">
      <c r="A689" t="s">
        <v>138</v>
      </c>
      <c r="B689" t="s">
        <v>878</v>
      </c>
      <c r="C689" t="s">
        <v>737</v>
      </c>
      <c r="D689" s="1">
        <v>16242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</row>
    <row r="690" spans="1:10" x14ac:dyDescent="0.25">
      <c r="A690" t="s">
        <v>138</v>
      </c>
      <c r="B690" t="s">
        <v>878</v>
      </c>
      <c r="C690" t="s">
        <v>738</v>
      </c>
      <c r="D690" s="1">
        <v>13782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</row>
    <row r="691" spans="1:10" x14ac:dyDescent="0.25">
      <c r="A691" t="s">
        <v>248</v>
      </c>
      <c r="B691" t="s">
        <v>878</v>
      </c>
      <c r="C691" t="s">
        <v>739</v>
      </c>
      <c r="D691" s="1">
        <v>23920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</row>
    <row r="692" spans="1:10" x14ac:dyDescent="0.25">
      <c r="A692" t="s">
        <v>138</v>
      </c>
      <c r="B692" t="s">
        <v>878</v>
      </c>
      <c r="C692" t="s">
        <v>740</v>
      </c>
      <c r="D692" s="1">
        <v>8991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</row>
    <row r="693" spans="1:10" x14ac:dyDescent="0.25">
      <c r="A693" t="s">
        <v>134</v>
      </c>
      <c r="B693" t="s">
        <v>878</v>
      </c>
      <c r="C693" t="s">
        <v>741</v>
      </c>
      <c r="D693" s="1">
        <v>8599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</row>
    <row r="694" spans="1:10" x14ac:dyDescent="0.25">
      <c r="A694" t="s">
        <v>231</v>
      </c>
      <c r="B694" t="s">
        <v>878</v>
      </c>
      <c r="C694" t="s">
        <v>742</v>
      </c>
      <c r="D694" s="1">
        <v>42931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</row>
    <row r="695" spans="1:10" x14ac:dyDescent="0.25">
      <c r="A695" t="s">
        <v>83</v>
      </c>
      <c r="B695" t="s">
        <v>878</v>
      </c>
      <c r="C695" t="s">
        <v>743</v>
      </c>
      <c r="D695" s="1">
        <v>3222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</row>
    <row r="696" spans="1:10" x14ac:dyDescent="0.25">
      <c r="A696" t="s">
        <v>826</v>
      </c>
      <c r="B696" t="s">
        <v>878</v>
      </c>
      <c r="C696" t="s">
        <v>744</v>
      </c>
      <c r="D696" s="1">
        <v>2326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</row>
    <row r="697" spans="1:10" x14ac:dyDescent="0.25">
      <c r="A697" t="s">
        <v>811</v>
      </c>
      <c r="B697" t="s">
        <v>878</v>
      </c>
      <c r="C697" t="s">
        <v>745</v>
      </c>
      <c r="D697" s="1">
        <v>22347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</row>
    <row r="698" spans="1:10" x14ac:dyDescent="0.25">
      <c r="A698" s="9" t="s">
        <v>248</v>
      </c>
      <c r="B698" t="s">
        <v>878</v>
      </c>
      <c r="C698" t="s">
        <v>746</v>
      </c>
      <c r="D698" s="1">
        <v>128470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</row>
    <row r="699" spans="1:10" x14ac:dyDescent="0.25">
      <c r="A699" s="9" t="s">
        <v>801</v>
      </c>
      <c r="B699" t="s">
        <v>879</v>
      </c>
      <c r="C699" t="s">
        <v>747</v>
      </c>
      <c r="D699" s="1">
        <v>7122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</row>
    <row r="700" spans="1:10" x14ac:dyDescent="0.25">
      <c r="A700" s="9" t="s">
        <v>809</v>
      </c>
      <c r="B700" t="s">
        <v>879</v>
      </c>
      <c r="C700" t="s">
        <v>748</v>
      </c>
      <c r="D700" s="1">
        <v>31375</v>
      </c>
      <c r="E700" s="1">
        <v>660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</row>
    <row r="701" spans="1:10" x14ac:dyDescent="0.25">
      <c r="A701" t="s">
        <v>823</v>
      </c>
      <c r="B701" t="s">
        <v>879</v>
      </c>
      <c r="C701" t="s">
        <v>749</v>
      </c>
      <c r="D701" s="1">
        <v>45910</v>
      </c>
      <c r="E701" s="1">
        <v>41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</row>
    <row r="702" spans="1:10" x14ac:dyDescent="0.25">
      <c r="A702" t="s">
        <v>226</v>
      </c>
      <c r="B702" t="s">
        <v>879</v>
      </c>
      <c r="C702" t="s">
        <v>750</v>
      </c>
      <c r="D702" s="1">
        <v>4219</v>
      </c>
      <c r="E702" s="1">
        <v>46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</row>
    <row r="703" spans="1:10" x14ac:dyDescent="0.25">
      <c r="A703" t="s">
        <v>864</v>
      </c>
      <c r="B703" t="s">
        <v>879</v>
      </c>
      <c r="C703" t="s">
        <v>751</v>
      </c>
      <c r="D703" s="1">
        <v>16573</v>
      </c>
      <c r="E703" s="1">
        <v>28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</row>
    <row r="704" spans="1:10" x14ac:dyDescent="0.25">
      <c r="A704" t="s">
        <v>797</v>
      </c>
      <c r="B704" t="s">
        <v>879</v>
      </c>
      <c r="C704" t="s">
        <v>752</v>
      </c>
      <c r="D704" s="1">
        <v>38744</v>
      </c>
      <c r="E704" s="1">
        <v>79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</row>
    <row r="705" spans="1:10" x14ac:dyDescent="0.25">
      <c r="A705" t="s">
        <v>69</v>
      </c>
      <c r="B705" t="s">
        <v>879</v>
      </c>
      <c r="C705" t="s">
        <v>753</v>
      </c>
      <c r="D705" s="1">
        <v>69941</v>
      </c>
      <c r="E705" s="1">
        <v>26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</row>
    <row r="706" spans="1:10" x14ac:dyDescent="0.25">
      <c r="A706" s="26" t="s">
        <v>824</v>
      </c>
      <c r="B706" s="25" t="s">
        <v>879</v>
      </c>
      <c r="C706" s="25" t="s">
        <v>754</v>
      </c>
      <c r="D706" s="1">
        <v>19303</v>
      </c>
      <c r="E706" s="1">
        <v>73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</row>
    <row r="707" spans="1:10" x14ac:dyDescent="0.25">
      <c r="A707" t="s">
        <v>817</v>
      </c>
      <c r="B707" t="s">
        <v>879</v>
      </c>
      <c r="C707" t="s">
        <v>755</v>
      </c>
      <c r="D707" s="1">
        <v>69253</v>
      </c>
      <c r="E707" s="1">
        <v>132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</row>
    <row r="708" spans="1:10" x14ac:dyDescent="0.25">
      <c r="A708" t="s">
        <v>794</v>
      </c>
      <c r="B708" t="s">
        <v>879</v>
      </c>
      <c r="C708" t="s">
        <v>756</v>
      </c>
      <c r="D708" s="1">
        <v>59805</v>
      </c>
      <c r="E708" s="1">
        <v>360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</row>
    <row r="709" spans="1:10" x14ac:dyDescent="0.25">
      <c r="A709" t="s">
        <v>10</v>
      </c>
      <c r="B709" t="s">
        <v>879</v>
      </c>
      <c r="C709" t="s">
        <v>757</v>
      </c>
      <c r="D709" s="1"/>
      <c r="E709" s="1"/>
      <c r="F709" s="1"/>
      <c r="G709" s="1"/>
      <c r="H709" s="1"/>
      <c r="I709" s="1"/>
      <c r="J709" s="1"/>
    </row>
    <row r="710" spans="1:10" x14ac:dyDescent="0.25">
      <c r="A710" t="s">
        <v>788</v>
      </c>
      <c r="B710" t="s">
        <v>879</v>
      </c>
      <c r="C710" t="s">
        <v>758</v>
      </c>
      <c r="D710" s="1">
        <v>32409</v>
      </c>
      <c r="E710" s="1">
        <v>1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</row>
    <row r="711" spans="1:10" x14ac:dyDescent="0.25">
      <c r="A711" t="s">
        <v>146</v>
      </c>
      <c r="B711" t="s">
        <v>879</v>
      </c>
      <c r="C711" t="s">
        <v>759</v>
      </c>
      <c r="D711" s="1">
        <v>108112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</row>
    <row r="712" spans="1:10" x14ac:dyDescent="0.25">
      <c r="A712" t="s">
        <v>795</v>
      </c>
      <c r="B712" t="s">
        <v>879</v>
      </c>
      <c r="C712" t="s">
        <v>760</v>
      </c>
      <c r="D712" s="1">
        <v>82446</v>
      </c>
      <c r="E712" s="1">
        <v>90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</row>
    <row r="713" spans="1:10" x14ac:dyDescent="0.25">
      <c r="A713" t="s">
        <v>248</v>
      </c>
      <c r="B713" t="s">
        <v>879</v>
      </c>
      <c r="C713" t="s">
        <v>761</v>
      </c>
      <c r="D713" s="1">
        <v>50433</v>
      </c>
      <c r="E713" s="1">
        <v>6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</row>
    <row r="714" spans="1:10" x14ac:dyDescent="0.25">
      <c r="A714" t="s">
        <v>796</v>
      </c>
      <c r="B714" t="s">
        <v>879</v>
      </c>
      <c r="C714" t="s">
        <v>762</v>
      </c>
      <c r="D714" s="1">
        <v>17359</v>
      </c>
      <c r="E714" s="1">
        <v>14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</row>
    <row r="715" spans="1:10" x14ac:dyDescent="0.25">
      <c r="A715" t="s">
        <v>138</v>
      </c>
      <c r="B715" t="s">
        <v>879</v>
      </c>
      <c r="C715" t="s">
        <v>763</v>
      </c>
      <c r="D715" s="1">
        <v>32035</v>
      </c>
      <c r="E715" s="1">
        <v>293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</row>
    <row r="716" spans="1:10" x14ac:dyDescent="0.25">
      <c r="A716" t="s">
        <v>10</v>
      </c>
      <c r="B716" t="s">
        <v>879</v>
      </c>
      <c r="C716" t="s">
        <v>764</v>
      </c>
      <c r="D716" s="1"/>
      <c r="E716" s="1"/>
      <c r="F716" s="1"/>
      <c r="G716" s="1"/>
      <c r="H716" s="1"/>
      <c r="I716" s="1"/>
      <c r="J716" s="1"/>
    </row>
    <row r="717" spans="1:10" x14ac:dyDescent="0.25">
      <c r="A717" t="s">
        <v>823</v>
      </c>
      <c r="B717" t="s">
        <v>879</v>
      </c>
      <c r="C717" t="s">
        <v>765</v>
      </c>
      <c r="D717" s="1">
        <v>35821</v>
      </c>
      <c r="E717" s="1">
        <v>555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</row>
    <row r="718" spans="1:10" x14ac:dyDescent="0.25">
      <c r="A718" t="s">
        <v>83</v>
      </c>
      <c r="B718" t="s">
        <v>879</v>
      </c>
      <c r="C718" t="s">
        <v>766</v>
      </c>
      <c r="D718" s="1">
        <v>10586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</row>
    <row r="719" spans="1:10" x14ac:dyDescent="0.25">
      <c r="A719" t="s">
        <v>864</v>
      </c>
      <c r="B719" t="s">
        <v>879</v>
      </c>
      <c r="C719" t="s">
        <v>767</v>
      </c>
      <c r="D719" s="1">
        <v>28909</v>
      </c>
      <c r="E719" s="1">
        <v>91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</row>
    <row r="720" spans="1:10" x14ac:dyDescent="0.25">
      <c r="A720" t="s">
        <v>76</v>
      </c>
      <c r="B720" t="s">
        <v>879</v>
      </c>
      <c r="C720" t="s">
        <v>768</v>
      </c>
      <c r="D720" s="1">
        <v>51844</v>
      </c>
      <c r="E720" s="1">
        <v>219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</row>
    <row r="721" spans="1:10" x14ac:dyDescent="0.25">
      <c r="A721" t="s">
        <v>101</v>
      </c>
      <c r="B721" t="s">
        <v>879</v>
      </c>
      <c r="C721" t="s">
        <v>769</v>
      </c>
      <c r="D721" s="60">
        <v>26921</v>
      </c>
      <c r="E721" s="60">
        <v>19</v>
      </c>
      <c r="F721" s="60">
        <v>0</v>
      </c>
      <c r="G721" s="60">
        <v>0</v>
      </c>
      <c r="H721" s="60">
        <v>0</v>
      </c>
      <c r="I721" s="60">
        <v>0</v>
      </c>
      <c r="J721" s="60">
        <v>0</v>
      </c>
    </row>
    <row r="722" spans="1:10" x14ac:dyDescent="0.25">
      <c r="A722" t="s">
        <v>831</v>
      </c>
      <c r="B722" t="s">
        <v>879</v>
      </c>
      <c r="C722" t="s">
        <v>770</v>
      </c>
      <c r="D722" s="60">
        <v>6870</v>
      </c>
      <c r="E722" s="60">
        <v>448</v>
      </c>
      <c r="F722" s="60">
        <v>0</v>
      </c>
      <c r="G722" s="60">
        <v>0</v>
      </c>
      <c r="H722" s="60">
        <v>0</v>
      </c>
      <c r="I722" s="60">
        <v>0</v>
      </c>
      <c r="J722" s="60">
        <v>0</v>
      </c>
    </row>
    <row r="723" spans="1:10" x14ac:dyDescent="0.25">
      <c r="A723" t="s">
        <v>512</v>
      </c>
      <c r="B723" t="s">
        <v>879</v>
      </c>
      <c r="C723" t="s">
        <v>771</v>
      </c>
      <c r="D723" s="60">
        <v>18015</v>
      </c>
      <c r="E723" s="60">
        <v>1</v>
      </c>
      <c r="F723" s="60">
        <v>0</v>
      </c>
      <c r="G723" s="60">
        <v>0</v>
      </c>
      <c r="H723" s="60">
        <v>0</v>
      </c>
      <c r="I723" s="60">
        <v>0</v>
      </c>
      <c r="J723" s="60">
        <v>0</v>
      </c>
    </row>
    <row r="724" spans="1:10" x14ac:dyDescent="0.25">
      <c r="A724" t="s">
        <v>10</v>
      </c>
      <c r="B724" t="s">
        <v>879</v>
      </c>
      <c r="C724" t="s">
        <v>772</v>
      </c>
      <c r="D724" s="60"/>
      <c r="E724" s="60"/>
      <c r="F724" s="60"/>
      <c r="G724" s="60"/>
      <c r="H724" s="60"/>
      <c r="I724" s="60"/>
      <c r="J724" s="60"/>
    </row>
    <row r="725" spans="1:10" x14ac:dyDescent="0.25">
      <c r="A725" t="s">
        <v>794</v>
      </c>
      <c r="B725" t="s">
        <v>879</v>
      </c>
      <c r="C725" t="s">
        <v>773</v>
      </c>
      <c r="D725" s="60">
        <v>34376</v>
      </c>
      <c r="E725" s="60">
        <v>49</v>
      </c>
      <c r="F725" s="60">
        <v>0</v>
      </c>
      <c r="G725" s="60">
        <v>0</v>
      </c>
      <c r="H725" s="60">
        <v>0</v>
      </c>
      <c r="I725" s="60">
        <v>0</v>
      </c>
      <c r="J725" s="60">
        <v>0</v>
      </c>
    </row>
    <row r="726" spans="1:10" x14ac:dyDescent="0.25">
      <c r="A726" t="s">
        <v>826</v>
      </c>
      <c r="B726" t="s">
        <v>879</v>
      </c>
      <c r="C726" t="s">
        <v>774</v>
      </c>
      <c r="D726" s="60">
        <v>4461</v>
      </c>
      <c r="E726" s="60">
        <v>755</v>
      </c>
      <c r="F726" s="60">
        <v>0</v>
      </c>
      <c r="G726" s="60">
        <v>0</v>
      </c>
      <c r="H726" s="60">
        <v>0</v>
      </c>
      <c r="I726" s="60">
        <v>0</v>
      </c>
      <c r="J726" s="60">
        <v>0</v>
      </c>
    </row>
    <row r="727" spans="1:10" x14ac:dyDescent="0.25">
      <c r="A727" t="s">
        <v>806</v>
      </c>
      <c r="B727" t="s">
        <v>877</v>
      </c>
      <c r="C727" t="s">
        <v>775</v>
      </c>
      <c r="D727" s="60">
        <v>549</v>
      </c>
      <c r="E727" s="60">
        <v>0</v>
      </c>
      <c r="F727" s="60">
        <v>0</v>
      </c>
      <c r="G727" s="60">
        <v>5490</v>
      </c>
      <c r="H727" s="60">
        <v>17</v>
      </c>
      <c r="I727" s="60">
        <v>0</v>
      </c>
      <c r="J727" s="60">
        <v>0</v>
      </c>
    </row>
    <row r="728" spans="1:10" x14ac:dyDescent="0.25">
      <c r="A728" t="s">
        <v>823</v>
      </c>
      <c r="B728" t="s">
        <v>877</v>
      </c>
      <c r="C728" t="s">
        <v>776</v>
      </c>
      <c r="D728" s="60">
        <v>726</v>
      </c>
      <c r="E728" s="60">
        <v>0</v>
      </c>
      <c r="F728" s="60">
        <v>0</v>
      </c>
      <c r="G728" s="60">
        <v>1061</v>
      </c>
      <c r="H728" s="60">
        <v>6</v>
      </c>
      <c r="I728" s="60">
        <v>0</v>
      </c>
      <c r="J728" s="60">
        <v>0</v>
      </c>
    </row>
    <row r="729" spans="1:10" x14ac:dyDescent="0.25">
      <c r="A729" t="s">
        <v>859</v>
      </c>
      <c r="B729" t="s">
        <v>877</v>
      </c>
      <c r="C729" t="s">
        <v>777</v>
      </c>
      <c r="D729" s="61">
        <v>702</v>
      </c>
      <c r="E729" s="61">
        <v>0</v>
      </c>
      <c r="F729" s="61">
        <v>0</v>
      </c>
      <c r="G729" s="61">
        <v>2915</v>
      </c>
      <c r="H729" s="61">
        <v>0</v>
      </c>
      <c r="I729" s="61">
        <v>0</v>
      </c>
      <c r="J729" s="61">
        <v>0</v>
      </c>
    </row>
  </sheetData>
  <sheetProtection formatCells="0" formatColumns="0" sort="0" autoFilter="0" pivotTables="0"/>
  <phoneticPr fontId="2" type="noConversion"/>
  <conditionalFormatting sqref="C721:C729">
    <cfRule type="expression" dxfId="18" priority="1">
      <formula>C721&lt;&gt;O721</formula>
    </cfRule>
  </conditionalFormatting>
  <conditionalFormatting sqref="D721:J729">
    <cfRule type="expression" dxfId="17" priority="3">
      <formula>D721&lt;&gt;O721</formula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0F567F85-364B-4D40-B5F1-210C3BB489F5}">
            <xm:f>A721&lt;&gt;'202212 DICIEMBRE'!#REF!</xm:f>
            <x14:dxf>
              <fill>
                <patternFill>
                  <bgColor theme="7" tint="0.39994506668294322"/>
                </patternFill>
              </fill>
            </x14:dxf>
          </x14:cfRule>
          <xm:sqref>A721:C729</xm:sqref>
        </x14:conditionalFormatting>
        <x14:conditionalFormatting xmlns:xm="http://schemas.microsoft.com/office/excel/2006/main">
          <x14:cfRule type="expression" priority="4" id="{5E0C3569-5C9A-4728-AB3F-304E73DE761E}">
            <xm:f>D721&lt;&gt;'202212 DICIEMBRE'!#REF!</xm:f>
            <x14:dxf>
              <fill>
                <patternFill>
                  <bgColor theme="7" tint="0.39994506668294322"/>
                </patternFill>
              </fill>
            </x14:dxf>
          </x14:cfRule>
          <xm:sqref>D721:J729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55AF6-6CA2-4178-B992-701C014935D4}">
  <sheetPr>
    <tabColor rgb="FF92D050"/>
  </sheetPr>
  <dimension ref="A1:J729"/>
  <sheetViews>
    <sheetView zoomScaleNormal="100" workbookViewId="0">
      <selection activeCell="D559" sqref="D559"/>
    </sheetView>
  </sheetViews>
  <sheetFormatPr baseColWidth="10" defaultColWidth="11.5703125" defaultRowHeight="15" x14ac:dyDescent="0.25"/>
  <cols>
    <col min="1" max="1" width="11.85546875" bestFit="1" customWidth="1"/>
    <col min="2" max="2" width="9" bestFit="1" customWidth="1"/>
    <col min="3" max="3" width="13.85546875" bestFit="1" customWidth="1"/>
    <col min="4" max="4" width="12.140625" bestFit="1" customWidth="1"/>
    <col min="5" max="5" width="12.42578125" bestFit="1" customWidth="1"/>
    <col min="6" max="6" width="8.7109375" bestFit="1" customWidth="1"/>
    <col min="7" max="7" width="15.5703125" bestFit="1" customWidth="1"/>
    <col min="8" max="8" width="15.85546875" bestFit="1" customWidth="1"/>
    <col min="9" max="10" width="10" bestFit="1" customWidth="1"/>
  </cols>
  <sheetData>
    <row r="1" spans="1:10" x14ac:dyDescent="0.25">
      <c r="A1" t="s">
        <v>0</v>
      </c>
      <c r="B1" t="s">
        <v>869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hidden="1" x14ac:dyDescent="0.25">
      <c r="A2" t="s">
        <v>76</v>
      </c>
      <c r="B2" t="s">
        <v>870</v>
      </c>
      <c r="C2" t="s">
        <v>11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51688</v>
      </c>
      <c r="J2" s="1">
        <v>0</v>
      </c>
    </row>
    <row r="3" spans="1:10" hidden="1" x14ac:dyDescent="0.25">
      <c r="A3" t="s">
        <v>69</v>
      </c>
      <c r="B3" t="s">
        <v>870</v>
      </c>
      <c r="C3" t="s">
        <v>12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109014</v>
      </c>
      <c r="J3" s="1">
        <v>0</v>
      </c>
    </row>
    <row r="4" spans="1:10" hidden="1" x14ac:dyDescent="0.25">
      <c r="A4" t="s">
        <v>76</v>
      </c>
      <c r="B4" t="s">
        <v>870</v>
      </c>
      <c r="C4" t="s">
        <v>13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16102</v>
      </c>
      <c r="J4" s="1">
        <v>0</v>
      </c>
    </row>
    <row r="5" spans="1:10" hidden="1" x14ac:dyDescent="0.25">
      <c r="A5" t="s">
        <v>801</v>
      </c>
      <c r="B5" t="s">
        <v>870</v>
      </c>
      <c r="C5" t="s">
        <v>14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37018</v>
      </c>
      <c r="J5" s="1">
        <v>0</v>
      </c>
    </row>
    <row r="6" spans="1:10" hidden="1" x14ac:dyDescent="0.25">
      <c r="A6" t="s">
        <v>826</v>
      </c>
      <c r="B6" t="s">
        <v>870</v>
      </c>
      <c r="C6" t="s">
        <v>15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11022</v>
      </c>
      <c r="J6" s="1">
        <v>0</v>
      </c>
    </row>
    <row r="7" spans="1:10" hidden="1" x14ac:dyDescent="0.25">
      <c r="A7" t="s">
        <v>811</v>
      </c>
      <c r="B7" t="s">
        <v>870</v>
      </c>
      <c r="C7" t="s">
        <v>16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7794</v>
      </c>
      <c r="J7" s="1">
        <v>0</v>
      </c>
    </row>
    <row r="8" spans="1:10" hidden="1" x14ac:dyDescent="0.25">
      <c r="A8" t="s">
        <v>83</v>
      </c>
      <c r="B8" t="s">
        <v>870</v>
      </c>
      <c r="C8" t="s">
        <v>17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954</v>
      </c>
      <c r="J8" s="1">
        <v>0</v>
      </c>
    </row>
    <row r="9" spans="1:10" hidden="1" x14ac:dyDescent="0.25">
      <c r="A9" t="s">
        <v>803</v>
      </c>
      <c r="B9" t="s">
        <v>870</v>
      </c>
      <c r="C9" t="s">
        <v>18</v>
      </c>
      <c r="D9" s="1"/>
      <c r="E9" s="1"/>
      <c r="F9" s="1"/>
      <c r="G9" s="1"/>
      <c r="H9" s="1"/>
      <c r="I9" s="1"/>
      <c r="J9" s="1"/>
    </row>
    <row r="10" spans="1:10" hidden="1" x14ac:dyDescent="0.25">
      <c r="A10" t="s">
        <v>76</v>
      </c>
      <c r="B10" t="s">
        <v>870</v>
      </c>
      <c r="C10" t="s">
        <v>19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33030</v>
      </c>
      <c r="J10" s="1">
        <v>0</v>
      </c>
    </row>
    <row r="11" spans="1:10" hidden="1" x14ac:dyDescent="0.25">
      <c r="A11" t="s">
        <v>83</v>
      </c>
      <c r="B11" t="s">
        <v>870</v>
      </c>
      <c r="C11" t="s">
        <v>20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996</v>
      </c>
      <c r="J11" s="1">
        <v>0</v>
      </c>
    </row>
    <row r="12" spans="1:10" hidden="1" x14ac:dyDescent="0.25">
      <c r="A12" t="s">
        <v>10</v>
      </c>
      <c r="B12" t="s">
        <v>870</v>
      </c>
      <c r="C12" t="s">
        <v>21</v>
      </c>
      <c r="D12" s="1"/>
      <c r="E12" s="1"/>
      <c r="F12" s="1"/>
      <c r="G12" s="1"/>
      <c r="H12" s="1"/>
      <c r="I12" s="1"/>
      <c r="J12" s="1"/>
    </row>
    <row r="13" spans="1:10" hidden="1" x14ac:dyDescent="0.25">
      <c r="A13" t="s">
        <v>83</v>
      </c>
      <c r="B13" t="s">
        <v>870</v>
      </c>
      <c r="C13" t="s">
        <v>22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2832</v>
      </c>
      <c r="J13" s="1">
        <v>0</v>
      </c>
    </row>
    <row r="14" spans="1:10" hidden="1" x14ac:dyDescent="0.25">
      <c r="A14" t="s">
        <v>801</v>
      </c>
      <c r="B14" t="s">
        <v>870</v>
      </c>
      <c r="C14" t="s">
        <v>23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1686</v>
      </c>
      <c r="J14" s="1">
        <v>0</v>
      </c>
    </row>
    <row r="15" spans="1:10" hidden="1" x14ac:dyDescent="0.25">
      <c r="A15" t="s">
        <v>69</v>
      </c>
      <c r="B15" t="s">
        <v>870</v>
      </c>
      <c r="C15" t="s">
        <v>24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35025</v>
      </c>
      <c r="J15" s="1">
        <v>0</v>
      </c>
    </row>
    <row r="16" spans="1:10" hidden="1" x14ac:dyDescent="0.25">
      <c r="A16" t="s">
        <v>804</v>
      </c>
      <c r="B16" t="s">
        <v>870</v>
      </c>
      <c r="C16" t="s">
        <v>25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3253</v>
      </c>
      <c r="J16" s="1">
        <v>0</v>
      </c>
    </row>
    <row r="17" spans="1:10" hidden="1" x14ac:dyDescent="0.25">
      <c r="A17" t="s">
        <v>788</v>
      </c>
      <c r="B17" t="s">
        <v>871</v>
      </c>
      <c r="C17" t="s">
        <v>26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79802</v>
      </c>
      <c r="J17" s="1">
        <v>0</v>
      </c>
    </row>
    <row r="18" spans="1:10" hidden="1" x14ac:dyDescent="0.25">
      <c r="A18" t="s">
        <v>849</v>
      </c>
      <c r="B18" t="s">
        <v>872</v>
      </c>
      <c r="C18" t="s">
        <v>27</v>
      </c>
      <c r="D18" s="1">
        <f>26710+12+1+483+13+1+5+20745</f>
        <v>47970</v>
      </c>
      <c r="E18" s="1">
        <f>743+36+45</f>
        <v>824</v>
      </c>
      <c r="F18" s="1">
        <v>0</v>
      </c>
      <c r="G18" s="1">
        <v>0</v>
      </c>
      <c r="H18" s="1">
        <v>0</v>
      </c>
      <c r="I18" s="1">
        <v>97602</v>
      </c>
      <c r="J18" s="1">
        <v>18115</v>
      </c>
    </row>
    <row r="19" spans="1:10" hidden="1" x14ac:dyDescent="0.25">
      <c r="A19" t="s">
        <v>791</v>
      </c>
      <c r="B19" t="s">
        <v>872</v>
      </c>
      <c r="C19" t="s">
        <v>28</v>
      </c>
      <c r="D19" s="1">
        <f>110992+1390+6+42+23927+36</f>
        <v>136393</v>
      </c>
      <c r="E19" s="1">
        <f>64+74</f>
        <v>138</v>
      </c>
      <c r="F19" s="1">
        <v>0</v>
      </c>
      <c r="G19" s="1">
        <v>0</v>
      </c>
      <c r="H19" s="1">
        <v>0</v>
      </c>
      <c r="I19" s="1">
        <v>37933</v>
      </c>
      <c r="J19" s="1">
        <v>19936</v>
      </c>
    </row>
    <row r="20" spans="1:10" hidden="1" x14ac:dyDescent="0.25">
      <c r="A20" t="s">
        <v>806</v>
      </c>
      <c r="B20" t="s">
        <v>872</v>
      </c>
      <c r="C20" t="s">
        <v>29</v>
      </c>
      <c r="D20" s="1"/>
      <c r="E20" s="1"/>
      <c r="F20" s="1"/>
      <c r="G20" s="1"/>
      <c r="H20" s="1"/>
      <c r="I20" s="1"/>
      <c r="J20" s="1"/>
    </row>
    <row r="21" spans="1:10" hidden="1" x14ac:dyDescent="0.25">
      <c r="A21" t="s">
        <v>817</v>
      </c>
      <c r="B21" t="s">
        <v>872</v>
      </c>
      <c r="C21" s="1" t="s">
        <v>30</v>
      </c>
      <c r="D21" s="1">
        <f>38776+4234+2+10+14168+752</f>
        <v>57942</v>
      </c>
      <c r="E21" s="1">
        <f>285+156+42</f>
        <v>483</v>
      </c>
      <c r="F21" s="1">
        <v>0</v>
      </c>
      <c r="G21" s="1">
        <v>0</v>
      </c>
      <c r="H21" s="1">
        <v>0</v>
      </c>
      <c r="I21" s="1">
        <v>99977</v>
      </c>
      <c r="J21" s="1">
        <v>12162</v>
      </c>
    </row>
    <row r="22" spans="1:10" hidden="1" x14ac:dyDescent="0.25">
      <c r="A22" t="s">
        <v>829</v>
      </c>
      <c r="B22" t="s">
        <v>872</v>
      </c>
      <c r="C22" t="s">
        <v>32</v>
      </c>
      <c r="D22" s="1">
        <f>32746+2+6669</f>
        <v>39417</v>
      </c>
      <c r="E22" s="1">
        <f>1+8+17+4</f>
        <v>30</v>
      </c>
      <c r="F22" s="1">
        <v>0</v>
      </c>
      <c r="G22" s="1">
        <v>0</v>
      </c>
      <c r="H22" s="1">
        <v>0</v>
      </c>
      <c r="I22" s="1">
        <v>26661</v>
      </c>
      <c r="J22" s="1">
        <v>5924</v>
      </c>
    </row>
    <row r="23" spans="1:10" hidden="1" x14ac:dyDescent="0.25">
      <c r="A23" t="s">
        <v>830</v>
      </c>
      <c r="B23" t="s">
        <v>872</v>
      </c>
      <c r="C23" t="s">
        <v>34</v>
      </c>
      <c r="D23" s="1">
        <f>8998+87+2+7240</f>
        <v>16327</v>
      </c>
      <c r="E23" s="1">
        <f>93+1+24</f>
        <v>118</v>
      </c>
      <c r="F23" s="1">
        <v>0</v>
      </c>
      <c r="G23" s="1">
        <v>0</v>
      </c>
      <c r="H23" s="1">
        <v>0</v>
      </c>
      <c r="I23" s="1">
        <v>11446</v>
      </c>
      <c r="J23" s="1">
        <v>6663</v>
      </c>
    </row>
    <row r="24" spans="1:10" hidden="1" x14ac:dyDescent="0.25">
      <c r="A24" t="s">
        <v>831</v>
      </c>
      <c r="B24" t="s">
        <v>872</v>
      </c>
      <c r="C24" t="s">
        <v>35</v>
      </c>
      <c r="D24" s="1">
        <f>12995+104+2230</f>
        <v>15329</v>
      </c>
      <c r="E24" s="1">
        <v>1</v>
      </c>
      <c r="F24" s="1">
        <v>0</v>
      </c>
      <c r="G24" s="1">
        <v>0</v>
      </c>
      <c r="H24" s="1">
        <v>0</v>
      </c>
      <c r="I24" s="1">
        <v>5310</v>
      </c>
      <c r="J24" s="1">
        <v>1771</v>
      </c>
    </row>
    <row r="25" spans="1:10" hidden="1" x14ac:dyDescent="0.25">
      <c r="A25" t="s">
        <v>832</v>
      </c>
      <c r="B25" t="s">
        <v>872</v>
      </c>
      <c r="C25" t="s">
        <v>37</v>
      </c>
      <c r="D25" s="1">
        <f>11435+183+2+4454</f>
        <v>16074</v>
      </c>
      <c r="E25" s="1">
        <f>22+23+1</f>
        <v>46</v>
      </c>
      <c r="F25" s="1">
        <v>0</v>
      </c>
      <c r="G25" s="1">
        <v>0</v>
      </c>
      <c r="H25" s="1">
        <v>0</v>
      </c>
      <c r="I25" s="1">
        <v>12822</v>
      </c>
      <c r="J25" s="1">
        <v>3726</v>
      </c>
    </row>
    <row r="26" spans="1:10" hidden="1" x14ac:dyDescent="0.25">
      <c r="A26" t="s">
        <v>833</v>
      </c>
      <c r="B26" t="s">
        <v>872</v>
      </c>
      <c r="C26" t="s">
        <v>39</v>
      </c>
      <c r="D26" s="1"/>
      <c r="E26" s="1"/>
      <c r="F26" s="1"/>
      <c r="G26" s="1"/>
      <c r="H26" s="1"/>
      <c r="I26" s="1"/>
      <c r="J26" s="1"/>
    </row>
    <row r="27" spans="1:10" hidden="1" x14ac:dyDescent="0.25">
      <c r="A27" t="s">
        <v>834</v>
      </c>
      <c r="B27" t="s">
        <v>872</v>
      </c>
      <c r="C27" t="s">
        <v>41</v>
      </c>
      <c r="D27" s="1">
        <f>20258+488+13420+17</f>
        <v>34183</v>
      </c>
      <c r="E27" s="1">
        <f>105+11+48+8</f>
        <v>172</v>
      </c>
      <c r="F27" s="1">
        <v>0</v>
      </c>
      <c r="G27" s="1">
        <v>0</v>
      </c>
      <c r="H27" s="1">
        <v>0</v>
      </c>
      <c r="I27" s="1">
        <v>10944</v>
      </c>
      <c r="J27" s="1">
        <v>8481</v>
      </c>
    </row>
    <row r="28" spans="1:10" hidden="1" x14ac:dyDescent="0.25">
      <c r="A28" t="s">
        <v>835</v>
      </c>
      <c r="B28" t="s">
        <v>872</v>
      </c>
      <c r="C28" t="s">
        <v>42</v>
      </c>
      <c r="D28" s="1">
        <f>8396+1+16+15+1+1+4076</f>
        <v>12506</v>
      </c>
      <c r="E28" s="1">
        <f>50+10+6</f>
        <v>66</v>
      </c>
      <c r="F28" s="1">
        <v>0</v>
      </c>
      <c r="G28" s="1">
        <v>0</v>
      </c>
      <c r="H28" s="1">
        <v>0</v>
      </c>
      <c r="I28" s="1">
        <v>7701</v>
      </c>
      <c r="J28" s="1">
        <v>3238</v>
      </c>
    </row>
    <row r="29" spans="1:10" hidden="1" x14ac:dyDescent="0.25">
      <c r="A29" t="s">
        <v>836</v>
      </c>
      <c r="B29" t="s">
        <v>872</v>
      </c>
      <c r="C29" t="s">
        <v>44</v>
      </c>
      <c r="D29" s="1">
        <f>18106+3244+3+172+10+1+14267+2249</f>
        <v>38052</v>
      </c>
      <c r="E29" s="1">
        <f>15+14+16+4+4</f>
        <v>53</v>
      </c>
      <c r="F29" s="1">
        <v>0</v>
      </c>
      <c r="G29" s="1">
        <v>0</v>
      </c>
      <c r="H29" s="1">
        <v>0</v>
      </c>
      <c r="I29" s="1">
        <v>20283</v>
      </c>
      <c r="J29" s="1">
        <v>12093</v>
      </c>
    </row>
    <row r="30" spans="1:10" hidden="1" x14ac:dyDescent="0.25">
      <c r="A30" t="s">
        <v>837</v>
      </c>
      <c r="B30" t="s">
        <v>872</v>
      </c>
      <c r="C30" t="s">
        <v>46</v>
      </c>
      <c r="D30" s="1">
        <f>11521+6289</f>
        <v>17810</v>
      </c>
      <c r="E30" s="1">
        <v>8</v>
      </c>
      <c r="F30" s="1">
        <v>0</v>
      </c>
      <c r="G30" s="1">
        <v>0</v>
      </c>
      <c r="H30" s="1">
        <v>0</v>
      </c>
      <c r="I30" s="1">
        <v>17418</v>
      </c>
      <c r="J30" s="1">
        <v>4080</v>
      </c>
    </row>
    <row r="31" spans="1:10" hidden="1" x14ac:dyDescent="0.25">
      <c r="A31" t="s">
        <v>838</v>
      </c>
      <c r="B31" t="s">
        <v>872</v>
      </c>
      <c r="C31" t="s">
        <v>48</v>
      </c>
      <c r="D31" s="1">
        <f>21928+2+11+3+3+16+14566+1+1+1</f>
        <v>36532</v>
      </c>
      <c r="E31" s="1">
        <f>15+5+15</f>
        <v>35</v>
      </c>
      <c r="F31" s="1">
        <v>0</v>
      </c>
      <c r="G31" s="1">
        <v>0</v>
      </c>
      <c r="H31" s="1">
        <v>0</v>
      </c>
      <c r="I31" s="1">
        <v>23396</v>
      </c>
      <c r="J31" s="1">
        <v>12066</v>
      </c>
    </row>
    <row r="32" spans="1:10" hidden="1" x14ac:dyDescent="0.25">
      <c r="A32" t="s">
        <v>839</v>
      </c>
      <c r="B32" t="s">
        <v>872</v>
      </c>
      <c r="C32" t="s">
        <v>49</v>
      </c>
      <c r="D32" s="1">
        <f>15051+18+1+23754</f>
        <v>38824</v>
      </c>
      <c r="E32" s="1">
        <f>13+11+3</f>
        <v>27</v>
      </c>
      <c r="F32" s="1">
        <v>0</v>
      </c>
      <c r="G32" s="1">
        <v>0</v>
      </c>
      <c r="H32" s="1">
        <v>0</v>
      </c>
      <c r="I32" s="1">
        <v>30148</v>
      </c>
      <c r="J32" s="1">
        <v>17299</v>
      </c>
    </row>
    <row r="33" spans="1:10" hidden="1" x14ac:dyDescent="0.25">
      <c r="A33" t="s">
        <v>840</v>
      </c>
      <c r="B33" t="s">
        <v>872</v>
      </c>
      <c r="C33" t="s">
        <v>51</v>
      </c>
      <c r="D33" s="1">
        <f>367+11920</f>
        <v>12287</v>
      </c>
      <c r="E33" s="1">
        <v>31</v>
      </c>
      <c r="F33" s="1">
        <v>0</v>
      </c>
      <c r="G33" s="1">
        <v>0</v>
      </c>
      <c r="H33" s="1">
        <v>0</v>
      </c>
      <c r="I33" s="1">
        <v>3902</v>
      </c>
      <c r="J33" s="1">
        <v>4724</v>
      </c>
    </row>
    <row r="34" spans="1:10" hidden="1" x14ac:dyDescent="0.25">
      <c r="A34" t="s">
        <v>841</v>
      </c>
      <c r="B34" t="s">
        <v>872</v>
      </c>
      <c r="C34" t="s">
        <v>53</v>
      </c>
      <c r="D34" s="1">
        <f>13521+1184+17951+1367</f>
        <v>34023</v>
      </c>
      <c r="E34" s="1">
        <v>0</v>
      </c>
      <c r="F34" s="1">
        <v>0</v>
      </c>
      <c r="G34" s="1">
        <v>0</v>
      </c>
      <c r="H34" s="1">
        <v>0</v>
      </c>
      <c r="I34" s="1">
        <v>13853</v>
      </c>
      <c r="J34" s="1">
        <v>15340</v>
      </c>
    </row>
    <row r="35" spans="1:10" hidden="1" x14ac:dyDescent="0.25">
      <c r="A35" t="s">
        <v>842</v>
      </c>
      <c r="B35" t="s">
        <v>872</v>
      </c>
      <c r="C35" t="s">
        <v>55</v>
      </c>
      <c r="D35" s="1">
        <f>16905+9815</f>
        <v>26720</v>
      </c>
      <c r="E35" s="1">
        <f>11+320+28+22</f>
        <v>381</v>
      </c>
      <c r="F35" s="1">
        <v>0</v>
      </c>
      <c r="G35" s="1">
        <v>0</v>
      </c>
      <c r="H35" s="1">
        <v>0</v>
      </c>
      <c r="I35" s="1">
        <v>21974</v>
      </c>
      <c r="J35" s="1">
        <v>7827</v>
      </c>
    </row>
    <row r="36" spans="1:10" hidden="1" x14ac:dyDescent="0.25">
      <c r="A36" t="s">
        <v>788</v>
      </c>
      <c r="B36" t="s">
        <v>872</v>
      </c>
      <c r="C36" t="s">
        <v>56</v>
      </c>
      <c r="D36" s="1">
        <f>51846+1+1+1+2+6+29250</f>
        <v>81107</v>
      </c>
      <c r="E36" s="1">
        <f>104+85+1</f>
        <v>190</v>
      </c>
      <c r="F36" s="1">
        <v>0</v>
      </c>
      <c r="G36" s="1">
        <v>0</v>
      </c>
      <c r="H36" s="1">
        <v>0</v>
      </c>
      <c r="I36" s="1">
        <v>18545</v>
      </c>
      <c r="J36" s="1">
        <v>22300</v>
      </c>
    </row>
    <row r="37" spans="1:10" hidden="1" x14ac:dyDescent="0.25">
      <c r="A37" t="s">
        <v>495</v>
      </c>
      <c r="B37" t="s">
        <v>872</v>
      </c>
      <c r="C37" t="s">
        <v>57</v>
      </c>
      <c r="D37" s="1">
        <f>35086+2078+3+2257</f>
        <v>39424</v>
      </c>
      <c r="E37" s="1">
        <v>33</v>
      </c>
      <c r="F37" s="1">
        <v>0</v>
      </c>
      <c r="G37" s="1">
        <v>0</v>
      </c>
      <c r="H37" s="1">
        <v>0</v>
      </c>
      <c r="I37" s="1">
        <v>6515</v>
      </c>
      <c r="J37" s="1">
        <v>1864</v>
      </c>
    </row>
    <row r="38" spans="1:10" hidden="1" x14ac:dyDescent="0.25">
      <c r="A38" t="s">
        <v>248</v>
      </c>
      <c r="B38" t="s">
        <v>872</v>
      </c>
      <c r="C38" t="s">
        <v>58</v>
      </c>
      <c r="D38" s="1">
        <f>38615+212+116+96+10008</f>
        <v>49047</v>
      </c>
      <c r="E38" s="1">
        <f>420+2+13+3</f>
        <v>438</v>
      </c>
      <c r="F38" s="1">
        <v>0</v>
      </c>
      <c r="G38" s="1">
        <v>0</v>
      </c>
      <c r="H38" s="1">
        <v>0</v>
      </c>
      <c r="I38" s="1">
        <v>43628</v>
      </c>
      <c r="J38" s="1">
        <v>7778</v>
      </c>
    </row>
    <row r="39" spans="1:10" hidden="1" x14ac:dyDescent="0.25">
      <c r="A39" t="s">
        <v>843</v>
      </c>
      <c r="B39" t="s">
        <v>872</v>
      </c>
      <c r="C39" t="s">
        <v>60</v>
      </c>
      <c r="D39" s="1">
        <f>8716+5436</f>
        <v>14152</v>
      </c>
      <c r="E39" s="1">
        <v>0</v>
      </c>
      <c r="F39" s="1">
        <v>0</v>
      </c>
      <c r="G39" s="1">
        <v>0</v>
      </c>
      <c r="H39" s="1">
        <v>0</v>
      </c>
      <c r="I39" s="1">
        <v>14261</v>
      </c>
      <c r="J39" s="1">
        <v>4337</v>
      </c>
    </row>
    <row r="40" spans="1:10" hidden="1" x14ac:dyDescent="0.25">
      <c r="A40" t="s">
        <v>844</v>
      </c>
      <c r="B40" t="s">
        <v>872</v>
      </c>
      <c r="C40" t="s">
        <v>62</v>
      </c>
      <c r="D40" s="1">
        <f>10885+330+12+6522</f>
        <v>17749</v>
      </c>
      <c r="E40" s="1">
        <f>10+13+4</f>
        <v>27</v>
      </c>
      <c r="F40" s="1">
        <v>0</v>
      </c>
      <c r="G40" s="1">
        <v>0</v>
      </c>
      <c r="H40" s="1">
        <v>0</v>
      </c>
      <c r="I40" s="1">
        <v>11188</v>
      </c>
      <c r="J40" s="1">
        <v>4757</v>
      </c>
    </row>
    <row r="41" spans="1:10" hidden="1" x14ac:dyDescent="0.25">
      <c r="A41" t="s">
        <v>845</v>
      </c>
      <c r="B41" t="s">
        <v>872</v>
      </c>
      <c r="C41" t="s">
        <v>63</v>
      </c>
      <c r="D41" s="1">
        <f>37506+1+5+1038+3+17+22+57+37+17+1+14760</f>
        <v>53464</v>
      </c>
      <c r="E41" s="1">
        <f>39+2+87+133+49+5+20</f>
        <v>335</v>
      </c>
      <c r="F41" s="1">
        <v>0</v>
      </c>
      <c r="G41" s="1">
        <v>0</v>
      </c>
      <c r="H41" s="1">
        <v>0</v>
      </c>
      <c r="I41" s="1">
        <v>27083</v>
      </c>
      <c r="J41" s="1">
        <v>10121</v>
      </c>
    </row>
    <row r="42" spans="1:10" hidden="1" x14ac:dyDescent="0.25">
      <c r="A42" t="s">
        <v>846</v>
      </c>
      <c r="B42" t="s">
        <v>872</v>
      </c>
      <c r="C42" t="s">
        <v>64</v>
      </c>
      <c r="D42" s="1">
        <f>8609+4347</f>
        <v>12956</v>
      </c>
      <c r="E42" s="1">
        <v>0</v>
      </c>
      <c r="F42" s="1">
        <v>0</v>
      </c>
      <c r="G42" s="1">
        <v>0</v>
      </c>
      <c r="H42" s="1">
        <v>0</v>
      </c>
      <c r="I42" s="1">
        <v>20939</v>
      </c>
      <c r="J42" s="1">
        <v>3628</v>
      </c>
    </row>
    <row r="43" spans="1:10" hidden="1" x14ac:dyDescent="0.25">
      <c r="A43" t="s">
        <v>788</v>
      </c>
      <c r="B43" t="s">
        <v>872</v>
      </c>
      <c r="C43" t="s">
        <v>65</v>
      </c>
      <c r="D43" s="1">
        <f>21922+18+2+2+14214+1</f>
        <v>36159</v>
      </c>
      <c r="E43" s="1">
        <f>128+2+13+15</f>
        <v>158</v>
      </c>
      <c r="F43" s="1">
        <v>0</v>
      </c>
      <c r="G43" s="1">
        <v>0</v>
      </c>
      <c r="H43" s="1">
        <v>0</v>
      </c>
      <c r="I43" s="1">
        <v>35436</v>
      </c>
      <c r="J43" s="1">
        <v>11960</v>
      </c>
    </row>
    <row r="44" spans="1:10" hidden="1" x14ac:dyDescent="0.25">
      <c r="A44" t="s">
        <v>76</v>
      </c>
      <c r="B44" t="s">
        <v>872</v>
      </c>
      <c r="C44" t="s">
        <v>66</v>
      </c>
      <c r="D44" s="1">
        <f>14233+112+10+141+2+16+8482</f>
        <v>22996</v>
      </c>
      <c r="E44" s="1">
        <f>92+1+2+32+11+1</f>
        <v>139</v>
      </c>
      <c r="F44" s="1">
        <v>0</v>
      </c>
      <c r="G44" s="1">
        <v>0</v>
      </c>
      <c r="H44" s="1">
        <v>0</v>
      </c>
      <c r="I44" s="1">
        <v>2802</v>
      </c>
      <c r="J44" s="1">
        <v>5584</v>
      </c>
    </row>
    <row r="45" spans="1:10" hidden="1" x14ac:dyDescent="0.25">
      <c r="A45" t="s">
        <v>67</v>
      </c>
      <c r="B45" t="s">
        <v>872</v>
      </c>
      <c r="C45" t="s">
        <v>68</v>
      </c>
      <c r="D45" s="1">
        <f>29033+37+18+63+5175</f>
        <v>34326</v>
      </c>
      <c r="E45" s="1">
        <f>346+1+149+12+3+2</f>
        <v>513</v>
      </c>
      <c r="F45" s="1">
        <v>0</v>
      </c>
      <c r="G45" s="1">
        <v>0</v>
      </c>
      <c r="H45" s="1">
        <v>0</v>
      </c>
      <c r="I45" s="1">
        <v>27126</v>
      </c>
      <c r="J45" s="1">
        <v>4219</v>
      </c>
    </row>
    <row r="46" spans="1:10" hidden="1" x14ac:dyDescent="0.25">
      <c r="A46" t="s">
        <v>76</v>
      </c>
      <c r="B46" t="s">
        <v>872</v>
      </c>
      <c r="C46" t="s">
        <v>70</v>
      </c>
      <c r="D46" s="1">
        <f>106547+19+3539+26+47+41774+370</f>
        <v>152322</v>
      </c>
      <c r="E46" s="1">
        <f>617+5+2+46+47+129</f>
        <v>846</v>
      </c>
      <c r="F46" s="1">
        <v>0</v>
      </c>
      <c r="G46" s="1">
        <v>0</v>
      </c>
      <c r="H46" s="1">
        <v>0</v>
      </c>
      <c r="I46" s="1">
        <v>96726</v>
      </c>
      <c r="J46" s="1">
        <v>32310</v>
      </c>
    </row>
    <row r="47" spans="1:10" hidden="1" x14ac:dyDescent="0.25">
      <c r="A47" t="s">
        <v>803</v>
      </c>
      <c r="B47" t="s">
        <v>872</v>
      </c>
      <c r="C47" t="s">
        <v>71</v>
      </c>
      <c r="D47" s="1"/>
      <c r="E47" s="1"/>
      <c r="F47" s="1"/>
      <c r="G47" s="1"/>
      <c r="H47" s="1"/>
      <c r="I47" s="1"/>
      <c r="J47" s="1"/>
    </row>
    <row r="48" spans="1:10" hidden="1" x14ac:dyDescent="0.25">
      <c r="A48" t="s">
        <v>72</v>
      </c>
      <c r="B48" t="s">
        <v>872</v>
      </c>
      <c r="C48" t="s">
        <v>73</v>
      </c>
      <c r="D48" s="1">
        <f>25541+13+8+5643</f>
        <v>31205</v>
      </c>
      <c r="E48" s="1">
        <v>104</v>
      </c>
      <c r="F48" s="1">
        <v>0</v>
      </c>
      <c r="G48" s="1">
        <v>0</v>
      </c>
      <c r="H48" s="1">
        <v>0</v>
      </c>
      <c r="I48" s="1">
        <v>18204</v>
      </c>
      <c r="J48" s="1">
        <v>5109</v>
      </c>
    </row>
    <row r="49" spans="1:10" hidden="1" x14ac:dyDescent="0.25">
      <c r="A49" t="s">
        <v>809</v>
      </c>
      <c r="B49" t="s">
        <v>872</v>
      </c>
      <c r="C49" t="s">
        <v>74</v>
      </c>
      <c r="D49" s="1">
        <f>46771+10+321+385+3+24+1+4+1+241+12386</f>
        <v>60147</v>
      </c>
      <c r="E49" s="1">
        <f>1695+3+1+69+24</f>
        <v>1792</v>
      </c>
      <c r="F49" s="1">
        <v>0</v>
      </c>
      <c r="G49" s="1">
        <v>0</v>
      </c>
      <c r="H49" s="1">
        <v>0</v>
      </c>
      <c r="I49" s="1">
        <v>29060</v>
      </c>
      <c r="J49" s="1">
        <v>8714</v>
      </c>
    </row>
    <row r="50" spans="1:10" hidden="1" x14ac:dyDescent="0.25">
      <c r="A50" t="s">
        <v>146</v>
      </c>
      <c r="B50" t="s">
        <v>872</v>
      </c>
      <c r="C50" t="s">
        <v>75</v>
      </c>
      <c r="D50" s="1">
        <f>14290+30011</f>
        <v>44301</v>
      </c>
      <c r="E50" s="1">
        <f>175+6</f>
        <v>181</v>
      </c>
      <c r="F50" s="1">
        <v>0</v>
      </c>
      <c r="G50" s="1">
        <v>0</v>
      </c>
      <c r="H50" s="1">
        <v>0</v>
      </c>
      <c r="I50" s="1">
        <v>26555</v>
      </c>
      <c r="J50" s="1">
        <v>28328</v>
      </c>
    </row>
    <row r="51" spans="1:10" hidden="1" x14ac:dyDescent="0.25">
      <c r="A51" t="s">
        <v>76</v>
      </c>
      <c r="B51" t="s">
        <v>872</v>
      </c>
      <c r="C51" t="s">
        <v>77</v>
      </c>
      <c r="D51" s="1">
        <f>39547+2+713+2+1+17+28280</f>
        <v>68562</v>
      </c>
      <c r="E51" s="1">
        <f>94+2+152+14</f>
        <v>262</v>
      </c>
      <c r="F51" s="1">
        <v>0</v>
      </c>
      <c r="G51" s="1">
        <v>0</v>
      </c>
      <c r="H51" s="1">
        <v>0</v>
      </c>
      <c r="I51" s="1">
        <v>18166</v>
      </c>
      <c r="J51" s="1">
        <v>19876</v>
      </c>
    </row>
    <row r="52" spans="1:10" hidden="1" x14ac:dyDescent="0.25">
      <c r="A52" t="s">
        <v>801</v>
      </c>
      <c r="B52" t="s">
        <v>872</v>
      </c>
      <c r="C52" t="s">
        <v>78</v>
      </c>
      <c r="D52" s="1">
        <f>36574+5+74+1+1+1+15948</f>
        <v>52604</v>
      </c>
      <c r="E52" s="1">
        <f>25+25+3</f>
        <v>53</v>
      </c>
      <c r="F52" s="1">
        <v>0</v>
      </c>
      <c r="G52" s="1">
        <v>0</v>
      </c>
      <c r="H52" s="1">
        <v>0</v>
      </c>
      <c r="I52" s="1">
        <v>100785</v>
      </c>
      <c r="J52" s="1">
        <v>14297</v>
      </c>
    </row>
    <row r="53" spans="1:10" hidden="1" x14ac:dyDescent="0.25">
      <c r="A53" t="s">
        <v>847</v>
      </c>
      <c r="B53" t="s">
        <v>872</v>
      </c>
      <c r="C53" t="s">
        <v>79</v>
      </c>
      <c r="D53" s="1">
        <f>16161+3872</f>
        <v>20033</v>
      </c>
      <c r="E53" s="1">
        <v>0</v>
      </c>
      <c r="F53" s="1">
        <v>0</v>
      </c>
      <c r="G53" s="1">
        <v>0</v>
      </c>
      <c r="H53" s="1">
        <v>0</v>
      </c>
      <c r="I53" s="1">
        <v>3918</v>
      </c>
      <c r="J53" s="1">
        <v>3025</v>
      </c>
    </row>
    <row r="54" spans="1:10" hidden="1" x14ac:dyDescent="0.25">
      <c r="A54" t="s">
        <v>226</v>
      </c>
      <c r="B54" t="s">
        <v>872</v>
      </c>
      <c r="C54" t="s">
        <v>80</v>
      </c>
      <c r="D54" s="1">
        <f>8542+1+15+2921</f>
        <v>11479</v>
      </c>
      <c r="E54" s="1">
        <f>7+1</f>
        <v>8</v>
      </c>
      <c r="F54" s="1">
        <v>0</v>
      </c>
      <c r="G54" s="1">
        <v>0</v>
      </c>
      <c r="H54" s="1">
        <v>0</v>
      </c>
      <c r="I54" s="1">
        <v>6837</v>
      </c>
      <c r="J54" s="1">
        <v>2823</v>
      </c>
    </row>
    <row r="55" spans="1:10" hidden="1" x14ac:dyDescent="0.25">
      <c r="A55" t="s">
        <v>826</v>
      </c>
      <c r="B55" t="s">
        <v>872</v>
      </c>
      <c r="C55" t="s">
        <v>81</v>
      </c>
      <c r="D55" s="1">
        <f>14468+2+1+67+5029</f>
        <v>19567</v>
      </c>
      <c r="E55" s="1">
        <v>0</v>
      </c>
      <c r="F55" s="1">
        <v>0</v>
      </c>
      <c r="G55" s="1">
        <v>0</v>
      </c>
      <c r="H55" s="1">
        <v>0</v>
      </c>
      <c r="I55" s="1">
        <v>5544</v>
      </c>
      <c r="J55" s="1">
        <v>4169</v>
      </c>
    </row>
    <row r="56" spans="1:10" hidden="1" x14ac:dyDescent="0.25">
      <c r="A56" t="s">
        <v>76</v>
      </c>
      <c r="B56" t="s">
        <v>872</v>
      </c>
      <c r="C56" t="s">
        <v>82</v>
      </c>
      <c r="D56" s="1">
        <f>81085+4+9+10+15679+3</f>
        <v>96790</v>
      </c>
      <c r="E56" s="1">
        <f>336+473+50</f>
        <v>859</v>
      </c>
      <c r="F56" s="1">
        <v>0</v>
      </c>
      <c r="G56" s="1">
        <v>0</v>
      </c>
      <c r="H56" s="1">
        <v>0</v>
      </c>
      <c r="I56" s="1">
        <v>14264</v>
      </c>
      <c r="J56" s="1">
        <v>9881</v>
      </c>
    </row>
    <row r="57" spans="1:10" hidden="1" x14ac:dyDescent="0.25">
      <c r="A57" t="s">
        <v>83</v>
      </c>
      <c r="B57" t="s">
        <v>872</v>
      </c>
      <c r="C57" t="s">
        <v>84</v>
      </c>
      <c r="D57" s="1">
        <f>10156+2+2+5+1+24271</f>
        <v>34437</v>
      </c>
      <c r="E57" s="1">
        <f>40+3</f>
        <v>43</v>
      </c>
      <c r="F57" s="1">
        <v>0</v>
      </c>
      <c r="G57" s="1">
        <v>0</v>
      </c>
      <c r="H57" s="1">
        <v>0</v>
      </c>
      <c r="I57" s="1">
        <v>26612</v>
      </c>
      <c r="J57" s="1">
        <v>23812</v>
      </c>
    </row>
    <row r="58" spans="1:10" hidden="1" x14ac:dyDescent="0.25">
      <c r="A58" t="s">
        <v>809</v>
      </c>
      <c r="B58" t="s">
        <v>872</v>
      </c>
      <c r="C58" t="s">
        <v>85</v>
      </c>
      <c r="D58" s="1">
        <f>12340+1+1+30+3064</f>
        <v>15436</v>
      </c>
      <c r="E58" s="1">
        <f>220+52</f>
        <v>272</v>
      </c>
      <c r="F58" s="1">
        <v>0</v>
      </c>
      <c r="G58" s="1">
        <v>0</v>
      </c>
      <c r="H58" s="1">
        <v>0</v>
      </c>
      <c r="I58" s="1">
        <v>8237</v>
      </c>
      <c r="J58" s="1">
        <v>2272</v>
      </c>
    </row>
    <row r="59" spans="1:10" hidden="1" x14ac:dyDescent="0.25">
      <c r="A59" t="s">
        <v>811</v>
      </c>
      <c r="B59" t="s">
        <v>872</v>
      </c>
      <c r="C59" t="s">
        <v>86</v>
      </c>
      <c r="D59" s="1">
        <f>44694+215+6+229+2+54949+2</f>
        <v>100097</v>
      </c>
      <c r="E59" s="1">
        <f>2676+621+36+2504+17160+60</f>
        <v>23057</v>
      </c>
      <c r="F59" s="1">
        <v>0</v>
      </c>
      <c r="G59" s="1">
        <v>0</v>
      </c>
      <c r="H59" s="1">
        <v>0</v>
      </c>
      <c r="I59" s="1">
        <v>17102</v>
      </c>
      <c r="J59" s="1">
        <v>53901</v>
      </c>
    </row>
    <row r="60" spans="1:10" hidden="1" x14ac:dyDescent="0.25">
      <c r="A60" t="s">
        <v>811</v>
      </c>
      <c r="B60" t="s">
        <v>872</v>
      </c>
      <c r="C60" t="s">
        <v>87</v>
      </c>
      <c r="D60" s="1">
        <f>36863+2+7+72+97+25+278+17+2+2+1+5+41+1+2+454+14152</f>
        <v>52021</v>
      </c>
      <c r="E60" s="1">
        <f>968+2+44+1444+188</f>
        <v>2646</v>
      </c>
      <c r="F60" s="1">
        <v>0</v>
      </c>
      <c r="G60" s="1">
        <v>0</v>
      </c>
      <c r="H60" s="1">
        <v>0</v>
      </c>
      <c r="I60" s="1">
        <v>16588</v>
      </c>
      <c r="J60" s="1">
        <v>13658</v>
      </c>
    </row>
    <row r="61" spans="1:10" hidden="1" x14ac:dyDescent="0.25">
      <c r="A61" t="s">
        <v>791</v>
      </c>
      <c r="B61" t="s">
        <v>872</v>
      </c>
      <c r="C61" t="s">
        <v>88</v>
      </c>
      <c r="D61" s="1">
        <f>25253+12+75+47+13694</f>
        <v>39081</v>
      </c>
      <c r="E61" s="1">
        <f>400+26+108</f>
        <v>534</v>
      </c>
      <c r="F61" s="1">
        <v>0</v>
      </c>
      <c r="G61" s="1">
        <v>0</v>
      </c>
      <c r="H61" s="1">
        <v>0</v>
      </c>
      <c r="I61" s="1">
        <v>9620</v>
      </c>
      <c r="J61" s="1">
        <v>12973</v>
      </c>
    </row>
    <row r="62" spans="1:10" hidden="1" x14ac:dyDescent="0.25">
      <c r="A62" t="s">
        <v>809</v>
      </c>
      <c r="B62" t="s">
        <v>872</v>
      </c>
      <c r="C62" t="s">
        <v>89</v>
      </c>
      <c r="D62" s="1">
        <f>6569+2+2+16+565</f>
        <v>7154</v>
      </c>
      <c r="E62" s="1">
        <f>24+24</f>
        <v>48</v>
      </c>
      <c r="F62" s="1">
        <v>0</v>
      </c>
      <c r="G62" s="1">
        <v>0</v>
      </c>
      <c r="H62" s="1">
        <v>0</v>
      </c>
      <c r="I62" s="1">
        <v>8125</v>
      </c>
      <c r="J62" s="1">
        <v>402</v>
      </c>
    </row>
    <row r="63" spans="1:10" hidden="1" x14ac:dyDescent="0.25">
      <c r="A63" t="s">
        <v>848</v>
      </c>
      <c r="B63" t="s">
        <v>872</v>
      </c>
      <c r="C63" t="s">
        <v>90</v>
      </c>
      <c r="D63" s="1">
        <f>28013+54+77+1+153+29766</f>
        <v>58064</v>
      </c>
      <c r="E63" s="1">
        <f>63+19+7+120</f>
        <v>209</v>
      </c>
      <c r="F63" s="1">
        <v>0</v>
      </c>
      <c r="G63" s="1">
        <v>0</v>
      </c>
      <c r="H63" s="1">
        <v>0</v>
      </c>
      <c r="I63" s="1">
        <v>10248</v>
      </c>
      <c r="J63" s="1">
        <v>25344</v>
      </c>
    </row>
    <row r="64" spans="1:10" hidden="1" x14ac:dyDescent="0.25">
      <c r="A64" t="s">
        <v>248</v>
      </c>
      <c r="B64" t="s">
        <v>872</v>
      </c>
      <c r="C64" t="s">
        <v>91</v>
      </c>
      <c r="D64" s="1">
        <f>106650+2+6716+2+5+18+160413+1</f>
        <v>273807</v>
      </c>
      <c r="E64" s="1">
        <f>2910+1+319+1427+525+26</f>
        <v>5208</v>
      </c>
      <c r="F64" s="1">
        <v>0</v>
      </c>
      <c r="G64" s="1">
        <v>0</v>
      </c>
      <c r="H64" s="1">
        <v>0</v>
      </c>
      <c r="I64" s="1">
        <v>103073</v>
      </c>
      <c r="J64" s="1">
        <v>121538</v>
      </c>
    </row>
    <row r="65" spans="1:10" hidden="1" x14ac:dyDescent="0.25">
      <c r="A65" t="s">
        <v>826</v>
      </c>
      <c r="B65" t="s">
        <v>872</v>
      </c>
      <c r="C65" t="s">
        <v>92</v>
      </c>
      <c r="D65" s="1">
        <f>38233+11+151+258+2+18+12+17+672+8916</f>
        <v>48290</v>
      </c>
      <c r="E65" s="1">
        <f>1298+46+577+66+1</f>
        <v>1988</v>
      </c>
      <c r="F65" s="1">
        <v>0</v>
      </c>
      <c r="G65" s="1">
        <v>0</v>
      </c>
      <c r="H65" s="1">
        <v>0</v>
      </c>
      <c r="I65" s="1">
        <v>10148</v>
      </c>
      <c r="J65" s="1">
        <v>7940</v>
      </c>
    </row>
    <row r="66" spans="1:10" hidden="1" x14ac:dyDescent="0.25">
      <c r="A66" t="s">
        <v>803</v>
      </c>
      <c r="B66" t="s">
        <v>872</v>
      </c>
      <c r="C66" t="s">
        <v>93</v>
      </c>
      <c r="D66" s="1"/>
      <c r="E66" s="1"/>
      <c r="F66" s="1"/>
      <c r="G66" s="1"/>
      <c r="H66" s="1"/>
      <c r="I66" s="1"/>
      <c r="J66" s="1"/>
    </row>
    <row r="67" spans="1:10" hidden="1" x14ac:dyDescent="0.25">
      <c r="A67" t="s">
        <v>791</v>
      </c>
      <c r="B67" t="s">
        <v>872</v>
      </c>
      <c r="C67" t="s">
        <v>94</v>
      </c>
      <c r="D67" s="1">
        <f>17832+85+56+39+7+24+2330</f>
        <v>20373</v>
      </c>
      <c r="E67" s="1">
        <f>134+3+81+2+1</f>
        <v>221</v>
      </c>
      <c r="F67" s="1">
        <v>0</v>
      </c>
      <c r="G67" s="1">
        <v>0</v>
      </c>
      <c r="H67" s="1">
        <v>0</v>
      </c>
      <c r="I67" s="1">
        <v>7781</v>
      </c>
      <c r="J67" s="1">
        <v>1807</v>
      </c>
    </row>
    <row r="68" spans="1:10" hidden="1" x14ac:dyDescent="0.25">
      <c r="A68" t="s">
        <v>848</v>
      </c>
      <c r="B68" t="s">
        <v>872</v>
      </c>
      <c r="C68" t="s">
        <v>95</v>
      </c>
      <c r="D68" s="1">
        <f>4977+1+2387</f>
        <v>7365</v>
      </c>
      <c r="E68" s="1">
        <f>78+8+30+20</f>
        <v>136</v>
      </c>
      <c r="F68" s="1">
        <v>0</v>
      </c>
      <c r="G68" s="1">
        <v>0</v>
      </c>
      <c r="H68" s="1">
        <v>0</v>
      </c>
      <c r="I68" s="1">
        <v>2990</v>
      </c>
      <c r="J68" s="1">
        <v>1950</v>
      </c>
    </row>
    <row r="69" spans="1:10" hidden="1" x14ac:dyDescent="0.25">
      <c r="A69" t="s">
        <v>826</v>
      </c>
      <c r="B69" t="s">
        <v>872</v>
      </c>
      <c r="C69" t="s">
        <v>96</v>
      </c>
      <c r="D69" s="1">
        <f>12982+129+10+13+10+3842</f>
        <v>16986</v>
      </c>
      <c r="E69" s="1">
        <f>102+10+48</f>
        <v>160</v>
      </c>
      <c r="F69" s="1">
        <v>0</v>
      </c>
      <c r="G69" s="1">
        <v>0</v>
      </c>
      <c r="H69" s="1">
        <v>0</v>
      </c>
      <c r="I69" s="1">
        <v>5292</v>
      </c>
      <c r="J69" s="1">
        <v>2853</v>
      </c>
    </row>
    <row r="70" spans="1:10" hidden="1" x14ac:dyDescent="0.25">
      <c r="A70" t="s">
        <v>850</v>
      </c>
      <c r="B70" t="s">
        <v>872</v>
      </c>
      <c r="C70" t="s">
        <v>98</v>
      </c>
      <c r="D70" s="1">
        <f>10407+3+5053+1</f>
        <v>15464</v>
      </c>
      <c r="E70" s="1">
        <f>23+47</f>
        <v>70</v>
      </c>
      <c r="F70" s="1">
        <v>0</v>
      </c>
      <c r="G70" s="1">
        <v>0</v>
      </c>
      <c r="H70" s="1">
        <v>0</v>
      </c>
      <c r="I70" s="1">
        <v>10443</v>
      </c>
      <c r="J70" s="1">
        <v>4579</v>
      </c>
    </row>
    <row r="71" spans="1:10" hidden="1" x14ac:dyDescent="0.25">
      <c r="A71" t="s">
        <v>851</v>
      </c>
      <c r="B71" t="s">
        <v>872</v>
      </c>
      <c r="C71" t="s">
        <v>100</v>
      </c>
      <c r="D71" s="1">
        <f>8116+6+1+3610</f>
        <v>11733</v>
      </c>
      <c r="E71" s="1">
        <f>288+249+8</f>
        <v>545</v>
      </c>
      <c r="F71" s="1">
        <v>0</v>
      </c>
      <c r="G71" s="1">
        <v>0</v>
      </c>
      <c r="H71" s="1">
        <v>0</v>
      </c>
      <c r="I71" s="1">
        <v>7559</v>
      </c>
      <c r="J71" s="1">
        <v>2975</v>
      </c>
    </row>
    <row r="72" spans="1:10" hidden="1" x14ac:dyDescent="0.25">
      <c r="A72" t="s">
        <v>101</v>
      </c>
      <c r="B72" t="s">
        <v>872</v>
      </c>
      <c r="C72" t="s">
        <v>102</v>
      </c>
      <c r="D72" s="1">
        <f>52389+39+6+12234</f>
        <v>64668</v>
      </c>
      <c r="E72" s="1">
        <f>5+1</f>
        <v>6</v>
      </c>
      <c r="F72" s="1">
        <v>0</v>
      </c>
      <c r="G72" s="1">
        <v>0</v>
      </c>
      <c r="H72" s="1">
        <v>0</v>
      </c>
      <c r="I72" s="1">
        <v>60649</v>
      </c>
      <c r="J72" s="1">
        <v>9720</v>
      </c>
    </row>
    <row r="73" spans="1:10" hidden="1" x14ac:dyDescent="0.25">
      <c r="A73" t="s">
        <v>512</v>
      </c>
      <c r="B73" t="s">
        <v>872</v>
      </c>
      <c r="C73" t="s">
        <v>103</v>
      </c>
      <c r="D73" s="1">
        <f>25637+1+3+9589</f>
        <v>35230</v>
      </c>
      <c r="E73" s="1">
        <v>0</v>
      </c>
      <c r="F73" s="1">
        <v>0</v>
      </c>
      <c r="G73" s="1">
        <v>0</v>
      </c>
      <c r="H73" s="1">
        <v>0</v>
      </c>
      <c r="I73" s="1">
        <v>1596</v>
      </c>
      <c r="J73" s="1">
        <v>6691</v>
      </c>
    </row>
    <row r="74" spans="1:10" hidden="1" x14ac:dyDescent="0.25">
      <c r="A74" t="s">
        <v>852</v>
      </c>
      <c r="B74" t="s">
        <v>872</v>
      </c>
      <c r="C74" t="s">
        <v>105</v>
      </c>
      <c r="D74" s="1">
        <f>10474+55+1+2+9339+46</f>
        <v>19917</v>
      </c>
      <c r="E74" s="1">
        <f>1257+107+2</f>
        <v>1366</v>
      </c>
      <c r="F74" s="1">
        <v>0</v>
      </c>
      <c r="G74" s="1">
        <v>0</v>
      </c>
      <c r="H74" s="1">
        <v>0</v>
      </c>
      <c r="I74" s="1">
        <v>13613</v>
      </c>
      <c r="J74" s="1">
        <v>6883</v>
      </c>
    </row>
    <row r="75" spans="1:10" hidden="1" x14ac:dyDescent="0.25">
      <c r="A75" t="s">
        <v>853</v>
      </c>
      <c r="B75" t="s">
        <v>872</v>
      </c>
      <c r="C75" t="s">
        <v>107</v>
      </c>
      <c r="D75" s="1">
        <f>32242+3661+3+5+13788</f>
        <v>49699</v>
      </c>
      <c r="E75" s="1">
        <f>297+1+100+3</f>
        <v>401</v>
      </c>
      <c r="F75" s="1">
        <v>0</v>
      </c>
      <c r="G75" s="1">
        <v>0</v>
      </c>
      <c r="H75" s="1">
        <v>0</v>
      </c>
      <c r="I75" s="1">
        <v>43835</v>
      </c>
      <c r="J75" s="1">
        <v>12132</v>
      </c>
    </row>
    <row r="76" spans="1:10" hidden="1" x14ac:dyDescent="0.25">
      <c r="A76" t="s">
        <v>854</v>
      </c>
      <c r="B76" t="s">
        <v>872</v>
      </c>
      <c r="C76" t="s">
        <v>109</v>
      </c>
      <c r="D76" s="1">
        <f>17138+21+3+28+10661+2</f>
        <v>27853</v>
      </c>
      <c r="E76" s="1">
        <f>211+7+41+1186+25</f>
        <v>1470</v>
      </c>
      <c r="F76" s="1">
        <v>0</v>
      </c>
      <c r="G76" s="1">
        <v>0</v>
      </c>
      <c r="H76" s="1">
        <v>0</v>
      </c>
      <c r="I76" s="1">
        <v>34601</v>
      </c>
      <c r="J76" s="1">
        <v>9077</v>
      </c>
    </row>
    <row r="77" spans="1:10" hidden="1" x14ac:dyDescent="0.25">
      <c r="A77" t="s">
        <v>855</v>
      </c>
      <c r="B77" t="s">
        <v>872</v>
      </c>
      <c r="C77" t="s">
        <v>111</v>
      </c>
      <c r="D77" s="1">
        <f>10735+4+6550</f>
        <v>17289</v>
      </c>
      <c r="E77" s="1">
        <f>108+59</f>
        <v>167</v>
      </c>
      <c r="F77" s="1">
        <v>0</v>
      </c>
      <c r="G77" s="1">
        <v>0</v>
      </c>
      <c r="H77" s="1">
        <v>0</v>
      </c>
      <c r="I77" s="1">
        <v>18526</v>
      </c>
      <c r="J77" s="1">
        <v>5887</v>
      </c>
    </row>
    <row r="78" spans="1:10" hidden="1" x14ac:dyDescent="0.25">
      <c r="A78" t="s">
        <v>101</v>
      </c>
      <c r="B78" t="s">
        <v>872</v>
      </c>
      <c r="C78" t="s">
        <v>112</v>
      </c>
      <c r="D78" s="1">
        <f>40398+25+1+898+14+6030</f>
        <v>47366</v>
      </c>
      <c r="E78" s="1">
        <f>9+3</f>
        <v>12</v>
      </c>
      <c r="F78" s="1">
        <v>0</v>
      </c>
      <c r="G78" s="1">
        <v>0</v>
      </c>
      <c r="H78" s="1">
        <v>0</v>
      </c>
      <c r="I78" s="1">
        <v>115334</v>
      </c>
      <c r="J78" s="1">
        <v>5133</v>
      </c>
    </row>
    <row r="79" spans="1:10" hidden="1" x14ac:dyDescent="0.25">
      <c r="A79" t="s">
        <v>856</v>
      </c>
      <c r="B79" t="s">
        <v>872</v>
      </c>
      <c r="C79" t="s">
        <v>114</v>
      </c>
      <c r="D79" s="1">
        <f>3376+2+6+15191+1</f>
        <v>18576</v>
      </c>
      <c r="E79" s="1">
        <f>377+30</f>
        <v>407</v>
      </c>
      <c r="F79" s="1">
        <v>0</v>
      </c>
      <c r="G79" s="1">
        <v>0</v>
      </c>
      <c r="H79" s="1">
        <v>0</v>
      </c>
      <c r="I79" s="1">
        <v>26932</v>
      </c>
      <c r="J79" s="1">
        <v>13486</v>
      </c>
    </row>
    <row r="80" spans="1:10" hidden="1" x14ac:dyDescent="0.25">
      <c r="A80" t="s">
        <v>857</v>
      </c>
      <c r="B80" t="s">
        <v>872</v>
      </c>
      <c r="C80" t="s">
        <v>116</v>
      </c>
      <c r="D80" s="1">
        <f>15265+9037</f>
        <v>24302</v>
      </c>
      <c r="E80" s="1">
        <f>243+20+21</f>
        <v>284</v>
      </c>
      <c r="F80" s="1">
        <v>0</v>
      </c>
      <c r="G80" s="1">
        <v>0</v>
      </c>
      <c r="H80" s="1">
        <v>0</v>
      </c>
      <c r="I80" s="1">
        <v>4985</v>
      </c>
      <c r="J80" s="1">
        <v>7266</v>
      </c>
    </row>
    <row r="81" spans="1:10" hidden="1" x14ac:dyDescent="0.25">
      <c r="A81" t="s">
        <v>823</v>
      </c>
      <c r="B81" t="s">
        <v>872</v>
      </c>
      <c r="C81" t="s">
        <v>117</v>
      </c>
      <c r="D81" s="1">
        <f>23225+59+9330</f>
        <v>32614</v>
      </c>
      <c r="E81" s="1">
        <f>33+132</f>
        <v>165</v>
      </c>
      <c r="F81" s="1">
        <v>0</v>
      </c>
      <c r="G81" s="1">
        <v>0</v>
      </c>
      <c r="H81" s="1">
        <v>0</v>
      </c>
      <c r="I81" s="1">
        <v>16204</v>
      </c>
      <c r="J81" s="1">
        <v>6648</v>
      </c>
    </row>
    <row r="82" spans="1:10" hidden="1" x14ac:dyDescent="0.25">
      <c r="A82" t="s">
        <v>858</v>
      </c>
      <c r="B82" t="s">
        <v>872</v>
      </c>
      <c r="C82" t="s">
        <v>119</v>
      </c>
      <c r="D82" s="1">
        <f>12437+8+14494</f>
        <v>26939</v>
      </c>
      <c r="E82" s="1">
        <f>12+10+72+6+7+227</f>
        <v>334</v>
      </c>
      <c r="F82" s="1">
        <v>0</v>
      </c>
      <c r="G82" s="1">
        <v>0</v>
      </c>
      <c r="H82" s="1">
        <v>0</v>
      </c>
      <c r="I82" s="1">
        <v>12201</v>
      </c>
      <c r="J82" s="1">
        <v>9266</v>
      </c>
    </row>
    <row r="83" spans="1:10" hidden="1" x14ac:dyDescent="0.25">
      <c r="A83" t="s">
        <v>859</v>
      </c>
      <c r="B83" t="s">
        <v>872</v>
      </c>
      <c r="C83" t="s">
        <v>121</v>
      </c>
      <c r="D83" s="1">
        <f>32695+19+45+7+9042</f>
        <v>41808</v>
      </c>
      <c r="E83" s="1">
        <f>51+41+2+2</f>
        <v>96</v>
      </c>
      <c r="F83" s="1">
        <v>0</v>
      </c>
      <c r="G83" s="1">
        <v>0</v>
      </c>
      <c r="H83" s="1">
        <v>0</v>
      </c>
      <c r="I83" s="1">
        <v>35288</v>
      </c>
      <c r="J83" s="1">
        <v>7090</v>
      </c>
    </row>
    <row r="84" spans="1:10" hidden="1" x14ac:dyDescent="0.25">
      <c r="A84" t="s">
        <v>860</v>
      </c>
      <c r="B84" t="s">
        <v>872</v>
      </c>
      <c r="C84" t="s">
        <v>122</v>
      </c>
      <c r="D84" s="1">
        <f>15940+1+7783</f>
        <v>23724</v>
      </c>
      <c r="E84" s="1">
        <f>1+1+39</f>
        <v>41</v>
      </c>
      <c r="F84" s="1">
        <v>0</v>
      </c>
      <c r="G84" s="1">
        <v>0</v>
      </c>
      <c r="H84" s="1">
        <v>0</v>
      </c>
      <c r="I84" s="1">
        <v>14631</v>
      </c>
      <c r="J84" s="1">
        <v>5889</v>
      </c>
    </row>
    <row r="85" spans="1:10" hidden="1" x14ac:dyDescent="0.25">
      <c r="A85" t="s">
        <v>861</v>
      </c>
      <c r="B85" t="s">
        <v>872</v>
      </c>
      <c r="C85" t="s">
        <v>124</v>
      </c>
      <c r="D85" s="1">
        <f>16794+1+7868</f>
        <v>24663</v>
      </c>
      <c r="E85" s="1">
        <v>0</v>
      </c>
      <c r="F85" s="1">
        <v>0</v>
      </c>
      <c r="G85" s="1">
        <v>0</v>
      </c>
      <c r="H85" s="1">
        <v>0</v>
      </c>
      <c r="I85" s="1">
        <v>13394</v>
      </c>
      <c r="J85" s="1">
        <v>6187</v>
      </c>
    </row>
    <row r="86" spans="1:10" hidden="1" x14ac:dyDescent="0.25">
      <c r="A86" t="s">
        <v>823</v>
      </c>
      <c r="B86" t="s">
        <v>872</v>
      </c>
      <c r="C86" t="s">
        <v>125</v>
      </c>
      <c r="D86" s="1">
        <f>90540+1+2+504+17109</f>
        <v>108156</v>
      </c>
      <c r="E86" s="1">
        <f>6+71</f>
        <v>77</v>
      </c>
      <c r="F86" s="1">
        <v>0</v>
      </c>
      <c r="G86" s="1">
        <v>0</v>
      </c>
      <c r="H86" s="1">
        <v>0</v>
      </c>
      <c r="I86" s="1">
        <v>9029</v>
      </c>
      <c r="J86" s="1">
        <v>11463</v>
      </c>
    </row>
    <row r="87" spans="1:10" hidden="1" x14ac:dyDescent="0.25">
      <c r="A87" t="s">
        <v>248</v>
      </c>
      <c r="B87" t="s">
        <v>872</v>
      </c>
      <c r="C87" t="s">
        <v>126</v>
      </c>
      <c r="D87" s="1">
        <f>25389+1+2+2+8282</f>
        <v>33676</v>
      </c>
      <c r="E87" s="1">
        <f>54+5+22+1</f>
        <v>82</v>
      </c>
      <c r="F87" s="1">
        <v>0</v>
      </c>
      <c r="G87" s="1">
        <v>0</v>
      </c>
      <c r="H87" s="1">
        <v>0</v>
      </c>
      <c r="I87" s="1">
        <v>52987</v>
      </c>
      <c r="J87" s="1">
        <v>6651</v>
      </c>
    </row>
    <row r="88" spans="1:10" hidden="1" x14ac:dyDescent="0.25">
      <c r="A88" t="s">
        <v>862</v>
      </c>
      <c r="B88" t="s">
        <v>872</v>
      </c>
      <c r="C88" t="s">
        <v>127</v>
      </c>
      <c r="D88" s="1">
        <f>7718+3872</f>
        <v>11590</v>
      </c>
      <c r="E88" s="1">
        <f>98+28</f>
        <v>126</v>
      </c>
      <c r="F88" s="1">
        <v>0</v>
      </c>
      <c r="G88" s="1">
        <v>0</v>
      </c>
      <c r="H88" s="1">
        <v>0</v>
      </c>
      <c r="I88" s="1">
        <v>7928</v>
      </c>
      <c r="J88" s="1">
        <v>3815</v>
      </c>
    </row>
    <row r="89" spans="1:10" hidden="1" x14ac:dyDescent="0.25">
      <c r="A89" t="s">
        <v>863</v>
      </c>
      <c r="B89" t="s">
        <v>872</v>
      </c>
      <c r="C89" t="s">
        <v>129</v>
      </c>
      <c r="D89" s="1">
        <f>18692+11936</f>
        <v>30628</v>
      </c>
      <c r="E89" s="1">
        <f>382+33+1</f>
        <v>416</v>
      </c>
      <c r="F89" s="1">
        <v>0</v>
      </c>
      <c r="G89" s="1">
        <v>0</v>
      </c>
      <c r="H89" s="1">
        <v>0</v>
      </c>
      <c r="I89" s="1">
        <v>11463</v>
      </c>
      <c r="J89" s="1">
        <v>8540</v>
      </c>
    </row>
    <row r="90" spans="1:10" hidden="1" x14ac:dyDescent="0.25">
      <c r="A90" t="s">
        <v>794</v>
      </c>
      <c r="B90" t="s">
        <v>872</v>
      </c>
      <c r="C90" t="s">
        <v>130</v>
      </c>
      <c r="D90" s="1">
        <f>56240+2+2440+1+11+7798+3</f>
        <v>66495</v>
      </c>
      <c r="E90" s="1">
        <f>59+69+10+8</f>
        <v>146</v>
      </c>
      <c r="F90" s="1">
        <v>0</v>
      </c>
      <c r="G90" s="1">
        <v>0</v>
      </c>
      <c r="H90" s="1">
        <v>0</v>
      </c>
      <c r="I90" s="1">
        <v>7512</v>
      </c>
      <c r="J90" s="1">
        <v>7103</v>
      </c>
    </row>
    <row r="91" spans="1:10" hidden="1" x14ac:dyDescent="0.25">
      <c r="A91" t="s">
        <v>803</v>
      </c>
      <c r="B91" t="s">
        <v>872</v>
      </c>
      <c r="C91" t="s">
        <v>132</v>
      </c>
      <c r="D91" s="1"/>
      <c r="E91" s="1"/>
      <c r="F91" s="1"/>
      <c r="G91" s="1"/>
      <c r="H91" s="1"/>
      <c r="I91" s="1"/>
      <c r="J91" s="1"/>
    </row>
    <row r="92" spans="1:10" hidden="1" x14ac:dyDescent="0.25">
      <c r="A92" t="s">
        <v>512</v>
      </c>
      <c r="B92" t="s">
        <v>872</v>
      </c>
      <c r="C92" t="s">
        <v>133</v>
      </c>
      <c r="D92" s="1"/>
      <c r="E92" s="1"/>
      <c r="F92" s="1"/>
      <c r="G92" s="1"/>
      <c r="H92" s="1"/>
      <c r="I92" s="1"/>
      <c r="J92" s="1"/>
    </row>
    <row r="93" spans="1:10" hidden="1" x14ac:dyDescent="0.25">
      <c r="A93" t="s">
        <v>134</v>
      </c>
      <c r="B93" t="s">
        <v>872</v>
      </c>
      <c r="C93" t="s">
        <v>135</v>
      </c>
      <c r="D93" s="1">
        <f>27861+63+71+13270</f>
        <v>41265</v>
      </c>
      <c r="E93" s="1">
        <f>37+3</f>
        <v>40</v>
      </c>
      <c r="F93" s="1">
        <v>0</v>
      </c>
      <c r="G93" s="1">
        <v>0</v>
      </c>
      <c r="H93" s="1">
        <v>0</v>
      </c>
      <c r="I93" s="1">
        <v>47505</v>
      </c>
      <c r="J93" s="1">
        <v>10902</v>
      </c>
    </row>
    <row r="94" spans="1:10" hidden="1" x14ac:dyDescent="0.25">
      <c r="A94" t="s">
        <v>795</v>
      </c>
      <c r="B94" t="s">
        <v>872</v>
      </c>
      <c r="C94" t="s">
        <v>136</v>
      </c>
      <c r="D94" s="1">
        <f>15494+16+4+8090</f>
        <v>23604</v>
      </c>
      <c r="E94" s="1">
        <f>318+36+102+7</f>
        <v>463</v>
      </c>
      <c r="F94" s="1">
        <v>0</v>
      </c>
      <c r="G94" s="1">
        <v>0</v>
      </c>
      <c r="H94" s="1">
        <v>0</v>
      </c>
      <c r="I94" s="1">
        <v>23043</v>
      </c>
      <c r="J94" s="1">
        <v>7292</v>
      </c>
    </row>
    <row r="95" spans="1:10" hidden="1" x14ac:dyDescent="0.25">
      <c r="A95" t="s">
        <v>120</v>
      </c>
      <c r="B95" t="s">
        <v>872</v>
      </c>
      <c r="C95" t="s">
        <v>137</v>
      </c>
      <c r="D95" s="1">
        <f>52980+1+8697+1+7+18+99+9022</f>
        <v>70825</v>
      </c>
      <c r="E95" s="1">
        <f>92+2+3</f>
        <v>97</v>
      </c>
      <c r="F95" s="1">
        <v>0</v>
      </c>
      <c r="G95" s="1">
        <v>0</v>
      </c>
      <c r="H95" s="1">
        <v>0</v>
      </c>
      <c r="I95" s="1">
        <v>30195</v>
      </c>
      <c r="J95" s="1">
        <v>5173</v>
      </c>
    </row>
    <row r="96" spans="1:10" hidden="1" x14ac:dyDescent="0.25">
      <c r="A96" t="s">
        <v>138</v>
      </c>
      <c r="B96" t="s">
        <v>872</v>
      </c>
      <c r="C96" t="s">
        <v>139</v>
      </c>
      <c r="D96" s="1">
        <f>44368+26+5+1051+4+131+13839</f>
        <v>59424</v>
      </c>
      <c r="E96" s="1">
        <f>7+86+1+24</f>
        <v>118</v>
      </c>
      <c r="F96" s="1">
        <v>0</v>
      </c>
      <c r="G96" s="1">
        <v>0</v>
      </c>
      <c r="H96" s="1">
        <v>0</v>
      </c>
      <c r="I96" s="1">
        <v>62424</v>
      </c>
      <c r="J96" s="1">
        <v>12358</v>
      </c>
    </row>
    <row r="97" spans="1:10" hidden="1" x14ac:dyDescent="0.25">
      <c r="A97" t="s">
        <v>868</v>
      </c>
      <c r="B97" t="s">
        <v>872</v>
      </c>
      <c r="C97" t="s">
        <v>141</v>
      </c>
      <c r="D97" s="1">
        <f>4269+57+16+6+471</f>
        <v>4819</v>
      </c>
      <c r="E97" s="1">
        <f>6+1</f>
        <v>7</v>
      </c>
      <c r="F97" s="1">
        <v>0</v>
      </c>
      <c r="G97" s="1">
        <v>0</v>
      </c>
      <c r="H97" s="1">
        <v>0</v>
      </c>
      <c r="I97" s="1">
        <v>2398</v>
      </c>
      <c r="J97" s="1">
        <v>411</v>
      </c>
    </row>
    <row r="98" spans="1:10" hidden="1" x14ac:dyDescent="0.25">
      <c r="A98" t="s">
        <v>67</v>
      </c>
      <c r="B98" t="s">
        <v>872</v>
      </c>
      <c r="C98" t="s">
        <v>142</v>
      </c>
      <c r="D98" s="1">
        <f>38986+2+1751+33+4740</f>
        <v>45512</v>
      </c>
      <c r="E98" s="1">
        <f>109+1+4+2+2</f>
        <v>118</v>
      </c>
      <c r="F98" s="1">
        <v>0</v>
      </c>
      <c r="G98" s="1">
        <v>0</v>
      </c>
      <c r="H98" s="1">
        <v>0</v>
      </c>
      <c r="I98" s="1">
        <v>10534</v>
      </c>
      <c r="J98" s="1">
        <v>4157</v>
      </c>
    </row>
    <row r="99" spans="1:10" hidden="1" x14ac:dyDescent="0.25">
      <c r="A99" t="s">
        <v>823</v>
      </c>
      <c r="B99" t="s">
        <v>872</v>
      </c>
      <c r="C99" t="s">
        <v>143</v>
      </c>
      <c r="D99" s="1">
        <f>12069+18807</f>
        <v>30876</v>
      </c>
      <c r="E99" s="1">
        <v>0</v>
      </c>
      <c r="F99" s="1">
        <v>0</v>
      </c>
      <c r="G99" s="1">
        <v>0</v>
      </c>
      <c r="H99" s="1">
        <v>0</v>
      </c>
      <c r="I99" s="1">
        <v>1626</v>
      </c>
      <c r="J99" s="1">
        <v>5864</v>
      </c>
    </row>
    <row r="100" spans="1:10" hidden="1" x14ac:dyDescent="0.25">
      <c r="A100" t="s">
        <v>848</v>
      </c>
      <c r="B100" t="s">
        <v>872</v>
      </c>
      <c r="C100" t="s">
        <v>144</v>
      </c>
      <c r="D100" s="1">
        <f>9261+10+5916</f>
        <v>15187</v>
      </c>
      <c r="E100" s="1">
        <f>553+5</f>
        <v>558</v>
      </c>
      <c r="F100" s="1">
        <v>0</v>
      </c>
      <c r="G100" s="1">
        <v>0</v>
      </c>
      <c r="H100" s="1">
        <v>0</v>
      </c>
      <c r="I100" s="1">
        <v>2317</v>
      </c>
      <c r="J100" s="1">
        <v>5256</v>
      </c>
    </row>
    <row r="101" spans="1:10" hidden="1" x14ac:dyDescent="0.25">
      <c r="A101" t="s">
        <v>816</v>
      </c>
      <c r="B101" t="s">
        <v>872</v>
      </c>
      <c r="C101" t="s">
        <v>145</v>
      </c>
      <c r="D101" s="1">
        <f>48871+1+33+13+32344+1</f>
        <v>81263</v>
      </c>
      <c r="E101" s="1">
        <f>31+52+41+1</f>
        <v>125</v>
      </c>
      <c r="F101" s="1">
        <v>0</v>
      </c>
      <c r="G101" s="1">
        <v>0</v>
      </c>
      <c r="H101" s="1">
        <v>0</v>
      </c>
      <c r="I101" s="1">
        <v>64880</v>
      </c>
      <c r="J101" s="1">
        <v>28082</v>
      </c>
    </row>
    <row r="102" spans="1:10" hidden="1" x14ac:dyDescent="0.25">
      <c r="A102" t="s">
        <v>146</v>
      </c>
      <c r="B102" t="s">
        <v>872</v>
      </c>
      <c r="C102" t="s">
        <v>147</v>
      </c>
      <c r="D102" s="1">
        <f>64583+179+45150</f>
        <v>109912</v>
      </c>
      <c r="E102" s="1">
        <f>64+2+107+63</f>
        <v>236</v>
      </c>
      <c r="F102" s="1">
        <v>0</v>
      </c>
      <c r="G102" s="1">
        <v>0</v>
      </c>
      <c r="H102" s="1">
        <v>0</v>
      </c>
      <c r="I102" s="1">
        <v>64229</v>
      </c>
      <c r="J102" s="1">
        <v>32941</v>
      </c>
    </row>
    <row r="103" spans="1:10" hidden="1" x14ac:dyDescent="0.25">
      <c r="A103" t="s">
        <v>804</v>
      </c>
      <c r="B103" t="s">
        <v>872</v>
      </c>
      <c r="C103" t="s">
        <v>148</v>
      </c>
      <c r="D103" s="1">
        <f>83820+4+5+121+22+26130</f>
        <v>110102</v>
      </c>
      <c r="E103" s="1">
        <f>44+4+22+36+2</f>
        <v>108</v>
      </c>
      <c r="F103" s="1">
        <v>0</v>
      </c>
      <c r="G103" s="1">
        <v>0</v>
      </c>
      <c r="H103" s="1">
        <v>0</v>
      </c>
      <c r="I103" s="1">
        <v>119721</v>
      </c>
      <c r="J103" s="1">
        <v>21170</v>
      </c>
    </row>
    <row r="104" spans="1:10" hidden="1" x14ac:dyDescent="0.25">
      <c r="A104" t="s">
        <v>817</v>
      </c>
      <c r="B104" t="s">
        <v>872</v>
      </c>
      <c r="C104" t="s">
        <v>149</v>
      </c>
      <c r="D104" s="1">
        <f>16306+290+1+16426+2</f>
        <v>33025</v>
      </c>
      <c r="E104" s="1">
        <f>538+3+163+294+2</f>
        <v>1000</v>
      </c>
      <c r="F104" s="1">
        <v>0</v>
      </c>
      <c r="G104" s="1">
        <v>0</v>
      </c>
      <c r="H104" s="1">
        <v>0</v>
      </c>
      <c r="I104" s="1">
        <v>35531</v>
      </c>
      <c r="J104" s="1">
        <v>13971</v>
      </c>
    </row>
    <row r="105" spans="1:10" hidden="1" x14ac:dyDescent="0.25">
      <c r="A105" t="s">
        <v>831</v>
      </c>
      <c r="B105" t="s">
        <v>872</v>
      </c>
      <c r="C105" t="s">
        <v>151</v>
      </c>
      <c r="D105" s="1">
        <f>5011+2+80+1+46+2408</f>
        <v>7548</v>
      </c>
      <c r="E105" s="1">
        <f>46+2+3</f>
        <v>51</v>
      </c>
      <c r="F105" s="1">
        <v>0</v>
      </c>
      <c r="G105" s="1">
        <v>0</v>
      </c>
      <c r="H105" s="1">
        <v>0</v>
      </c>
      <c r="I105" s="1">
        <v>3481</v>
      </c>
      <c r="J105" s="1">
        <v>1599</v>
      </c>
    </row>
    <row r="106" spans="1:10" hidden="1" x14ac:dyDescent="0.25">
      <c r="A106" t="s">
        <v>146</v>
      </c>
      <c r="B106" t="s">
        <v>872</v>
      </c>
      <c r="C106" t="s">
        <v>152</v>
      </c>
      <c r="D106" s="1">
        <f>18282+499+4+352+21150</f>
        <v>40287</v>
      </c>
      <c r="E106" s="1">
        <f>13+15+4+142+2</f>
        <v>176</v>
      </c>
      <c r="F106" s="1">
        <v>0</v>
      </c>
      <c r="G106" s="1">
        <v>0</v>
      </c>
      <c r="H106" s="1">
        <v>0</v>
      </c>
      <c r="I106" s="1">
        <v>46089</v>
      </c>
      <c r="J106" s="1">
        <v>15143</v>
      </c>
    </row>
    <row r="107" spans="1:10" hidden="1" x14ac:dyDescent="0.25">
      <c r="A107" t="s">
        <v>495</v>
      </c>
      <c r="B107" t="s">
        <v>872</v>
      </c>
      <c r="C107" t="s">
        <v>153</v>
      </c>
      <c r="D107" s="1">
        <f>9309+48+1922</f>
        <v>11279</v>
      </c>
      <c r="E107" s="1">
        <f>4+2</f>
        <v>6</v>
      </c>
      <c r="F107" s="1">
        <v>0</v>
      </c>
      <c r="G107" s="1">
        <v>0</v>
      </c>
      <c r="H107" s="1">
        <v>0</v>
      </c>
      <c r="I107" s="1">
        <v>12678</v>
      </c>
      <c r="J107" s="1">
        <v>1510</v>
      </c>
    </row>
    <row r="108" spans="1:10" hidden="1" x14ac:dyDescent="0.25">
      <c r="A108" t="s">
        <v>76</v>
      </c>
      <c r="B108" t="s">
        <v>872</v>
      </c>
      <c r="C108" t="s">
        <v>154</v>
      </c>
      <c r="D108" s="1">
        <f>31768+348+2+28798+3</f>
        <v>60919</v>
      </c>
      <c r="E108" s="1">
        <f>11+1+494+1</f>
        <v>507</v>
      </c>
      <c r="F108" s="1">
        <v>0</v>
      </c>
      <c r="G108" s="1">
        <v>0</v>
      </c>
      <c r="H108" s="1">
        <v>0</v>
      </c>
      <c r="I108" s="1">
        <v>8568</v>
      </c>
      <c r="J108" s="1">
        <v>22001</v>
      </c>
    </row>
    <row r="109" spans="1:10" hidden="1" x14ac:dyDescent="0.25">
      <c r="A109" t="s">
        <v>83</v>
      </c>
      <c r="B109" t="s">
        <v>872</v>
      </c>
      <c r="C109" t="s">
        <v>155</v>
      </c>
      <c r="D109" s="1">
        <f>15996+5452</f>
        <v>21448</v>
      </c>
      <c r="E109" s="1">
        <f>10+97</f>
        <v>107</v>
      </c>
      <c r="F109" s="1">
        <v>0</v>
      </c>
      <c r="G109" s="1">
        <v>0</v>
      </c>
      <c r="H109" s="1">
        <v>0</v>
      </c>
      <c r="I109" s="1">
        <v>69222</v>
      </c>
      <c r="J109" s="1">
        <v>4359</v>
      </c>
    </row>
    <row r="110" spans="1:10" hidden="1" x14ac:dyDescent="0.25">
      <c r="A110" t="s">
        <v>138</v>
      </c>
      <c r="B110" t="s">
        <v>872</v>
      </c>
      <c r="C110" t="s">
        <v>156</v>
      </c>
      <c r="D110" s="1">
        <f>54796+1+22031</f>
        <v>76828</v>
      </c>
      <c r="E110" s="1">
        <f>46+1+2+12+161</f>
        <v>222</v>
      </c>
      <c r="F110" s="1">
        <v>0</v>
      </c>
      <c r="G110" s="1">
        <v>0</v>
      </c>
      <c r="H110" s="1">
        <v>0</v>
      </c>
      <c r="I110" s="1">
        <v>72395</v>
      </c>
      <c r="J110" s="1">
        <v>16405</v>
      </c>
    </row>
    <row r="111" spans="1:10" hidden="1" x14ac:dyDescent="0.25">
      <c r="A111" t="s">
        <v>831</v>
      </c>
      <c r="B111" t="s">
        <v>872</v>
      </c>
      <c r="C111" t="s">
        <v>157</v>
      </c>
      <c r="D111" s="1">
        <f>6908+7+2862</f>
        <v>9777</v>
      </c>
      <c r="E111" s="1">
        <f>160+27+31</f>
        <v>218</v>
      </c>
      <c r="F111" s="1">
        <v>0</v>
      </c>
      <c r="G111" s="1">
        <v>0</v>
      </c>
      <c r="H111" s="1">
        <v>0</v>
      </c>
      <c r="I111" s="1">
        <v>3928</v>
      </c>
      <c r="J111" s="1">
        <v>2596</v>
      </c>
    </row>
    <row r="112" spans="1:10" hidden="1" x14ac:dyDescent="0.25">
      <c r="A112" t="s">
        <v>818</v>
      </c>
      <c r="B112" t="s">
        <v>872</v>
      </c>
      <c r="C112" t="s">
        <v>158</v>
      </c>
      <c r="D112" s="1">
        <f>23936+664+156+5167</f>
        <v>29923</v>
      </c>
      <c r="E112" s="1">
        <v>14</v>
      </c>
      <c r="F112" s="1">
        <v>0</v>
      </c>
      <c r="G112" s="1">
        <v>0</v>
      </c>
      <c r="H112" s="1">
        <v>0</v>
      </c>
      <c r="I112" s="1">
        <v>18689</v>
      </c>
      <c r="J112" s="1">
        <v>4513</v>
      </c>
    </row>
    <row r="113" spans="1:10" hidden="1" x14ac:dyDescent="0.25">
      <c r="A113" t="s">
        <v>134</v>
      </c>
      <c r="B113" t="s">
        <v>872</v>
      </c>
      <c r="C113" t="s">
        <v>159</v>
      </c>
      <c r="D113" s="1">
        <f>7724+1+1+1+8+2335</f>
        <v>10070</v>
      </c>
      <c r="E113" s="1">
        <f>84+6</f>
        <v>90</v>
      </c>
      <c r="F113" s="1">
        <v>0</v>
      </c>
      <c r="G113" s="1">
        <v>0</v>
      </c>
      <c r="H113" s="1">
        <v>0</v>
      </c>
      <c r="I113" s="1">
        <v>11107</v>
      </c>
      <c r="J113" s="1">
        <v>1657</v>
      </c>
    </row>
    <row r="114" spans="1:10" hidden="1" x14ac:dyDescent="0.25">
      <c r="A114" t="s">
        <v>72</v>
      </c>
      <c r="B114" t="s">
        <v>872</v>
      </c>
      <c r="C114" t="s">
        <v>160</v>
      </c>
      <c r="D114" s="1">
        <f>53752+20+31012</f>
        <v>84784</v>
      </c>
      <c r="E114" s="1">
        <f>198+56+7+131+503+889</f>
        <v>1784</v>
      </c>
      <c r="F114" s="1">
        <v>0</v>
      </c>
      <c r="G114" s="1">
        <v>0</v>
      </c>
      <c r="H114" s="1">
        <v>0</v>
      </c>
      <c r="I114" s="1">
        <v>26587</v>
      </c>
      <c r="J114" s="1">
        <v>26150</v>
      </c>
    </row>
    <row r="115" spans="1:10" hidden="1" x14ac:dyDescent="0.25">
      <c r="A115" t="s">
        <v>226</v>
      </c>
      <c r="B115" t="s">
        <v>872</v>
      </c>
      <c r="C115" t="s">
        <v>161</v>
      </c>
      <c r="D115" s="1">
        <f>6001+26+44+321</f>
        <v>6392</v>
      </c>
      <c r="E115" s="1">
        <v>1</v>
      </c>
      <c r="F115" s="1">
        <v>0</v>
      </c>
      <c r="G115" s="1">
        <v>0</v>
      </c>
      <c r="H115" s="1">
        <v>0</v>
      </c>
      <c r="I115" s="1">
        <v>1241</v>
      </c>
      <c r="J115" s="1">
        <v>317</v>
      </c>
    </row>
    <row r="116" spans="1:10" hidden="1" x14ac:dyDescent="0.25">
      <c r="A116" t="s">
        <v>791</v>
      </c>
      <c r="B116" t="s">
        <v>872</v>
      </c>
      <c r="C116" t="s">
        <v>162</v>
      </c>
      <c r="D116" s="1">
        <f>18187+1+101+1+1+3+34+1+212+9339</f>
        <v>27880</v>
      </c>
      <c r="E116" s="1">
        <f>58+9+1+138</f>
        <v>206</v>
      </c>
      <c r="F116" s="1">
        <v>0</v>
      </c>
      <c r="G116" s="1">
        <v>0</v>
      </c>
      <c r="H116" s="1">
        <v>0</v>
      </c>
      <c r="I116" s="1">
        <v>10804</v>
      </c>
      <c r="J116" s="1">
        <v>8597</v>
      </c>
    </row>
    <row r="117" spans="1:10" hidden="1" x14ac:dyDescent="0.25">
      <c r="A117" t="s">
        <v>811</v>
      </c>
      <c r="B117" t="s">
        <v>872</v>
      </c>
      <c r="C117" t="s">
        <v>163</v>
      </c>
      <c r="D117" s="1">
        <f>45747+4+2+1+8+30+31183</f>
        <v>76975</v>
      </c>
      <c r="E117" s="1">
        <f>1424+24+4+329+29</f>
        <v>1810</v>
      </c>
      <c r="F117" s="1">
        <v>0</v>
      </c>
      <c r="G117" s="1">
        <v>0</v>
      </c>
      <c r="H117" s="1">
        <v>0</v>
      </c>
      <c r="I117" s="1">
        <v>65938</v>
      </c>
      <c r="J117" s="1">
        <v>26365</v>
      </c>
    </row>
    <row r="118" spans="1:10" hidden="1" x14ac:dyDescent="0.25">
      <c r="A118" t="s">
        <v>791</v>
      </c>
      <c r="B118" t="s">
        <v>872</v>
      </c>
      <c r="C118" t="s">
        <v>164</v>
      </c>
      <c r="D118" s="1">
        <f>51329+2+18+18813</f>
        <v>70162</v>
      </c>
      <c r="E118" s="1">
        <f>89+36+36+38</f>
        <v>199</v>
      </c>
      <c r="F118" s="1">
        <v>0</v>
      </c>
      <c r="G118" s="1">
        <v>0</v>
      </c>
      <c r="H118" s="1">
        <v>0</v>
      </c>
      <c r="I118" s="1">
        <v>34853</v>
      </c>
      <c r="J118" s="1">
        <v>15976</v>
      </c>
    </row>
    <row r="119" spans="1:10" hidden="1" x14ac:dyDescent="0.25">
      <c r="A119" t="s">
        <v>83</v>
      </c>
      <c r="B119" t="s">
        <v>872</v>
      </c>
      <c r="C119" t="s">
        <v>165</v>
      </c>
      <c r="D119" s="1">
        <f>10412+4934</f>
        <v>15346</v>
      </c>
      <c r="E119" s="1">
        <f>118+24+13</f>
        <v>155</v>
      </c>
      <c r="F119" s="1">
        <v>0</v>
      </c>
      <c r="G119" s="1">
        <v>0</v>
      </c>
      <c r="H119" s="1">
        <v>0</v>
      </c>
      <c r="I119" s="1">
        <v>6412</v>
      </c>
      <c r="J119" s="1">
        <v>2881</v>
      </c>
    </row>
    <row r="120" spans="1:10" hidden="1" x14ac:dyDescent="0.25">
      <c r="A120" t="s">
        <v>818</v>
      </c>
      <c r="B120" t="s">
        <v>872</v>
      </c>
      <c r="C120" t="s">
        <v>166</v>
      </c>
      <c r="D120" s="1">
        <f>8726+1128+2+34+896</f>
        <v>10786</v>
      </c>
      <c r="E120" s="1">
        <f>10+8+2</f>
        <v>20</v>
      </c>
      <c r="F120" s="1">
        <v>0</v>
      </c>
      <c r="G120" s="1">
        <v>0</v>
      </c>
      <c r="H120" s="1">
        <v>0</v>
      </c>
      <c r="I120" s="1">
        <v>12090</v>
      </c>
      <c r="J120" s="1">
        <v>799</v>
      </c>
    </row>
    <row r="121" spans="1:10" hidden="1" x14ac:dyDescent="0.25">
      <c r="A121" t="s">
        <v>801</v>
      </c>
      <c r="B121" t="s">
        <v>872</v>
      </c>
      <c r="C121" t="s">
        <v>167</v>
      </c>
      <c r="D121" s="1">
        <f>31917+1+314+19+4+1+4170</f>
        <v>36426</v>
      </c>
      <c r="E121" s="1">
        <f>37+2+1</f>
        <v>40</v>
      </c>
      <c r="F121" s="1">
        <v>0</v>
      </c>
      <c r="G121" s="1">
        <v>0</v>
      </c>
      <c r="H121" s="1">
        <v>0</v>
      </c>
      <c r="I121" s="1">
        <v>33577</v>
      </c>
      <c r="J121" s="1">
        <v>3889</v>
      </c>
    </row>
    <row r="122" spans="1:10" hidden="1" x14ac:dyDescent="0.25">
      <c r="A122" t="s">
        <v>826</v>
      </c>
      <c r="B122" t="s">
        <v>872</v>
      </c>
      <c r="C122" t="s">
        <v>168</v>
      </c>
      <c r="D122" s="1">
        <f>49589+7+5+42+1092+29+1+4+6+20+400+3060</f>
        <v>54255</v>
      </c>
      <c r="E122" s="1">
        <f>334+12+2+5+1</f>
        <v>354</v>
      </c>
      <c r="F122" s="1">
        <v>0</v>
      </c>
      <c r="G122" s="1">
        <v>0</v>
      </c>
      <c r="H122" s="1">
        <v>0</v>
      </c>
      <c r="I122" s="1">
        <v>18721</v>
      </c>
      <c r="J122" s="1">
        <v>2759</v>
      </c>
    </row>
    <row r="123" spans="1:10" hidden="1" x14ac:dyDescent="0.25">
      <c r="A123" t="s">
        <v>848</v>
      </c>
      <c r="B123" t="s">
        <v>872</v>
      </c>
      <c r="C123" t="s">
        <v>169</v>
      </c>
      <c r="D123" s="1">
        <f>7851+1+34+2+4+31+3977+1</f>
        <v>11901</v>
      </c>
      <c r="E123" s="1">
        <f>73+2+25+36+1</f>
        <v>137</v>
      </c>
      <c r="F123" s="1">
        <v>0</v>
      </c>
      <c r="G123" s="1">
        <v>0</v>
      </c>
      <c r="H123" s="1">
        <v>0</v>
      </c>
      <c r="I123" s="1">
        <v>2498</v>
      </c>
      <c r="J123" s="1">
        <v>3908</v>
      </c>
    </row>
    <row r="124" spans="1:10" hidden="1" x14ac:dyDescent="0.25">
      <c r="A124" t="s">
        <v>811</v>
      </c>
      <c r="B124" t="s">
        <v>872</v>
      </c>
      <c r="C124" t="s">
        <v>170</v>
      </c>
      <c r="D124" s="1">
        <f>32444+959+23+17409</f>
        <v>50835</v>
      </c>
      <c r="E124" s="1">
        <f>765+88+7+11+23</f>
        <v>894</v>
      </c>
      <c r="F124" s="1">
        <v>0</v>
      </c>
      <c r="G124" s="1">
        <v>0</v>
      </c>
      <c r="H124" s="1">
        <v>0</v>
      </c>
      <c r="I124" s="1">
        <v>17326</v>
      </c>
      <c r="J124" s="1">
        <v>15224</v>
      </c>
    </row>
    <row r="125" spans="1:10" hidden="1" x14ac:dyDescent="0.25">
      <c r="A125" t="s">
        <v>512</v>
      </c>
      <c r="B125" t="s">
        <v>872</v>
      </c>
      <c r="C125" t="s">
        <v>171</v>
      </c>
      <c r="D125" s="1">
        <f>9752+5763</f>
        <v>15515</v>
      </c>
      <c r="E125" s="1">
        <v>3</v>
      </c>
      <c r="F125" s="1">
        <v>0</v>
      </c>
      <c r="G125" s="1">
        <v>0</v>
      </c>
      <c r="H125" s="1">
        <v>0</v>
      </c>
      <c r="I125" s="1">
        <v>5239</v>
      </c>
      <c r="J125" s="1">
        <v>3527</v>
      </c>
    </row>
    <row r="126" spans="1:10" hidden="1" x14ac:dyDescent="0.25">
      <c r="A126" t="s">
        <v>848</v>
      </c>
      <c r="B126" t="s">
        <v>872</v>
      </c>
      <c r="C126" t="s">
        <v>172</v>
      </c>
      <c r="D126" s="1">
        <f>7963+3574</f>
        <v>11537</v>
      </c>
      <c r="E126" s="1">
        <f>1+4</f>
        <v>5</v>
      </c>
      <c r="F126" s="1">
        <v>0</v>
      </c>
      <c r="G126" s="1">
        <v>0</v>
      </c>
      <c r="H126" s="1">
        <v>0</v>
      </c>
      <c r="I126" s="1">
        <v>4481</v>
      </c>
      <c r="J126" s="1">
        <v>1573</v>
      </c>
    </row>
    <row r="127" spans="1:10" hidden="1" x14ac:dyDescent="0.25">
      <c r="A127" t="s">
        <v>801</v>
      </c>
      <c r="B127" t="s">
        <v>872</v>
      </c>
      <c r="C127" t="s">
        <v>173</v>
      </c>
      <c r="D127" s="1">
        <f>42071+1+1+5383+7+1+3+4+29143</f>
        <v>76614</v>
      </c>
      <c r="E127" s="1">
        <f>230+4+1+7+1462+14+47</f>
        <v>1765</v>
      </c>
      <c r="F127" s="1">
        <v>0</v>
      </c>
      <c r="G127" s="1">
        <v>0</v>
      </c>
      <c r="H127" s="1">
        <v>0</v>
      </c>
      <c r="I127" s="1">
        <v>59476</v>
      </c>
      <c r="J127" s="1">
        <v>28600</v>
      </c>
    </row>
    <row r="128" spans="1:10" hidden="1" x14ac:dyDescent="0.25">
      <c r="A128" t="s">
        <v>864</v>
      </c>
      <c r="B128" t="s">
        <v>872</v>
      </c>
      <c r="C128" t="s">
        <v>174</v>
      </c>
      <c r="D128" s="1">
        <f>20793+3+70+6+6964+2</f>
        <v>27838</v>
      </c>
      <c r="E128" s="1">
        <f>24+26+35+18</f>
        <v>103</v>
      </c>
      <c r="F128" s="1">
        <v>0</v>
      </c>
      <c r="G128" s="1">
        <v>0</v>
      </c>
      <c r="H128" s="1">
        <v>0</v>
      </c>
      <c r="I128" s="1">
        <v>22872</v>
      </c>
      <c r="J128" s="1">
        <v>5742</v>
      </c>
    </row>
    <row r="129" spans="1:10" hidden="1" x14ac:dyDescent="0.25">
      <c r="A129" t="s">
        <v>226</v>
      </c>
      <c r="B129" t="s">
        <v>872</v>
      </c>
      <c r="C129" t="s">
        <v>175</v>
      </c>
      <c r="D129" s="1">
        <f>3834+24+18+1210</f>
        <v>5086</v>
      </c>
      <c r="E129" s="1">
        <v>344</v>
      </c>
      <c r="F129" s="1">
        <v>0</v>
      </c>
      <c r="G129" s="1">
        <v>0</v>
      </c>
      <c r="H129" s="1">
        <v>0</v>
      </c>
      <c r="I129" s="1">
        <v>1909</v>
      </c>
      <c r="J129" s="1">
        <v>1016</v>
      </c>
    </row>
    <row r="130" spans="1:10" hidden="1" x14ac:dyDescent="0.25">
      <c r="A130" t="s">
        <v>794</v>
      </c>
      <c r="B130" t="s">
        <v>872</v>
      </c>
      <c r="C130" t="s">
        <v>176</v>
      </c>
      <c r="D130" s="1">
        <f>101632+308+11+10594</f>
        <v>112545</v>
      </c>
      <c r="E130" s="1">
        <f>100+3+6+4</f>
        <v>113</v>
      </c>
      <c r="F130" s="1">
        <v>0</v>
      </c>
      <c r="G130" s="1">
        <v>0</v>
      </c>
      <c r="H130" s="1">
        <v>0</v>
      </c>
      <c r="I130" s="1">
        <v>27268</v>
      </c>
      <c r="J130" s="1">
        <v>8601</v>
      </c>
    </row>
    <row r="131" spans="1:10" hidden="1" x14ac:dyDescent="0.25">
      <c r="A131" t="s">
        <v>248</v>
      </c>
      <c r="B131" t="s">
        <v>872</v>
      </c>
      <c r="C131" t="s">
        <v>177</v>
      </c>
      <c r="D131" s="1">
        <f>20943+3+1+12+2+19+5+64+11292</f>
        <v>32341</v>
      </c>
      <c r="E131" s="1">
        <f>20+2+10+107+61</f>
        <v>200</v>
      </c>
      <c r="F131" s="1">
        <v>0</v>
      </c>
      <c r="G131" s="1">
        <v>0</v>
      </c>
      <c r="H131" s="1">
        <v>0</v>
      </c>
      <c r="I131" s="1">
        <v>30075</v>
      </c>
      <c r="J131" s="1">
        <v>8482</v>
      </c>
    </row>
    <row r="132" spans="1:10" hidden="1" x14ac:dyDescent="0.25">
      <c r="A132" t="s">
        <v>83</v>
      </c>
      <c r="B132" t="s">
        <v>872</v>
      </c>
      <c r="C132" t="s">
        <v>178</v>
      </c>
      <c r="D132" s="1">
        <f>48728+101+30+2+1+11229</f>
        <v>60091</v>
      </c>
      <c r="E132" s="1">
        <f>611+26+33</f>
        <v>670</v>
      </c>
      <c r="F132" s="1">
        <v>0</v>
      </c>
      <c r="G132" s="1">
        <v>0</v>
      </c>
      <c r="H132" s="1">
        <v>0</v>
      </c>
      <c r="I132" s="1">
        <v>74658</v>
      </c>
      <c r="J132" s="1">
        <v>10416</v>
      </c>
    </row>
    <row r="133" spans="1:10" hidden="1" x14ac:dyDescent="0.25">
      <c r="A133" t="s">
        <v>823</v>
      </c>
      <c r="B133" t="s">
        <v>872</v>
      </c>
      <c r="C133" t="s">
        <v>179</v>
      </c>
      <c r="D133" s="1">
        <f>42010+92+3138+1+1+26153+1658</f>
        <v>73053</v>
      </c>
      <c r="E133" s="1">
        <f>131+1+45+4+97+464+180</f>
        <v>922</v>
      </c>
      <c r="F133" s="1">
        <v>0</v>
      </c>
      <c r="G133" s="1">
        <v>0</v>
      </c>
      <c r="H133" s="1">
        <v>0</v>
      </c>
      <c r="I133" s="1">
        <v>14963</v>
      </c>
      <c r="J133" s="1">
        <v>24481</v>
      </c>
    </row>
    <row r="134" spans="1:10" hidden="1" x14ac:dyDescent="0.25">
      <c r="A134" t="s">
        <v>795</v>
      </c>
      <c r="B134" t="s">
        <v>872</v>
      </c>
      <c r="C134" t="s">
        <v>180</v>
      </c>
      <c r="D134" s="1">
        <f>92257+16+49862</f>
        <v>142135</v>
      </c>
      <c r="E134" s="1">
        <f>24+67</f>
        <v>91</v>
      </c>
      <c r="F134" s="1">
        <v>0</v>
      </c>
      <c r="G134" s="1">
        <v>0</v>
      </c>
      <c r="H134" s="1">
        <v>0</v>
      </c>
      <c r="I134" s="1">
        <v>72644</v>
      </c>
      <c r="J134" s="1">
        <v>46822</v>
      </c>
    </row>
    <row r="135" spans="1:10" hidden="1" x14ac:dyDescent="0.25">
      <c r="A135" t="s">
        <v>791</v>
      </c>
      <c r="B135" t="s">
        <v>872</v>
      </c>
      <c r="C135" t="s">
        <v>181</v>
      </c>
      <c r="D135" s="1">
        <f>4704+56+1+8+52+7313+1</f>
        <v>12135</v>
      </c>
      <c r="E135" s="1">
        <f>5+465+81+2</f>
        <v>553</v>
      </c>
      <c r="F135" s="1">
        <v>0</v>
      </c>
      <c r="G135" s="1">
        <v>0</v>
      </c>
      <c r="H135" s="1">
        <v>0</v>
      </c>
      <c r="I135" s="1">
        <v>17660</v>
      </c>
      <c r="J135" s="1">
        <v>3368</v>
      </c>
    </row>
    <row r="136" spans="1:10" hidden="1" x14ac:dyDescent="0.25">
      <c r="A136" t="s">
        <v>83</v>
      </c>
      <c r="B136" t="s">
        <v>872</v>
      </c>
      <c r="C136" t="s">
        <v>182</v>
      </c>
      <c r="D136" s="1">
        <f>25676+9312</f>
        <v>34988</v>
      </c>
      <c r="E136" s="1">
        <f>76+5</f>
        <v>81</v>
      </c>
      <c r="F136" s="1">
        <v>0</v>
      </c>
      <c r="G136" s="1">
        <v>0</v>
      </c>
      <c r="H136" s="1">
        <v>0</v>
      </c>
      <c r="I136" s="1">
        <v>4987</v>
      </c>
      <c r="J136" s="1">
        <v>9002</v>
      </c>
    </row>
    <row r="137" spans="1:10" hidden="1" x14ac:dyDescent="0.25">
      <c r="A137" t="s">
        <v>803</v>
      </c>
      <c r="B137" t="s">
        <v>872</v>
      </c>
      <c r="C137" t="s">
        <v>183</v>
      </c>
      <c r="D137" s="1"/>
      <c r="E137" s="1"/>
      <c r="F137" s="1"/>
      <c r="G137" s="1"/>
      <c r="H137" s="1"/>
      <c r="I137" s="1"/>
      <c r="J137" s="1"/>
    </row>
    <row r="138" spans="1:10" hidden="1" x14ac:dyDescent="0.25">
      <c r="A138" t="s">
        <v>67</v>
      </c>
      <c r="B138" t="s">
        <v>872</v>
      </c>
      <c r="C138" t="s">
        <v>184</v>
      </c>
      <c r="D138" s="1">
        <f>51809+2+1763+11+17+10801+156+9</f>
        <v>64568</v>
      </c>
      <c r="E138" s="1">
        <f>181+84+40+9+19</f>
        <v>333</v>
      </c>
      <c r="F138" s="1">
        <v>0</v>
      </c>
      <c r="G138" s="1">
        <v>0</v>
      </c>
      <c r="H138" s="1">
        <v>0</v>
      </c>
      <c r="I138" s="1">
        <v>67696</v>
      </c>
      <c r="J138" s="1">
        <v>9099</v>
      </c>
    </row>
    <row r="139" spans="1:10" hidden="1" x14ac:dyDescent="0.25">
      <c r="A139" t="s">
        <v>865</v>
      </c>
      <c r="B139" t="s">
        <v>872</v>
      </c>
      <c r="C139" t="s">
        <v>186</v>
      </c>
      <c r="D139" s="1">
        <f>16126+1+7+9+11244</f>
        <v>27387</v>
      </c>
      <c r="E139" s="1">
        <f>10+1+14+4</f>
        <v>29</v>
      </c>
      <c r="F139" s="1">
        <v>0</v>
      </c>
      <c r="G139" s="1">
        <v>0</v>
      </c>
      <c r="H139" s="1">
        <v>0</v>
      </c>
      <c r="I139" s="1">
        <v>36926</v>
      </c>
      <c r="J139" s="1">
        <v>6500</v>
      </c>
    </row>
    <row r="140" spans="1:10" hidden="1" x14ac:dyDescent="0.25">
      <c r="A140" t="s">
        <v>512</v>
      </c>
      <c r="B140" t="s">
        <v>872</v>
      </c>
      <c r="C140" t="s">
        <v>187</v>
      </c>
      <c r="D140" s="1">
        <f>32979+1+425+29+77+6955</f>
        <v>40466</v>
      </c>
      <c r="E140" s="1">
        <f>1+5+5+2</f>
        <v>13</v>
      </c>
      <c r="F140" s="1">
        <v>0</v>
      </c>
      <c r="G140" s="1">
        <v>0</v>
      </c>
      <c r="H140" s="1">
        <v>0</v>
      </c>
      <c r="I140" s="1">
        <v>18584</v>
      </c>
      <c r="J140" s="1">
        <v>6064</v>
      </c>
    </row>
    <row r="141" spans="1:10" x14ac:dyDescent="0.25">
      <c r="A141" t="s">
        <v>824</v>
      </c>
      <c r="B141" t="s">
        <v>872</v>
      </c>
      <c r="C141" t="s">
        <v>189</v>
      </c>
      <c r="D141" s="1">
        <f>45323+8+1082+45+3+12+53+11118</f>
        <v>57644</v>
      </c>
      <c r="E141" s="1">
        <f>2+119+40</f>
        <v>161</v>
      </c>
      <c r="F141" s="1">
        <v>0</v>
      </c>
      <c r="G141" s="1">
        <v>0</v>
      </c>
      <c r="H141" s="1">
        <v>0</v>
      </c>
      <c r="I141" s="1">
        <v>9725</v>
      </c>
      <c r="J141" s="1">
        <v>8014</v>
      </c>
    </row>
    <row r="142" spans="1:10" hidden="1" x14ac:dyDescent="0.25">
      <c r="A142" t="s">
        <v>83</v>
      </c>
      <c r="B142" t="s">
        <v>872</v>
      </c>
      <c r="C142" t="s">
        <v>190</v>
      </c>
      <c r="D142" s="1">
        <f>31831+106+1+12+1784</f>
        <v>33734</v>
      </c>
      <c r="E142" s="1">
        <f>103+8+18</f>
        <v>129</v>
      </c>
      <c r="F142" s="1">
        <v>0</v>
      </c>
      <c r="G142" s="1">
        <v>0</v>
      </c>
      <c r="H142" s="1">
        <v>0</v>
      </c>
      <c r="I142" s="1">
        <v>3684</v>
      </c>
      <c r="J142" s="1">
        <v>1889</v>
      </c>
    </row>
    <row r="143" spans="1:10" hidden="1" x14ac:dyDescent="0.25">
      <c r="A143" t="s">
        <v>76</v>
      </c>
      <c r="B143" t="s">
        <v>872</v>
      </c>
      <c r="C143" t="s">
        <v>191</v>
      </c>
      <c r="D143" s="1">
        <f>67588+127+27082</f>
        <v>94797</v>
      </c>
      <c r="E143" s="1">
        <f>8+1+2539+257+4</f>
        <v>2809</v>
      </c>
      <c r="F143" s="1">
        <v>0</v>
      </c>
      <c r="G143" s="1">
        <v>0</v>
      </c>
      <c r="H143" s="1">
        <v>0</v>
      </c>
      <c r="I143" s="1">
        <v>4337</v>
      </c>
      <c r="J143" s="1">
        <v>19821</v>
      </c>
    </row>
    <row r="144" spans="1:10" hidden="1" x14ac:dyDescent="0.25">
      <c r="A144" t="s">
        <v>101</v>
      </c>
      <c r="B144" t="s">
        <v>872</v>
      </c>
      <c r="C144" t="s">
        <v>192</v>
      </c>
      <c r="D144" s="1">
        <f>54516+60+8+11743</f>
        <v>66327</v>
      </c>
      <c r="E144" s="1">
        <f>383+13+15</f>
        <v>411</v>
      </c>
      <c r="F144" s="1">
        <v>0</v>
      </c>
      <c r="G144" s="1">
        <v>0</v>
      </c>
      <c r="H144" s="1">
        <v>0</v>
      </c>
      <c r="I144" s="1">
        <v>80699</v>
      </c>
      <c r="J144" s="1">
        <v>8959</v>
      </c>
    </row>
    <row r="145" spans="1:10" hidden="1" x14ac:dyDescent="0.25">
      <c r="A145" t="s">
        <v>831</v>
      </c>
      <c r="B145" t="s">
        <v>872</v>
      </c>
      <c r="C145" t="s">
        <v>193</v>
      </c>
      <c r="D145" s="1">
        <f>2373+502</f>
        <v>2875</v>
      </c>
      <c r="E145" s="1">
        <v>0</v>
      </c>
      <c r="F145" s="1">
        <v>0</v>
      </c>
      <c r="G145" s="1">
        <v>0</v>
      </c>
      <c r="H145" s="1">
        <v>0</v>
      </c>
      <c r="I145" s="1">
        <v>1199</v>
      </c>
      <c r="J145" s="1">
        <v>381</v>
      </c>
    </row>
    <row r="146" spans="1:10" hidden="1" x14ac:dyDescent="0.25">
      <c r="A146" t="s">
        <v>811</v>
      </c>
      <c r="B146" t="s">
        <v>872</v>
      </c>
      <c r="C146" t="s">
        <v>194</v>
      </c>
      <c r="D146" s="1">
        <f>109442+95+4+14331</f>
        <v>123872</v>
      </c>
      <c r="E146" s="1">
        <f>561+260+220+4</f>
        <v>1045</v>
      </c>
      <c r="F146" s="1">
        <v>0</v>
      </c>
      <c r="G146" s="1">
        <v>0</v>
      </c>
      <c r="H146" s="1">
        <v>0</v>
      </c>
      <c r="I146" s="1">
        <v>3234</v>
      </c>
      <c r="J146" s="1">
        <v>10854</v>
      </c>
    </row>
    <row r="147" spans="1:10" hidden="1" x14ac:dyDescent="0.25">
      <c r="A147" t="s">
        <v>76</v>
      </c>
      <c r="B147" t="s">
        <v>872</v>
      </c>
      <c r="C147" t="s">
        <v>195</v>
      </c>
      <c r="D147" s="1">
        <f>67884+45+8+56+19662</f>
        <v>87655</v>
      </c>
      <c r="E147" s="1">
        <f>354+26+147+582+21</f>
        <v>1130</v>
      </c>
      <c r="F147" s="1">
        <v>0</v>
      </c>
      <c r="G147" s="1">
        <v>0</v>
      </c>
      <c r="H147" s="1">
        <v>0</v>
      </c>
      <c r="I147" s="1">
        <v>64491</v>
      </c>
      <c r="J147" s="1">
        <v>17234</v>
      </c>
    </row>
    <row r="148" spans="1:10" hidden="1" x14ac:dyDescent="0.25">
      <c r="A148" t="s">
        <v>788</v>
      </c>
      <c r="B148" t="s">
        <v>872</v>
      </c>
      <c r="C148" t="s">
        <v>196</v>
      </c>
      <c r="D148" s="1">
        <f>31774+343+5+13+1+29018</f>
        <v>61154</v>
      </c>
      <c r="E148" s="1">
        <f>34+2+313+484</f>
        <v>833</v>
      </c>
      <c r="F148" s="1">
        <v>0</v>
      </c>
      <c r="G148" s="1">
        <v>0</v>
      </c>
      <c r="H148" s="1">
        <v>0</v>
      </c>
      <c r="I148" s="1">
        <v>105265</v>
      </c>
      <c r="J148" s="1">
        <v>24347</v>
      </c>
    </row>
    <row r="149" spans="1:10" hidden="1" x14ac:dyDescent="0.25">
      <c r="A149" t="s">
        <v>817</v>
      </c>
      <c r="B149" t="s">
        <v>872</v>
      </c>
      <c r="C149" t="s">
        <v>197</v>
      </c>
      <c r="D149" s="1">
        <f>8109+2+30+43+27742</f>
        <v>35926</v>
      </c>
      <c r="E149" s="1">
        <f>17+5+25+101</f>
        <v>148</v>
      </c>
      <c r="F149" s="1">
        <v>0</v>
      </c>
      <c r="G149" s="1">
        <v>0</v>
      </c>
      <c r="H149" s="1">
        <v>0</v>
      </c>
      <c r="I149" s="1">
        <v>75455</v>
      </c>
      <c r="J149" s="1">
        <v>24299</v>
      </c>
    </row>
    <row r="150" spans="1:10" hidden="1" x14ac:dyDescent="0.25">
      <c r="A150" t="s">
        <v>817</v>
      </c>
      <c r="B150" t="s">
        <v>872</v>
      </c>
      <c r="C150" t="s">
        <v>198</v>
      </c>
      <c r="D150" s="1">
        <f>10418+6+1+5+17110</f>
        <v>27540</v>
      </c>
      <c r="E150" s="1">
        <f>48+3+27+440+133</f>
        <v>651</v>
      </c>
      <c r="F150" s="1">
        <v>0</v>
      </c>
      <c r="G150" s="1">
        <v>0</v>
      </c>
      <c r="H150" s="1">
        <v>0</v>
      </c>
      <c r="I150" s="1">
        <v>30388</v>
      </c>
      <c r="J150" s="1">
        <v>17144</v>
      </c>
    </row>
    <row r="151" spans="1:10" hidden="1" x14ac:dyDescent="0.25">
      <c r="A151" t="s">
        <v>69</v>
      </c>
      <c r="B151" t="s">
        <v>872</v>
      </c>
      <c r="C151" t="s">
        <v>199</v>
      </c>
      <c r="D151" s="1">
        <f>66122+17+2+12+16+1+74+23576</f>
        <v>89820</v>
      </c>
      <c r="E151" s="1">
        <f>16+75+14</f>
        <v>105</v>
      </c>
      <c r="F151" s="1">
        <v>0</v>
      </c>
      <c r="G151" s="1">
        <v>0</v>
      </c>
      <c r="H151" s="1">
        <v>0</v>
      </c>
      <c r="I151" s="1">
        <v>141702</v>
      </c>
      <c r="J151" s="1">
        <v>19353</v>
      </c>
    </row>
    <row r="152" spans="1:10" hidden="1" x14ac:dyDescent="0.25">
      <c r="A152" t="s">
        <v>76</v>
      </c>
      <c r="B152" t="s">
        <v>872</v>
      </c>
      <c r="C152" t="s">
        <v>200</v>
      </c>
      <c r="D152" s="1">
        <f>23479+323+19+4+7805+21</f>
        <v>31651</v>
      </c>
      <c r="E152" s="1">
        <f>262+2+15+13+2</f>
        <v>294</v>
      </c>
      <c r="F152" s="1">
        <v>0</v>
      </c>
      <c r="G152" s="1">
        <v>0</v>
      </c>
      <c r="H152" s="1">
        <v>0</v>
      </c>
      <c r="I152" s="1">
        <v>19918</v>
      </c>
      <c r="J152" s="1">
        <v>6408</v>
      </c>
    </row>
    <row r="153" spans="1:10" hidden="1" x14ac:dyDescent="0.25">
      <c r="A153" t="s">
        <v>120</v>
      </c>
      <c r="B153" t="s">
        <v>872</v>
      </c>
      <c r="C153" t="s">
        <v>201</v>
      </c>
      <c r="D153" s="1">
        <f>23682+2+764+9851</f>
        <v>34299</v>
      </c>
      <c r="E153" s="1">
        <f>210+193+21</f>
        <v>424</v>
      </c>
      <c r="F153" s="1">
        <v>0</v>
      </c>
      <c r="G153" s="1">
        <v>0</v>
      </c>
      <c r="H153" s="1">
        <v>0</v>
      </c>
      <c r="I153" s="1">
        <v>9148</v>
      </c>
      <c r="J153" s="1">
        <v>5045</v>
      </c>
    </row>
    <row r="154" spans="1:10" hidden="1" x14ac:dyDescent="0.25">
      <c r="A154" t="s">
        <v>495</v>
      </c>
      <c r="B154" t="s">
        <v>872</v>
      </c>
      <c r="C154" t="s">
        <v>202</v>
      </c>
      <c r="D154" s="1">
        <f>64830+2+42+329+1+476+22796+2+44</f>
        <v>88522</v>
      </c>
      <c r="E154" s="1">
        <f>221+5+2+30+9</f>
        <v>267</v>
      </c>
      <c r="F154" s="1">
        <v>0</v>
      </c>
      <c r="G154" s="1">
        <v>0</v>
      </c>
      <c r="H154" s="1">
        <v>0</v>
      </c>
      <c r="I154" s="1">
        <v>41880</v>
      </c>
      <c r="J154" s="1">
        <v>17758</v>
      </c>
    </row>
    <row r="155" spans="1:10" hidden="1" x14ac:dyDescent="0.25">
      <c r="A155" t="s">
        <v>788</v>
      </c>
      <c r="B155" t="s">
        <v>872</v>
      </c>
      <c r="C155" t="s">
        <v>203</v>
      </c>
      <c r="D155" s="1">
        <f>55148+9+1+1897+14+2+3+6+11+5+42790+15+30+11</f>
        <v>99942</v>
      </c>
      <c r="E155" s="1">
        <f>139+3+9+19+11+10</f>
        <v>191</v>
      </c>
      <c r="F155" s="1">
        <v>0</v>
      </c>
      <c r="G155" s="1">
        <v>0</v>
      </c>
      <c r="H155" s="1">
        <v>0</v>
      </c>
      <c r="I155" s="1">
        <v>23872</v>
      </c>
      <c r="J155" s="1">
        <v>15853</v>
      </c>
    </row>
    <row r="156" spans="1:10" hidden="1" x14ac:dyDescent="0.25">
      <c r="A156" t="s">
        <v>72</v>
      </c>
      <c r="B156" t="s">
        <v>872</v>
      </c>
      <c r="C156" t="s">
        <v>204</v>
      </c>
      <c r="D156" s="1">
        <f>24070+5+1+64+26+28+5884</f>
        <v>30078</v>
      </c>
      <c r="E156" s="1">
        <f>112+10</f>
        <v>122</v>
      </c>
      <c r="F156" s="1">
        <v>0</v>
      </c>
      <c r="G156" s="1">
        <v>0</v>
      </c>
      <c r="H156" s="1">
        <v>0</v>
      </c>
      <c r="I156" s="1">
        <v>9701</v>
      </c>
      <c r="J156" s="1">
        <v>4316</v>
      </c>
    </row>
    <row r="157" spans="1:10" hidden="1" x14ac:dyDescent="0.25">
      <c r="A157" t="s">
        <v>76</v>
      </c>
      <c r="B157" t="s">
        <v>873</v>
      </c>
      <c r="C157" t="s">
        <v>205</v>
      </c>
      <c r="D157" s="1">
        <f>14348+18+58+1+5+30347+2+1+4</f>
        <v>44784</v>
      </c>
      <c r="E157" s="1">
        <f>46+164</f>
        <v>210</v>
      </c>
      <c r="F157" s="1">
        <v>0</v>
      </c>
      <c r="G157" s="1">
        <v>0</v>
      </c>
      <c r="H157" s="1">
        <v>0</v>
      </c>
      <c r="I157" s="1">
        <v>26141</v>
      </c>
      <c r="J157" s="1">
        <v>20145</v>
      </c>
    </row>
    <row r="158" spans="1:10" hidden="1" x14ac:dyDescent="0.25">
      <c r="A158" t="s">
        <v>864</v>
      </c>
      <c r="B158" t="s">
        <v>872</v>
      </c>
      <c r="C158" t="s">
        <v>206</v>
      </c>
      <c r="D158" s="1">
        <f>20274+282+8+32392+1017</f>
        <v>53973</v>
      </c>
      <c r="E158" s="1">
        <f>3+2+4+9+3</f>
        <v>21</v>
      </c>
      <c r="F158" s="1">
        <v>0</v>
      </c>
      <c r="G158" s="1">
        <v>0</v>
      </c>
      <c r="H158" s="1">
        <v>0</v>
      </c>
      <c r="I158" s="1">
        <v>26133</v>
      </c>
      <c r="J158" s="1">
        <v>31209</v>
      </c>
    </row>
    <row r="159" spans="1:10" hidden="1" x14ac:dyDescent="0.25">
      <c r="A159" t="s">
        <v>76</v>
      </c>
      <c r="B159" t="s">
        <v>872</v>
      </c>
      <c r="C159" t="s">
        <v>207</v>
      </c>
      <c r="D159" s="1">
        <f>35875+2+11+23330</f>
        <v>59218</v>
      </c>
      <c r="E159" s="1">
        <f>17+2+26+8</f>
        <v>53</v>
      </c>
      <c r="F159" s="1">
        <v>0</v>
      </c>
      <c r="G159" s="1">
        <v>0</v>
      </c>
      <c r="H159" s="1">
        <v>0</v>
      </c>
      <c r="I159" s="1">
        <v>55459</v>
      </c>
      <c r="J159" s="1">
        <v>20802</v>
      </c>
    </row>
    <row r="160" spans="1:10" hidden="1" x14ac:dyDescent="0.25">
      <c r="A160" t="s">
        <v>265</v>
      </c>
      <c r="B160" t="s">
        <v>872</v>
      </c>
      <c r="C160" t="s">
        <v>208</v>
      </c>
      <c r="D160" s="1">
        <f>13847+6+1+6+4508</f>
        <v>18368</v>
      </c>
      <c r="E160" s="1">
        <v>227</v>
      </c>
      <c r="F160" s="1">
        <v>0</v>
      </c>
      <c r="G160" s="1">
        <v>0</v>
      </c>
      <c r="H160" s="1">
        <v>0</v>
      </c>
      <c r="I160" s="1">
        <v>10540</v>
      </c>
      <c r="J160" s="1">
        <v>4279</v>
      </c>
    </row>
    <row r="161" spans="1:10" hidden="1" x14ac:dyDescent="0.25">
      <c r="A161" t="s">
        <v>801</v>
      </c>
      <c r="B161" t="s">
        <v>872</v>
      </c>
      <c r="C161" t="s">
        <v>209</v>
      </c>
      <c r="D161" s="1">
        <f>21876+39+14+26013+2</f>
        <v>47944</v>
      </c>
      <c r="E161" s="1">
        <f>139+2+264+6+84</f>
        <v>495</v>
      </c>
      <c r="F161" s="1">
        <v>0</v>
      </c>
      <c r="G161" s="1">
        <v>0</v>
      </c>
      <c r="H161" s="1">
        <v>0</v>
      </c>
      <c r="I161" s="1">
        <v>67522</v>
      </c>
      <c r="J161" s="1">
        <v>23985</v>
      </c>
    </row>
    <row r="162" spans="1:10" hidden="1" x14ac:dyDescent="0.25">
      <c r="A162" t="s">
        <v>72</v>
      </c>
      <c r="B162" t="s">
        <v>872</v>
      </c>
      <c r="C162" t="s">
        <v>210</v>
      </c>
      <c r="D162" s="1">
        <f>37625+4+69+5+1+17+18887</f>
        <v>56608</v>
      </c>
      <c r="E162" s="1">
        <f>40+34+7+12</f>
        <v>93</v>
      </c>
      <c r="F162" s="1">
        <v>0</v>
      </c>
      <c r="G162" s="1">
        <v>0</v>
      </c>
      <c r="H162" s="1">
        <v>0</v>
      </c>
      <c r="I162" s="1">
        <v>39500</v>
      </c>
      <c r="J162" s="1">
        <v>17243</v>
      </c>
    </row>
    <row r="163" spans="1:10" hidden="1" x14ac:dyDescent="0.25">
      <c r="A163" t="s">
        <v>817</v>
      </c>
      <c r="B163" t="s">
        <v>872</v>
      </c>
      <c r="C163" t="s">
        <v>211</v>
      </c>
      <c r="D163" s="1">
        <f>2185+42+4+111745+1</f>
        <v>113977</v>
      </c>
      <c r="E163" s="1">
        <f>126+204+36</f>
        <v>366</v>
      </c>
      <c r="F163" s="1">
        <v>0</v>
      </c>
      <c r="G163" s="1">
        <v>0</v>
      </c>
      <c r="H163" s="1">
        <v>0</v>
      </c>
      <c r="I163" s="1">
        <v>82491</v>
      </c>
      <c r="J163" s="1">
        <v>102103</v>
      </c>
    </row>
    <row r="164" spans="1:10" hidden="1" x14ac:dyDescent="0.25">
      <c r="A164" t="s">
        <v>72</v>
      </c>
      <c r="B164" t="s">
        <v>872</v>
      </c>
      <c r="C164" t="s">
        <v>212</v>
      </c>
      <c r="D164" s="1">
        <f>33871+14+7+4001+2</f>
        <v>37895</v>
      </c>
      <c r="E164" s="1">
        <v>1</v>
      </c>
      <c r="F164" s="1">
        <v>0</v>
      </c>
      <c r="G164" s="1">
        <v>0</v>
      </c>
      <c r="H164" s="1">
        <v>0</v>
      </c>
      <c r="I164" s="1">
        <v>4965</v>
      </c>
      <c r="J164" s="1">
        <v>3966</v>
      </c>
    </row>
    <row r="165" spans="1:10" hidden="1" x14ac:dyDescent="0.25">
      <c r="A165" t="s">
        <v>134</v>
      </c>
      <c r="B165" t="s">
        <v>872</v>
      </c>
      <c r="C165" t="s">
        <v>213</v>
      </c>
      <c r="D165" s="1">
        <f>34532+1344</f>
        <v>35876</v>
      </c>
      <c r="E165" s="1">
        <v>0</v>
      </c>
      <c r="F165" s="1">
        <v>0</v>
      </c>
      <c r="G165" s="1">
        <v>0</v>
      </c>
      <c r="H165" s="1">
        <v>0</v>
      </c>
      <c r="I165" s="1">
        <v>58069</v>
      </c>
      <c r="J165" s="1">
        <v>1205</v>
      </c>
    </row>
    <row r="166" spans="1:10" hidden="1" x14ac:dyDescent="0.25">
      <c r="A166" t="s">
        <v>495</v>
      </c>
      <c r="B166" t="s">
        <v>872</v>
      </c>
      <c r="C166" t="s">
        <v>214</v>
      </c>
      <c r="D166" s="1">
        <f>50151+1+2+52+5437+1+45+20900+1</f>
        <v>76590</v>
      </c>
      <c r="E166" s="1">
        <f>3611+11+73+160+337+15</f>
        <v>4207</v>
      </c>
      <c r="F166" s="1">
        <v>0</v>
      </c>
      <c r="G166" s="1">
        <v>0</v>
      </c>
      <c r="H166" s="1">
        <v>0</v>
      </c>
      <c r="I166" s="1">
        <v>38324</v>
      </c>
      <c r="J166" s="1">
        <v>17047</v>
      </c>
    </row>
    <row r="167" spans="1:10" hidden="1" x14ac:dyDescent="0.25">
      <c r="A167" t="s">
        <v>146</v>
      </c>
      <c r="B167" t="s">
        <v>872</v>
      </c>
      <c r="C167" t="s">
        <v>215</v>
      </c>
      <c r="D167" s="1">
        <f>60580+391+5+1+5+11+22214+6</f>
        <v>83213</v>
      </c>
      <c r="E167" s="1">
        <f>9277+73+36+34+198+13</f>
        <v>9631</v>
      </c>
      <c r="F167" s="1">
        <v>0</v>
      </c>
      <c r="G167" s="1">
        <v>0</v>
      </c>
      <c r="H167" s="1">
        <v>0</v>
      </c>
      <c r="I167" s="1">
        <v>73397</v>
      </c>
      <c r="J167" s="1">
        <v>20423</v>
      </c>
    </row>
    <row r="168" spans="1:10" hidden="1" x14ac:dyDescent="0.25">
      <c r="A168" t="s">
        <v>138</v>
      </c>
      <c r="B168" t="s">
        <v>872</v>
      </c>
      <c r="C168" t="s">
        <v>216</v>
      </c>
      <c r="D168" s="1">
        <f>27994+1+152+12404</f>
        <v>40551</v>
      </c>
      <c r="E168" s="1">
        <f>69+3+8</f>
        <v>80</v>
      </c>
      <c r="F168" s="1">
        <v>0</v>
      </c>
      <c r="G168" s="1">
        <v>0</v>
      </c>
      <c r="H168" s="1">
        <v>0</v>
      </c>
      <c r="I168" s="1">
        <v>70400</v>
      </c>
      <c r="J168" s="1">
        <v>11487</v>
      </c>
    </row>
    <row r="169" spans="1:10" hidden="1" x14ac:dyDescent="0.25">
      <c r="A169" t="s">
        <v>794</v>
      </c>
      <c r="B169" t="s">
        <v>872</v>
      </c>
      <c r="C169" t="s">
        <v>217</v>
      </c>
      <c r="D169" s="1">
        <f>18279+1+7380</f>
        <v>25660</v>
      </c>
      <c r="E169" s="1">
        <v>0</v>
      </c>
      <c r="F169" s="1">
        <v>0</v>
      </c>
      <c r="G169" s="1">
        <v>0</v>
      </c>
      <c r="H169" s="1">
        <v>0</v>
      </c>
      <c r="I169" s="1">
        <v>32894</v>
      </c>
      <c r="J169" s="1">
        <v>5166</v>
      </c>
    </row>
    <row r="170" spans="1:10" hidden="1" x14ac:dyDescent="0.25">
      <c r="A170" t="s">
        <v>265</v>
      </c>
      <c r="B170" t="s">
        <v>872</v>
      </c>
      <c r="C170" t="s">
        <v>218</v>
      </c>
      <c r="D170" s="1">
        <f>19182+2+5+3+4+1+1+4754</f>
        <v>23952</v>
      </c>
      <c r="E170" s="1">
        <v>18</v>
      </c>
      <c r="F170" s="1">
        <v>0</v>
      </c>
      <c r="G170" s="1">
        <v>0</v>
      </c>
      <c r="H170" s="1">
        <v>0</v>
      </c>
      <c r="I170" s="1">
        <v>61975</v>
      </c>
      <c r="J170" s="1">
        <v>4041</v>
      </c>
    </row>
    <row r="171" spans="1:10" hidden="1" x14ac:dyDescent="0.25">
      <c r="A171" t="s">
        <v>801</v>
      </c>
      <c r="B171" t="s">
        <v>872</v>
      </c>
      <c r="C171" t="s">
        <v>219</v>
      </c>
      <c r="D171" s="1">
        <f>53162+2+484+10632</f>
        <v>64280</v>
      </c>
      <c r="E171" s="1">
        <f>312+27+55+30</f>
        <v>424</v>
      </c>
      <c r="F171" s="1">
        <v>0</v>
      </c>
      <c r="G171" s="1">
        <v>0</v>
      </c>
      <c r="H171" s="1">
        <v>0</v>
      </c>
      <c r="I171" s="1">
        <v>40449</v>
      </c>
      <c r="J171" s="1">
        <v>8680</v>
      </c>
    </row>
    <row r="172" spans="1:10" hidden="1" x14ac:dyDescent="0.25">
      <c r="A172" t="s">
        <v>831</v>
      </c>
      <c r="B172" t="s">
        <v>872</v>
      </c>
      <c r="C172" t="s">
        <v>220</v>
      </c>
      <c r="D172" s="1">
        <f>4404+5+1178</f>
        <v>5587</v>
      </c>
      <c r="E172" s="1">
        <f>30+3</f>
        <v>33</v>
      </c>
      <c r="F172" s="1">
        <v>0</v>
      </c>
      <c r="G172" s="1">
        <v>0</v>
      </c>
      <c r="H172" s="1">
        <v>0</v>
      </c>
      <c r="I172" s="1">
        <v>6639</v>
      </c>
      <c r="J172" s="1">
        <v>1085</v>
      </c>
    </row>
    <row r="173" spans="1:10" hidden="1" x14ac:dyDescent="0.25">
      <c r="A173" t="s">
        <v>794</v>
      </c>
      <c r="B173" t="s">
        <v>872</v>
      </c>
      <c r="C173" t="s">
        <v>221</v>
      </c>
      <c r="D173" s="1">
        <f>33122+1+4+24+4+107+20+165+24744+2</f>
        <v>58193</v>
      </c>
      <c r="E173" s="1">
        <f>1+12+13+38</f>
        <v>64</v>
      </c>
      <c r="F173" s="1">
        <v>0</v>
      </c>
      <c r="G173" s="1">
        <v>0</v>
      </c>
      <c r="H173" s="1">
        <v>0</v>
      </c>
      <c r="I173" s="1">
        <v>30927</v>
      </c>
      <c r="J173" s="1">
        <v>19294</v>
      </c>
    </row>
    <row r="174" spans="1:10" hidden="1" x14ac:dyDescent="0.25">
      <c r="A174" t="s">
        <v>120</v>
      </c>
      <c r="B174" t="s">
        <v>872</v>
      </c>
      <c r="C174" t="s">
        <v>222</v>
      </c>
      <c r="D174" s="1">
        <f>77543+1+1+4380+6+6+12254</f>
        <v>94191</v>
      </c>
      <c r="E174" s="1">
        <f>53+1+84</f>
        <v>138</v>
      </c>
      <c r="F174" s="1">
        <v>0</v>
      </c>
      <c r="G174" s="1">
        <v>0</v>
      </c>
      <c r="H174" s="1">
        <v>0</v>
      </c>
      <c r="I174" s="1">
        <v>10417</v>
      </c>
      <c r="J174" s="1">
        <v>7333</v>
      </c>
    </row>
    <row r="175" spans="1:10" hidden="1" x14ac:dyDescent="0.25">
      <c r="A175" t="s">
        <v>848</v>
      </c>
      <c r="B175" t="s">
        <v>872</v>
      </c>
      <c r="C175" t="s">
        <v>223</v>
      </c>
      <c r="D175" s="1">
        <f>15156+6+3671</f>
        <v>18833</v>
      </c>
      <c r="E175" s="1">
        <v>13</v>
      </c>
      <c r="F175" s="1">
        <v>0</v>
      </c>
      <c r="G175" s="1">
        <v>0</v>
      </c>
      <c r="H175" s="1">
        <v>0</v>
      </c>
      <c r="I175" s="1">
        <v>2749</v>
      </c>
      <c r="J175" s="1">
        <v>2999</v>
      </c>
    </row>
    <row r="176" spans="1:10" hidden="1" x14ac:dyDescent="0.25">
      <c r="A176" t="s">
        <v>825</v>
      </c>
      <c r="B176" t="s">
        <v>872</v>
      </c>
      <c r="C176" t="s">
        <v>224</v>
      </c>
      <c r="D176" s="1">
        <f>15402+1365+15+2883</f>
        <v>19665</v>
      </c>
      <c r="E176" s="1">
        <f>76+21+24+3</f>
        <v>124</v>
      </c>
      <c r="F176" s="1">
        <v>0</v>
      </c>
      <c r="G176" s="1">
        <v>0</v>
      </c>
      <c r="H176" s="1">
        <v>0</v>
      </c>
      <c r="I176" s="1">
        <v>10661</v>
      </c>
      <c r="J176" s="1">
        <v>2198</v>
      </c>
    </row>
    <row r="177" spans="1:10" hidden="1" x14ac:dyDescent="0.25">
      <c r="A177" t="s">
        <v>788</v>
      </c>
      <c r="B177" t="s">
        <v>872</v>
      </c>
      <c r="C177" t="s">
        <v>225</v>
      </c>
      <c r="D177" s="1">
        <f>28412+1+2+36897</f>
        <v>65312</v>
      </c>
      <c r="E177" s="1">
        <f>1+36+2</f>
        <v>39</v>
      </c>
      <c r="F177" s="1">
        <v>0</v>
      </c>
      <c r="G177" s="1">
        <v>0</v>
      </c>
      <c r="H177" s="1">
        <v>0</v>
      </c>
      <c r="I177" s="1">
        <v>133278</v>
      </c>
      <c r="J177" s="1">
        <v>30441</v>
      </c>
    </row>
    <row r="178" spans="1:10" hidden="1" x14ac:dyDescent="0.25">
      <c r="A178" t="s">
        <v>226</v>
      </c>
      <c r="B178" t="s">
        <v>872</v>
      </c>
      <c r="C178" t="s">
        <v>227</v>
      </c>
      <c r="D178" s="1">
        <f>25227+1+3+9229</f>
        <v>34460</v>
      </c>
      <c r="E178" s="1">
        <v>17</v>
      </c>
      <c r="F178" s="1">
        <v>0</v>
      </c>
      <c r="G178" s="1">
        <v>0</v>
      </c>
      <c r="H178" s="1">
        <v>0</v>
      </c>
      <c r="I178" s="1">
        <v>14810</v>
      </c>
      <c r="J178" s="1">
        <v>7991</v>
      </c>
    </row>
    <row r="179" spans="1:10" hidden="1" x14ac:dyDescent="0.25">
      <c r="A179" t="s">
        <v>226</v>
      </c>
      <c r="B179" t="s">
        <v>872</v>
      </c>
      <c r="C179" t="s">
        <v>228</v>
      </c>
      <c r="D179" s="1">
        <f>14721+4+1+12+4317</f>
        <v>19055</v>
      </c>
      <c r="E179" s="1">
        <f>20+6+1</f>
        <v>27</v>
      </c>
      <c r="F179" s="1">
        <v>0</v>
      </c>
      <c r="G179" s="1">
        <v>0</v>
      </c>
      <c r="H179" s="1">
        <v>0</v>
      </c>
      <c r="I179" s="1">
        <v>15921</v>
      </c>
      <c r="J179" s="1">
        <v>3205</v>
      </c>
    </row>
    <row r="180" spans="1:10" hidden="1" x14ac:dyDescent="0.25">
      <c r="A180" t="s">
        <v>229</v>
      </c>
      <c r="B180" t="s">
        <v>872</v>
      </c>
      <c r="C180" t="s">
        <v>230</v>
      </c>
      <c r="D180" s="1">
        <f>19593+1+8941</f>
        <v>28535</v>
      </c>
      <c r="E180" s="1">
        <f>13+11+1+2</f>
        <v>27</v>
      </c>
      <c r="F180" s="1">
        <v>0</v>
      </c>
      <c r="G180" s="1">
        <v>0</v>
      </c>
      <c r="H180" s="1">
        <v>0</v>
      </c>
      <c r="I180" s="1">
        <v>15378</v>
      </c>
      <c r="J180" s="1">
        <v>7354</v>
      </c>
    </row>
    <row r="181" spans="1:10" hidden="1" x14ac:dyDescent="0.25">
      <c r="A181" t="s">
        <v>231</v>
      </c>
      <c r="B181" t="s">
        <v>872</v>
      </c>
      <c r="C181" t="s">
        <v>232</v>
      </c>
      <c r="D181" s="1">
        <f>19134+30+1+1+3236</f>
        <v>22402</v>
      </c>
      <c r="E181" s="1">
        <f>1+1</f>
        <v>2</v>
      </c>
      <c r="F181" s="1">
        <v>0</v>
      </c>
      <c r="G181" s="1">
        <v>0</v>
      </c>
      <c r="H181" s="1">
        <v>0</v>
      </c>
      <c r="I181" s="1">
        <v>3686</v>
      </c>
      <c r="J181" s="1">
        <v>2696</v>
      </c>
    </row>
    <row r="182" spans="1:10" hidden="1" x14ac:dyDescent="0.25">
      <c r="A182" t="s">
        <v>248</v>
      </c>
      <c r="B182" t="s">
        <v>872</v>
      </c>
      <c r="C182" t="s">
        <v>233</v>
      </c>
      <c r="D182" s="1">
        <f>18741+20+644+2272+36</f>
        <v>21713</v>
      </c>
      <c r="E182" s="1">
        <v>81</v>
      </c>
      <c r="F182" s="1">
        <v>0</v>
      </c>
      <c r="G182" s="1">
        <v>0</v>
      </c>
      <c r="H182" s="1">
        <v>0</v>
      </c>
      <c r="I182" s="1">
        <v>29168</v>
      </c>
      <c r="J182" s="1">
        <v>1760</v>
      </c>
    </row>
    <row r="183" spans="1:10" hidden="1" x14ac:dyDescent="0.25">
      <c r="A183" t="s">
        <v>69</v>
      </c>
      <c r="B183" t="s">
        <v>872</v>
      </c>
      <c r="C183" t="s">
        <v>234</v>
      </c>
      <c r="D183" s="1">
        <f>109229+37+93+293+22941</f>
        <v>132593</v>
      </c>
      <c r="E183" s="1">
        <f>30+12+39+1+59</f>
        <v>141</v>
      </c>
      <c r="F183" s="1">
        <v>0</v>
      </c>
      <c r="G183" s="1">
        <v>0</v>
      </c>
      <c r="H183" s="1">
        <v>0</v>
      </c>
      <c r="I183" s="1">
        <v>281224</v>
      </c>
      <c r="J183" s="1">
        <v>19224</v>
      </c>
    </row>
    <row r="184" spans="1:10" hidden="1" x14ac:dyDescent="0.25">
      <c r="A184" t="s">
        <v>795</v>
      </c>
      <c r="B184" t="s">
        <v>872</v>
      </c>
      <c r="C184" t="s">
        <v>235</v>
      </c>
      <c r="D184" s="1">
        <f>22138+17+28680+7</f>
        <v>50842</v>
      </c>
      <c r="E184" s="1">
        <f>29+1</f>
        <v>30</v>
      </c>
      <c r="F184" s="1">
        <v>0</v>
      </c>
      <c r="G184" s="1">
        <v>0</v>
      </c>
      <c r="H184" s="1">
        <v>0</v>
      </c>
      <c r="I184" s="1">
        <v>962</v>
      </c>
      <c r="J184" s="1">
        <v>26930</v>
      </c>
    </row>
    <row r="185" spans="1:10" hidden="1" x14ac:dyDescent="0.25">
      <c r="A185" t="s">
        <v>795</v>
      </c>
      <c r="B185" t="s">
        <v>872</v>
      </c>
      <c r="C185" t="s">
        <v>236</v>
      </c>
      <c r="D185" s="1">
        <f>16909+1+1+256+2+2+19992+1</f>
        <v>37164</v>
      </c>
      <c r="E185" s="1">
        <f>21+1+23+187+6</f>
        <v>238</v>
      </c>
      <c r="F185" s="1">
        <v>0</v>
      </c>
      <c r="G185" s="1">
        <v>0</v>
      </c>
      <c r="H185" s="1">
        <v>0</v>
      </c>
      <c r="I185" s="1">
        <v>33646</v>
      </c>
      <c r="J185" s="1">
        <v>16695</v>
      </c>
    </row>
    <row r="186" spans="1:10" hidden="1" x14ac:dyDescent="0.25">
      <c r="A186" t="s">
        <v>801</v>
      </c>
      <c r="B186" t="s">
        <v>872</v>
      </c>
      <c r="C186" t="s">
        <v>237</v>
      </c>
      <c r="D186" s="1">
        <f>45848+1857+2+8+1+6624</f>
        <v>54340</v>
      </c>
      <c r="E186" s="1">
        <f>292+4+10+41</f>
        <v>347</v>
      </c>
      <c r="F186" s="1">
        <v>0</v>
      </c>
      <c r="G186" s="1">
        <v>0</v>
      </c>
      <c r="H186" s="1">
        <v>0</v>
      </c>
      <c r="I186" s="1">
        <v>36769</v>
      </c>
      <c r="J186" s="1">
        <v>5553</v>
      </c>
    </row>
    <row r="187" spans="1:10" hidden="1" x14ac:dyDescent="0.25">
      <c r="A187" t="s">
        <v>788</v>
      </c>
      <c r="B187" t="s">
        <v>872</v>
      </c>
      <c r="C187" t="s">
        <v>238</v>
      </c>
      <c r="D187" s="1">
        <f>29031+91+1073+2+7804</f>
        <v>38001</v>
      </c>
      <c r="E187" s="1">
        <f>24+6</f>
        <v>30</v>
      </c>
      <c r="F187" s="1">
        <v>0</v>
      </c>
      <c r="G187" s="1">
        <v>0</v>
      </c>
      <c r="H187" s="1">
        <v>0</v>
      </c>
      <c r="I187" s="1">
        <v>23459</v>
      </c>
      <c r="J187" s="1">
        <v>7308</v>
      </c>
    </row>
    <row r="188" spans="1:10" hidden="1" x14ac:dyDescent="0.25">
      <c r="A188" t="s">
        <v>791</v>
      </c>
      <c r="B188" t="s">
        <v>872</v>
      </c>
      <c r="C188" t="s">
        <v>239</v>
      </c>
      <c r="D188" s="1">
        <f>9590+1+3+3+5617</f>
        <v>15214</v>
      </c>
      <c r="E188" s="1">
        <f>67+2</f>
        <v>69</v>
      </c>
      <c r="F188" s="1">
        <v>0</v>
      </c>
      <c r="G188" s="1">
        <v>0</v>
      </c>
      <c r="H188" s="1">
        <v>0</v>
      </c>
      <c r="I188" s="1">
        <v>4646</v>
      </c>
      <c r="J188" s="1">
        <v>4329</v>
      </c>
    </row>
    <row r="189" spans="1:10" hidden="1" x14ac:dyDescent="0.25">
      <c r="A189" t="s">
        <v>801</v>
      </c>
      <c r="B189" t="s">
        <v>872</v>
      </c>
      <c r="C189" t="s">
        <v>240</v>
      </c>
      <c r="D189" s="1">
        <f>66148+7+3212+3</f>
        <v>69370</v>
      </c>
      <c r="E189" s="1">
        <f>178+10+4+50+22</f>
        <v>264</v>
      </c>
      <c r="F189" s="1">
        <v>0</v>
      </c>
      <c r="G189" s="1">
        <v>0</v>
      </c>
      <c r="H189" s="1">
        <v>0</v>
      </c>
      <c r="I189" s="1">
        <v>22462</v>
      </c>
      <c r="J189" s="1">
        <v>2725</v>
      </c>
    </row>
    <row r="190" spans="1:10" hidden="1" x14ac:dyDescent="0.25">
      <c r="A190" t="s">
        <v>788</v>
      </c>
      <c r="B190" t="s">
        <v>872</v>
      </c>
      <c r="C190" t="s">
        <v>241</v>
      </c>
      <c r="D190" s="1">
        <f>75746+528+5+28546</f>
        <v>104825</v>
      </c>
      <c r="E190" s="1">
        <f>38+12</f>
        <v>50</v>
      </c>
      <c r="F190" s="1">
        <v>0</v>
      </c>
      <c r="G190" s="1">
        <v>0</v>
      </c>
      <c r="H190" s="1">
        <v>0</v>
      </c>
      <c r="I190" s="1">
        <v>62275</v>
      </c>
      <c r="J190" s="1">
        <v>24243</v>
      </c>
    </row>
    <row r="191" spans="1:10" hidden="1" x14ac:dyDescent="0.25">
      <c r="A191" t="s">
        <v>138</v>
      </c>
      <c r="B191" t="s">
        <v>872</v>
      </c>
      <c r="C191" t="s">
        <v>242</v>
      </c>
      <c r="D191" s="1">
        <f>59509+1+5+10+13+469+2+9+13892+1</f>
        <v>73911</v>
      </c>
      <c r="E191" s="1">
        <f>23+4+7+7</f>
        <v>41</v>
      </c>
      <c r="F191" s="1">
        <v>0</v>
      </c>
      <c r="G191" s="1">
        <v>0</v>
      </c>
      <c r="H191" s="1">
        <v>0</v>
      </c>
      <c r="I191" s="1">
        <v>18513</v>
      </c>
      <c r="J191" s="1">
        <v>7690</v>
      </c>
    </row>
    <row r="192" spans="1:10" hidden="1" x14ac:dyDescent="0.25">
      <c r="A192" t="s">
        <v>512</v>
      </c>
      <c r="B192" t="s">
        <v>872</v>
      </c>
      <c r="C192" t="s">
        <v>243</v>
      </c>
      <c r="D192" s="1">
        <f>12412+1+2359</f>
        <v>14772</v>
      </c>
      <c r="E192" s="1">
        <v>18</v>
      </c>
      <c r="F192" s="1">
        <v>0</v>
      </c>
      <c r="G192" s="1">
        <v>0</v>
      </c>
      <c r="H192" s="1">
        <v>0</v>
      </c>
      <c r="I192" s="1">
        <v>982</v>
      </c>
      <c r="J192" s="1">
        <v>1509</v>
      </c>
    </row>
    <row r="193" spans="1:10" hidden="1" x14ac:dyDescent="0.25">
      <c r="A193" t="s">
        <v>796</v>
      </c>
      <c r="B193" t="s">
        <v>872</v>
      </c>
      <c r="C193" t="s">
        <v>244</v>
      </c>
      <c r="D193" s="1">
        <f>61943+452+5+13+18178+25</f>
        <v>80616</v>
      </c>
      <c r="E193" s="1">
        <f>526+9+19+4+115+124+120</f>
        <v>917</v>
      </c>
      <c r="F193" s="1">
        <v>0</v>
      </c>
      <c r="G193" s="1">
        <v>0</v>
      </c>
      <c r="H193" s="1">
        <v>0</v>
      </c>
      <c r="I193" s="1">
        <v>101370</v>
      </c>
      <c r="J193" s="1">
        <v>16415</v>
      </c>
    </row>
    <row r="194" spans="1:10" hidden="1" x14ac:dyDescent="0.25">
      <c r="A194" t="s">
        <v>146</v>
      </c>
      <c r="B194" t="s">
        <v>872</v>
      </c>
      <c r="C194" t="s">
        <v>245</v>
      </c>
      <c r="D194" s="1">
        <f>27176+155+5+9446+149</f>
        <v>36931</v>
      </c>
      <c r="E194" s="1">
        <f>61+21+4+50+12</f>
        <v>148</v>
      </c>
      <c r="F194" s="1">
        <v>0</v>
      </c>
      <c r="G194" s="1">
        <v>0</v>
      </c>
      <c r="H194" s="1">
        <v>0</v>
      </c>
      <c r="I194" s="1">
        <v>37910</v>
      </c>
      <c r="J194" s="1">
        <v>8881</v>
      </c>
    </row>
    <row r="195" spans="1:10" hidden="1" x14ac:dyDescent="0.25">
      <c r="A195" t="s">
        <v>831</v>
      </c>
      <c r="B195" t="s">
        <v>872</v>
      </c>
      <c r="C195" t="s">
        <v>246</v>
      </c>
      <c r="D195" s="1">
        <f>3672+1828</f>
        <v>5500</v>
      </c>
      <c r="E195" s="1">
        <v>8</v>
      </c>
      <c r="F195" s="1">
        <v>0</v>
      </c>
      <c r="G195" s="1">
        <v>0</v>
      </c>
      <c r="H195" s="1">
        <v>0</v>
      </c>
      <c r="I195" s="1">
        <v>1817</v>
      </c>
      <c r="J195" s="1">
        <v>1454</v>
      </c>
    </row>
    <row r="196" spans="1:10" hidden="1" x14ac:dyDescent="0.25">
      <c r="A196" t="s">
        <v>791</v>
      </c>
      <c r="B196" t="s">
        <v>872</v>
      </c>
      <c r="C196" t="s">
        <v>247</v>
      </c>
      <c r="D196" s="1">
        <f>1861+8794</f>
        <v>10655</v>
      </c>
      <c r="E196" s="1">
        <f>3+306</f>
        <v>309</v>
      </c>
      <c r="F196" s="1">
        <v>0</v>
      </c>
      <c r="G196" s="1">
        <v>0</v>
      </c>
      <c r="H196" s="1">
        <v>0</v>
      </c>
      <c r="I196" s="1">
        <v>3372</v>
      </c>
      <c r="J196" s="1">
        <v>5426</v>
      </c>
    </row>
    <row r="197" spans="1:10" hidden="1" x14ac:dyDescent="0.25">
      <c r="A197" t="s">
        <v>248</v>
      </c>
      <c r="B197" t="s">
        <v>872</v>
      </c>
      <c r="C197" t="s">
        <v>249</v>
      </c>
      <c r="D197" s="1">
        <f>50577+1+5+1+10+3+14650+2</f>
        <v>65249</v>
      </c>
      <c r="E197" s="1">
        <f>188+4+33+112+10</f>
        <v>347</v>
      </c>
      <c r="F197" s="1">
        <v>0</v>
      </c>
      <c r="G197" s="1">
        <v>0</v>
      </c>
      <c r="H197" s="1">
        <v>0</v>
      </c>
      <c r="I197" s="1">
        <v>84332</v>
      </c>
      <c r="J197" s="1">
        <v>12250</v>
      </c>
    </row>
    <row r="198" spans="1:10" hidden="1" x14ac:dyDescent="0.25">
      <c r="A198" t="s">
        <v>865</v>
      </c>
      <c r="B198" t="s">
        <v>872</v>
      </c>
      <c r="C198" t="s">
        <v>250</v>
      </c>
      <c r="D198" s="1">
        <f>19000+8+19+1+3211</f>
        <v>22239</v>
      </c>
      <c r="E198" s="1">
        <f>26+2+7+1</f>
        <v>36</v>
      </c>
      <c r="F198" s="1">
        <v>0</v>
      </c>
      <c r="G198" s="1">
        <v>0</v>
      </c>
      <c r="H198" s="1">
        <v>0</v>
      </c>
      <c r="I198" s="1">
        <v>11407</v>
      </c>
      <c r="J198" s="1">
        <v>2949</v>
      </c>
    </row>
    <row r="199" spans="1:10" hidden="1" x14ac:dyDescent="0.25">
      <c r="A199" t="s">
        <v>248</v>
      </c>
      <c r="B199" t="s">
        <v>872</v>
      </c>
      <c r="C199" t="s">
        <v>251</v>
      </c>
      <c r="D199" s="1">
        <f>34168+6+3+9589</f>
        <v>43766</v>
      </c>
      <c r="E199" s="1">
        <f>466+2+192+36+11</f>
        <v>707</v>
      </c>
      <c r="F199" s="1">
        <v>0</v>
      </c>
      <c r="G199" s="1">
        <v>0</v>
      </c>
      <c r="H199" s="1">
        <v>0</v>
      </c>
      <c r="I199" s="1">
        <v>33888</v>
      </c>
      <c r="J199" s="1">
        <v>7673</v>
      </c>
    </row>
    <row r="200" spans="1:10" hidden="1" x14ac:dyDescent="0.25">
      <c r="A200" t="s">
        <v>795</v>
      </c>
      <c r="B200" t="s">
        <v>872</v>
      </c>
      <c r="C200" t="s">
        <v>252</v>
      </c>
      <c r="D200" s="1">
        <f>27511+74+29+503+2+17836</f>
        <v>45955</v>
      </c>
      <c r="E200" s="1">
        <f>12+14+16+1+57</f>
        <v>100</v>
      </c>
      <c r="F200" s="1">
        <v>0</v>
      </c>
      <c r="G200" s="1">
        <v>0</v>
      </c>
      <c r="H200" s="1">
        <v>0</v>
      </c>
      <c r="I200" s="1">
        <v>17578</v>
      </c>
      <c r="J200" s="1">
        <v>13363</v>
      </c>
    </row>
    <row r="201" spans="1:10" hidden="1" x14ac:dyDescent="0.25">
      <c r="A201" t="s">
        <v>248</v>
      </c>
      <c r="B201" t="s">
        <v>872</v>
      </c>
      <c r="C201" t="s">
        <v>253</v>
      </c>
      <c r="D201" s="1">
        <f>67927+4+81+9+70+20016</f>
        <v>88107</v>
      </c>
      <c r="E201" s="1">
        <f>134+1+164+78+1</f>
        <v>378</v>
      </c>
      <c r="F201" s="1">
        <v>0</v>
      </c>
      <c r="G201" s="1">
        <v>0</v>
      </c>
      <c r="H201" s="1">
        <v>0</v>
      </c>
      <c r="I201" s="1">
        <v>40989</v>
      </c>
      <c r="J201" s="1">
        <v>16107</v>
      </c>
    </row>
    <row r="202" spans="1:10" hidden="1" x14ac:dyDescent="0.25">
      <c r="A202" t="s">
        <v>823</v>
      </c>
      <c r="B202" t="s">
        <v>872</v>
      </c>
      <c r="C202" t="s">
        <v>254</v>
      </c>
      <c r="D202" s="1">
        <f>31642+7+26+1+26105</f>
        <v>57781</v>
      </c>
      <c r="E202" s="1">
        <f>275+1+18+23</f>
        <v>317</v>
      </c>
      <c r="F202" s="1">
        <v>0</v>
      </c>
      <c r="G202" s="1">
        <v>0</v>
      </c>
      <c r="H202" s="1">
        <v>0</v>
      </c>
      <c r="I202" s="1">
        <v>13335</v>
      </c>
      <c r="J202" s="1">
        <v>18291</v>
      </c>
    </row>
    <row r="203" spans="1:10" hidden="1" x14ac:dyDescent="0.25">
      <c r="A203" t="s">
        <v>67</v>
      </c>
      <c r="B203" t="s">
        <v>872</v>
      </c>
      <c r="C203" t="s">
        <v>255</v>
      </c>
      <c r="D203" s="1">
        <f>33301+2+19+8240</f>
        <v>41562</v>
      </c>
      <c r="E203" s="1">
        <f>73+43+20</f>
        <v>136</v>
      </c>
      <c r="F203" s="1">
        <v>0</v>
      </c>
      <c r="G203" s="1">
        <v>0</v>
      </c>
      <c r="H203" s="1">
        <v>0</v>
      </c>
      <c r="I203" s="1">
        <v>39892</v>
      </c>
      <c r="J203" s="1">
        <v>7538</v>
      </c>
    </row>
    <row r="204" spans="1:10" hidden="1" x14ac:dyDescent="0.25">
      <c r="A204" t="s">
        <v>72</v>
      </c>
      <c r="B204" t="s">
        <v>872</v>
      </c>
      <c r="C204" t="s">
        <v>256</v>
      </c>
      <c r="D204" s="1">
        <f>19321+474+1+2+28+4496</f>
        <v>24322</v>
      </c>
      <c r="E204" s="1">
        <f>18+4</f>
        <v>22</v>
      </c>
      <c r="F204" s="1">
        <v>0</v>
      </c>
      <c r="G204" s="1">
        <v>0</v>
      </c>
      <c r="H204" s="1">
        <v>0</v>
      </c>
      <c r="I204" s="1">
        <v>22231</v>
      </c>
      <c r="J204" s="1">
        <v>4146</v>
      </c>
    </row>
    <row r="205" spans="1:10" hidden="1" x14ac:dyDescent="0.25">
      <c r="A205" t="s">
        <v>138</v>
      </c>
      <c r="B205" t="s">
        <v>872</v>
      </c>
      <c r="C205" t="s">
        <v>257</v>
      </c>
      <c r="D205" s="1">
        <f>53025+1+26+12907</f>
        <v>65959</v>
      </c>
      <c r="E205" s="1">
        <f>241+74+70+777+64+1553</f>
        <v>2779</v>
      </c>
      <c r="F205" s="1">
        <v>0</v>
      </c>
      <c r="G205" s="1">
        <v>0</v>
      </c>
      <c r="H205" s="1">
        <v>0</v>
      </c>
      <c r="I205" s="1">
        <v>11167</v>
      </c>
      <c r="J205" s="1">
        <v>11561</v>
      </c>
    </row>
    <row r="206" spans="1:10" hidden="1" x14ac:dyDescent="0.25">
      <c r="A206" t="s">
        <v>817</v>
      </c>
      <c r="B206" t="s">
        <v>872</v>
      </c>
      <c r="C206" t="s">
        <v>258</v>
      </c>
      <c r="D206" s="1">
        <f>30689+599+7+20766+1</f>
        <v>52062</v>
      </c>
      <c r="E206" s="1">
        <f>783+4+19+21+28</f>
        <v>855</v>
      </c>
      <c r="F206" s="1">
        <v>0</v>
      </c>
      <c r="G206" s="1">
        <v>0</v>
      </c>
      <c r="H206" s="1">
        <v>0</v>
      </c>
      <c r="I206" s="1">
        <v>88331</v>
      </c>
      <c r="J206" s="1">
        <v>16706</v>
      </c>
    </row>
    <row r="207" spans="1:10" hidden="1" x14ac:dyDescent="0.25">
      <c r="A207" t="s">
        <v>795</v>
      </c>
      <c r="B207" t="s">
        <v>872</v>
      </c>
      <c r="C207" t="s">
        <v>259</v>
      </c>
      <c r="D207" s="1">
        <f>49812+15743+29758+858</f>
        <v>96171</v>
      </c>
      <c r="E207" s="1">
        <f>483+3+9+40</f>
        <v>535</v>
      </c>
      <c r="F207" s="1">
        <v>0</v>
      </c>
      <c r="G207" s="1">
        <v>0</v>
      </c>
      <c r="H207" s="1">
        <v>0</v>
      </c>
      <c r="I207" s="1">
        <v>28355</v>
      </c>
      <c r="J207" s="1">
        <v>24925</v>
      </c>
    </row>
    <row r="208" spans="1:10" hidden="1" x14ac:dyDescent="0.25">
      <c r="A208" t="s">
        <v>864</v>
      </c>
      <c r="B208" t="s">
        <v>872</v>
      </c>
      <c r="C208" t="s">
        <v>260</v>
      </c>
      <c r="D208" s="1">
        <f>26096+4+1367+2+4+2+8+21244</f>
        <v>48727</v>
      </c>
      <c r="E208" s="1">
        <f>213+1+233+41+71</f>
        <v>559</v>
      </c>
      <c r="F208" s="1">
        <v>0</v>
      </c>
      <c r="G208" s="1">
        <v>0</v>
      </c>
      <c r="H208" s="1">
        <v>0</v>
      </c>
      <c r="I208" s="1">
        <v>43946</v>
      </c>
      <c r="J208" s="1">
        <v>17490</v>
      </c>
    </row>
    <row r="209" spans="1:10" hidden="1" x14ac:dyDescent="0.25">
      <c r="A209" t="s">
        <v>826</v>
      </c>
      <c r="B209" t="s">
        <v>872</v>
      </c>
      <c r="C209" t="s">
        <v>261</v>
      </c>
      <c r="D209" s="1">
        <f>909+1+4+126+2761</f>
        <v>3801</v>
      </c>
      <c r="E209" s="1">
        <f>5+17</f>
        <v>22</v>
      </c>
      <c r="F209" s="1">
        <v>0</v>
      </c>
      <c r="G209" s="1">
        <v>0</v>
      </c>
      <c r="H209" s="1">
        <v>0</v>
      </c>
      <c r="I209" s="1">
        <v>1629</v>
      </c>
      <c r="J209" s="1">
        <v>2084</v>
      </c>
    </row>
    <row r="210" spans="1:10" hidden="1" x14ac:dyDescent="0.25">
      <c r="A210" t="s">
        <v>801</v>
      </c>
      <c r="B210" t="s">
        <v>872</v>
      </c>
      <c r="C210" t="s">
        <v>262</v>
      </c>
      <c r="D210" s="1">
        <f>44469+1+2+1360+1+25+16+1+1+11+23765</f>
        <v>69652</v>
      </c>
      <c r="E210" s="1">
        <f>298+22+220+375+22+2</f>
        <v>939</v>
      </c>
      <c r="F210" s="1">
        <v>0</v>
      </c>
      <c r="G210" s="1">
        <v>0</v>
      </c>
      <c r="H210" s="1">
        <v>0</v>
      </c>
      <c r="I210" s="1">
        <v>102887</v>
      </c>
      <c r="J210" s="1">
        <v>20733</v>
      </c>
    </row>
    <row r="211" spans="1:10" hidden="1" x14ac:dyDescent="0.25">
      <c r="A211" t="s">
        <v>120</v>
      </c>
      <c r="B211" t="s">
        <v>872</v>
      </c>
      <c r="C211" t="s">
        <v>263</v>
      </c>
      <c r="D211" s="1">
        <f>34713+52+5+766+3+16+3298</f>
        <v>38853</v>
      </c>
      <c r="E211" s="1">
        <f>16+1</f>
        <v>17</v>
      </c>
      <c r="F211" s="1">
        <v>0</v>
      </c>
      <c r="G211" s="1">
        <v>0</v>
      </c>
      <c r="H211" s="1">
        <v>0</v>
      </c>
      <c r="I211" s="1">
        <v>4492</v>
      </c>
      <c r="J211" s="1">
        <v>2677</v>
      </c>
    </row>
    <row r="212" spans="1:10" hidden="1" x14ac:dyDescent="0.25">
      <c r="A212" t="s">
        <v>868</v>
      </c>
      <c r="B212" t="s">
        <v>872</v>
      </c>
      <c r="C212" t="s">
        <v>264</v>
      </c>
      <c r="D212" s="1">
        <f>15358+1+8+6+369+30+127+3624</f>
        <v>19523</v>
      </c>
      <c r="E212" s="1">
        <f>73+80+1</f>
        <v>154</v>
      </c>
      <c r="F212" s="1">
        <v>0</v>
      </c>
      <c r="G212" s="1">
        <v>0</v>
      </c>
      <c r="H212" s="1">
        <v>0</v>
      </c>
      <c r="I212" s="1">
        <v>7995</v>
      </c>
      <c r="J212" s="1">
        <v>3129</v>
      </c>
    </row>
    <row r="213" spans="1:10" hidden="1" x14ac:dyDescent="0.25">
      <c r="A213" t="s">
        <v>265</v>
      </c>
      <c r="B213" t="s">
        <v>872</v>
      </c>
      <c r="C213" t="s">
        <v>266</v>
      </c>
      <c r="D213" s="1">
        <f>81406+4+1+126+16+2+1+89+22829</f>
        <v>104474</v>
      </c>
      <c r="E213" s="1">
        <f>220+6+280</f>
        <v>506</v>
      </c>
      <c r="F213" s="1">
        <v>0</v>
      </c>
      <c r="G213" s="1">
        <v>0</v>
      </c>
      <c r="H213" s="1">
        <v>0</v>
      </c>
      <c r="I213" s="1">
        <v>60917</v>
      </c>
      <c r="J213" s="1">
        <v>20797</v>
      </c>
    </row>
    <row r="214" spans="1:10" hidden="1" x14ac:dyDescent="0.25">
      <c r="A214" t="s">
        <v>797</v>
      </c>
      <c r="B214" t="s">
        <v>872</v>
      </c>
      <c r="C214" t="s">
        <v>267</v>
      </c>
      <c r="D214" s="1">
        <f>31532+3+1+37+1+1+50917</f>
        <v>82492</v>
      </c>
      <c r="E214" s="1">
        <f>300+1+46+1181+27</f>
        <v>1555</v>
      </c>
      <c r="F214" s="1">
        <v>0</v>
      </c>
      <c r="G214" s="1">
        <v>0</v>
      </c>
      <c r="H214" s="1">
        <v>0</v>
      </c>
      <c r="I214" s="1">
        <v>52678</v>
      </c>
      <c r="J214" s="1">
        <v>43358</v>
      </c>
    </row>
    <row r="215" spans="1:10" hidden="1" x14ac:dyDescent="0.25">
      <c r="A215" t="s">
        <v>831</v>
      </c>
      <c r="B215" t="s">
        <v>872</v>
      </c>
      <c r="C215" t="s">
        <v>268</v>
      </c>
      <c r="D215" s="1">
        <f>21828+3+3+8994</f>
        <v>30828</v>
      </c>
      <c r="E215" s="1">
        <f>272+50</f>
        <v>322</v>
      </c>
      <c r="F215" s="1">
        <v>0</v>
      </c>
      <c r="G215" s="1">
        <v>0</v>
      </c>
      <c r="H215" s="1">
        <v>0</v>
      </c>
      <c r="I215" s="1">
        <v>39991</v>
      </c>
      <c r="J215" s="1">
        <v>8075</v>
      </c>
    </row>
    <row r="216" spans="1:10" hidden="1" x14ac:dyDescent="0.25">
      <c r="A216" t="s">
        <v>794</v>
      </c>
      <c r="B216" t="s">
        <v>872</v>
      </c>
      <c r="C216" t="s">
        <v>269</v>
      </c>
      <c r="D216" s="1">
        <f>31446+4+1+322+3+48+8474</f>
        <v>40298</v>
      </c>
      <c r="E216" s="1">
        <f>98+2+2</f>
        <v>102</v>
      </c>
      <c r="F216" s="1">
        <v>0</v>
      </c>
      <c r="G216" s="1">
        <v>0</v>
      </c>
      <c r="H216" s="1">
        <v>0</v>
      </c>
      <c r="I216" s="1">
        <v>22138</v>
      </c>
      <c r="J216" s="1">
        <v>7085</v>
      </c>
    </row>
    <row r="217" spans="1:10" hidden="1" x14ac:dyDescent="0.25">
      <c r="A217" t="s">
        <v>809</v>
      </c>
      <c r="B217" t="s">
        <v>872</v>
      </c>
      <c r="C217" t="s">
        <v>270</v>
      </c>
      <c r="D217" s="1">
        <f>19314+15+1+1+1+90+13959</f>
        <v>33381</v>
      </c>
      <c r="E217" s="1">
        <f>24+97+2</f>
        <v>123</v>
      </c>
      <c r="F217" s="1">
        <v>0</v>
      </c>
      <c r="G217" s="1">
        <v>0</v>
      </c>
      <c r="H217" s="1">
        <v>0</v>
      </c>
      <c r="I217" s="1">
        <v>16178</v>
      </c>
      <c r="J217" s="1">
        <v>7770</v>
      </c>
    </row>
    <row r="218" spans="1:10" hidden="1" x14ac:dyDescent="0.25">
      <c r="A218" t="s">
        <v>265</v>
      </c>
      <c r="B218" t="s">
        <v>872</v>
      </c>
      <c r="C218" t="s">
        <v>271</v>
      </c>
      <c r="D218" s="1">
        <f>105905+9+492+51+1+1+2+10+31189</f>
        <v>137660</v>
      </c>
      <c r="E218" s="1">
        <f>2130+8+4+28+16+4</f>
        <v>2190</v>
      </c>
      <c r="F218" s="1">
        <v>0</v>
      </c>
      <c r="G218" s="1">
        <v>0</v>
      </c>
      <c r="H218" s="1">
        <v>0</v>
      </c>
      <c r="I218" s="1">
        <v>149620</v>
      </c>
      <c r="J218" s="1">
        <v>22177</v>
      </c>
    </row>
    <row r="219" spans="1:10" hidden="1" x14ac:dyDescent="0.25">
      <c r="A219" t="s">
        <v>823</v>
      </c>
      <c r="B219" t="s">
        <v>872</v>
      </c>
      <c r="C219" t="s">
        <v>272</v>
      </c>
      <c r="D219" s="1">
        <f>40887+1+55+11+66+33894+2</f>
        <v>74916</v>
      </c>
      <c r="E219" s="1">
        <f>153+11+78+75</f>
        <v>317</v>
      </c>
      <c r="F219" s="1">
        <v>0</v>
      </c>
      <c r="G219" s="1">
        <v>0</v>
      </c>
      <c r="H219" s="1">
        <v>0</v>
      </c>
      <c r="I219" s="1">
        <v>33258</v>
      </c>
      <c r="J219" s="1">
        <v>25236</v>
      </c>
    </row>
    <row r="220" spans="1:10" hidden="1" x14ac:dyDescent="0.25">
      <c r="A220" t="s">
        <v>146</v>
      </c>
      <c r="B220" t="s">
        <v>872</v>
      </c>
      <c r="C220" t="s">
        <v>273</v>
      </c>
      <c r="D220" s="1">
        <f>18607+1+5681+9+25683+3+2+1</f>
        <v>49987</v>
      </c>
      <c r="E220" s="1">
        <f>153+369+2+9</f>
        <v>533</v>
      </c>
      <c r="F220" s="1">
        <v>0</v>
      </c>
      <c r="G220" s="1">
        <v>0</v>
      </c>
      <c r="H220" s="1">
        <v>0</v>
      </c>
      <c r="I220" s="1">
        <v>112742</v>
      </c>
      <c r="J220" s="1">
        <v>22523</v>
      </c>
    </row>
    <row r="221" spans="1:10" hidden="1" x14ac:dyDescent="0.25">
      <c r="A221" t="s">
        <v>788</v>
      </c>
      <c r="B221" t="s">
        <v>872</v>
      </c>
      <c r="C221" t="s">
        <v>274</v>
      </c>
      <c r="D221" s="1">
        <f>29179+664+10+15710</f>
        <v>45563</v>
      </c>
      <c r="E221" s="1">
        <f>29+3+1+12</f>
        <v>45</v>
      </c>
      <c r="F221" s="1">
        <v>0</v>
      </c>
      <c r="G221" s="1">
        <v>0</v>
      </c>
      <c r="H221" s="1">
        <v>0</v>
      </c>
      <c r="I221" s="1">
        <v>37749</v>
      </c>
      <c r="J221" s="1">
        <v>11145</v>
      </c>
    </row>
    <row r="222" spans="1:10" hidden="1" x14ac:dyDescent="0.25">
      <c r="A222" t="s">
        <v>495</v>
      </c>
      <c r="B222" t="s">
        <v>874</v>
      </c>
      <c r="C222" t="s">
        <v>275</v>
      </c>
      <c r="D222" s="1">
        <f>360070+382+2+4+9251+1+2+11+169046+2940+76+5362+1</f>
        <v>547148</v>
      </c>
      <c r="E222" s="1">
        <f>3135+111+4+3+751+267+90+65+23+3</f>
        <v>4452</v>
      </c>
      <c r="F222" s="1">
        <v>0</v>
      </c>
      <c r="G222" s="1">
        <v>0</v>
      </c>
      <c r="H222" s="1">
        <v>0</v>
      </c>
      <c r="I222" s="1">
        <v>70207</v>
      </c>
      <c r="J222" s="1">
        <v>158763</v>
      </c>
    </row>
    <row r="223" spans="1:10" hidden="1" x14ac:dyDescent="0.25">
      <c r="A223" t="s">
        <v>120</v>
      </c>
      <c r="B223" t="s">
        <v>874</v>
      </c>
      <c r="C223" t="s">
        <v>276</v>
      </c>
      <c r="D223" s="1">
        <f>199421+10515+296+40+101460+1866+1+5+4</f>
        <v>313608</v>
      </c>
      <c r="E223" s="1">
        <f>114+143+126+19+1272+48+78+684+12+1+689</f>
        <v>3186</v>
      </c>
      <c r="F223" s="1">
        <v>0</v>
      </c>
      <c r="G223" s="1">
        <v>0</v>
      </c>
      <c r="H223" s="1">
        <v>0</v>
      </c>
      <c r="I223" s="1">
        <v>44864</v>
      </c>
      <c r="J223" s="1">
        <v>82953</v>
      </c>
    </row>
    <row r="224" spans="1:10" hidden="1" x14ac:dyDescent="0.25">
      <c r="A224" t="s">
        <v>76</v>
      </c>
      <c r="B224" t="s">
        <v>875</v>
      </c>
      <c r="C224" t="s">
        <v>277</v>
      </c>
      <c r="D224" s="1">
        <f>104187+2+1+4892+3+5941</f>
        <v>115026</v>
      </c>
      <c r="E224" s="1">
        <f>559+2+19</f>
        <v>580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</row>
    <row r="225" spans="1:10" hidden="1" x14ac:dyDescent="0.25">
      <c r="A225" t="s">
        <v>823</v>
      </c>
      <c r="B225" t="s">
        <v>875</v>
      </c>
      <c r="C225" t="s">
        <v>278</v>
      </c>
      <c r="D225" s="1">
        <v>79708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</row>
    <row r="226" spans="1:10" hidden="1" x14ac:dyDescent="0.25">
      <c r="A226" t="s">
        <v>120</v>
      </c>
      <c r="B226" t="s">
        <v>876</v>
      </c>
      <c r="C226" t="s">
        <v>279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f>35565+30200+4820</f>
        <v>70585</v>
      </c>
      <c r="J226" s="1">
        <v>0</v>
      </c>
    </row>
    <row r="227" spans="1:10" hidden="1" x14ac:dyDescent="0.25">
      <c r="A227" t="s">
        <v>817</v>
      </c>
      <c r="B227" t="s">
        <v>875</v>
      </c>
      <c r="C227" t="s">
        <v>280</v>
      </c>
      <c r="D227" s="1">
        <f>262696+1+236+400</f>
        <v>263333</v>
      </c>
      <c r="E227" s="1">
        <f>543+9+16</f>
        <v>568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</row>
    <row r="228" spans="1:10" hidden="1" x14ac:dyDescent="0.25">
      <c r="A228" t="s">
        <v>791</v>
      </c>
      <c r="B228" t="s">
        <v>875</v>
      </c>
      <c r="C228" t="s">
        <v>281</v>
      </c>
      <c r="D228" s="1">
        <f>18909+8+14</f>
        <v>18931</v>
      </c>
      <c r="E228" s="1">
        <v>6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</row>
    <row r="229" spans="1:10" hidden="1" x14ac:dyDescent="0.25">
      <c r="A229" t="s">
        <v>801</v>
      </c>
      <c r="B229" t="s">
        <v>875</v>
      </c>
      <c r="C229" t="s">
        <v>282</v>
      </c>
      <c r="D229" s="1">
        <f>22027+40</f>
        <v>22067</v>
      </c>
      <c r="E229" s="1">
        <v>138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</row>
    <row r="230" spans="1:10" hidden="1" x14ac:dyDescent="0.25">
      <c r="A230" t="s">
        <v>795</v>
      </c>
      <c r="B230" t="s">
        <v>875</v>
      </c>
      <c r="C230" t="s">
        <v>283</v>
      </c>
      <c r="D230" s="1">
        <f>210081+1+99+26</f>
        <v>210207</v>
      </c>
      <c r="E230" s="1">
        <f>135+39+4</f>
        <v>178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</row>
    <row r="231" spans="1:10" hidden="1" x14ac:dyDescent="0.25">
      <c r="A231" t="s">
        <v>811</v>
      </c>
      <c r="B231" t="s">
        <v>875</v>
      </c>
      <c r="C231" t="s">
        <v>284</v>
      </c>
      <c r="D231" s="1">
        <f>142033+21</f>
        <v>142054</v>
      </c>
      <c r="E231" s="1">
        <f>2182+168+2160</f>
        <v>4510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</row>
    <row r="232" spans="1:10" hidden="1" x14ac:dyDescent="0.25">
      <c r="A232" t="s">
        <v>10</v>
      </c>
      <c r="B232" t="s">
        <v>875</v>
      </c>
      <c r="C232" t="s">
        <v>285</v>
      </c>
      <c r="D232" s="1"/>
      <c r="E232" s="1"/>
      <c r="F232" s="1"/>
      <c r="G232" s="1"/>
      <c r="H232" s="1"/>
      <c r="I232" s="1"/>
      <c r="J232" s="1"/>
    </row>
    <row r="233" spans="1:10" hidden="1" x14ac:dyDescent="0.25">
      <c r="A233" t="s">
        <v>101</v>
      </c>
      <c r="B233" t="s">
        <v>875</v>
      </c>
      <c r="C233" t="s">
        <v>286</v>
      </c>
      <c r="D233" s="1">
        <f>39401+135+2+11</f>
        <v>39549</v>
      </c>
      <c r="E233" s="1">
        <f>292+20</f>
        <v>312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</row>
    <row r="234" spans="1:10" hidden="1" x14ac:dyDescent="0.25">
      <c r="A234" t="s">
        <v>226</v>
      </c>
      <c r="B234" t="s">
        <v>875</v>
      </c>
      <c r="C234" t="s">
        <v>287</v>
      </c>
      <c r="D234" s="1">
        <f>16421+24+3+12+5</f>
        <v>16465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</row>
    <row r="235" spans="1:10" hidden="1" x14ac:dyDescent="0.25">
      <c r="A235" t="s">
        <v>120</v>
      </c>
      <c r="B235" t="s">
        <v>877</v>
      </c>
      <c r="C235" t="s">
        <v>288</v>
      </c>
      <c r="D235" s="1">
        <v>8835</v>
      </c>
      <c r="E235" s="1">
        <v>2</v>
      </c>
      <c r="F235" s="1">
        <v>0</v>
      </c>
      <c r="G235" s="1">
        <f>62147+2+3+8</f>
        <v>62160</v>
      </c>
      <c r="H235" s="1">
        <v>46</v>
      </c>
      <c r="I235" s="1">
        <v>0</v>
      </c>
      <c r="J235" s="1">
        <v>0</v>
      </c>
    </row>
    <row r="236" spans="1:10" hidden="1" x14ac:dyDescent="0.25">
      <c r="A236" t="s">
        <v>826</v>
      </c>
      <c r="B236" t="s">
        <v>877</v>
      </c>
      <c r="C236" t="s">
        <v>289</v>
      </c>
      <c r="D236" s="1">
        <f>2575+50+10</f>
        <v>2635</v>
      </c>
      <c r="E236" s="1">
        <f>121+8</f>
        <v>129</v>
      </c>
      <c r="F236" s="1">
        <v>0</v>
      </c>
      <c r="G236" s="1">
        <f>9243+51+34</f>
        <v>9328</v>
      </c>
      <c r="H236" s="1">
        <f>197+2</f>
        <v>199</v>
      </c>
      <c r="I236" s="1">
        <v>0</v>
      </c>
      <c r="J236" s="1">
        <v>0</v>
      </c>
    </row>
    <row r="237" spans="1:10" hidden="1" x14ac:dyDescent="0.25">
      <c r="A237" t="s">
        <v>791</v>
      </c>
      <c r="B237" t="s">
        <v>877</v>
      </c>
      <c r="C237" t="s">
        <v>290</v>
      </c>
      <c r="D237" s="1">
        <f>6361+3+16+2+3+3+28</f>
        <v>6416</v>
      </c>
      <c r="E237" s="1">
        <f>1648+5</f>
        <v>1653</v>
      </c>
      <c r="F237" s="1">
        <v>0</v>
      </c>
      <c r="G237" s="1">
        <f>18225+7+33+19+5+15+142+2+1+7+675</f>
        <v>19131</v>
      </c>
      <c r="H237" s="1">
        <f>58+230</f>
        <v>288</v>
      </c>
      <c r="I237" s="1">
        <v>0</v>
      </c>
      <c r="J237" s="1">
        <v>0</v>
      </c>
    </row>
    <row r="238" spans="1:10" hidden="1" x14ac:dyDescent="0.25">
      <c r="A238" t="s">
        <v>826</v>
      </c>
      <c r="B238" t="s">
        <v>877</v>
      </c>
      <c r="C238" t="s">
        <v>291</v>
      </c>
      <c r="D238" s="1">
        <f>1768+13+2</f>
        <v>1783</v>
      </c>
      <c r="E238" s="1">
        <v>69</v>
      </c>
      <c r="F238" s="1">
        <v>0</v>
      </c>
      <c r="G238" s="1">
        <f>11913+12+2+12+1+48</f>
        <v>11988</v>
      </c>
      <c r="H238" s="1">
        <v>80</v>
      </c>
      <c r="I238" s="1">
        <v>0</v>
      </c>
      <c r="J238" s="1">
        <v>0</v>
      </c>
    </row>
    <row r="239" spans="1:10" hidden="1" x14ac:dyDescent="0.25">
      <c r="A239" t="s">
        <v>226</v>
      </c>
      <c r="B239" t="s">
        <v>877</v>
      </c>
      <c r="C239" t="s">
        <v>292</v>
      </c>
      <c r="D239" s="1">
        <f>1415+2+1+1</f>
        <v>1419</v>
      </c>
      <c r="E239" s="1">
        <v>29</v>
      </c>
      <c r="F239" s="1">
        <v>0</v>
      </c>
      <c r="G239" s="1">
        <f>16161+7+1+100+119+2+5+2+32</f>
        <v>16429</v>
      </c>
      <c r="H239" s="1">
        <v>91</v>
      </c>
      <c r="I239" s="1">
        <v>0</v>
      </c>
      <c r="J239" s="1">
        <v>0</v>
      </c>
    </row>
    <row r="240" spans="1:10" hidden="1" x14ac:dyDescent="0.25">
      <c r="A240" t="s">
        <v>495</v>
      </c>
      <c r="B240" t="s">
        <v>877</v>
      </c>
      <c r="C240" t="s">
        <v>293</v>
      </c>
      <c r="D240" s="1">
        <f>11208+31</f>
        <v>11239</v>
      </c>
      <c r="E240" s="1">
        <f>4+26+25</f>
        <v>55</v>
      </c>
      <c r="F240" s="1">
        <v>0</v>
      </c>
      <c r="G240" s="1">
        <f>11580+4+8+143</f>
        <v>11735</v>
      </c>
      <c r="H240" s="1">
        <f>1+5+47</f>
        <v>53</v>
      </c>
      <c r="I240" s="1">
        <v>0</v>
      </c>
      <c r="J240" s="1">
        <v>0</v>
      </c>
    </row>
    <row r="241" spans="1:10" hidden="1" x14ac:dyDescent="0.25">
      <c r="A241" t="s">
        <v>248</v>
      </c>
      <c r="B241" t="s">
        <v>877</v>
      </c>
      <c r="C241" t="s">
        <v>294</v>
      </c>
      <c r="D241" s="1">
        <v>3632</v>
      </c>
      <c r="E241" s="1">
        <v>30</v>
      </c>
      <c r="F241" s="1">
        <v>0</v>
      </c>
      <c r="G241" s="1">
        <f>16256+7+2+85</f>
        <v>16350</v>
      </c>
      <c r="H241" s="1">
        <f>47+8</f>
        <v>55</v>
      </c>
      <c r="I241" s="1">
        <v>0</v>
      </c>
      <c r="J241" s="1">
        <v>0</v>
      </c>
    </row>
    <row r="242" spans="1:10" hidden="1" x14ac:dyDescent="0.25">
      <c r="A242" t="s">
        <v>865</v>
      </c>
      <c r="B242" t="s">
        <v>877</v>
      </c>
      <c r="C242" t="s">
        <v>295</v>
      </c>
      <c r="D242" s="1">
        <f>1593+10+2</f>
        <v>1605</v>
      </c>
      <c r="E242" s="1">
        <v>28</v>
      </c>
      <c r="F242" s="1">
        <v>0</v>
      </c>
      <c r="G242" s="1">
        <f>25910+6+4+11+2+169</f>
        <v>26102</v>
      </c>
      <c r="H242" s="1">
        <f>74+12+6</f>
        <v>92</v>
      </c>
      <c r="I242" s="1">
        <v>0</v>
      </c>
      <c r="J242" s="1">
        <v>0</v>
      </c>
    </row>
    <row r="243" spans="1:10" hidden="1" x14ac:dyDescent="0.25">
      <c r="A243" t="s">
        <v>831</v>
      </c>
      <c r="B243" t="s">
        <v>877</v>
      </c>
      <c r="C243" t="s">
        <v>296</v>
      </c>
      <c r="D243" s="1">
        <f>1599+1+2+5+13</f>
        <v>1620</v>
      </c>
      <c r="E243" s="1">
        <v>13</v>
      </c>
      <c r="F243" s="1">
        <v>0</v>
      </c>
      <c r="G243" s="1">
        <f>23246+9+5+1+32+57+255</f>
        <v>23605</v>
      </c>
      <c r="H243" s="1">
        <f>59+2</f>
        <v>61</v>
      </c>
      <c r="I243" s="1">
        <v>0</v>
      </c>
      <c r="J243" s="1">
        <v>0</v>
      </c>
    </row>
    <row r="244" spans="1:10" hidden="1" x14ac:dyDescent="0.25">
      <c r="A244" t="s">
        <v>818</v>
      </c>
      <c r="B244" t="s">
        <v>877</v>
      </c>
      <c r="C244" t="s">
        <v>297</v>
      </c>
      <c r="D244" s="1">
        <f>6261+47+1</f>
        <v>6309</v>
      </c>
      <c r="E244" s="1">
        <v>0</v>
      </c>
      <c r="F244" s="1">
        <v>0</v>
      </c>
      <c r="G244" s="1">
        <f>16974+10+196+1+1+30</f>
        <v>17212</v>
      </c>
      <c r="H244" s="1">
        <f>2+1+51</f>
        <v>54</v>
      </c>
      <c r="I244" s="1">
        <v>0</v>
      </c>
      <c r="J244" s="1">
        <v>0</v>
      </c>
    </row>
    <row r="245" spans="1:10" hidden="1" x14ac:dyDescent="0.25">
      <c r="A245" t="s">
        <v>811</v>
      </c>
      <c r="B245" t="s">
        <v>877</v>
      </c>
      <c r="C245" t="s">
        <v>298</v>
      </c>
      <c r="D245" s="1">
        <f>14917+2+44+10+1+1+1+71</f>
        <v>15047</v>
      </c>
      <c r="E245" s="1">
        <f>293+4</f>
        <v>297</v>
      </c>
      <c r="F245" s="1">
        <v>0</v>
      </c>
      <c r="G245" s="1">
        <f>13364+4+13+308+22+3+8+1+1+209</f>
        <v>13933</v>
      </c>
      <c r="H245" s="1">
        <f>196+8</f>
        <v>204</v>
      </c>
      <c r="I245" s="1">
        <v>0</v>
      </c>
      <c r="J245" s="1">
        <v>0</v>
      </c>
    </row>
    <row r="246" spans="1:10" hidden="1" x14ac:dyDescent="0.25">
      <c r="A246" t="s">
        <v>72</v>
      </c>
      <c r="B246" t="s">
        <v>877</v>
      </c>
      <c r="C246" t="s">
        <v>299</v>
      </c>
      <c r="D246" s="1">
        <f>3092+510</f>
        <v>3602</v>
      </c>
      <c r="E246" s="1">
        <v>0</v>
      </c>
      <c r="F246" s="1">
        <v>0</v>
      </c>
      <c r="G246" s="1">
        <f>14788+1+4+1037+16</f>
        <v>15846</v>
      </c>
      <c r="H246" s="1">
        <f>106+1</f>
        <v>107</v>
      </c>
      <c r="I246" s="1">
        <v>0</v>
      </c>
      <c r="J246" s="1">
        <v>0</v>
      </c>
    </row>
    <row r="247" spans="1:10" hidden="1" x14ac:dyDescent="0.25">
      <c r="A247" t="s">
        <v>67</v>
      </c>
      <c r="B247" t="s">
        <v>877</v>
      </c>
      <c r="C247" t="s">
        <v>300</v>
      </c>
      <c r="D247" s="1">
        <v>2740</v>
      </c>
      <c r="E247" s="1">
        <v>0</v>
      </c>
      <c r="F247" s="1">
        <v>0</v>
      </c>
      <c r="G247" s="1">
        <f>7041+5</f>
        <v>7046</v>
      </c>
      <c r="H247" s="1">
        <v>8</v>
      </c>
      <c r="I247" s="1">
        <v>0</v>
      </c>
      <c r="J247" s="1">
        <v>0</v>
      </c>
    </row>
    <row r="248" spans="1:10" hidden="1" x14ac:dyDescent="0.25">
      <c r="A248" t="s">
        <v>798</v>
      </c>
      <c r="B248" t="s">
        <v>877</v>
      </c>
      <c r="C248" t="s">
        <v>301</v>
      </c>
      <c r="D248" s="1">
        <v>3636</v>
      </c>
      <c r="E248" s="1">
        <v>26</v>
      </c>
      <c r="F248" s="1">
        <v>0</v>
      </c>
      <c r="G248" s="1">
        <f>23027+1</f>
        <v>23028</v>
      </c>
      <c r="H248" s="1">
        <f>152+1+1</f>
        <v>154</v>
      </c>
      <c r="I248" s="1">
        <v>0</v>
      </c>
      <c r="J248" s="1">
        <v>0</v>
      </c>
    </row>
    <row r="249" spans="1:10" x14ac:dyDescent="0.25">
      <c r="A249" t="s">
        <v>824</v>
      </c>
      <c r="B249" t="s">
        <v>877</v>
      </c>
      <c r="C249" t="s">
        <v>302</v>
      </c>
      <c r="D249" s="1">
        <f>10877+1+1026+86</f>
        <v>11990</v>
      </c>
      <c r="E249" s="1">
        <v>18</v>
      </c>
      <c r="F249" s="1">
        <v>0</v>
      </c>
      <c r="G249" s="1">
        <f>41080+3+7+3+2472+15+1+1+772</f>
        <v>44354</v>
      </c>
      <c r="H249" s="1">
        <f>46+14</f>
        <v>60</v>
      </c>
      <c r="I249" s="1">
        <v>0</v>
      </c>
      <c r="J249" s="1">
        <v>0</v>
      </c>
    </row>
    <row r="250" spans="1:10" hidden="1" x14ac:dyDescent="0.25">
      <c r="A250" t="s">
        <v>788</v>
      </c>
      <c r="B250" t="s">
        <v>877</v>
      </c>
      <c r="C250" t="s">
        <v>303</v>
      </c>
      <c r="D250" s="1">
        <v>2901</v>
      </c>
      <c r="E250" s="1">
        <f>4+2</f>
        <v>6</v>
      </c>
      <c r="F250" s="1">
        <v>0</v>
      </c>
      <c r="G250" s="1">
        <f>19074+11+57+31</f>
        <v>19173</v>
      </c>
      <c r="H250" s="1">
        <f>15+73+5</f>
        <v>93</v>
      </c>
      <c r="I250" s="1">
        <v>0</v>
      </c>
      <c r="J250" s="1">
        <v>0</v>
      </c>
    </row>
    <row r="251" spans="1:10" hidden="1" x14ac:dyDescent="0.25">
      <c r="A251" t="s">
        <v>120</v>
      </c>
      <c r="B251" t="s">
        <v>877</v>
      </c>
      <c r="C251" t="s">
        <v>304</v>
      </c>
      <c r="D251" s="1">
        <f>5468+23</f>
        <v>5491</v>
      </c>
      <c r="E251" s="1">
        <v>5</v>
      </c>
      <c r="F251" s="1">
        <v>0</v>
      </c>
      <c r="G251" s="1">
        <f>37850+4+1+52+967+1+1+1+9</f>
        <v>38886</v>
      </c>
      <c r="H251" s="1">
        <v>49</v>
      </c>
      <c r="I251" s="1">
        <v>0</v>
      </c>
      <c r="J251" s="1">
        <v>0</v>
      </c>
    </row>
    <row r="252" spans="1:10" hidden="1" x14ac:dyDescent="0.25">
      <c r="A252" t="s">
        <v>229</v>
      </c>
      <c r="B252" t="s">
        <v>877</v>
      </c>
      <c r="C252" t="s">
        <v>306</v>
      </c>
      <c r="D252" s="1">
        <f>5478+10+1+21+1</f>
        <v>5511</v>
      </c>
      <c r="E252" s="1">
        <v>0</v>
      </c>
      <c r="F252" s="1">
        <v>0</v>
      </c>
      <c r="G252" s="1">
        <f>12699+25+33+98+2</f>
        <v>12857</v>
      </c>
      <c r="H252" s="1">
        <v>59</v>
      </c>
      <c r="I252" s="1">
        <v>0</v>
      </c>
      <c r="J252" s="1">
        <v>0</v>
      </c>
    </row>
    <row r="253" spans="1:10" hidden="1" x14ac:dyDescent="0.25">
      <c r="A253" t="s">
        <v>512</v>
      </c>
      <c r="B253" t="s">
        <v>877</v>
      </c>
      <c r="C253" t="s">
        <v>307</v>
      </c>
      <c r="D253" s="1">
        <f>1032+4</f>
        <v>1036</v>
      </c>
      <c r="E253" s="1">
        <v>9</v>
      </c>
      <c r="F253" s="1">
        <v>0</v>
      </c>
      <c r="G253" s="1">
        <f>13032+13+8</f>
        <v>13053</v>
      </c>
      <c r="H253" s="1">
        <f>39+4</f>
        <v>43</v>
      </c>
      <c r="I253" s="1">
        <v>0</v>
      </c>
      <c r="J253" s="1">
        <v>0</v>
      </c>
    </row>
    <row r="254" spans="1:10" hidden="1" x14ac:dyDescent="0.25">
      <c r="A254" t="s">
        <v>791</v>
      </c>
      <c r="B254" t="s">
        <v>877</v>
      </c>
      <c r="C254" t="s">
        <v>308</v>
      </c>
      <c r="D254" s="1">
        <f>1526+3+6+1+22</f>
        <v>1558</v>
      </c>
      <c r="E254" s="1">
        <v>0</v>
      </c>
      <c r="F254" s="1">
        <v>0</v>
      </c>
      <c r="G254" s="1">
        <f>9179+1+1+12+2+378</f>
        <v>9573</v>
      </c>
      <c r="H254" s="1">
        <v>25</v>
      </c>
      <c r="I254" s="1">
        <v>0</v>
      </c>
      <c r="J254" s="1">
        <v>0</v>
      </c>
    </row>
    <row r="255" spans="1:10" hidden="1" x14ac:dyDescent="0.25">
      <c r="A255" t="s">
        <v>841</v>
      </c>
      <c r="B255" t="s">
        <v>877</v>
      </c>
      <c r="C255" t="s">
        <v>309</v>
      </c>
      <c r="D255" s="1">
        <f>6248+2</f>
        <v>6250</v>
      </c>
      <c r="E255" s="1">
        <v>3</v>
      </c>
      <c r="F255" s="1">
        <v>0</v>
      </c>
      <c r="G255" s="1">
        <f>48250+25+10+2+1+4</f>
        <v>48292</v>
      </c>
      <c r="H255" s="1">
        <f>7+20</f>
        <v>27</v>
      </c>
      <c r="I255" s="1">
        <v>0</v>
      </c>
      <c r="J255" s="1">
        <v>0</v>
      </c>
    </row>
    <row r="256" spans="1:10" hidden="1" x14ac:dyDescent="0.25">
      <c r="A256" t="s">
        <v>831</v>
      </c>
      <c r="B256" t="s">
        <v>877</v>
      </c>
      <c r="C256" t="s">
        <v>310</v>
      </c>
      <c r="D256" s="1">
        <v>488</v>
      </c>
      <c r="E256" s="1">
        <v>0</v>
      </c>
      <c r="F256" s="1">
        <v>0</v>
      </c>
      <c r="G256" s="1">
        <f>4074+4</f>
        <v>4078</v>
      </c>
      <c r="H256" s="1">
        <f>10+2</f>
        <v>12</v>
      </c>
      <c r="I256" s="1">
        <v>0</v>
      </c>
      <c r="J256" s="1">
        <v>0</v>
      </c>
    </row>
    <row r="257" spans="1:10" hidden="1" x14ac:dyDescent="0.25">
      <c r="A257" t="s">
        <v>864</v>
      </c>
      <c r="B257" t="s">
        <v>877</v>
      </c>
      <c r="C257" t="s">
        <v>311</v>
      </c>
      <c r="D257" s="1">
        <f>2401+13</f>
        <v>2414</v>
      </c>
      <c r="E257" s="1">
        <v>0</v>
      </c>
      <c r="F257" s="1">
        <v>0</v>
      </c>
      <c r="G257" s="1">
        <f>13317+2+78+15+56</f>
        <v>13468</v>
      </c>
      <c r="H257" s="1">
        <v>2</v>
      </c>
      <c r="I257" s="1">
        <v>0</v>
      </c>
      <c r="J257" s="1">
        <v>0</v>
      </c>
    </row>
    <row r="258" spans="1:10" hidden="1" x14ac:dyDescent="0.25">
      <c r="A258" t="s">
        <v>838</v>
      </c>
      <c r="B258" t="s">
        <v>877</v>
      </c>
      <c r="C258" t="s">
        <v>312</v>
      </c>
      <c r="D258" s="1">
        <f>15094+29</f>
        <v>15123</v>
      </c>
      <c r="E258" s="1">
        <v>25</v>
      </c>
      <c r="F258" s="1">
        <v>0</v>
      </c>
      <c r="G258" s="1">
        <v>2049</v>
      </c>
      <c r="H258" s="1">
        <v>0</v>
      </c>
      <c r="I258" s="1">
        <v>0</v>
      </c>
      <c r="J258" s="1">
        <v>0</v>
      </c>
    </row>
    <row r="259" spans="1:10" hidden="1" x14ac:dyDescent="0.25">
      <c r="A259" t="s">
        <v>794</v>
      </c>
      <c r="B259" t="s">
        <v>877</v>
      </c>
      <c r="C259" t="s">
        <v>313</v>
      </c>
      <c r="D259" s="1">
        <f>6206+1</f>
        <v>6207</v>
      </c>
      <c r="E259" s="1">
        <v>0</v>
      </c>
      <c r="F259" s="1">
        <v>0</v>
      </c>
      <c r="G259" s="1">
        <f>14038+8+56+2+354</f>
        <v>14458</v>
      </c>
      <c r="H259" s="1">
        <f>285+6</f>
        <v>291</v>
      </c>
      <c r="I259" s="1">
        <v>0</v>
      </c>
      <c r="J259" s="1">
        <v>0</v>
      </c>
    </row>
    <row r="260" spans="1:10" hidden="1" x14ac:dyDescent="0.25">
      <c r="A260" t="s">
        <v>830</v>
      </c>
      <c r="B260" t="s">
        <v>877</v>
      </c>
      <c r="C260" t="s">
        <v>314</v>
      </c>
      <c r="D260" s="1">
        <f>3467+32+3</f>
        <v>3502</v>
      </c>
      <c r="E260" s="1">
        <f>14+505</f>
        <v>519</v>
      </c>
      <c r="F260" s="1">
        <v>0</v>
      </c>
      <c r="G260" s="1">
        <f>3579+4+167+26</f>
        <v>3776</v>
      </c>
      <c r="H260" s="1">
        <f>49+39+6</f>
        <v>94</v>
      </c>
      <c r="I260" s="1">
        <v>0</v>
      </c>
      <c r="J260" s="1">
        <v>0</v>
      </c>
    </row>
    <row r="261" spans="1:10" hidden="1" x14ac:dyDescent="0.25">
      <c r="A261" t="s">
        <v>844</v>
      </c>
      <c r="B261" t="s">
        <v>877</v>
      </c>
      <c r="C261" t="s">
        <v>315</v>
      </c>
      <c r="D261" s="1">
        <v>1289</v>
      </c>
      <c r="E261" s="1">
        <v>8</v>
      </c>
      <c r="F261" s="1">
        <v>0</v>
      </c>
      <c r="G261" s="1">
        <v>7527</v>
      </c>
      <c r="H261" s="1">
        <v>19</v>
      </c>
      <c r="I261" s="1">
        <v>0</v>
      </c>
      <c r="J261" s="1">
        <v>0</v>
      </c>
    </row>
    <row r="262" spans="1:10" hidden="1" x14ac:dyDescent="0.25">
      <c r="A262" t="s">
        <v>836</v>
      </c>
      <c r="B262" t="s">
        <v>877</v>
      </c>
      <c r="C262" t="s">
        <v>316</v>
      </c>
      <c r="D262" s="1">
        <f>1973+14</f>
        <v>1987</v>
      </c>
      <c r="E262" s="1">
        <v>0</v>
      </c>
      <c r="F262" s="1">
        <v>0</v>
      </c>
      <c r="G262" s="1">
        <f>9596+1+632+3</f>
        <v>10232</v>
      </c>
      <c r="H262" s="1">
        <v>18</v>
      </c>
      <c r="I262" s="1">
        <v>0</v>
      </c>
      <c r="J262" s="1">
        <v>0</v>
      </c>
    </row>
    <row r="263" spans="1:10" hidden="1" x14ac:dyDescent="0.25">
      <c r="A263" t="s">
        <v>845</v>
      </c>
      <c r="B263" t="s">
        <v>877</v>
      </c>
      <c r="C263" t="s">
        <v>317</v>
      </c>
      <c r="D263" s="1">
        <f>9454+1+119+2</f>
        <v>9576</v>
      </c>
      <c r="E263" s="1">
        <v>3</v>
      </c>
      <c r="F263" s="1">
        <v>0</v>
      </c>
      <c r="G263" s="1">
        <f>5618+146+10+1</f>
        <v>5775</v>
      </c>
      <c r="H263" s="1">
        <f>28+14</f>
        <v>42</v>
      </c>
      <c r="I263" s="1">
        <v>0</v>
      </c>
      <c r="J263" s="1">
        <v>0</v>
      </c>
    </row>
    <row r="264" spans="1:10" hidden="1" x14ac:dyDescent="0.25">
      <c r="A264" t="s">
        <v>846</v>
      </c>
      <c r="B264" t="s">
        <v>877</v>
      </c>
      <c r="C264" t="s">
        <v>318</v>
      </c>
      <c r="D264" s="1">
        <f>2688+28</f>
        <v>2716</v>
      </c>
      <c r="E264" s="1">
        <v>13</v>
      </c>
      <c r="F264" s="1">
        <v>0</v>
      </c>
      <c r="G264" s="1">
        <f>6464+31</f>
        <v>6495</v>
      </c>
      <c r="H264" s="1">
        <v>6</v>
      </c>
      <c r="I264" s="1">
        <v>0</v>
      </c>
      <c r="J264" s="1">
        <v>0</v>
      </c>
    </row>
    <row r="265" spans="1:10" hidden="1" x14ac:dyDescent="0.25">
      <c r="A265" t="s">
        <v>804</v>
      </c>
      <c r="B265" t="s">
        <v>877</v>
      </c>
      <c r="C265" t="s">
        <v>319</v>
      </c>
      <c r="D265" s="1">
        <f>7602+2</f>
        <v>7604</v>
      </c>
      <c r="E265" s="1">
        <v>23</v>
      </c>
      <c r="F265" s="1">
        <v>0</v>
      </c>
      <c r="G265" s="1">
        <f>20578+2+1+4+10</f>
        <v>20595</v>
      </c>
      <c r="H265" s="1">
        <v>55</v>
      </c>
      <c r="I265" s="1">
        <v>0</v>
      </c>
      <c r="J265" s="1">
        <v>0</v>
      </c>
    </row>
    <row r="266" spans="1:10" hidden="1" x14ac:dyDescent="0.25">
      <c r="A266" t="s">
        <v>809</v>
      </c>
      <c r="B266" t="s">
        <v>877</v>
      </c>
      <c r="C266" t="s">
        <v>320</v>
      </c>
      <c r="D266" s="1">
        <f>12422+1+2</f>
        <v>12425</v>
      </c>
      <c r="E266" s="1">
        <v>10</v>
      </c>
      <c r="F266" s="1">
        <v>0</v>
      </c>
      <c r="G266" s="1">
        <f>13174+8+9+1+389</f>
        <v>13581</v>
      </c>
      <c r="H266" s="1">
        <f>39+14+4+2</f>
        <v>59</v>
      </c>
      <c r="I266" s="1">
        <v>0</v>
      </c>
      <c r="J266" s="1">
        <v>0</v>
      </c>
    </row>
    <row r="267" spans="1:10" hidden="1" x14ac:dyDescent="0.25">
      <c r="A267" t="s">
        <v>801</v>
      </c>
      <c r="B267" t="s">
        <v>877</v>
      </c>
      <c r="C267" t="s">
        <v>321</v>
      </c>
      <c r="D267" s="1">
        <f>8864+2+31+1+1</f>
        <v>8899</v>
      </c>
      <c r="E267" s="1">
        <f>51+4</f>
        <v>55</v>
      </c>
      <c r="F267" s="1">
        <v>0</v>
      </c>
      <c r="G267" s="1">
        <f>29351+1+14+1+1+1+59+12+16+4+27</f>
        <v>29487</v>
      </c>
      <c r="H267" s="1">
        <f>394+19+4</f>
        <v>417</v>
      </c>
      <c r="I267" s="1">
        <v>0</v>
      </c>
      <c r="J267" s="1">
        <v>0</v>
      </c>
    </row>
    <row r="268" spans="1:10" hidden="1" x14ac:dyDescent="0.25">
      <c r="A268" t="s">
        <v>138</v>
      </c>
      <c r="B268" t="s">
        <v>877</v>
      </c>
      <c r="C268" t="s">
        <v>322</v>
      </c>
      <c r="D268" s="1">
        <f>14387+3+2</f>
        <v>14392</v>
      </c>
      <c r="E268" s="1">
        <v>35</v>
      </c>
      <c r="F268" s="1">
        <v>0</v>
      </c>
      <c r="G268" s="1">
        <f>86912+4+5+17+2+2+1+1+424</f>
        <v>87368</v>
      </c>
      <c r="H268" s="1">
        <f>369+20+22</f>
        <v>411</v>
      </c>
      <c r="I268" s="1">
        <v>0</v>
      </c>
      <c r="J268" s="1">
        <v>0</v>
      </c>
    </row>
    <row r="269" spans="1:10" hidden="1" x14ac:dyDescent="0.25">
      <c r="A269" t="s">
        <v>83</v>
      </c>
      <c r="B269" t="s">
        <v>877</v>
      </c>
      <c r="C269" t="s">
        <v>323</v>
      </c>
      <c r="D269" s="1">
        <f>16539+1+133+5</f>
        <v>16678</v>
      </c>
      <c r="E269" s="1">
        <f>39+21</f>
        <v>60</v>
      </c>
      <c r="F269" s="1">
        <v>0</v>
      </c>
      <c r="G269" s="1">
        <f>10099+147+1+201</f>
        <v>10448</v>
      </c>
      <c r="H269" s="1">
        <f>111+4+11</f>
        <v>126</v>
      </c>
      <c r="I269" s="1">
        <v>0</v>
      </c>
      <c r="J269" s="1">
        <v>0</v>
      </c>
    </row>
    <row r="270" spans="1:10" hidden="1" x14ac:dyDescent="0.25">
      <c r="A270" t="s">
        <v>825</v>
      </c>
      <c r="B270" t="s">
        <v>877</v>
      </c>
      <c r="C270" t="s">
        <v>324</v>
      </c>
      <c r="D270" s="1">
        <f>3958+223</f>
        <v>4181</v>
      </c>
      <c r="E270" s="1">
        <v>31</v>
      </c>
      <c r="F270" s="1">
        <v>0</v>
      </c>
      <c r="G270" s="1">
        <f>11902+3+1+1907+12</f>
        <v>13825</v>
      </c>
      <c r="H270" s="1">
        <f>194+6</f>
        <v>200</v>
      </c>
      <c r="I270" s="1">
        <v>0</v>
      </c>
      <c r="J270" s="1">
        <v>0</v>
      </c>
    </row>
    <row r="271" spans="1:10" hidden="1" x14ac:dyDescent="0.25">
      <c r="A271" t="s">
        <v>248</v>
      </c>
      <c r="B271" t="s">
        <v>877</v>
      </c>
      <c r="C271" t="s">
        <v>325</v>
      </c>
      <c r="D271" s="1">
        <f>1728+1+1+1+19</f>
        <v>1750</v>
      </c>
      <c r="E271" s="1">
        <v>0</v>
      </c>
      <c r="F271" s="1">
        <v>0</v>
      </c>
      <c r="G271" s="1">
        <f>8093+18</f>
        <v>8111</v>
      </c>
      <c r="H271" s="1">
        <v>45</v>
      </c>
      <c r="I271" s="1">
        <v>0</v>
      </c>
      <c r="J271" s="1">
        <v>0</v>
      </c>
    </row>
    <row r="272" spans="1:10" hidden="1" x14ac:dyDescent="0.25">
      <c r="A272" t="s">
        <v>83</v>
      </c>
      <c r="B272" t="s">
        <v>877</v>
      </c>
      <c r="C272" t="s">
        <v>326</v>
      </c>
      <c r="D272" s="1">
        <v>1209</v>
      </c>
      <c r="E272" s="1">
        <v>0</v>
      </c>
      <c r="F272" s="1">
        <v>0</v>
      </c>
      <c r="G272" s="1">
        <f>6015+122</f>
        <v>6137</v>
      </c>
      <c r="H272" s="1">
        <f>38+2</f>
        <v>40</v>
      </c>
      <c r="I272" s="1">
        <v>0</v>
      </c>
      <c r="J272" s="1">
        <v>0</v>
      </c>
    </row>
    <row r="273" spans="1:10" hidden="1" x14ac:dyDescent="0.25">
      <c r="A273" t="s">
        <v>795</v>
      </c>
      <c r="B273" t="s">
        <v>877</v>
      </c>
      <c r="C273" t="s">
        <v>327</v>
      </c>
      <c r="D273" s="1">
        <v>6996</v>
      </c>
      <c r="E273" s="1">
        <v>2</v>
      </c>
      <c r="F273" s="1">
        <v>0</v>
      </c>
      <c r="G273" s="1">
        <v>1748</v>
      </c>
      <c r="H273" s="1">
        <v>52</v>
      </c>
      <c r="I273" s="1">
        <v>0</v>
      </c>
      <c r="J273" s="1">
        <v>0</v>
      </c>
    </row>
    <row r="274" spans="1:10" hidden="1" x14ac:dyDescent="0.25">
      <c r="A274" t="s">
        <v>76</v>
      </c>
      <c r="B274" t="s">
        <v>877</v>
      </c>
      <c r="C274" t="s">
        <v>329</v>
      </c>
      <c r="D274" s="1">
        <f>5120+33+4+1</f>
        <v>5158</v>
      </c>
      <c r="E274" s="1">
        <f>21+19</f>
        <v>40</v>
      </c>
      <c r="F274" s="1">
        <v>0</v>
      </c>
      <c r="G274" s="1">
        <f>30044+28+1+2+1+2+541</f>
        <v>30619</v>
      </c>
      <c r="H274" s="1">
        <f>559+47+8</f>
        <v>614</v>
      </c>
      <c r="I274" s="1">
        <v>0</v>
      </c>
      <c r="J274" s="1">
        <v>0</v>
      </c>
    </row>
    <row r="275" spans="1:10" hidden="1" x14ac:dyDescent="0.25">
      <c r="A275" t="s">
        <v>809</v>
      </c>
      <c r="B275" t="s">
        <v>877</v>
      </c>
      <c r="C275" t="s">
        <v>330</v>
      </c>
      <c r="D275" s="1">
        <f>8768+1+2+1+1+11+4+4+276</f>
        <v>9068</v>
      </c>
      <c r="E275" s="1">
        <f>657+72</f>
        <v>729</v>
      </c>
      <c r="F275" s="1">
        <v>0</v>
      </c>
      <c r="G275" s="1">
        <f>45683+1+2+7+1+34+2+2+4+527</f>
        <v>46263</v>
      </c>
      <c r="H275" s="1">
        <f>799+2+1</f>
        <v>802</v>
      </c>
      <c r="I275" s="1">
        <v>0</v>
      </c>
      <c r="J275" s="1">
        <v>0</v>
      </c>
    </row>
    <row r="276" spans="1:10" hidden="1" x14ac:dyDescent="0.25">
      <c r="A276" t="s">
        <v>839</v>
      </c>
      <c r="B276" t="s">
        <v>877</v>
      </c>
      <c r="C276" t="s">
        <v>331</v>
      </c>
      <c r="D276" s="1">
        <f>2476+14</f>
        <v>2490</v>
      </c>
      <c r="E276" s="1">
        <v>2</v>
      </c>
      <c r="F276" s="1">
        <v>0</v>
      </c>
      <c r="G276" s="1">
        <f>10978+6+10+79</f>
        <v>11073</v>
      </c>
      <c r="H276" s="1">
        <f>22+7</f>
        <v>29</v>
      </c>
      <c r="I276" s="1">
        <v>0</v>
      </c>
      <c r="J276" s="1">
        <v>0</v>
      </c>
    </row>
    <row r="277" spans="1:10" hidden="1" x14ac:dyDescent="0.25">
      <c r="A277" t="s">
        <v>248</v>
      </c>
      <c r="B277" t="s">
        <v>877</v>
      </c>
      <c r="C277" t="s">
        <v>332</v>
      </c>
      <c r="D277" s="1">
        <f>8081+5+2</f>
        <v>8088</v>
      </c>
      <c r="E277" s="1">
        <v>0</v>
      </c>
      <c r="F277" s="1">
        <v>0</v>
      </c>
      <c r="G277" s="1">
        <f>16086+2+275+3+84+5+37</f>
        <v>16492</v>
      </c>
      <c r="H277" s="1">
        <v>104</v>
      </c>
      <c r="I277" s="1">
        <v>0</v>
      </c>
      <c r="J277" s="1">
        <v>0</v>
      </c>
    </row>
    <row r="278" spans="1:10" hidden="1" x14ac:dyDescent="0.25">
      <c r="A278" t="s">
        <v>862</v>
      </c>
      <c r="B278" t="s">
        <v>877</v>
      </c>
      <c r="C278" t="s">
        <v>333</v>
      </c>
      <c r="D278" s="1">
        <v>569</v>
      </c>
      <c r="E278" s="1">
        <v>0</v>
      </c>
      <c r="F278" s="1">
        <v>0</v>
      </c>
      <c r="G278" s="1">
        <v>8242</v>
      </c>
      <c r="H278" s="1">
        <v>0</v>
      </c>
      <c r="I278" s="1">
        <v>0</v>
      </c>
      <c r="J278" s="1">
        <v>0</v>
      </c>
    </row>
    <row r="279" spans="1:10" hidden="1" x14ac:dyDescent="0.25">
      <c r="A279" t="s">
        <v>857</v>
      </c>
      <c r="B279" t="s">
        <v>877</v>
      </c>
      <c r="C279" t="s">
        <v>334</v>
      </c>
      <c r="D279" s="1">
        <v>7359</v>
      </c>
      <c r="E279" s="1">
        <v>0</v>
      </c>
      <c r="F279" s="1">
        <v>0</v>
      </c>
      <c r="G279" s="1">
        <v>2827</v>
      </c>
      <c r="H279" s="1">
        <v>0</v>
      </c>
      <c r="I279" s="1">
        <v>0</v>
      </c>
      <c r="J279" s="1">
        <v>0</v>
      </c>
    </row>
    <row r="280" spans="1:10" hidden="1" x14ac:dyDescent="0.25">
      <c r="A280" t="s">
        <v>265</v>
      </c>
      <c r="B280" t="s">
        <v>877</v>
      </c>
      <c r="C280" t="s">
        <v>335</v>
      </c>
      <c r="D280" s="1">
        <f>6497+2</f>
        <v>6499</v>
      </c>
      <c r="E280" s="1">
        <v>0</v>
      </c>
      <c r="F280" s="1">
        <v>0</v>
      </c>
      <c r="G280" s="1">
        <f>22576+1+10+13+6</f>
        <v>22606</v>
      </c>
      <c r="H280" s="1">
        <f>37+13</f>
        <v>50</v>
      </c>
      <c r="I280" s="1">
        <v>0</v>
      </c>
      <c r="J280" s="1">
        <v>0</v>
      </c>
    </row>
    <row r="281" spans="1:10" hidden="1" x14ac:dyDescent="0.25">
      <c r="A281" t="s">
        <v>855</v>
      </c>
      <c r="B281" t="s">
        <v>877</v>
      </c>
      <c r="C281" t="s">
        <v>336</v>
      </c>
      <c r="D281" s="1">
        <f>3326+78</f>
        <v>3404</v>
      </c>
      <c r="E281" s="1">
        <f>23+46</f>
        <v>69</v>
      </c>
      <c r="F281" s="1">
        <v>0</v>
      </c>
      <c r="G281" s="1">
        <f>11560+81</f>
        <v>11641</v>
      </c>
      <c r="H281" s="1">
        <v>17</v>
      </c>
      <c r="I281" s="1">
        <v>0</v>
      </c>
      <c r="J281" s="1">
        <v>0</v>
      </c>
    </row>
    <row r="282" spans="1:10" hidden="1" x14ac:dyDescent="0.25">
      <c r="A282" t="s">
        <v>868</v>
      </c>
      <c r="B282" t="s">
        <v>877</v>
      </c>
      <c r="C282" t="s">
        <v>337</v>
      </c>
      <c r="D282" s="1">
        <f>7551+1+39+23+21</f>
        <v>7635</v>
      </c>
      <c r="E282" s="1">
        <v>51</v>
      </c>
      <c r="F282" s="1">
        <v>0</v>
      </c>
      <c r="G282" s="1">
        <f>38377+2+11+507+29+3+1+1+3+2+33</f>
        <v>38969</v>
      </c>
      <c r="H282" s="1">
        <f>194+10+14+23</f>
        <v>241</v>
      </c>
      <c r="I282" s="1">
        <v>0</v>
      </c>
      <c r="J282" s="1">
        <v>0</v>
      </c>
    </row>
    <row r="283" spans="1:10" hidden="1" x14ac:dyDescent="0.25">
      <c r="A283" t="s">
        <v>852</v>
      </c>
      <c r="B283" t="s">
        <v>877</v>
      </c>
      <c r="C283" t="s">
        <v>338</v>
      </c>
      <c r="D283" s="1">
        <f>1118+3</f>
        <v>1121</v>
      </c>
      <c r="E283" s="1">
        <v>1</v>
      </c>
      <c r="F283" s="1">
        <v>0</v>
      </c>
      <c r="G283" s="1">
        <f>12188+2+26+29</f>
        <v>12245</v>
      </c>
      <c r="H283" s="1">
        <f>29+2</f>
        <v>31</v>
      </c>
      <c r="I283" s="1">
        <v>0</v>
      </c>
      <c r="J283" s="1">
        <v>0</v>
      </c>
    </row>
    <row r="284" spans="1:10" hidden="1" x14ac:dyDescent="0.25">
      <c r="A284" t="s">
        <v>860</v>
      </c>
      <c r="B284" t="s">
        <v>877</v>
      </c>
      <c r="C284" t="s">
        <v>339</v>
      </c>
      <c r="D284" s="1">
        <f>5542+4+24</f>
        <v>5570</v>
      </c>
      <c r="E284" s="1">
        <v>0</v>
      </c>
      <c r="F284" s="1">
        <v>0</v>
      </c>
      <c r="G284" s="1">
        <f>5125+1+1+2+3</f>
        <v>5132</v>
      </c>
      <c r="H284" s="1">
        <f>3+74</f>
        <v>77</v>
      </c>
      <c r="I284" s="1">
        <v>0</v>
      </c>
      <c r="J284" s="1">
        <v>0</v>
      </c>
    </row>
    <row r="285" spans="1:10" hidden="1" x14ac:dyDescent="0.25">
      <c r="A285" t="s">
        <v>861</v>
      </c>
      <c r="B285" t="s">
        <v>877</v>
      </c>
      <c r="C285" t="s">
        <v>340</v>
      </c>
      <c r="D285" s="1">
        <v>1595</v>
      </c>
      <c r="E285" s="1">
        <v>0</v>
      </c>
      <c r="F285" s="1">
        <v>0</v>
      </c>
      <c r="G285" s="1">
        <f>5638+6</f>
        <v>5644</v>
      </c>
      <c r="H285" s="1">
        <f>6+1</f>
        <v>7</v>
      </c>
      <c r="I285" s="1">
        <v>0</v>
      </c>
      <c r="J285" s="1">
        <v>0</v>
      </c>
    </row>
    <row r="286" spans="1:10" hidden="1" x14ac:dyDescent="0.25">
      <c r="A286" t="s">
        <v>834</v>
      </c>
      <c r="B286" t="s">
        <v>877</v>
      </c>
      <c r="C286" t="s">
        <v>341</v>
      </c>
      <c r="D286" s="1">
        <v>2146</v>
      </c>
      <c r="E286" s="1">
        <v>0</v>
      </c>
      <c r="F286" s="1">
        <v>0</v>
      </c>
      <c r="G286" s="1">
        <v>14733</v>
      </c>
      <c r="H286" s="1">
        <v>6</v>
      </c>
      <c r="I286" s="1">
        <v>0</v>
      </c>
      <c r="J286" s="1">
        <v>0</v>
      </c>
    </row>
    <row r="287" spans="1:10" hidden="1" x14ac:dyDescent="0.25">
      <c r="A287" t="s">
        <v>850</v>
      </c>
      <c r="B287" t="s">
        <v>877</v>
      </c>
      <c r="C287" t="s">
        <v>342</v>
      </c>
      <c r="D287" s="1">
        <f>1385+0</f>
        <v>1385</v>
      </c>
      <c r="E287" s="1">
        <v>16</v>
      </c>
      <c r="F287" s="1">
        <v>0</v>
      </c>
      <c r="G287" s="1">
        <f>3057+38</f>
        <v>3095</v>
      </c>
      <c r="H287" s="1">
        <v>76</v>
      </c>
      <c r="I287" s="1">
        <v>0</v>
      </c>
      <c r="J287" s="1">
        <v>0</v>
      </c>
    </row>
    <row r="288" spans="1:10" hidden="1" x14ac:dyDescent="0.25">
      <c r="A288" t="s">
        <v>801</v>
      </c>
      <c r="B288" t="s">
        <v>877</v>
      </c>
      <c r="C288" t="s">
        <v>343</v>
      </c>
      <c r="D288" s="1">
        <v>1237</v>
      </c>
      <c r="E288" s="1">
        <v>0</v>
      </c>
      <c r="F288" s="1">
        <v>0</v>
      </c>
      <c r="G288" s="1">
        <f>4222+4+19</f>
        <v>4245</v>
      </c>
      <c r="H288" s="1">
        <v>1</v>
      </c>
      <c r="I288" s="1">
        <v>0</v>
      </c>
      <c r="J288" s="1">
        <v>0</v>
      </c>
    </row>
    <row r="289" spans="1:10" hidden="1" x14ac:dyDescent="0.25">
      <c r="A289" t="s">
        <v>138</v>
      </c>
      <c r="B289" t="s">
        <v>877</v>
      </c>
      <c r="C289" t="s">
        <v>344</v>
      </c>
      <c r="D289" s="1">
        <f>10054+10+5</f>
        <v>10069</v>
      </c>
      <c r="E289" s="1">
        <v>2</v>
      </c>
      <c r="F289" s="1">
        <v>0</v>
      </c>
      <c r="G289" s="1">
        <f>43214+4+66+3+119</f>
        <v>43406</v>
      </c>
      <c r="H289" s="1">
        <f>323+2</f>
        <v>325</v>
      </c>
      <c r="I289" s="1">
        <v>0</v>
      </c>
      <c r="J289" s="1">
        <v>0</v>
      </c>
    </row>
    <row r="290" spans="1:10" hidden="1" x14ac:dyDescent="0.25">
      <c r="A290" t="s">
        <v>868</v>
      </c>
      <c r="B290" t="s">
        <v>877</v>
      </c>
      <c r="C290" t="s">
        <v>345</v>
      </c>
      <c r="D290" s="1">
        <f>934+3</f>
        <v>937</v>
      </c>
      <c r="E290" s="1">
        <v>0</v>
      </c>
      <c r="F290" s="1">
        <v>0</v>
      </c>
      <c r="G290" s="1">
        <f>7422+3+4</f>
        <v>7429</v>
      </c>
      <c r="H290" s="1">
        <v>0</v>
      </c>
      <c r="I290" s="1">
        <v>0</v>
      </c>
      <c r="J290" s="1">
        <v>0</v>
      </c>
    </row>
    <row r="291" spans="1:10" hidden="1" x14ac:dyDescent="0.25">
      <c r="A291" t="s">
        <v>69</v>
      </c>
      <c r="B291" t="s">
        <v>877</v>
      </c>
      <c r="C291" t="s">
        <v>346</v>
      </c>
      <c r="D291" s="1">
        <f>7536+2+59+1+7</f>
        <v>7605</v>
      </c>
      <c r="E291" s="1">
        <f>4+1+4</f>
        <v>9</v>
      </c>
      <c r="F291" s="1">
        <v>0</v>
      </c>
      <c r="G291" s="1">
        <f>60080+2+4+2+2+19+63+4+6+181</f>
        <v>60363</v>
      </c>
      <c r="H291" s="1">
        <f>1041+55+17</f>
        <v>1113</v>
      </c>
      <c r="I291" s="1">
        <v>0</v>
      </c>
      <c r="J291" s="1">
        <v>0</v>
      </c>
    </row>
    <row r="292" spans="1:10" hidden="1" x14ac:dyDescent="0.25">
      <c r="A292" t="s">
        <v>83</v>
      </c>
      <c r="B292" t="s">
        <v>877</v>
      </c>
      <c r="C292" t="s">
        <v>347</v>
      </c>
      <c r="D292" s="1">
        <v>31</v>
      </c>
      <c r="E292" s="1">
        <v>0</v>
      </c>
      <c r="F292" s="1">
        <v>0</v>
      </c>
      <c r="G292" s="1">
        <v>16</v>
      </c>
      <c r="H292" s="1">
        <v>0</v>
      </c>
      <c r="I292" s="1">
        <v>0</v>
      </c>
      <c r="J292" s="1">
        <v>0</v>
      </c>
    </row>
    <row r="293" spans="1:10" hidden="1" x14ac:dyDescent="0.25">
      <c r="A293" t="s">
        <v>101</v>
      </c>
      <c r="B293" t="s">
        <v>877</v>
      </c>
      <c r="C293" t="s">
        <v>348</v>
      </c>
      <c r="D293" s="1">
        <v>4978</v>
      </c>
      <c r="E293" s="1">
        <v>42</v>
      </c>
      <c r="F293" s="1">
        <v>0</v>
      </c>
      <c r="G293" s="1">
        <f>21026+1+58+9+81</f>
        <v>21175</v>
      </c>
      <c r="H293" s="1">
        <v>30</v>
      </c>
      <c r="I293" s="1">
        <v>0</v>
      </c>
      <c r="J293" s="1">
        <v>0</v>
      </c>
    </row>
    <row r="294" spans="1:10" hidden="1" x14ac:dyDescent="0.25">
      <c r="A294" t="s">
        <v>797</v>
      </c>
      <c r="B294" t="s">
        <v>877</v>
      </c>
      <c r="C294" t="s">
        <v>349</v>
      </c>
      <c r="D294" s="1">
        <v>604</v>
      </c>
      <c r="E294" s="1">
        <v>0</v>
      </c>
      <c r="F294" s="1">
        <v>0</v>
      </c>
      <c r="G294" s="1">
        <v>9281</v>
      </c>
      <c r="H294" s="1">
        <v>16</v>
      </c>
      <c r="I294" s="1">
        <v>0</v>
      </c>
      <c r="J294" s="1">
        <v>0</v>
      </c>
    </row>
    <row r="295" spans="1:10" hidden="1" x14ac:dyDescent="0.25">
      <c r="A295" t="s">
        <v>811</v>
      </c>
      <c r="B295" t="s">
        <v>877</v>
      </c>
      <c r="C295" t="s">
        <v>350</v>
      </c>
      <c r="D295" s="1">
        <f>8097+18</f>
        <v>8115</v>
      </c>
      <c r="E295" s="1">
        <v>133</v>
      </c>
      <c r="F295" s="1">
        <v>0</v>
      </c>
      <c r="G295" s="1">
        <f>34898+2+47+25</f>
        <v>34972</v>
      </c>
      <c r="H295" s="1">
        <f>127+1+1</f>
        <v>129</v>
      </c>
      <c r="I295" s="1">
        <v>0</v>
      </c>
      <c r="J295" s="1">
        <v>0</v>
      </c>
    </row>
    <row r="296" spans="1:10" hidden="1" x14ac:dyDescent="0.25">
      <c r="A296" t="s">
        <v>837</v>
      </c>
      <c r="B296" t="s">
        <v>877</v>
      </c>
      <c r="C296" t="s">
        <v>351</v>
      </c>
      <c r="D296" s="1">
        <f>3103+3</f>
        <v>3106</v>
      </c>
      <c r="E296" s="1">
        <f>30+2</f>
        <v>32</v>
      </c>
      <c r="F296" s="1">
        <v>0</v>
      </c>
      <c r="G296" s="1">
        <f>11812+1+49+3</f>
        <v>11865</v>
      </c>
      <c r="H296" s="1">
        <f>78+20</f>
        <v>98</v>
      </c>
      <c r="I296" s="1">
        <v>0</v>
      </c>
      <c r="J296" s="1">
        <v>0</v>
      </c>
    </row>
    <row r="297" spans="1:10" x14ac:dyDescent="0.25">
      <c r="A297" t="s">
        <v>824</v>
      </c>
      <c r="B297" t="s">
        <v>877</v>
      </c>
      <c r="C297" t="s">
        <v>352</v>
      </c>
      <c r="D297" s="1">
        <f>2307+65+6</f>
        <v>2378</v>
      </c>
      <c r="E297" s="1">
        <v>0</v>
      </c>
      <c r="F297" s="1">
        <v>0</v>
      </c>
      <c r="G297" s="1">
        <f>11329+353+107</f>
        <v>11789</v>
      </c>
      <c r="H297" s="1">
        <f>4+6</f>
        <v>10</v>
      </c>
      <c r="I297" s="1">
        <v>0</v>
      </c>
      <c r="J297" s="1">
        <v>0</v>
      </c>
    </row>
    <row r="298" spans="1:10" hidden="1" x14ac:dyDescent="0.25">
      <c r="A298" t="s">
        <v>829</v>
      </c>
      <c r="B298" t="s">
        <v>877</v>
      </c>
      <c r="C298" t="s">
        <v>353</v>
      </c>
      <c r="D298" s="1">
        <f>12099+16</f>
        <v>12115</v>
      </c>
      <c r="E298" s="1">
        <v>3</v>
      </c>
      <c r="F298" s="1">
        <v>0</v>
      </c>
      <c r="G298" s="1">
        <f>12687+59+21</f>
        <v>12767</v>
      </c>
      <c r="H298" s="1">
        <v>155</v>
      </c>
      <c r="I298" s="1">
        <v>0</v>
      </c>
      <c r="J298" s="1">
        <v>0</v>
      </c>
    </row>
    <row r="299" spans="1:10" hidden="1" x14ac:dyDescent="0.25">
      <c r="A299" t="s">
        <v>832</v>
      </c>
      <c r="B299" t="s">
        <v>877</v>
      </c>
      <c r="C299" t="s">
        <v>354</v>
      </c>
      <c r="D299" s="1">
        <f>1957+8</f>
        <v>1965</v>
      </c>
      <c r="E299" s="1">
        <v>0</v>
      </c>
      <c r="F299" s="1">
        <v>0</v>
      </c>
      <c r="G299" s="1">
        <f>5452+2+3</f>
        <v>5457</v>
      </c>
      <c r="H299" s="1">
        <f>10+2</f>
        <v>12</v>
      </c>
      <c r="I299" s="1">
        <v>0</v>
      </c>
      <c r="J299" s="1">
        <v>0</v>
      </c>
    </row>
    <row r="300" spans="1:10" hidden="1" x14ac:dyDescent="0.25">
      <c r="A300" t="s">
        <v>833</v>
      </c>
      <c r="B300" t="s">
        <v>877</v>
      </c>
      <c r="C300" t="s">
        <v>355</v>
      </c>
      <c r="D300" s="1"/>
      <c r="E300" s="1"/>
      <c r="F300" s="1"/>
      <c r="G300" s="1"/>
      <c r="H300" s="1"/>
      <c r="I300" s="1"/>
      <c r="J300" s="1"/>
    </row>
    <row r="301" spans="1:10" hidden="1" x14ac:dyDescent="0.25">
      <c r="A301" t="s">
        <v>840</v>
      </c>
      <c r="B301" t="s">
        <v>877</v>
      </c>
      <c r="C301" t="s">
        <v>356</v>
      </c>
      <c r="D301" s="1">
        <v>2631</v>
      </c>
      <c r="E301" s="1">
        <v>36</v>
      </c>
      <c r="F301" s="1">
        <v>0</v>
      </c>
      <c r="G301" s="1">
        <v>15624</v>
      </c>
      <c r="H301" s="1">
        <f>132+3</f>
        <v>135</v>
      </c>
      <c r="I301" s="1">
        <v>0</v>
      </c>
      <c r="J301" s="1">
        <v>0</v>
      </c>
    </row>
    <row r="302" spans="1:10" hidden="1" x14ac:dyDescent="0.25">
      <c r="A302" t="s">
        <v>843</v>
      </c>
      <c r="B302" t="s">
        <v>877</v>
      </c>
      <c r="C302" t="s">
        <v>357</v>
      </c>
      <c r="D302" s="1">
        <f>1312+77+9</f>
        <v>1398</v>
      </c>
      <c r="E302" s="1">
        <v>26</v>
      </c>
      <c r="F302" s="1">
        <v>0</v>
      </c>
      <c r="G302" s="1">
        <f>15666+990+7+387+8+400</f>
        <v>17458</v>
      </c>
      <c r="H302" s="1">
        <v>37</v>
      </c>
      <c r="I302" s="1">
        <v>0</v>
      </c>
      <c r="J302" s="1">
        <v>0</v>
      </c>
    </row>
    <row r="303" spans="1:10" hidden="1" x14ac:dyDescent="0.25">
      <c r="A303" t="s">
        <v>791</v>
      </c>
      <c r="B303" t="s">
        <v>877</v>
      </c>
      <c r="C303" t="s">
        <v>358</v>
      </c>
      <c r="D303" s="1">
        <f>16015+3+139+125+1+1+41+4+5+3+63+466</f>
        <v>16866</v>
      </c>
      <c r="E303" s="1">
        <f>13+5</f>
        <v>18</v>
      </c>
      <c r="F303" s="1">
        <v>0</v>
      </c>
      <c r="G303" s="1">
        <f>36323+2+4+174+26+2+149+79+19+3+2+1+16+1380</f>
        <v>38180</v>
      </c>
      <c r="H303" s="1">
        <f>59+50+9</f>
        <v>118</v>
      </c>
      <c r="I303" s="1">
        <v>0</v>
      </c>
      <c r="J303" s="1">
        <v>0</v>
      </c>
    </row>
    <row r="304" spans="1:10" hidden="1" x14ac:dyDescent="0.25">
      <c r="A304" t="s">
        <v>842</v>
      </c>
      <c r="B304" t="s">
        <v>877</v>
      </c>
      <c r="C304" t="s">
        <v>359</v>
      </c>
      <c r="D304" s="1">
        <f>3857+6</f>
        <v>3863</v>
      </c>
      <c r="E304" s="1">
        <v>0</v>
      </c>
      <c r="F304" s="1">
        <v>0</v>
      </c>
      <c r="G304" s="1">
        <f>18887+14+34</f>
        <v>18935</v>
      </c>
      <c r="H304" s="1">
        <v>1</v>
      </c>
      <c r="I304" s="1">
        <v>0</v>
      </c>
      <c r="J304" s="1">
        <v>0</v>
      </c>
    </row>
    <row r="305" spans="1:10" hidden="1" x14ac:dyDescent="0.25">
      <c r="A305" t="s">
        <v>835</v>
      </c>
      <c r="B305" t="s">
        <v>877</v>
      </c>
      <c r="C305" t="s">
        <v>360</v>
      </c>
      <c r="D305" s="1">
        <v>1395</v>
      </c>
      <c r="E305" s="1">
        <v>60</v>
      </c>
      <c r="F305" s="1">
        <v>0</v>
      </c>
      <c r="G305" s="1">
        <f>10834+2+1+3+1+8+1</f>
        <v>10850</v>
      </c>
      <c r="H305" s="1">
        <v>23</v>
      </c>
      <c r="I305" s="1">
        <v>0</v>
      </c>
      <c r="J305" s="1">
        <v>0</v>
      </c>
    </row>
    <row r="306" spans="1:10" hidden="1" x14ac:dyDescent="0.25">
      <c r="A306" t="s">
        <v>826</v>
      </c>
      <c r="B306" t="s">
        <v>877</v>
      </c>
      <c r="C306" t="s">
        <v>361</v>
      </c>
      <c r="D306" s="1">
        <f>9943+9+2+146+36+54</f>
        <v>10190</v>
      </c>
      <c r="E306" s="1">
        <v>58</v>
      </c>
      <c r="F306" s="1">
        <v>0</v>
      </c>
      <c r="G306" s="1">
        <f>35059+3+2+204+1+6+212</f>
        <v>35487</v>
      </c>
      <c r="H306" s="1">
        <f>388+3</f>
        <v>391</v>
      </c>
      <c r="I306" s="1">
        <v>0</v>
      </c>
      <c r="J306" s="1">
        <v>0</v>
      </c>
    </row>
    <row r="307" spans="1:10" hidden="1" x14ac:dyDescent="0.25">
      <c r="A307" t="s">
        <v>67</v>
      </c>
      <c r="B307" t="s">
        <v>877</v>
      </c>
      <c r="C307" t="s">
        <v>362</v>
      </c>
      <c r="D307" s="1">
        <f>11743+2+2+4</f>
        <v>11751</v>
      </c>
      <c r="E307" s="1">
        <v>3</v>
      </c>
      <c r="F307" s="1">
        <v>0</v>
      </c>
      <c r="G307" s="1">
        <f>47427+4+37+30+2+3+2+161</f>
        <v>47666</v>
      </c>
      <c r="H307" s="1">
        <f>14+4+8</f>
        <v>26</v>
      </c>
      <c r="I307" s="1">
        <v>0</v>
      </c>
      <c r="J307" s="1">
        <v>0</v>
      </c>
    </row>
    <row r="308" spans="1:10" hidden="1" x14ac:dyDescent="0.25">
      <c r="A308" t="s">
        <v>831</v>
      </c>
      <c r="B308" t="s">
        <v>877</v>
      </c>
      <c r="C308" t="s">
        <v>363</v>
      </c>
      <c r="D308" s="1">
        <f>536+12</f>
        <v>548</v>
      </c>
      <c r="E308" s="1">
        <v>0</v>
      </c>
      <c r="F308" s="1">
        <v>0</v>
      </c>
      <c r="G308" s="1">
        <f>4355+132+9+113+2+1+1+4+17</f>
        <v>4634</v>
      </c>
      <c r="H308" s="1">
        <v>2</v>
      </c>
      <c r="I308" s="1">
        <v>0</v>
      </c>
      <c r="J308" s="1">
        <v>0</v>
      </c>
    </row>
    <row r="309" spans="1:10" hidden="1" x14ac:dyDescent="0.25">
      <c r="A309" t="s">
        <v>248</v>
      </c>
      <c r="B309" t="s">
        <v>877</v>
      </c>
      <c r="C309" t="s">
        <v>364</v>
      </c>
      <c r="D309" s="1">
        <v>1247</v>
      </c>
      <c r="E309" s="1">
        <v>0</v>
      </c>
      <c r="F309" s="1">
        <v>0</v>
      </c>
      <c r="G309" s="1">
        <f>10053+15+1</f>
        <v>10069</v>
      </c>
      <c r="H309" s="1">
        <v>0</v>
      </c>
      <c r="I309" s="1">
        <v>0</v>
      </c>
      <c r="J309" s="1">
        <v>0</v>
      </c>
    </row>
    <row r="310" spans="1:10" hidden="1" x14ac:dyDescent="0.25">
      <c r="A310" t="s">
        <v>791</v>
      </c>
      <c r="B310" t="s">
        <v>877</v>
      </c>
      <c r="C310" t="s">
        <v>365</v>
      </c>
      <c r="D310" s="1">
        <f>5709+26+18+131</f>
        <v>5884</v>
      </c>
      <c r="E310" s="1">
        <f>170+46</f>
        <v>216</v>
      </c>
      <c r="F310" s="1">
        <v>0</v>
      </c>
      <c r="G310" s="1">
        <f>15715+7+1+27+1+1+18+1+92</f>
        <v>15863</v>
      </c>
      <c r="H310" s="1">
        <f>613+150</f>
        <v>763</v>
      </c>
      <c r="I310" s="1">
        <v>0</v>
      </c>
      <c r="J310" s="1">
        <v>0</v>
      </c>
    </row>
    <row r="311" spans="1:10" hidden="1" x14ac:dyDescent="0.25">
      <c r="A311" t="s">
        <v>797</v>
      </c>
      <c r="B311" t="s">
        <v>877</v>
      </c>
      <c r="C311" t="s">
        <v>366</v>
      </c>
      <c r="D311" s="1">
        <f>4692+11+3</f>
        <v>4706</v>
      </c>
      <c r="E311" s="1">
        <v>12</v>
      </c>
      <c r="F311" s="1">
        <v>0</v>
      </c>
      <c r="G311" s="1">
        <f>10269+8+3+4+2+140</f>
        <v>10426</v>
      </c>
      <c r="H311" s="1">
        <f>52+4+2</f>
        <v>58</v>
      </c>
      <c r="I311" s="1">
        <v>0</v>
      </c>
      <c r="J311" s="1">
        <v>0</v>
      </c>
    </row>
    <row r="312" spans="1:10" hidden="1" x14ac:dyDescent="0.25">
      <c r="A312" t="s">
        <v>120</v>
      </c>
      <c r="B312" t="s">
        <v>877</v>
      </c>
      <c r="C312" t="s">
        <v>367</v>
      </c>
      <c r="D312" s="1">
        <f>5819+17+4</f>
        <v>5840</v>
      </c>
      <c r="E312" s="1">
        <v>26</v>
      </c>
      <c r="F312" s="1">
        <v>0</v>
      </c>
      <c r="G312" s="1">
        <f>23212+3+2+1</f>
        <v>23218</v>
      </c>
      <c r="H312" s="1">
        <f>179+111+11+4</f>
        <v>305</v>
      </c>
      <c r="I312" s="1">
        <v>0</v>
      </c>
      <c r="J312" s="1">
        <v>0</v>
      </c>
    </row>
    <row r="313" spans="1:10" hidden="1" x14ac:dyDescent="0.25">
      <c r="A313" t="s">
        <v>231</v>
      </c>
      <c r="B313" t="s">
        <v>877</v>
      </c>
      <c r="C313" t="s">
        <v>368</v>
      </c>
      <c r="D313" s="1">
        <f>3895+66+545+33+10</f>
        <v>4549</v>
      </c>
      <c r="E313" s="1">
        <v>35</v>
      </c>
      <c r="F313" s="1">
        <v>0</v>
      </c>
      <c r="G313" s="1">
        <f>20994+27+2+2+4719+54+30+2+4+182</f>
        <v>26016</v>
      </c>
      <c r="H313" s="1">
        <f>32+9</f>
        <v>41</v>
      </c>
      <c r="I313" s="1">
        <v>0</v>
      </c>
      <c r="J313" s="1">
        <v>0</v>
      </c>
    </row>
    <row r="314" spans="1:10" hidden="1" x14ac:dyDescent="0.25">
      <c r="A314" t="s">
        <v>809</v>
      </c>
      <c r="B314" t="s">
        <v>877</v>
      </c>
      <c r="C314" t="s">
        <v>369</v>
      </c>
      <c r="D314" s="1">
        <f>9833+4+2+7+3+351</f>
        <v>10200</v>
      </c>
      <c r="E314" s="1">
        <f>284+2</f>
        <v>286</v>
      </c>
      <c r="F314" s="1">
        <v>0</v>
      </c>
      <c r="G314" s="1">
        <f>61927+2+13+2+1+61+2+71</f>
        <v>62079</v>
      </c>
      <c r="H314" s="1">
        <f>800+3+12</f>
        <v>815</v>
      </c>
      <c r="I314" s="1">
        <v>0</v>
      </c>
      <c r="J314" s="1">
        <v>0</v>
      </c>
    </row>
    <row r="315" spans="1:10" hidden="1" x14ac:dyDescent="0.25">
      <c r="A315" t="s">
        <v>848</v>
      </c>
      <c r="B315" t="s">
        <v>877</v>
      </c>
      <c r="C315" t="s">
        <v>370</v>
      </c>
      <c r="D315" s="1">
        <f>2919+41+1+2+9</f>
        <v>2972</v>
      </c>
      <c r="E315" s="1">
        <v>47</v>
      </c>
      <c r="F315" s="1">
        <v>0</v>
      </c>
      <c r="G315" s="1">
        <f>13021+1+313+7+1+70+305</f>
        <v>13718</v>
      </c>
      <c r="H315" s="1">
        <f>38+6</f>
        <v>44</v>
      </c>
      <c r="I315" s="1">
        <v>0</v>
      </c>
      <c r="J315" s="1">
        <v>0</v>
      </c>
    </row>
    <row r="316" spans="1:10" hidden="1" x14ac:dyDescent="0.25">
      <c r="A316" t="s">
        <v>226</v>
      </c>
      <c r="B316" t="s">
        <v>877</v>
      </c>
      <c r="C316" t="s">
        <v>371</v>
      </c>
      <c r="D316" s="1">
        <f>3919+9+2+95+2+1+1</f>
        <v>4029</v>
      </c>
      <c r="E316" s="1">
        <f>214+8</f>
        <v>222</v>
      </c>
      <c r="F316" s="1">
        <v>0</v>
      </c>
      <c r="G316" s="1">
        <f>31622+18+36+67+2439+34+8+4+6+380</f>
        <v>34614</v>
      </c>
      <c r="H316" s="1">
        <v>188</v>
      </c>
      <c r="I316" s="1">
        <v>0</v>
      </c>
      <c r="J316" s="1">
        <v>0</v>
      </c>
    </row>
    <row r="317" spans="1:10" hidden="1" x14ac:dyDescent="0.25">
      <c r="A317" t="s">
        <v>797</v>
      </c>
      <c r="B317" t="s">
        <v>877</v>
      </c>
      <c r="C317" t="s">
        <v>372</v>
      </c>
      <c r="D317" s="1">
        <f>1119+5+36+1+23</f>
        <v>1184</v>
      </c>
      <c r="E317" s="1">
        <v>10</v>
      </c>
      <c r="F317" s="1">
        <v>0</v>
      </c>
      <c r="G317" s="1">
        <f>7198+8+13+2+251</f>
        <v>7472</v>
      </c>
      <c r="H317" s="1">
        <v>166</v>
      </c>
      <c r="I317" s="1">
        <v>0</v>
      </c>
      <c r="J317" s="1">
        <v>0</v>
      </c>
    </row>
    <row r="318" spans="1:10" hidden="1" x14ac:dyDescent="0.25">
      <c r="A318" t="s">
        <v>791</v>
      </c>
      <c r="B318" t="s">
        <v>877</v>
      </c>
      <c r="C318" t="s">
        <v>373</v>
      </c>
      <c r="D318" s="1">
        <f>2939+80+6+27+112+20</f>
        <v>3184</v>
      </c>
      <c r="E318" s="1">
        <v>1</v>
      </c>
      <c r="F318" s="1">
        <v>0</v>
      </c>
      <c r="G318" s="1">
        <f>13690+29+623+1+444+1616</f>
        <v>16403</v>
      </c>
      <c r="H318" s="1">
        <f>40+2+1</f>
        <v>43</v>
      </c>
      <c r="I318" s="1">
        <v>0</v>
      </c>
      <c r="J318" s="1">
        <v>0</v>
      </c>
    </row>
    <row r="319" spans="1:10" hidden="1" x14ac:dyDescent="0.25">
      <c r="A319" t="s">
        <v>826</v>
      </c>
      <c r="B319" t="s">
        <v>877</v>
      </c>
      <c r="C319" t="s">
        <v>374</v>
      </c>
      <c r="D319" s="1">
        <f>6387+185</f>
        <v>6572</v>
      </c>
      <c r="E319" s="1">
        <v>8</v>
      </c>
      <c r="F319" s="1">
        <v>0</v>
      </c>
      <c r="G319" s="1">
        <f>18320+2+815+4+80</f>
        <v>19221</v>
      </c>
      <c r="H319" s="1">
        <f>11+57</f>
        <v>68</v>
      </c>
      <c r="I319" s="1">
        <v>0</v>
      </c>
      <c r="J319" s="1">
        <v>0</v>
      </c>
    </row>
    <row r="320" spans="1:10" hidden="1" x14ac:dyDescent="0.25">
      <c r="A320" t="s">
        <v>512</v>
      </c>
      <c r="B320" t="s">
        <v>877</v>
      </c>
      <c r="C320" t="s">
        <v>375</v>
      </c>
      <c r="D320" s="1">
        <f>4791+4</f>
        <v>4795</v>
      </c>
      <c r="E320" s="1">
        <v>0</v>
      </c>
      <c r="F320" s="1">
        <v>0</v>
      </c>
      <c r="G320" s="1">
        <f>29910+95+84</f>
        <v>30089</v>
      </c>
      <c r="H320" s="1">
        <f>79+2+37</f>
        <v>118</v>
      </c>
      <c r="I320" s="1">
        <v>0</v>
      </c>
      <c r="J320" s="1">
        <v>0</v>
      </c>
    </row>
    <row r="321" spans="1:10" hidden="1" x14ac:dyDescent="0.25">
      <c r="A321" t="s">
        <v>817</v>
      </c>
      <c r="B321" t="s">
        <v>877</v>
      </c>
      <c r="C321" t="s">
        <v>376</v>
      </c>
      <c r="D321" s="1">
        <f>8182+31</f>
        <v>8213</v>
      </c>
      <c r="E321" s="1">
        <v>20</v>
      </c>
      <c r="F321" s="1">
        <v>0</v>
      </c>
      <c r="G321" s="1">
        <f>8092+1+5+176+7</f>
        <v>8281</v>
      </c>
      <c r="H321" s="1">
        <f>100+8</f>
        <v>108</v>
      </c>
      <c r="I321" s="1">
        <v>0</v>
      </c>
      <c r="J321" s="1">
        <v>0</v>
      </c>
    </row>
    <row r="322" spans="1:10" hidden="1" x14ac:dyDescent="0.25">
      <c r="A322" t="s">
        <v>83</v>
      </c>
      <c r="B322" t="s">
        <v>877</v>
      </c>
      <c r="C322" t="s">
        <v>377</v>
      </c>
      <c r="D322" s="1">
        <f>5078+1+2+41</f>
        <v>5122</v>
      </c>
      <c r="E322" s="1">
        <f>299+5</f>
        <v>304</v>
      </c>
      <c r="F322" s="1">
        <v>0</v>
      </c>
      <c r="G322" s="1">
        <f>24177+6+22+2+5+1158</f>
        <v>25370</v>
      </c>
      <c r="H322" s="1">
        <f>195+15</f>
        <v>210</v>
      </c>
      <c r="I322" s="1">
        <v>0</v>
      </c>
      <c r="J322" s="1">
        <v>0</v>
      </c>
    </row>
    <row r="323" spans="1:10" hidden="1" x14ac:dyDescent="0.25">
      <c r="A323" t="s">
        <v>795</v>
      </c>
      <c r="B323" t="s">
        <v>877</v>
      </c>
      <c r="C323" t="s">
        <v>378</v>
      </c>
      <c r="D323" s="1">
        <v>22428</v>
      </c>
      <c r="E323" s="1">
        <f>62+21+20</f>
        <v>103</v>
      </c>
      <c r="F323" s="1">
        <v>0</v>
      </c>
      <c r="G323" s="1">
        <f>21464+2+17+5+1</f>
        <v>21489</v>
      </c>
      <c r="H323" s="1">
        <f>34+1+19</f>
        <v>54</v>
      </c>
      <c r="I323" s="1">
        <v>0</v>
      </c>
      <c r="J323" s="1">
        <v>0</v>
      </c>
    </row>
    <row r="324" spans="1:10" hidden="1" x14ac:dyDescent="0.25">
      <c r="A324" t="s">
        <v>858</v>
      </c>
      <c r="B324" t="s">
        <v>877</v>
      </c>
      <c r="C324" t="s">
        <v>379</v>
      </c>
      <c r="D324" s="1">
        <v>2941</v>
      </c>
      <c r="E324" s="1">
        <v>1</v>
      </c>
      <c r="F324" s="1">
        <v>0</v>
      </c>
      <c r="G324" s="1">
        <f>5795+56</f>
        <v>5851</v>
      </c>
      <c r="H324" s="1">
        <f>1+4</f>
        <v>5</v>
      </c>
      <c r="I324" s="1">
        <v>0</v>
      </c>
      <c r="J324" s="1">
        <v>0</v>
      </c>
    </row>
    <row r="325" spans="1:10" hidden="1" x14ac:dyDescent="0.25">
      <c r="A325" t="s">
        <v>848</v>
      </c>
      <c r="B325" t="s">
        <v>877</v>
      </c>
      <c r="C325" t="s">
        <v>380</v>
      </c>
      <c r="D325" s="1">
        <f>3456+1</f>
        <v>3457</v>
      </c>
      <c r="E325" s="1">
        <v>1</v>
      </c>
      <c r="F325" s="1">
        <v>0</v>
      </c>
      <c r="G325" s="1">
        <f>23435+57</f>
        <v>23492</v>
      </c>
      <c r="H325" s="1">
        <f>35+18</f>
        <v>53</v>
      </c>
      <c r="I325" s="1">
        <v>0</v>
      </c>
      <c r="J325" s="1">
        <v>0</v>
      </c>
    </row>
    <row r="326" spans="1:10" hidden="1" x14ac:dyDescent="0.25">
      <c r="A326" t="s">
        <v>863</v>
      </c>
      <c r="B326" t="s">
        <v>877</v>
      </c>
      <c r="C326" t="s">
        <v>381</v>
      </c>
      <c r="D326" s="1">
        <v>5814</v>
      </c>
      <c r="E326" s="1">
        <v>0</v>
      </c>
      <c r="F326" s="1">
        <v>0</v>
      </c>
      <c r="G326" s="1">
        <v>15427</v>
      </c>
      <c r="H326" s="1">
        <v>0</v>
      </c>
      <c r="I326" s="1">
        <v>0</v>
      </c>
      <c r="J326" s="1">
        <v>0</v>
      </c>
    </row>
    <row r="327" spans="1:10" hidden="1" x14ac:dyDescent="0.25">
      <c r="A327" t="s">
        <v>854</v>
      </c>
      <c r="B327" t="s">
        <v>877</v>
      </c>
      <c r="C327" t="s">
        <v>382</v>
      </c>
      <c r="D327" s="1">
        <f>14663+7+193</f>
        <v>14863</v>
      </c>
      <c r="E327" s="1">
        <f>189+6</f>
        <v>195</v>
      </c>
      <c r="F327" s="1">
        <v>0</v>
      </c>
      <c r="G327" s="1">
        <f>8905+2+226+112</f>
        <v>9245</v>
      </c>
      <c r="H327" s="1">
        <f>42+10</f>
        <v>52</v>
      </c>
      <c r="I327" s="1">
        <v>0</v>
      </c>
      <c r="J327" s="1">
        <v>0</v>
      </c>
    </row>
    <row r="328" spans="1:10" hidden="1" x14ac:dyDescent="0.25">
      <c r="A328" t="s">
        <v>853</v>
      </c>
      <c r="B328" t="s">
        <v>877</v>
      </c>
      <c r="C328" t="s">
        <v>383</v>
      </c>
      <c r="D328" s="1">
        <f>5639+9+699+5</f>
        <v>6352</v>
      </c>
      <c r="E328" s="1">
        <f>122+2+4</f>
        <v>128</v>
      </c>
      <c r="F328" s="1">
        <v>0</v>
      </c>
      <c r="G328" s="1">
        <f>28143+6+5193+1+1+11+2+1+106</f>
        <v>33464</v>
      </c>
      <c r="H328" s="1">
        <f>785+2+1+40</f>
        <v>828</v>
      </c>
      <c r="I328" s="1">
        <v>0</v>
      </c>
      <c r="J328" s="1">
        <v>0</v>
      </c>
    </row>
    <row r="329" spans="1:10" hidden="1" x14ac:dyDescent="0.25">
      <c r="A329" t="s">
        <v>851</v>
      </c>
      <c r="B329" t="s">
        <v>877</v>
      </c>
      <c r="C329" t="s">
        <v>384</v>
      </c>
      <c r="D329" s="1">
        <v>16022</v>
      </c>
      <c r="E329" s="1">
        <v>9</v>
      </c>
      <c r="F329" s="1">
        <v>0</v>
      </c>
      <c r="G329" s="1">
        <v>3242</v>
      </c>
      <c r="H329" s="1">
        <v>0</v>
      </c>
      <c r="I329" s="1">
        <v>0</v>
      </c>
      <c r="J329" s="1">
        <v>0</v>
      </c>
    </row>
    <row r="330" spans="1:10" hidden="1" x14ac:dyDescent="0.25">
      <c r="A330" t="s">
        <v>856</v>
      </c>
      <c r="B330" t="s">
        <v>877</v>
      </c>
      <c r="C330" t="s">
        <v>385</v>
      </c>
      <c r="D330" s="1">
        <f>4832+4</f>
        <v>4836</v>
      </c>
      <c r="E330" s="1">
        <v>12</v>
      </c>
      <c r="F330" s="1">
        <v>0</v>
      </c>
      <c r="G330" s="1">
        <f>13182+9</f>
        <v>13191</v>
      </c>
      <c r="H330" s="1">
        <f>47+3</f>
        <v>50</v>
      </c>
      <c r="I330" s="1">
        <v>0</v>
      </c>
      <c r="J330" s="1">
        <v>0</v>
      </c>
    </row>
    <row r="331" spans="1:10" hidden="1" x14ac:dyDescent="0.25">
      <c r="A331" t="s">
        <v>847</v>
      </c>
      <c r="B331" t="s">
        <v>877</v>
      </c>
      <c r="C331" t="s">
        <v>386</v>
      </c>
      <c r="D331" s="1">
        <v>6124</v>
      </c>
      <c r="E331" s="1">
        <v>0</v>
      </c>
      <c r="F331" s="1">
        <v>0</v>
      </c>
      <c r="G331" s="1">
        <f>8297+35</f>
        <v>8332</v>
      </c>
      <c r="H331" s="1">
        <v>0</v>
      </c>
      <c r="I331" s="1">
        <v>0</v>
      </c>
      <c r="J331" s="1">
        <v>0</v>
      </c>
    </row>
    <row r="332" spans="1:10" hidden="1" x14ac:dyDescent="0.25">
      <c r="A332" t="s">
        <v>849</v>
      </c>
      <c r="B332" t="s">
        <v>877</v>
      </c>
      <c r="C332" t="s">
        <v>387</v>
      </c>
      <c r="D332" s="1">
        <f>4590+6</f>
        <v>4596</v>
      </c>
      <c r="E332" s="1">
        <v>2</v>
      </c>
      <c r="F332" s="1">
        <v>0</v>
      </c>
      <c r="G332" s="1">
        <f>10183+4+1+10</f>
        <v>10198</v>
      </c>
      <c r="H332" s="1">
        <f>25+2+4</f>
        <v>31</v>
      </c>
      <c r="I332" s="1">
        <v>0</v>
      </c>
      <c r="J332" s="1">
        <v>0</v>
      </c>
    </row>
    <row r="333" spans="1:10" hidden="1" x14ac:dyDescent="0.25">
      <c r="A333" t="s">
        <v>794</v>
      </c>
      <c r="B333" t="s">
        <v>874</v>
      </c>
      <c r="C333" t="s">
        <v>388</v>
      </c>
      <c r="D333" s="1">
        <f>208848+758+1+1+4+39+44032+2</f>
        <v>253685</v>
      </c>
      <c r="E333" s="1">
        <f>140+34+5</f>
        <v>179</v>
      </c>
      <c r="F333" s="1">
        <v>0</v>
      </c>
      <c r="G333" s="1">
        <v>0</v>
      </c>
      <c r="H333" s="1">
        <v>0</v>
      </c>
      <c r="I333" s="1">
        <v>154709</v>
      </c>
      <c r="J333" s="1">
        <v>33863</v>
      </c>
    </row>
    <row r="334" spans="1:10" hidden="1" x14ac:dyDescent="0.25">
      <c r="A334" t="s">
        <v>231</v>
      </c>
      <c r="B334" t="s">
        <v>874</v>
      </c>
      <c r="C334" t="s">
        <v>389</v>
      </c>
      <c r="D334" s="1">
        <f>36040+84091</f>
        <v>120131</v>
      </c>
      <c r="E334" s="1">
        <f>421+980</f>
        <v>1401</v>
      </c>
      <c r="F334" s="1">
        <v>0</v>
      </c>
      <c r="G334" s="1">
        <v>0</v>
      </c>
      <c r="H334" s="1">
        <v>0</v>
      </c>
      <c r="I334" s="1">
        <v>21230</v>
      </c>
      <c r="J334" s="1">
        <v>14861</v>
      </c>
    </row>
    <row r="335" spans="1:10" x14ac:dyDescent="0.25">
      <c r="A335" t="s">
        <v>824</v>
      </c>
      <c r="B335" t="s">
        <v>874</v>
      </c>
      <c r="C335" t="s">
        <v>390</v>
      </c>
      <c r="D335" s="1">
        <f>5851+13651</f>
        <v>19502</v>
      </c>
      <c r="E335" s="1">
        <f>23+53</f>
        <v>76</v>
      </c>
      <c r="F335" s="1">
        <v>0</v>
      </c>
      <c r="G335" s="1">
        <v>0</v>
      </c>
      <c r="H335" s="1">
        <v>0</v>
      </c>
      <c r="I335" s="1">
        <v>2486</v>
      </c>
      <c r="J335" s="1">
        <v>1740</v>
      </c>
    </row>
    <row r="336" spans="1:10" hidden="1" x14ac:dyDescent="0.25">
      <c r="A336" t="s">
        <v>226</v>
      </c>
      <c r="B336" t="s">
        <v>874</v>
      </c>
      <c r="C336" t="s">
        <v>391</v>
      </c>
      <c r="D336" s="1">
        <f>110868+1069+3+29958</f>
        <v>141898</v>
      </c>
      <c r="E336" s="1">
        <f>836+5+12+167+12</f>
        <v>1032</v>
      </c>
      <c r="F336" s="1">
        <v>0</v>
      </c>
      <c r="G336" s="1">
        <v>0</v>
      </c>
      <c r="H336" s="1">
        <v>0</v>
      </c>
      <c r="I336" s="1">
        <v>39019</v>
      </c>
      <c r="J336" s="1">
        <v>23782</v>
      </c>
    </row>
    <row r="337" spans="1:10" hidden="1" x14ac:dyDescent="0.25">
      <c r="A337" t="s">
        <v>798</v>
      </c>
      <c r="B337" t="s">
        <v>874</v>
      </c>
      <c r="C337" t="s">
        <v>392</v>
      </c>
      <c r="D337" s="1">
        <f>89699+199+38+86318</f>
        <v>176254</v>
      </c>
      <c r="E337" s="1">
        <f>377+1+219+829+179</f>
        <v>1605</v>
      </c>
      <c r="F337" s="1">
        <v>0</v>
      </c>
      <c r="G337" s="1">
        <v>0</v>
      </c>
      <c r="H337" s="1">
        <v>0</v>
      </c>
      <c r="I337" s="1">
        <v>84989</v>
      </c>
      <c r="J337" s="1">
        <v>68901</v>
      </c>
    </row>
    <row r="338" spans="1:10" hidden="1" x14ac:dyDescent="0.25">
      <c r="A338" t="s">
        <v>231</v>
      </c>
      <c r="B338" t="s">
        <v>874</v>
      </c>
      <c r="C338" t="s">
        <v>393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</row>
    <row r="339" spans="1:10" hidden="1" x14ac:dyDescent="0.25">
      <c r="A339" t="s">
        <v>806</v>
      </c>
      <c r="B339" t="s">
        <v>874</v>
      </c>
      <c r="C339" t="s">
        <v>394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</row>
    <row r="340" spans="1:10" hidden="1" x14ac:dyDescent="0.25">
      <c r="A340" s="27" t="s">
        <v>10</v>
      </c>
      <c r="B340" s="27" t="s">
        <v>874</v>
      </c>
      <c r="C340" s="27" t="s">
        <v>778</v>
      </c>
      <c r="D340" s="32"/>
      <c r="E340" s="32"/>
      <c r="F340" s="32"/>
      <c r="G340" s="32"/>
      <c r="H340" s="32"/>
      <c r="I340" s="32"/>
      <c r="J340" s="32"/>
    </row>
    <row r="341" spans="1:10" hidden="1" x14ac:dyDescent="0.25">
      <c r="A341" t="s">
        <v>69</v>
      </c>
      <c r="B341" t="s">
        <v>874</v>
      </c>
      <c r="C341" t="s">
        <v>395</v>
      </c>
      <c r="D341" s="1">
        <f>196197+36+1+2+138+11+114+48595+6</f>
        <v>245100</v>
      </c>
      <c r="E341" s="1">
        <f>607+3+4+37+115+1+1</f>
        <v>768</v>
      </c>
      <c r="F341" s="1">
        <v>0</v>
      </c>
      <c r="G341" s="1">
        <v>0</v>
      </c>
      <c r="H341" s="1">
        <v>0</v>
      </c>
      <c r="I341" s="1">
        <v>114723</v>
      </c>
      <c r="J341" s="1">
        <v>37734</v>
      </c>
    </row>
    <row r="342" spans="1:10" hidden="1" x14ac:dyDescent="0.25">
      <c r="A342" t="s">
        <v>796</v>
      </c>
      <c r="B342" t="s">
        <v>874</v>
      </c>
      <c r="C342" t="s">
        <v>396</v>
      </c>
      <c r="D342" s="1">
        <f>100001+8308+12+55+37185+5</f>
        <v>145566</v>
      </c>
      <c r="E342" s="1">
        <f>700+1+2+646+110+3</f>
        <v>1462</v>
      </c>
      <c r="F342" s="1">
        <v>0</v>
      </c>
      <c r="G342" s="1">
        <v>0</v>
      </c>
      <c r="H342" s="1">
        <v>0</v>
      </c>
      <c r="I342" s="1">
        <v>49854</v>
      </c>
      <c r="J342" s="1">
        <v>34791</v>
      </c>
    </row>
    <row r="343" spans="1:10" hidden="1" x14ac:dyDescent="0.25">
      <c r="A343" t="s">
        <v>512</v>
      </c>
      <c r="B343" t="s">
        <v>874</v>
      </c>
      <c r="C343" t="s">
        <v>397</v>
      </c>
      <c r="D343" s="1">
        <f>90035+1633+2+358+21728</f>
        <v>113756</v>
      </c>
      <c r="E343" s="1">
        <f>60+322+177</f>
        <v>559</v>
      </c>
      <c r="F343" s="1">
        <v>0</v>
      </c>
      <c r="G343" s="1">
        <v>0</v>
      </c>
      <c r="H343" s="1">
        <v>0</v>
      </c>
      <c r="I343" s="1">
        <v>35817</v>
      </c>
      <c r="J343" s="1">
        <v>19814</v>
      </c>
    </row>
    <row r="344" spans="1:10" hidden="1" x14ac:dyDescent="0.25">
      <c r="A344" t="s">
        <v>811</v>
      </c>
      <c r="B344" t="s">
        <v>874</v>
      </c>
      <c r="C344" t="s">
        <v>398</v>
      </c>
      <c r="D344" s="1">
        <f>20138+5+190+2+44+2+4+14876+9+4</f>
        <v>35274</v>
      </c>
      <c r="E344" s="1">
        <f>2386+131+268+1673+5069</f>
        <v>9527</v>
      </c>
      <c r="F344" s="1">
        <v>0</v>
      </c>
      <c r="G344" s="1">
        <v>0</v>
      </c>
      <c r="H344" s="1">
        <v>0</v>
      </c>
      <c r="I344" s="1">
        <v>8540</v>
      </c>
      <c r="J344" s="1">
        <v>16289</v>
      </c>
    </row>
    <row r="345" spans="1:10" hidden="1" x14ac:dyDescent="0.25">
      <c r="A345" t="s">
        <v>811</v>
      </c>
      <c r="B345" t="s">
        <v>874</v>
      </c>
      <c r="C345" t="s">
        <v>399</v>
      </c>
      <c r="D345" s="1">
        <f>7061+16473</f>
        <v>23534</v>
      </c>
      <c r="E345" s="1">
        <f>91+210</f>
        <v>301</v>
      </c>
      <c r="F345" s="1">
        <v>0</v>
      </c>
      <c r="G345" s="1">
        <v>0</v>
      </c>
      <c r="H345" s="1">
        <v>0</v>
      </c>
      <c r="I345" s="1">
        <v>7054</v>
      </c>
      <c r="J345" s="1">
        <v>4937</v>
      </c>
    </row>
    <row r="346" spans="1:10" hidden="1" x14ac:dyDescent="0.25">
      <c r="A346" t="s">
        <v>811</v>
      </c>
      <c r="B346" t="s">
        <v>874</v>
      </c>
      <c r="C346" t="s">
        <v>400</v>
      </c>
      <c r="D346" s="1">
        <f>60912+6+10+70335+1</f>
        <v>131264</v>
      </c>
      <c r="E346" s="1">
        <f>1083+403+2312+86+2</f>
        <v>3886</v>
      </c>
      <c r="F346" s="1">
        <v>0</v>
      </c>
      <c r="G346" s="1">
        <v>0</v>
      </c>
      <c r="H346" s="1">
        <v>0</v>
      </c>
      <c r="I346" s="1">
        <v>37010</v>
      </c>
      <c r="J346" s="1">
        <v>52710</v>
      </c>
    </row>
    <row r="347" spans="1:10" hidden="1" x14ac:dyDescent="0.25">
      <c r="A347" t="s">
        <v>796</v>
      </c>
      <c r="B347" t="s">
        <v>874</v>
      </c>
      <c r="C347" t="s">
        <v>401</v>
      </c>
      <c r="D347" s="1">
        <f>8230+19202</f>
        <v>27432</v>
      </c>
      <c r="E347" s="1">
        <f>11+25</f>
        <v>36</v>
      </c>
      <c r="F347" s="1">
        <v>0</v>
      </c>
      <c r="G347" s="1">
        <v>0</v>
      </c>
      <c r="H347" s="1">
        <v>0</v>
      </c>
      <c r="I347" s="1">
        <v>5840</v>
      </c>
      <c r="J347" s="1">
        <v>4088</v>
      </c>
    </row>
    <row r="348" spans="1:10" hidden="1" x14ac:dyDescent="0.25">
      <c r="A348" t="s">
        <v>795</v>
      </c>
      <c r="B348" t="s">
        <v>874</v>
      </c>
      <c r="C348" t="s">
        <v>402</v>
      </c>
      <c r="D348" s="1">
        <f>24853+2+8+21716+2+35</f>
        <v>46616</v>
      </c>
      <c r="E348" s="1">
        <f>465+536+43+510+671</f>
        <v>2225</v>
      </c>
      <c r="F348" s="1">
        <v>0</v>
      </c>
      <c r="G348" s="1">
        <v>0</v>
      </c>
      <c r="H348" s="1">
        <v>0</v>
      </c>
      <c r="I348" s="1">
        <v>8719</v>
      </c>
      <c r="J348" s="1">
        <v>20748</v>
      </c>
    </row>
    <row r="349" spans="1:10" hidden="1" x14ac:dyDescent="0.25">
      <c r="A349" t="s">
        <v>248</v>
      </c>
      <c r="B349" t="s">
        <v>874</v>
      </c>
      <c r="C349" t="s">
        <v>403</v>
      </c>
      <c r="D349" s="1">
        <f>5760+13437</f>
        <v>19197</v>
      </c>
      <c r="E349" s="1">
        <f>292+679</f>
        <v>971</v>
      </c>
      <c r="F349" s="1">
        <v>0</v>
      </c>
      <c r="G349" s="1">
        <v>0</v>
      </c>
      <c r="H349" s="1">
        <v>0</v>
      </c>
      <c r="I349" s="1">
        <v>679</v>
      </c>
      <c r="J349" s="1">
        <v>475</v>
      </c>
    </row>
    <row r="350" spans="1:10" hidden="1" x14ac:dyDescent="0.25">
      <c r="A350" t="s">
        <v>797</v>
      </c>
      <c r="B350" t="s">
        <v>874</v>
      </c>
      <c r="C350" t="s">
        <v>404</v>
      </c>
      <c r="D350" s="1">
        <f>60615+2+43+2+6+1+31+28918</f>
        <v>89618</v>
      </c>
      <c r="E350" s="1">
        <f>865+42+8+676+20+4</f>
        <v>1615</v>
      </c>
      <c r="F350" s="1">
        <v>0</v>
      </c>
      <c r="G350" s="1">
        <v>0</v>
      </c>
      <c r="H350" s="1">
        <v>0</v>
      </c>
      <c r="I350" s="1">
        <v>57960</v>
      </c>
      <c r="J350" s="1">
        <v>25093</v>
      </c>
    </row>
    <row r="351" spans="1:10" hidden="1" x14ac:dyDescent="0.25">
      <c r="A351" t="s">
        <v>83</v>
      </c>
      <c r="B351" t="s">
        <v>874</v>
      </c>
      <c r="C351" t="s">
        <v>405</v>
      </c>
      <c r="D351" s="1">
        <f>7345+39+110+4550</f>
        <v>12044</v>
      </c>
      <c r="E351" s="1">
        <f>2+18</f>
        <v>20</v>
      </c>
      <c r="F351" s="1">
        <v>0</v>
      </c>
      <c r="G351" s="1">
        <v>0</v>
      </c>
      <c r="H351" s="1">
        <v>0</v>
      </c>
      <c r="I351" s="1">
        <v>7587</v>
      </c>
      <c r="J351" s="1">
        <v>3034</v>
      </c>
    </row>
    <row r="352" spans="1:10" hidden="1" x14ac:dyDescent="0.25">
      <c r="A352" t="s">
        <v>248</v>
      </c>
      <c r="B352" t="s">
        <v>874</v>
      </c>
      <c r="C352" t="s">
        <v>406</v>
      </c>
      <c r="D352" s="1">
        <f>51429+22+90+126+8+7+1+111+14445+1</f>
        <v>66240</v>
      </c>
      <c r="E352" s="1">
        <f>742+83+19+91+68+18</f>
        <v>1021</v>
      </c>
      <c r="F352" s="1">
        <v>0</v>
      </c>
      <c r="G352" s="1">
        <v>0</v>
      </c>
      <c r="H352" s="1">
        <v>0</v>
      </c>
      <c r="I352" s="1">
        <v>110477</v>
      </c>
      <c r="J352" s="1">
        <v>9421</v>
      </c>
    </row>
    <row r="353" spans="1:10" hidden="1" x14ac:dyDescent="0.25">
      <c r="A353" s="27" t="s">
        <v>10</v>
      </c>
      <c r="B353" s="27" t="s">
        <v>874</v>
      </c>
      <c r="C353" s="27" t="s">
        <v>779</v>
      </c>
      <c r="D353" s="32"/>
      <c r="E353" s="32"/>
      <c r="F353" s="32"/>
      <c r="G353" s="32"/>
      <c r="H353" s="32"/>
      <c r="I353" s="32"/>
      <c r="J353" s="32"/>
    </row>
    <row r="354" spans="1:10" hidden="1" x14ac:dyDescent="0.25">
      <c r="A354" t="s">
        <v>848</v>
      </c>
      <c r="B354" t="s">
        <v>874</v>
      </c>
      <c r="C354" t="s">
        <v>407</v>
      </c>
      <c r="D354" s="1">
        <f>33408+4+28+5+6+127+5100+409</f>
        <v>39087</v>
      </c>
      <c r="E354" s="1">
        <f>106+16+4+130</f>
        <v>256</v>
      </c>
      <c r="F354" s="1">
        <v>0</v>
      </c>
      <c r="G354" s="1">
        <v>0</v>
      </c>
      <c r="H354" s="1">
        <v>0</v>
      </c>
      <c r="I354" s="1">
        <v>6743</v>
      </c>
      <c r="J354" s="1">
        <v>5808</v>
      </c>
    </row>
    <row r="355" spans="1:10" hidden="1" x14ac:dyDescent="0.25">
      <c r="A355" t="s">
        <v>801</v>
      </c>
      <c r="B355" t="s">
        <v>874</v>
      </c>
      <c r="C355" t="s">
        <v>408</v>
      </c>
      <c r="D355" s="1">
        <f>64213+6+3+2+1+1+5682+20+52+25218+29+5+4+401+40</f>
        <v>95677</v>
      </c>
      <c r="E355" s="1">
        <f>576+4+35+33+147</f>
        <v>795</v>
      </c>
      <c r="F355" s="1">
        <v>0</v>
      </c>
      <c r="G355" s="1">
        <v>0</v>
      </c>
      <c r="H355" s="1">
        <v>0</v>
      </c>
      <c r="I355" s="1">
        <v>140426</v>
      </c>
      <c r="J355" s="1">
        <v>24508</v>
      </c>
    </row>
    <row r="356" spans="1:10" hidden="1" x14ac:dyDescent="0.25">
      <c r="A356" t="s">
        <v>811</v>
      </c>
      <c r="B356" t="s">
        <v>874</v>
      </c>
      <c r="C356" t="s">
        <v>409</v>
      </c>
      <c r="D356" s="1">
        <f>79987+5+618+19+4+82850+2</f>
        <v>163485</v>
      </c>
      <c r="E356" s="1">
        <f>168+217+6+111+450</f>
        <v>952</v>
      </c>
      <c r="F356" s="1">
        <v>0</v>
      </c>
      <c r="G356" s="1">
        <v>0</v>
      </c>
      <c r="H356" s="1">
        <v>0</v>
      </c>
      <c r="I356" s="1">
        <v>105467</v>
      </c>
      <c r="J356" s="1">
        <v>68032</v>
      </c>
    </row>
    <row r="357" spans="1:10" hidden="1" x14ac:dyDescent="0.25">
      <c r="A357" t="s">
        <v>83</v>
      </c>
      <c r="B357" t="s">
        <v>874</v>
      </c>
      <c r="C357" t="s">
        <v>410</v>
      </c>
      <c r="D357" s="1">
        <f>7001+2+2200</f>
        <v>9203</v>
      </c>
      <c r="E357" s="1">
        <f>5+56+16</f>
        <v>77</v>
      </c>
      <c r="F357" s="1">
        <v>0</v>
      </c>
      <c r="G357" s="1">
        <v>0</v>
      </c>
      <c r="H357" s="1">
        <v>0</v>
      </c>
      <c r="I357" s="1">
        <v>30603</v>
      </c>
      <c r="J357" s="1">
        <v>2050</v>
      </c>
    </row>
    <row r="358" spans="1:10" hidden="1" x14ac:dyDescent="0.25">
      <c r="A358" t="s">
        <v>120</v>
      </c>
      <c r="B358" t="s">
        <v>874</v>
      </c>
      <c r="C358" t="s">
        <v>411</v>
      </c>
      <c r="D358" s="1">
        <f>51771+11+35849</f>
        <v>87631</v>
      </c>
      <c r="E358" s="1">
        <f>4+46+1+2</f>
        <v>53</v>
      </c>
      <c r="F358" s="1">
        <v>0</v>
      </c>
      <c r="G358" s="1">
        <v>0</v>
      </c>
      <c r="H358" s="1">
        <v>0</v>
      </c>
      <c r="I358" s="1">
        <v>81473</v>
      </c>
      <c r="J358" s="1">
        <v>31084</v>
      </c>
    </row>
    <row r="359" spans="1:10" hidden="1" x14ac:dyDescent="0.25">
      <c r="A359" t="s">
        <v>134</v>
      </c>
      <c r="B359" t="s">
        <v>874</v>
      </c>
      <c r="C359" t="s">
        <v>412</v>
      </c>
      <c r="D359" s="1">
        <f>18475+12+6018+4</f>
        <v>24509</v>
      </c>
      <c r="E359" s="1">
        <f>14+33+50</f>
        <v>97</v>
      </c>
      <c r="F359" s="1">
        <v>0</v>
      </c>
      <c r="G359" s="1">
        <v>0</v>
      </c>
      <c r="H359" s="1">
        <v>0</v>
      </c>
      <c r="I359" s="1">
        <v>20159</v>
      </c>
      <c r="J359" s="1">
        <v>4989</v>
      </c>
    </row>
    <row r="360" spans="1:10" hidden="1" x14ac:dyDescent="0.25">
      <c r="A360" t="s">
        <v>120</v>
      </c>
      <c r="B360" t="s">
        <v>874</v>
      </c>
      <c r="C360" t="s">
        <v>413</v>
      </c>
      <c r="D360" s="1">
        <f>48360+9+2+1059+2+17+14953</f>
        <v>64402</v>
      </c>
      <c r="E360" s="1">
        <f>98+5+8+63+2</f>
        <v>176</v>
      </c>
      <c r="F360" s="1">
        <v>0</v>
      </c>
      <c r="G360" s="1">
        <v>0</v>
      </c>
      <c r="H360" s="1">
        <v>0</v>
      </c>
      <c r="I360" s="1">
        <v>21230</v>
      </c>
      <c r="J360" s="1">
        <v>9153</v>
      </c>
    </row>
    <row r="361" spans="1:10" hidden="1" x14ac:dyDescent="0.25">
      <c r="A361" t="s">
        <v>138</v>
      </c>
      <c r="B361" t="s">
        <v>874</v>
      </c>
      <c r="C361" t="s">
        <v>414</v>
      </c>
      <c r="D361" s="1">
        <f>60581+1+9+1+23+43+22896+117</f>
        <v>83671</v>
      </c>
      <c r="E361" s="1">
        <f>79+2+99</f>
        <v>180</v>
      </c>
      <c r="F361" s="1">
        <v>0</v>
      </c>
      <c r="G361" s="1">
        <v>0</v>
      </c>
      <c r="H361" s="1">
        <v>0</v>
      </c>
      <c r="I361" s="1">
        <v>102658</v>
      </c>
      <c r="J361" s="1">
        <v>20811</v>
      </c>
    </row>
    <row r="362" spans="1:10" hidden="1" x14ac:dyDescent="0.25">
      <c r="A362" t="s">
        <v>796</v>
      </c>
      <c r="B362" t="s">
        <v>874</v>
      </c>
      <c r="C362" t="s">
        <v>415</v>
      </c>
      <c r="D362" s="1">
        <f>47808+1+1183+4+22987+6</f>
        <v>71989</v>
      </c>
      <c r="E362" s="1">
        <f>246+7+96+412+69+1</f>
        <v>831</v>
      </c>
      <c r="F362" s="1">
        <v>0</v>
      </c>
      <c r="G362" s="1">
        <v>0</v>
      </c>
      <c r="H362" s="1">
        <v>0</v>
      </c>
      <c r="I362" s="1"/>
      <c r="J362" s="1"/>
    </row>
    <row r="363" spans="1:10" hidden="1" x14ac:dyDescent="0.25">
      <c r="A363" t="s">
        <v>226</v>
      </c>
      <c r="B363" t="s">
        <v>874</v>
      </c>
      <c r="C363" t="s">
        <v>416</v>
      </c>
      <c r="D363" s="1">
        <f>14125+14+764+5+28+4653+1</f>
        <v>19590</v>
      </c>
      <c r="E363" s="1">
        <f>1+13+6+10+50</f>
        <v>80</v>
      </c>
      <c r="F363" s="1">
        <v>0</v>
      </c>
      <c r="G363" s="1">
        <v>0</v>
      </c>
      <c r="H363" s="1">
        <v>0</v>
      </c>
      <c r="I363" s="1">
        <v>71161</v>
      </c>
      <c r="J363" s="1">
        <v>4289</v>
      </c>
    </row>
    <row r="364" spans="1:10" hidden="1" x14ac:dyDescent="0.25">
      <c r="A364" t="s">
        <v>138</v>
      </c>
      <c r="B364" t="s">
        <v>874</v>
      </c>
      <c r="C364" t="s">
        <v>417</v>
      </c>
      <c r="D364" s="1">
        <f>58881+5+2+774+116+2+17+52485</f>
        <v>112282</v>
      </c>
      <c r="E364" s="1">
        <f>425+1+262+91+7</f>
        <v>786</v>
      </c>
      <c r="F364" s="1">
        <v>0</v>
      </c>
      <c r="G364" s="1">
        <v>0</v>
      </c>
      <c r="H364" s="1">
        <v>0</v>
      </c>
      <c r="I364" s="1">
        <v>127734</v>
      </c>
      <c r="J364" s="1">
        <v>39532</v>
      </c>
    </row>
    <row r="365" spans="1:10" hidden="1" x14ac:dyDescent="0.25">
      <c r="A365" t="s">
        <v>138</v>
      </c>
      <c r="B365" t="s">
        <v>874</v>
      </c>
      <c r="C365" t="s">
        <v>418</v>
      </c>
      <c r="D365" s="1">
        <f>77358+5+22+633+8+24206+398</f>
        <v>102630</v>
      </c>
      <c r="E365" s="1">
        <f>400+5+1+28+112</f>
        <v>546</v>
      </c>
      <c r="F365" s="1">
        <v>0</v>
      </c>
      <c r="G365" s="1">
        <v>0</v>
      </c>
      <c r="H365" s="1">
        <v>0</v>
      </c>
      <c r="I365" s="1">
        <v>94757</v>
      </c>
      <c r="J365" s="1">
        <v>21561</v>
      </c>
    </row>
    <row r="366" spans="1:10" hidden="1" x14ac:dyDescent="0.25">
      <c r="A366" t="s">
        <v>796</v>
      </c>
      <c r="B366" t="s">
        <v>874</v>
      </c>
      <c r="C366" t="s">
        <v>419</v>
      </c>
      <c r="D366" s="1">
        <f>74161+16+8+1+1087+4+133+58+1+87+35156+1+1+1+1+20</f>
        <v>110736</v>
      </c>
      <c r="E366" s="1">
        <f>682+41+14+35+28+7</f>
        <v>807</v>
      </c>
      <c r="F366" s="1">
        <v>0</v>
      </c>
      <c r="G366" s="1">
        <v>0</v>
      </c>
      <c r="H366" s="1">
        <v>0</v>
      </c>
      <c r="I366" s="1">
        <v>249066</v>
      </c>
      <c r="J366" s="1">
        <v>32540</v>
      </c>
    </row>
    <row r="367" spans="1:10" hidden="1" x14ac:dyDescent="0.25">
      <c r="A367" t="s">
        <v>831</v>
      </c>
      <c r="B367" t="s">
        <v>874</v>
      </c>
      <c r="C367" t="s">
        <v>420</v>
      </c>
      <c r="D367" s="1">
        <f>16948+2+114+12+2+5+29800+65+1+10+5775+1+1+1</f>
        <v>52737</v>
      </c>
      <c r="E367" s="1">
        <f>1+19+67+97</f>
        <v>184</v>
      </c>
      <c r="F367" s="1">
        <v>0</v>
      </c>
      <c r="G367" s="1">
        <v>0</v>
      </c>
      <c r="H367" s="1">
        <v>0</v>
      </c>
      <c r="I367" s="1">
        <v>52351</v>
      </c>
      <c r="J367" s="1">
        <v>28825</v>
      </c>
    </row>
    <row r="368" spans="1:10" hidden="1" x14ac:dyDescent="0.25">
      <c r="A368" t="s">
        <v>69</v>
      </c>
      <c r="B368" t="s">
        <v>874</v>
      </c>
      <c r="C368" t="s">
        <v>421</v>
      </c>
      <c r="D368" s="1">
        <f>98800+56+1958+5+34+30712+8</f>
        <v>131573</v>
      </c>
      <c r="E368" s="1">
        <f>14+2+4+159+120+13</f>
        <v>312</v>
      </c>
      <c r="F368" s="1">
        <v>0</v>
      </c>
      <c r="G368" s="1">
        <v>0</v>
      </c>
      <c r="H368" s="1">
        <v>0</v>
      </c>
      <c r="I368" s="1">
        <v>75803</v>
      </c>
      <c r="J368" s="1">
        <v>24915</v>
      </c>
    </row>
    <row r="369" spans="1:10" hidden="1" x14ac:dyDescent="0.25">
      <c r="A369" t="s">
        <v>146</v>
      </c>
      <c r="B369" t="s">
        <v>874</v>
      </c>
      <c r="C369" t="s">
        <v>422</v>
      </c>
      <c r="D369" s="1">
        <f>62699+6+3+104+473+40644+174</f>
        <v>104103</v>
      </c>
      <c r="E369" s="1">
        <f>189+13+129+109+286</f>
        <v>726</v>
      </c>
      <c r="F369" s="1">
        <v>0</v>
      </c>
      <c r="G369" s="1">
        <v>0</v>
      </c>
      <c r="H369" s="1">
        <v>0</v>
      </c>
      <c r="I369" s="1">
        <v>55968</v>
      </c>
      <c r="J369" s="1">
        <v>30282</v>
      </c>
    </row>
    <row r="370" spans="1:10" hidden="1" x14ac:dyDescent="0.25">
      <c r="A370" t="s">
        <v>146</v>
      </c>
      <c r="B370" t="s">
        <v>874</v>
      </c>
      <c r="C370" t="s">
        <v>423</v>
      </c>
      <c r="D370" s="1">
        <f>39396+31+92+185+41523+8</f>
        <v>81235</v>
      </c>
      <c r="E370" s="1">
        <f>2+1+25+42</f>
        <v>70</v>
      </c>
      <c r="F370" s="1">
        <v>0</v>
      </c>
      <c r="G370" s="1">
        <v>0</v>
      </c>
      <c r="H370" s="1">
        <v>0</v>
      </c>
      <c r="I370" s="1">
        <v>39985</v>
      </c>
      <c r="J370" s="1">
        <v>30884</v>
      </c>
    </row>
    <row r="371" spans="1:10" hidden="1" x14ac:dyDescent="0.25">
      <c r="A371" t="s">
        <v>76</v>
      </c>
      <c r="B371" t="s">
        <v>874</v>
      </c>
      <c r="C371" t="s">
        <v>424</v>
      </c>
      <c r="D371" s="1">
        <f>91511+1+1+1+523+4+4+32785+27+1+4</f>
        <v>124862</v>
      </c>
      <c r="E371" s="1">
        <f>9+43</f>
        <v>52</v>
      </c>
      <c r="F371" s="1">
        <v>0</v>
      </c>
      <c r="G371" s="1">
        <v>0</v>
      </c>
      <c r="H371" s="1">
        <v>0</v>
      </c>
      <c r="I371" s="1">
        <v>158561</v>
      </c>
      <c r="J371" s="1">
        <v>26771</v>
      </c>
    </row>
    <row r="372" spans="1:10" hidden="1" x14ac:dyDescent="0.25">
      <c r="A372" t="s">
        <v>795</v>
      </c>
      <c r="B372" t="s">
        <v>874</v>
      </c>
      <c r="C372" t="s">
        <v>425</v>
      </c>
      <c r="D372" s="1">
        <f>151636+1+1+4+68598+370+2+2</f>
        <v>220614</v>
      </c>
      <c r="E372" s="1">
        <f>20+26+49+7</f>
        <v>102</v>
      </c>
      <c r="F372" s="1">
        <v>0</v>
      </c>
      <c r="G372" s="1">
        <v>0</v>
      </c>
      <c r="H372" s="1">
        <v>0</v>
      </c>
      <c r="I372" s="1">
        <v>128046</v>
      </c>
      <c r="J372" s="1">
        <v>61747</v>
      </c>
    </row>
    <row r="373" spans="1:10" x14ac:dyDescent="0.25">
      <c r="A373" t="s">
        <v>824</v>
      </c>
      <c r="B373" t="s">
        <v>874</v>
      </c>
      <c r="C373" t="s">
        <v>426</v>
      </c>
      <c r="D373" s="1">
        <f>29582+1+60+78+4+32723</f>
        <v>62448</v>
      </c>
      <c r="E373" s="1">
        <f>73+45+20+4</f>
        <v>142</v>
      </c>
      <c r="F373" s="1">
        <v>0</v>
      </c>
      <c r="G373" s="1">
        <v>0</v>
      </c>
      <c r="H373" s="1">
        <v>0</v>
      </c>
      <c r="I373" s="1">
        <v>67877</v>
      </c>
      <c r="J373" s="1">
        <v>29210</v>
      </c>
    </row>
    <row r="374" spans="1:10" hidden="1" x14ac:dyDescent="0.25">
      <c r="A374" t="s">
        <v>788</v>
      </c>
      <c r="B374" t="s">
        <v>874</v>
      </c>
      <c r="C374" t="s">
        <v>427</v>
      </c>
      <c r="D374" s="1">
        <f>139918+62+1167+43370+1+2</f>
        <v>184520</v>
      </c>
      <c r="E374" s="1">
        <f>189+78+3+207+11</f>
        <v>488</v>
      </c>
      <c r="F374" s="1">
        <v>0</v>
      </c>
      <c r="G374" s="1">
        <v>0</v>
      </c>
      <c r="H374" s="1">
        <v>0</v>
      </c>
      <c r="I374" s="1">
        <v>154798</v>
      </c>
      <c r="J374" s="1">
        <v>40990</v>
      </c>
    </row>
    <row r="375" spans="1:10" hidden="1" x14ac:dyDescent="0.25">
      <c r="A375" t="s">
        <v>226</v>
      </c>
      <c r="B375" t="s">
        <v>874</v>
      </c>
      <c r="C375" t="s">
        <v>428</v>
      </c>
      <c r="D375" s="1">
        <f>17057+45+9+65+6763+7</f>
        <v>23946</v>
      </c>
      <c r="E375" s="1">
        <v>5</v>
      </c>
      <c r="F375" s="1">
        <v>0</v>
      </c>
      <c r="G375" s="1">
        <v>0</v>
      </c>
      <c r="H375" s="1">
        <v>0</v>
      </c>
      <c r="I375" s="1">
        <v>28716</v>
      </c>
      <c r="J375" s="1">
        <v>4570</v>
      </c>
    </row>
    <row r="376" spans="1:10" hidden="1" x14ac:dyDescent="0.25">
      <c r="A376" t="s">
        <v>791</v>
      </c>
      <c r="B376" t="s">
        <v>874</v>
      </c>
      <c r="C376" t="s">
        <v>429</v>
      </c>
      <c r="D376" s="1">
        <f>10005+5+4+35+146+3652</f>
        <v>13847</v>
      </c>
      <c r="E376" s="1">
        <f>31+4+18+1+2</f>
        <v>56</v>
      </c>
      <c r="F376" s="1">
        <v>0</v>
      </c>
      <c r="G376" s="1">
        <v>0</v>
      </c>
      <c r="H376" s="1">
        <v>0</v>
      </c>
      <c r="I376" s="1">
        <v>10873</v>
      </c>
      <c r="J376" s="1">
        <v>2744</v>
      </c>
    </row>
    <row r="377" spans="1:10" hidden="1" x14ac:dyDescent="0.25">
      <c r="A377" t="s">
        <v>788</v>
      </c>
      <c r="B377" t="s">
        <v>874</v>
      </c>
      <c r="C377" t="s">
        <v>430</v>
      </c>
      <c r="D377" s="1">
        <f>26418+1+2+3+21202</f>
        <v>47626</v>
      </c>
      <c r="E377" s="1">
        <f>26+55+5</f>
        <v>86</v>
      </c>
      <c r="F377" s="1">
        <v>0</v>
      </c>
      <c r="G377" s="1">
        <v>0</v>
      </c>
      <c r="H377" s="1">
        <v>0</v>
      </c>
      <c r="I377" s="1">
        <v>34355</v>
      </c>
      <c r="J377" s="1">
        <v>13191</v>
      </c>
    </row>
    <row r="378" spans="1:10" hidden="1" x14ac:dyDescent="0.25">
      <c r="A378" t="s">
        <v>10</v>
      </c>
      <c r="B378" t="s">
        <v>874</v>
      </c>
      <c r="C378" t="s">
        <v>431</v>
      </c>
      <c r="D378" s="1"/>
      <c r="E378" s="1"/>
      <c r="F378" s="1"/>
      <c r="G378" s="1"/>
      <c r="H378" s="1"/>
      <c r="I378" s="1"/>
      <c r="J378" s="1"/>
    </row>
    <row r="379" spans="1:10" hidden="1" x14ac:dyDescent="0.25">
      <c r="A379" t="s">
        <v>69</v>
      </c>
      <c r="B379" t="s">
        <v>874</v>
      </c>
      <c r="C379" t="s">
        <v>432</v>
      </c>
      <c r="D379" s="1">
        <f>52411+4+1237+4+50+39424</f>
        <v>93130</v>
      </c>
      <c r="E379" s="1">
        <f>6+15+38+3+1</f>
        <v>63</v>
      </c>
      <c r="F379" s="1">
        <v>0</v>
      </c>
      <c r="G379" s="1">
        <v>0</v>
      </c>
      <c r="H379" s="1">
        <v>0</v>
      </c>
      <c r="I379" s="1">
        <v>127803</v>
      </c>
      <c r="J379" s="1">
        <v>30081</v>
      </c>
    </row>
    <row r="380" spans="1:10" hidden="1" x14ac:dyDescent="0.25">
      <c r="A380" t="s">
        <v>226</v>
      </c>
      <c r="B380" t="s">
        <v>874</v>
      </c>
      <c r="C380" t="s">
        <v>433</v>
      </c>
      <c r="D380" s="1">
        <f>61397+140+40+1+31+29919+8</f>
        <v>91536</v>
      </c>
      <c r="E380" s="1">
        <f>42+6+6+208+7</f>
        <v>269</v>
      </c>
      <c r="F380" s="1">
        <v>0</v>
      </c>
      <c r="G380" s="1">
        <v>0</v>
      </c>
      <c r="H380" s="1">
        <v>0</v>
      </c>
      <c r="I380" s="1">
        <v>102061</v>
      </c>
      <c r="J380" s="1">
        <v>21974</v>
      </c>
    </row>
    <row r="381" spans="1:10" hidden="1" x14ac:dyDescent="0.25">
      <c r="A381" t="s">
        <v>864</v>
      </c>
      <c r="B381" t="s">
        <v>874</v>
      </c>
      <c r="C381" t="s">
        <v>434</v>
      </c>
      <c r="D381" s="1">
        <f>28153+142+223+7+25191+6+1+9+6</f>
        <v>53738</v>
      </c>
      <c r="E381" s="1">
        <f>349+2+185+105+19</f>
        <v>660</v>
      </c>
      <c r="F381" s="1">
        <v>0</v>
      </c>
      <c r="G381" s="1">
        <v>0</v>
      </c>
      <c r="H381" s="1">
        <v>0</v>
      </c>
      <c r="I381" s="1"/>
      <c r="J381" s="1"/>
    </row>
    <row r="382" spans="1:10" hidden="1" x14ac:dyDescent="0.25">
      <c r="A382" t="s">
        <v>809</v>
      </c>
      <c r="B382" t="s">
        <v>874</v>
      </c>
      <c r="C382" t="s">
        <v>435</v>
      </c>
      <c r="D382" s="1">
        <f>95122+2+41+4044+3+4+9+1+30+23373+1+100</f>
        <v>122730</v>
      </c>
      <c r="E382" s="1">
        <f>173+56+180+29</f>
        <v>438</v>
      </c>
      <c r="F382" s="1">
        <v>0</v>
      </c>
      <c r="G382" s="1">
        <v>0</v>
      </c>
      <c r="H382" s="1">
        <v>0</v>
      </c>
      <c r="I382" s="1">
        <v>147184</v>
      </c>
      <c r="J382" s="1">
        <v>19646</v>
      </c>
    </row>
    <row r="383" spans="1:10" hidden="1" x14ac:dyDescent="0.25">
      <c r="A383" t="s">
        <v>138</v>
      </c>
      <c r="B383" t="s">
        <v>874</v>
      </c>
      <c r="C383" t="s">
        <v>436</v>
      </c>
      <c r="D383" s="1">
        <f>103791+3519+1+79+2+17+50058+653</f>
        <v>158120</v>
      </c>
      <c r="E383" s="1">
        <f>346+6+91+278+579</f>
        <v>1300</v>
      </c>
      <c r="F383" s="1">
        <v>0</v>
      </c>
      <c r="G383" s="1">
        <v>0</v>
      </c>
      <c r="H383" s="1">
        <v>0</v>
      </c>
      <c r="I383" s="1">
        <v>170222</v>
      </c>
      <c r="J383" s="1">
        <v>33143</v>
      </c>
    </row>
    <row r="384" spans="1:10" hidden="1" x14ac:dyDescent="0.25">
      <c r="A384" t="s">
        <v>229</v>
      </c>
      <c r="B384" t="s">
        <v>874</v>
      </c>
      <c r="C384" t="s">
        <v>437</v>
      </c>
      <c r="D384" s="1">
        <f>67358+1+19+2+9+961+26+4+1+5+32+34+122+26231+3</f>
        <v>94808</v>
      </c>
      <c r="E384" s="1">
        <f>152+22+312+17</f>
        <v>503</v>
      </c>
      <c r="F384" s="1">
        <v>0</v>
      </c>
      <c r="G384" s="1">
        <v>0</v>
      </c>
      <c r="H384" s="1">
        <v>0</v>
      </c>
      <c r="I384" s="1">
        <v>159873</v>
      </c>
      <c r="J384" s="1">
        <v>20847</v>
      </c>
    </row>
    <row r="385" spans="1:10" hidden="1" x14ac:dyDescent="0.25">
      <c r="A385" t="s">
        <v>801</v>
      </c>
      <c r="B385" t="s">
        <v>874</v>
      </c>
      <c r="C385" t="s">
        <v>438</v>
      </c>
      <c r="D385" s="1">
        <f>84268+22+8+19+124+47204+3+259+34+178</f>
        <v>132119</v>
      </c>
      <c r="E385" s="1">
        <f>8+1+34+18</f>
        <v>61</v>
      </c>
      <c r="F385" s="1">
        <v>0</v>
      </c>
      <c r="G385" s="1">
        <v>0</v>
      </c>
      <c r="H385" s="1">
        <v>0</v>
      </c>
      <c r="I385" s="1">
        <v>319703</v>
      </c>
      <c r="J385" s="1">
        <v>43788</v>
      </c>
    </row>
    <row r="386" spans="1:10" hidden="1" x14ac:dyDescent="0.25">
      <c r="A386" s="27" t="s">
        <v>10</v>
      </c>
      <c r="B386" s="27" t="s">
        <v>874</v>
      </c>
      <c r="C386" s="27" t="s">
        <v>780</v>
      </c>
      <c r="D386" s="32"/>
      <c r="E386" s="32"/>
      <c r="F386" s="32"/>
      <c r="G386" s="32"/>
      <c r="H386" s="32"/>
      <c r="I386" s="32"/>
      <c r="J386" s="32"/>
    </row>
    <row r="387" spans="1:10" hidden="1" x14ac:dyDescent="0.25">
      <c r="A387" t="s">
        <v>69</v>
      </c>
      <c r="B387" t="s">
        <v>874</v>
      </c>
      <c r="C387" t="s">
        <v>439</v>
      </c>
      <c r="D387" s="1">
        <f>131195+1+1282+2+58382+5+292</f>
        <v>191159</v>
      </c>
      <c r="E387" s="1">
        <f>1460+377+2+239+2463</f>
        <v>4541</v>
      </c>
      <c r="F387" s="1">
        <v>0</v>
      </c>
      <c r="G387" s="1">
        <v>0</v>
      </c>
      <c r="H387" s="1">
        <v>0</v>
      </c>
      <c r="I387" s="1">
        <v>200503</v>
      </c>
      <c r="J387" s="1">
        <v>52234</v>
      </c>
    </row>
    <row r="388" spans="1:10" hidden="1" x14ac:dyDescent="0.25">
      <c r="A388" t="s">
        <v>83</v>
      </c>
      <c r="B388" t="s">
        <v>874</v>
      </c>
      <c r="C388" t="s">
        <v>440</v>
      </c>
      <c r="D388" s="1">
        <f>9738+48+2310+1</f>
        <v>12097</v>
      </c>
      <c r="E388" s="1">
        <f>2+22</f>
        <v>24</v>
      </c>
      <c r="F388" s="1">
        <v>0</v>
      </c>
      <c r="G388" s="1">
        <v>0</v>
      </c>
      <c r="H388" s="1">
        <v>0</v>
      </c>
      <c r="I388" s="1">
        <v>23904</v>
      </c>
      <c r="J388" s="1">
        <v>2179</v>
      </c>
    </row>
    <row r="389" spans="1:10" hidden="1" x14ac:dyDescent="0.25">
      <c r="A389" t="s">
        <v>809</v>
      </c>
      <c r="B389" t="s">
        <v>874</v>
      </c>
      <c r="C389" t="s">
        <v>441</v>
      </c>
      <c r="D389" s="1">
        <f>57317+21+912+250+12972+1</f>
        <v>71473</v>
      </c>
      <c r="E389" s="1">
        <f>446+9+13+583+112</f>
        <v>1163</v>
      </c>
      <c r="F389" s="1">
        <v>0</v>
      </c>
      <c r="G389" s="1">
        <v>0</v>
      </c>
      <c r="H389" s="1">
        <v>0</v>
      </c>
      <c r="I389" s="1">
        <v>42931</v>
      </c>
      <c r="J389" s="1">
        <v>10501</v>
      </c>
    </row>
    <row r="390" spans="1:10" hidden="1" x14ac:dyDescent="0.25">
      <c r="A390" t="s">
        <v>794</v>
      </c>
      <c r="B390" t="s">
        <v>874</v>
      </c>
      <c r="C390" t="s">
        <v>442</v>
      </c>
      <c r="D390" s="1">
        <f>69294+2+355+2+1+133+64508+2+1+63</f>
        <v>134361</v>
      </c>
      <c r="E390" s="1">
        <f>433+2+47+79+154+7</f>
        <v>722</v>
      </c>
      <c r="F390" s="1">
        <v>0</v>
      </c>
      <c r="G390" s="1">
        <v>0</v>
      </c>
      <c r="H390" s="1">
        <v>0</v>
      </c>
      <c r="I390" s="1">
        <v>154244</v>
      </c>
      <c r="J390" s="1">
        <v>56524</v>
      </c>
    </row>
    <row r="391" spans="1:10" hidden="1" x14ac:dyDescent="0.25">
      <c r="A391" t="s">
        <v>796</v>
      </c>
      <c r="B391" t="s">
        <v>874</v>
      </c>
      <c r="C391" t="s">
        <v>443</v>
      </c>
      <c r="D391" s="1">
        <f>120558+10+15523+3+10+210+45730+5+14</f>
        <v>182063</v>
      </c>
      <c r="E391" s="1">
        <f>106+21+3+22+258+2</f>
        <v>412</v>
      </c>
      <c r="F391" s="1">
        <v>0</v>
      </c>
      <c r="G391" s="1">
        <v>0</v>
      </c>
      <c r="H391" s="1">
        <v>0</v>
      </c>
      <c r="I391" s="1">
        <v>175629</v>
      </c>
      <c r="J391" s="1">
        <v>34854</v>
      </c>
    </row>
    <row r="392" spans="1:10" hidden="1" x14ac:dyDescent="0.25">
      <c r="A392" t="s">
        <v>794</v>
      </c>
      <c r="B392" t="s">
        <v>874</v>
      </c>
      <c r="C392" t="s">
        <v>444</v>
      </c>
      <c r="D392" s="1">
        <f>121849+10+1+2+8175+1+1+69+88096</f>
        <v>218204</v>
      </c>
      <c r="E392" s="1">
        <f>228+20+1106+141</f>
        <v>1495</v>
      </c>
      <c r="F392" s="1">
        <v>0</v>
      </c>
      <c r="G392" s="1">
        <v>0</v>
      </c>
      <c r="H392" s="1">
        <v>0</v>
      </c>
      <c r="I392" s="1">
        <v>114925</v>
      </c>
      <c r="J392" s="1">
        <v>80106</v>
      </c>
    </row>
    <row r="393" spans="1:10" hidden="1" x14ac:dyDescent="0.25">
      <c r="A393" t="s">
        <v>811</v>
      </c>
      <c r="B393" t="s">
        <v>874</v>
      </c>
      <c r="C393" t="s">
        <v>445</v>
      </c>
      <c r="D393" s="1">
        <f>94107+12+14+34+36+53415+25</f>
        <v>147643</v>
      </c>
      <c r="E393" s="1">
        <f>3710+213+22494+6899+7596+1454</f>
        <v>42366</v>
      </c>
      <c r="F393" s="1">
        <v>0</v>
      </c>
      <c r="G393" s="1">
        <v>0</v>
      </c>
      <c r="H393" s="1">
        <v>0</v>
      </c>
      <c r="I393" s="1">
        <v>291061</v>
      </c>
      <c r="J393" s="1">
        <v>59455</v>
      </c>
    </row>
    <row r="394" spans="1:10" hidden="1" x14ac:dyDescent="0.25">
      <c r="A394" t="s">
        <v>848</v>
      </c>
      <c r="B394" t="s">
        <v>874</v>
      </c>
      <c r="C394" t="s">
        <v>446</v>
      </c>
      <c r="D394" s="1">
        <f>34843+1+5+5+8661</f>
        <v>43515</v>
      </c>
      <c r="E394" s="1">
        <f>34+81+18</f>
        <v>133</v>
      </c>
      <c r="F394" s="1">
        <v>0</v>
      </c>
      <c r="G394" s="1">
        <v>0</v>
      </c>
      <c r="H394" s="1">
        <v>0</v>
      </c>
      <c r="I394" s="1">
        <v>14334</v>
      </c>
      <c r="J394" s="1">
        <v>7498</v>
      </c>
    </row>
    <row r="395" spans="1:10" hidden="1" x14ac:dyDescent="0.25">
      <c r="A395" t="s">
        <v>134</v>
      </c>
      <c r="B395" t="s">
        <v>874</v>
      </c>
      <c r="C395" t="s">
        <v>447</v>
      </c>
      <c r="D395" s="1">
        <f>154368+3+1306+2+6+4+2+1+13+38381+24+2</f>
        <v>194112</v>
      </c>
      <c r="E395" s="1">
        <f>37+6+80+99+4</f>
        <v>226</v>
      </c>
      <c r="F395" s="1">
        <v>0</v>
      </c>
      <c r="G395" s="1">
        <v>0</v>
      </c>
      <c r="H395" s="1">
        <v>0</v>
      </c>
      <c r="I395" s="1">
        <v>78468</v>
      </c>
      <c r="J395" s="1">
        <v>33647</v>
      </c>
    </row>
    <row r="396" spans="1:10" hidden="1" x14ac:dyDescent="0.25">
      <c r="A396" t="s">
        <v>76</v>
      </c>
      <c r="B396" t="s">
        <v>874</v>
      </c>
      <c r="C396" t="s">
        <v>448</v>
      </c>
      <c r="D396" s="1">
        <f>171330+408+77+34+26505+1</f>
        <v>198355</v>
      </c>
      <c r="E396" s="1">
        <f>58+1+545+6</f>
        <v>610</v>
      </c>
      <c r="F396" s="1">
        <v>0</v>
      </c>
      <c r="G396" s="1">
        <v>0</v>
      </c>
      <c r="H396" s="1">
        <v>0</v>
      </c>
      <c r="I396" s="1">
        <v>151360</v>
      </c>
      <c r="J396" s="1">
        <v>22672</v>
      </c>
    </row>
    <row r="397" spans="1:10" hidden="1" x14ac:dyDescent="0.25">
      <c r="A397" t="s">
        <v>801</v>
      </c>
      <c r="B397" t="s">
        <v>874</v>
      </c>
      <c r="C397" t="s">
        <v>449</v>
      </c>
      <c r="D397" s="1">
        <f>111542+3+1+2+9298+1+21+40441+5+3+1+5539+1+1</f>
        <v>166859</v>
      </c>
      <c r="E397" s="1">
        <f>69+7+27+17+107</f>
        <v>227</v>
      </c>
      <c r="F397" s="1">
        <v>0</v>
      </c>
      <c r="G397" s="1">
        <v>0</v>
      </c>
      <c r="H397" s="1">
        <v>0</v>
      </c>
      <c r="I397" s="1">
        <v>289035</v>
      </c>
      <c r="J397" s="1">
        <v>40682</v>
      </c>
    </row>
    <row r="398" spans="1:10" hidden="1" x14ac:dyDescent="0.25">
      <c r="A398" t="s">
        <v>788</v>
      </c>
      <c r="B398" t="s">
        <v>874</v>
      </c>
      <c r="C398" t="s">
        <v>450</v>
      </c>
      <c r="D398" s="1">
        <f>29688+9+4+23+19941</f>
        <v>49665</v>
      </c>
      <c r="E398" s="1">
        <f>134+3+257+232+10</f>
        <v>636</v>
      </c>
      <c r="F398" s="1">
        <v>0</v>
      </c>
      <c r="G398" s="1">
        <v>0</v>
      </c>
      <c r="H398" s="1">
        <v>0</v>
      </c>
      <c r="I398" s="1">
        <v>37848</v>
      </c>
      <c r="J398" s="1">
        <v>13126</v>
      </c>
    </row>
    <row r="399" spans="1:10" hidden="1" x14ac:dyDescent="0.25">
      <c r="A399" t="s">
        <v>803</v>
      </c>
      <c r="B399" t="s">
        <v>874</v>
      </c>
      <c r="C399" t="s">
        <v>451</v>
      </c>
      <c r="D399" s="1"/>
      <c r="E399" s="1"/>
      <c r="F399" s="1"/>
      <c r="G399" s="1"/>
      <c r="H399" s="1"/>
      <c r="I399" s="1"/>
      <c r="J399" s="1"/>
    </row>
    <row r="400" spans="1:10" hidden="1" x14ac:dyDescent="0.25">
      <c r="A400" t="s">
        <v>825</v>
      </c>
      <c r="B400" t="s">
        <v>874</v>
      </c>
      <c r="C400" t="s">
        <v>452</v>
      </c>
      <c r="D400" s="1">
        <f>15348+1+117+9+1+5641</f>
        <v>21117</v>
      </c>
      <c r="E400" s="1">
        <f>38+18+2+1</f>
        <v>59</v>
      </c>
      <c r="F400" s="1">
        <v>0</v>
      </c>
      <c r="G400" s="1">
        <v>0</v>
      </c>
      <c r="H400" s="1">
        <v>0</v>
      </c>
      <c r="I400" s="1">
        <v>24672</v>
      </c>
      <c r="J400" s="1">
        <v>4724</v>
      </c>
    </row>
    <row r="401" spans="1:10" hidden="1" x14ac:dyDescent="0.25">
      <c r="A401" t="s">
        <v>101</v>
      </c>
      <c r="B401" t="s">
        <v>874</v>
      </c>
      <c r="C401" t="s">
        <v>453</v>
      </c>
      <c r="D401" s="1">
        <f>69023+1+63+1+30+22619+1</f>
        <v>91738</v>
      </c>
      <c r="E401" s="1">
        <f>54+5+30+135+20</f>
        <v>244</v>
      </c>
      <c r="F401" s="1">
        <v>0</v>
      </c>
      <c r="G401" s="1">
        <v>0</v>
      </c>
      <c r="H401" s="1">
        <v>0</v>
      </c>
      <c r="I401" s="1">
        <v>58544</v>
      </c>
      <c r="J401" s="1">
        <v>19208</v>
      </c>
    </row>
    <row r="402" spans="1:10" hidden="1" x14ac:dyDescent="0.25">
      <c r="A402" t="s">
        <v>265</v>
      </c>
      <c r="B402" t="s">
        <v>874</v>
      </c>
      <c r="C402" t="s">
        <v>454</v>
      </c>
      <c r="D402" s="1">
        <f>83012+2+41+39+13391+375</f>
        <v>96860</v>
      </c>
      <c r="E402" s="1">
        <f>49+2+11</f>
        <v>62</v>
      </c>
      <c r="F402" s="1">
        <v>0</v>
      </c>
      <c r="G402" s="1">
        <v>0</v>
      </c>
      <c r="H402" s="1">
        <v>0</v>
      </c>
      <c r="I402" s="1">
        <v>163757</v>
      </c>
      <c r="J402" s="1">
        <v>10125</v>
      </c>
    </row>
    <row r="403" spans="1:10" hidden="1" x14ac:dyDescent="0.25">
      <c r="A403" t="s">
        <v>248</v>
      </c>
      <c r="B403" t="s">
        <v>874</v>
      </c>
      <c r="C403" t="s">
        <v>455</v>
      </c>
      <c r="D403" s="1">
        <f>27414+1+48+3+8835</f>
        <v>36301</v>
      </c>
      <c r="E403" s="1">
        <f>10+8+437+6</f>
        <v>461</v>
      </c>
      <c r="F403" s="1">
        <v>0</v>
      </c>
      <c r="G403" s="1">
        <v>0</v>
      </c>
      <c r="H403" s="1">
        <v>0</v>
      </c>
      <c r="I403" s="1">
        <v>135561</v>
      </c>
      <c r="J403" s="1">
        <v>7780</v>
      </c>
    </row>
    <row r="404" spans="1:10" hidden="1" x14ac:dyDescent="0.25">
      <c r="A404" t="s">
        <v>76</v>
      </c>
      <c r="B404" t="s">
        <v>874</v>
      </c>
      <c r="C404" t="s">
        <v>456</v>
      </c>
      <c r="D404" s="1">
        <f>111990+3872+1+2485+27803</f>
        <v>146151</v>
      </c>
      <c r="E404" s="1">
        <f>104+4+190+29</f>
        <v>327</v>
      </c>
      <c r="F404" s="1">
        <v>0</v>
      </c>
      <c r="G404" s="1">
        <v>0</v>
      </c>
      <c r="H404" s="1">
        <v>0</v>
      </c>
      <c r="I404" s="1">
        <v>351608</v>
      </c>
      <c r="J404" s="1">
        <v>23527</v>
      </c>
    </row>
    <row r="405" spans="1:10" hidden="1" x14ac:dyDescent="0.25">
      <c r="A405" t="s">
        <v>76</v>
      </c>
      <c r="B405" t="s">
        <v>874</v>
      </c>
      <c r="C405" t="s">
        <v>457</v>
      </c>
      <c r="D405" s="1">
        <f>55717+2+2+1860+3+9+34543+1+2</f>
        <v>92139</v>
      </c>
      <c r="E405" s="1">
        <f>290+63+33+163+486+24</f>
        <v>1059</v>
      </c>
      <c r="F405" s="1">
        <v>0</v>
      </c>
      <c r="G405" s="1">
        <v>0</v>
      </c>
      <c r="H405" s="1">
        <v>0</v>
      </c>
      <c r="I405" s="1">
        <v>54456</v>
      </c>
      <c r="J405" s="1">
        <v>26490</v>
      </c>
    </row>
    <row r="406" spans="1:10" hidden="1" x14ac:dyDescent="0.25">
      <c r="A406" t="s">
        <v>146</v>
      </c>
      <c r="B406" t="s">
        <v>874</v>
      </c>
      <c r="C406" t="s">
        <v>458</v>
      </c>
      <c r="D406" s="1">
        <f>48945+4+3038+194+99+22108+5+1+4+3</f>
        <v>74401</v>
      </c>
      <c r="E406" s="1">
        <f>1752+2+8+802+217+1+140</f>
        <v>2922</v>
      </c>
      <c r="F406" s="1">
        <v>0</v>
      </c>
      <c r="G406" s="1">
        <v>0</v>
      </c>
      <c r="H406" s="1">
        <v>0</v>
      </c>
      <c r="I406" s="1">
        <v>76297</v>
      </c>
      <c r="J406" s="1">
        <v>20598</v>
      </c>
    </row>
    <row r="407" spans="1:10" hidden="1" x14ac:dyDescent="0.25">
      <c r="A407" t="s">
        <v>83</v>
      </c>
      <c r="B407" t="s">
        <v>874</v>
      </c>
      <c r="C407" t="s">
        <v>459</v>
      </c>
      <c r="D407" s="1">
        <f>11235+2+47+4288</f>
        <v>15572</v>
      </c>
      <c r="E407" s="1">
        <f>64+179</f>
        <v>243</v>
      </c>
      <c r="F407" s="1">
        <v>0</v>
      </c>
      <c r="G407" s="1">
        <v>0</v>
      </c>
      <c r="H407" s="1">
        <v>0</v>
      </c>
      <c r="I407" s="1">
        <v>15149</v>
      </c>
      <c r="J407" s="1">
        <v>3745</v>
      </c>
    </row>
    <row r="408" spans="1:10" hidden="1" x14ac:dyDescent="0.25">
      <c r="A408" t="s">
        <v>248</v>
      </c>
      <c r="B408" t="s">
        <v>874</v>
      </c>
      <c r="C408" t="s">
        <v>460</v>
      </c>
      <c r="D408" s="1">
        <f>73388+9+1046+1+50+2+2+82+72469+2+1+3+2</f>
        <v>147057</v>
      </c>
      <c r="E408" s="1">
        <f>486+26+47+723+339</f>
        <v>1621</v>
      </c>
      <c r="F408" s="1">
        <v>0</v>
      </c>
      <c r="G408" s="1">
        <v>0</v>
      </c>
      <c r="H408" s="1">
        <v>0</v>
      </c>
      <c r="I408" s="1">
        <v>441715</v>
      </c>
      <c r="J408" s="1">
        <v>58776</v>
      </c>
    </row>
    <row r="409" spans="1:10" hidden="1" x14ac:dyDescent="0.25">
      <c r="A409" t="s">
        <v>248</v>
      </c>
      <c r="B409" t="s">
        <v>874</v>
      </c>
      <c r="C409" t="s">
        <v>461</v>
      </c>
      <c r="D409" s="1">
        <f>100769+117+19+34671+9</f>
        <v>135585</v>
      </c>
      <c r="E409" s="1">
        <f>52+7+38+194+2</f>
        <v>293</v>
      </c>
      <c r="F409" s="1">
        <v>0</v>
      </c>
      <c r="G409" s="1">
        <v>0</v>
      </c>
      <c r="H409" s="1">
        <v>0</v>
      </c>
      <c r="I409" s="1">
        <v>187259</v>
      </c>
      <c r="J409" s="1">
        <v>24023</v>
      </c>
    </row>
    <row r="410" spans="1:10" hidden="1" x14ac:dyDescent="0.25">
      <c r="A410" t="s">
        <v>226</v>
      </c>
      <c r="B410" t="s">
        <v>874</v>
      </c>
      <c r="C410" t="s">
        <v>462</v>
      </c>
      <c r="D410" s="1">
        <f>26140+24+3226+90+27+2479+510+2</f>
        <v>32498</v>
      </c>
      <c r="E410" s="1">
        <f>23+3+45</f>
        <v>71</v>
      </c>
      <c r="F410" s="1">
        <v>0</v>
      </c>
      <c r="G410" s="1">
        <v>0</v>
      </c>
      <c r="H410" s="1">
        <v>0</v>
      </c>
      <c r="I410" s="1">
        <v>4113</v>
      </c>
      <c r="J410" s="1">
        <v>2630</v>
      </c>
    </row>
    <row r="411" spans="1:10" hidden="1" x14ac:dyDescent="0.25">
      <c r="A411" t="s">
        <v>826</v>
      </c>
      <c r="B411" t="s">
        <v>874</v>
      </c>
      <c r="C411" t="s">
        <v>463</v>
      </c>
      <c r="D411" s="1">
        <f>25878+221+183+31+419+13436+2</f>
        <v>40170</v>
      </c>
      <c r="E411" s="1">
        <f>1063+77+27+449+25</f>
        <v>1641</v>
      </c>
      <c r="F411" s="1">
        <v>0</v>
      </c>
      <c r="G411" s="1">
        <v>0</v>
      </c>
      <c r="H411" s="1">
        <v>0</v>
      </c>
      <c r="I411" s="1">
        <v>48245</v>
      </c>
      <c r="J411" s="1">
        <v>12168</v>
      </c>
    </row>
    <row r="412" spans="1:10" hidden="1" x14ac:dyDescent="0.25">
      <c r="A412" t="s">
        <v>248</v>
      </c>
      <c r="B412" t="s">
        <v>874</v>
      </c>
      <c r="C412" t="s">
        <v>464</v>
      </c>
      <c r="D412" s="1">
        <f>37935+465+5+13374</f>
        <v>51779</v>
      </c>
      <c r="E412" s="1">
        <f>44+55+68</f>
        <v>167</v>
      </c>
      <c r="F412" s="1">
        <v>0</v>
      </c>
      <c r="G412" s="1">
        <v>0</v>
      </c>
      <c r="H412" s="1">
        <v>0</v>
      </c>
      <c r="I412" s="1">
        <v>88152</v>
      </c>
      <c r="J412" s="1">
        <v>11943</v>
      </c>
    </row>
    <row r="413" spans="1:10" hidden="1" x14ac:dyDescent="0.25">
      <c r="A413" t="s">
        <v>101</v>
      </c>
      <c r="B413" t="s">
        <v>874</v>
      </c>
      <c r="C413" t="s">
        <v>465</v>
      </c>
      <c r="D413" s="1">
        <f>32593+22+11+17645+2</f>
        <v>50273</v>
      </c>
      <c r="E413" s="1">
        <f>7+2</f>
        <v>9</v>
      </c>
      <c r="F413" s="1">
        <v>0</v>
      </c>
      <c r="G413" s="1">
        <v>0</v>
      </c>
      <c r="H413" s="1">
        <v>0</v>
      </c>
      <c r="I413" s="1">
        <v>107177</v>
      </c>
      <c r="J413" s="1">
        <v>17335</v>
      </c>
    </row>
    <row r="414" spans="1:10" hidden="1" x14ac:dyDescent="0.25">
      <c r="A414" t="s">
        <v>865</v>
      </c>
      <c r="B414" t="s">
        <v>874</v>
      </c>
      <c r="C414" t="s">
        <v>466</v>
      </c>
      <c r="D414" s="1">
        <f>127706+20+11+1+3+1720+14+2+18+27+4+4+57+214+83+29849+38+1</f>
        <v>159772</v>
      </c>
      <c r="E414" s="1">
        <f>67+75+40+7+70</f>
        <v>259</v>
      </c>
      <c r="F414" s="1">
        <v>0</v>
      </c>
      <c r="G414" s="1">
        <v>0</v>
      </c>
      <c r="H414" s="1">
        <v>0</v>
      </c>
      <c r="I414" s="1">
        <v>141397</v>
      </c>
      <c r="J414" s="1">
        <v>25990</v>
      </c>
    </row>
    <row r="415" spans="1:10" hidden="1" x14ac:dyDescent="0.25">
      <c r="A415" t="s">
        <v>512</v>
      </c>
      <c r="B415" t="s">
        <v>874</v>
      </c>
      <c r="C415" t="s">
        <v>467</v>
      </c>
      <c r="D415" s="1">
        <f>39676+16+2+3+25955+1</f>
        <v>65653</v>
      </c>
      <c r="E415" s="1">
        <f>8+22+226</f>
        <v>256</v>
      </c>
      <c r="F415" s="1">
        <v>0</v>
      </c>
      <c r="G415" s="1">
        <v>0</v>
      </c>
      <c r="H415" s="1">
        <v>0</v>
      </c>
      <c r="I415" s="1">
        <v>34203</v>
      </c>
      <c r="J415" s="1">
        <v>21861</v>
      </c>
    </row>
    <row r="416" spans="1:10" hidden="1" x14ac:dyDescent="0.25">
      <c r="A416" s="27" t="s">
        <v>10</v>
      </c>
      <c r="B416" s="27" t="s">
        <v>874</v>
      </c>
      <c r="C416" s="27" t="s">
        <v>781</v>
      </c>
      <c r="D416" s="32"/>
      <c r="E416" s="32"/>
      <c r="F416" s="32"/>
      <c r="G416" s="32"/>
      <c r="H416" s="32"/>
      <c r="I416" s="32"/>
      <c r="J416" s="32"/>
    </row>
    <row r="417" spans="1:10" hidden="1" x14ac:dyDescent="0.25">
      <c r="A417" t="s">
        <v>826</v>
      </c>
      <c r="B417" t="s">
        <v>874</v>
      </c>
      <c r="C417" t="s">
        <v>468</v>
      </c>
      <c r="D417" s="1">
        <f>19152+2+277+1+15+10+157+18265+1+22+1+1+14</f>
        <v>37918</v>
      </c>
      <c r="E417" s="1">
        <f>56+1+102+25+45</f>
        <v>229</v>
      </c>
      <c r="F417" s="1">
        <v>0</v>
      </c>
      <c r="G417" s="1">
        <v>0</v>
      </c>
      <c r="H417" s="1">
        <v>0</v>
      </c>
      <c r="I417" s="1">
        <v>31851</v>
      </c>
      <c r="J417" s="1">
        <v>12933</v>
      </c>
    </row>
    <row r="418" spans="1:10" hidden="1" x14ac:dyDescent="0.25">
      <c r="A418" t="s">
        <v>817</v>
      </c>
      <c r="B418" t="s">
        <v>874</v>
      </c>
      <c r="C418" t="s">
        <v>469</v>
      </c>
      <c r="D418" s="1">
        <f>394131+22+5794+2</f>
        <v>399949</v>
      </c>
      <c r="E418" s="1">
        <f>95+203+1+37</f>
        <v>336</v>
      </c>
      <c r="F418" s="1">
        <v>0</v>
      </c>
      <c r="G418" s="1">
        <v>0</v>
      </c>
      <c r="H418" s="1">
        <v>0</v>
      </c>
      <c r="I418" s="1">
        <v>92773</v>
      </c>
      <c r="J418" s="1">
        <v>4560</v>
      </c>
    </row>
    <row r="419" spans="1:10" hidden="1" x14ac:dyDescent="0.25">
      <c r="A419" t="s">
        <v>791</v>
      </c>
      <c r="B419" t="s">
        <v>874</v>
      </c>
      <c r="C419" t="s">
        <v>470</v>
      </c>
      <c r="D419" s="1">
        <f>20260+1+4+6+29118+4</f>
        <v>49393</v>
      </c>
      <c r="E419" s="1">
        <f>93+934+181+1</f>
        <v>1209</v>
      </c>
      <c r="F419" s="1">
        <v>0</v>
      </c>
      <c r="G419" s="1">
        <v>0</v>
      </c>
      <c r="H419" s="1">
        <v>0</v>
      </c>
      <c r="I419" s="1">
        <v>15397</v>
      </c>
      <c r="J419" s="1">
        <v>29822</v>
      </c>
    </row>
    <row r="420" spans="1:10" hidden="1" x14ac:dyDescent="0.25">
      <c r="A420" t="s">
        <v>788</v>
      </c>
      <c r="B420" t="s">
        <v>874</v>
      </c>
      <c r="C420" t="s">
        <v>471</v>
      </c>
      <c r="D420" s="1">
        <f>76065+1327+7+75+35631+2+13</f>
        <v>113120</v>
      </c>
      <c r="E420" s="1">
        <f>358+17+109+287+161</f>
        <v>932</v>
      </c>
      <c r="F420" s="1">
        <v>0</v>
      </c>
      <c r="G420" s="1">
        <v>0</v>
      </c>
      <c r="H420" s="1">
        <v>0</v>
      </c>
      <c r="I420" s="1">
        <v>51691</v>
      </c>
      <c r="J420" s="1">
        <v>29179</v>
      </c>
    </row>
    <row r="421" spans="1:10" hidden="1" x14ac:dyDescent="0.25">
      <c r="A421" t="s">
        <v>795</v>
      </c>
      <c r="B421" t="s">
        <v>874</v>
      </c>
      <c r="C421" t="s">
        <v>472</v>
      </c>
      <c r="D421" s="1">
        <f>54929+10+2+413+20+28239+324</f>
        <v>83937</v>
      </c>
      <c r="E421" s="1">
        <f>1084+29+4+241+649</f>
        <v>2007</v>
      </c>
      <c r="F421" s="1">
        <v>0</v>
      </c>
      <c r="G421" s="1">
        <v>0</v>
      </c>
      <c r="H421" s="1">
        <v>0</v>
      </c>
      <c r="I421" s="1">
        <v>51906</v>
      </c>
      <c r="J421" s="1">
        <v>24685</v>
      </c>
    </row>
    <row r="422" spans="1:10" hidden="1" x14ac:dyDescent="0.25">
      <c r="A422" t="s">
        <v>788</v>
      </c>
      <c r="B422" t="s">
        <v>874</v>
      </c>
      <c r="C422" t="s">
        <v>473</v>
      </c>
      <c r="D422" s="1">
        <f>85720+1+439+113+5+1+2+7+40203</f>
        <v>126491</v>
      </c>
      <c r="E422" s="1">
        <f>1366+37+416+1272+1+3</f>
        <v>3095</v>
      </c>
      <c r="F422" s="1">
        <v>0</v>
      </c>
      <c r="G422" s="1">
        <v>0</v>
      </c>
      <c r="H422" s="1">
        <v>0</v>
      </c>
      <c r="I422" s="1">
        <v>54454</v>
      </c>
      <c r="J422" s="1">
        <v>36179</v>
      </c>
    </row>
    <row r="423" spans="1:10" hidden="1" x14ac:dyDescent="0.25">
      <c r="A423" t="s">
        <v>817</v>
      </c>
      <c r="B423" t="s">
        <v>874</v>
      </c>
      <c r="C423" t="s">
        <v>474</v>
      </c>
      <c r="D423" s="1">
        <f>35871+2+514+3+3+71898+45</f>
        <v>108336</v>
      </c>
      <c r="E423" s="1">
        <f>110+1+295+23</f>
        <v>429</v>
      </c>
      <c r="F423" s="1">
        <v>0</v>
      </c>
      <c r="G423" s="1">
        <v>0</v>
      </c>
      <c r="H423" s="1">
        <v>0</v>
      </c>
      <c r="I423" s="1">
        <v>553103</v>
      </c>
      <c r="J423" s="1">
        <v>56377</v>
      </c>
    </row>
    <row r="424" spans="1:10" hidden="1" x14ac:dyDescent="0.25">
      <c r="A424" t="s">
        <v>512</v>
      </c>
      <c r="B424" t="s">
        <v>874</v>
      </c>
      <c r="C424" t="s">
        <v>475</v>
      </c>
      <c r="D424" s="1">
        <f>17797+2057+2+1+1+4+11+5966</f>
        <v>25839</v>
      </c>
      <c r="E424" s="1">
        <f>122+14+24+15</f>
        <v>175</v>
      </c>
      <c r="F424" s="1">
        <v>0</v>
      </c>
      <c r="G424" s="1">
        <v>0</v>
      </c>
      <c r="H424" s="1">
        <v>0</v>
      </c>
      <c r="I424" s="1">
        <v>27596</v>
      </c>
      <c r="J424" s="1">
        <v>4884</v>
      </c>
    </row>
    <row r="425" spans="1:10" hidden="1" x14ac:dyDescent="0.25">
      <c r="A425" t="s">
        <v>146</v>
      </c>
      <c r="B425" t="s">
        <v>874</v>
      </c>
      <c r="C425" t="s">
        <v>476</v>
      </c>
      <c r="D425" s="1">
        <f>95580+1+6+6+156+1+1+2+1+3+29292+1+1+1191</f>
        <v>126242</v>
      </c>
      <c r="E425" s="1">
        <f>15+82+17</f>
        <v>114</v>
      </c>
      <c r="F425" s="1">
        <v>0</v>
      </c>
      <c r="G425" s="1">
        <v>0</v>
      </c>
      <c r="H425" s="1">
        <v>0</v>
      </c>
      <c r="I425" s="1">
        <v>50362</v>
      </c>
      <c r="J425" s="1">
        <v>28424</v>
      </c>
    </row>
    <row r="426" spans="1:10" hidden="1" x14ac:dyDescent="0.25">
      <c r="A426" t="s">
        <v>76</v>
      </c>
      <c r="B426" t="s">
        <v>874</v>
      </c>
      <c r="C426" t="s">
        <v>477</v>
      </c>
      <c r="D426" s="1">
        <f>92560+7+1+536+3+56177+2+76</f>
        <v>149362</v>
      </c>
      <c r="E426" s="1">
        <f>148+2+44+947+12</f>
        <v>1153</v>
      </c>
      <c r="F426" s="1">
        <v>0</v>
      </c>
      <c r="G426" s="1">
        <v>0</v>
      </c>
      <c r="H426" s="1">
        <v>0</v>
      </c>
      <c r="I426" s="1">
        <v>136392</v>
      </c>
      <c r="J426" s="1">
        <v>47879</v>
      </c>
    </row>
    <row r="427" spans="1:10" hidden="1" x14ac:dyDescent="0.25">
      <c r="A427" t="s">
        <v>76</v>
      </c>
      <c r="B427" t="s">
        <v>874</v>
      </c>
      <c r="C427" t="s">
        <v>478</v>
      </c>
      <c r="D427" s="1">
        <f>103933+265+12+2+1+9+51232+412</f>
        <v>155866</v>
      </c>
      <c r="E427" s="1">
        <f>545+28+176+69+1</f>
        <v>819</v>
      </c>
      <c r="F427" s="1">
        <v>0</v>
      </c>
      <c r="G427" s="1">
        <v>0</v>
      </c>
      <c r="H427" s="1">
        <v>0</v>
      </c>
      <c r="I427" s="1">
        <v>74345</v>
      </c>
      <c r="J427" s="1">
        <v>45362</v>
      </c>
    </row>
    <row r="428" spans="1:10" hidden="1" x14ac:dyDescent="0.25">
      <c r="A428" t="s">
        <v>823</v>
      </c>
      <c r="B428" t="s">
        <v>874</v>
      </c>
      <c r="C428" t="s">
        <v>479</v>
      </c>
      <c r="D428" s="1">
        <f>101995+1+14+53+407+1+4+16+31800</f>
        <v>134291</v>
      </c>
      <c r="E428" s="1">
        <f>198+372+2+532+582</f>
        <v>1686</v>
      </c>
      <c r="F428" s="1">
        <v>0</v>
      </c>
      <c r="G428" s="1">
        <v>0</v>
      </c>
      <c r="H428" s="1">
        <v>0</v>
      </c>
      <c r="I428" s="1">
        <v>70575</v>
      </c>
      <c r="J428" s="1">
        <v>28207</v>
      </c>
    </row>
    <row r="429" spans="1:10" hidden="1" x14ac:dyDescent="0.25">
      <c r="A429" t="s">
        <v>83</v>
      </c>
      <c r="B429" t="s">
        <v>874</v>
      </c>
      <c r="C429" t="s">
        <v>480</v>
      </c>
      <c r="D429" s="1">
        <f>22166+2+8+33+15258+2+1</f>
        <v>37470</v>
      </c>
      <c r="E429" s="1">
        <f>33+29+1+32+5</f>
        <v>100</v>
      </c>
      <c r="F429" s="1">
        <v>0</v>
      </c>
      <c r="G429" s="1">
        <v>0</v>
      </c>
      <c r="H429" s="1">
        <v>0</v>
      </c>
      <c r="I429" s="1">
        <v>32680</v>
      </c>
      <c r="J429" s="1">
        <v>14280</v>
      </c>
    </row>
    <row r="430" spans="1:10" hidden="1" x14ac:dyDescent="0.25">
      <c r="A430" t="s">
        <v>512</v>
      </c>
      <c r="B430" t="s">
        <v>874</v>
      </c>
      <c r="C430" t="s">
        <v>481</v>
      </c>
      <c r="D430" s="1">
        <f>37051+41+7+95+14515</f>
        <v>51709</v>
      </c>
      <c r="E430" s="1">
        <f>65+103+130+123+10</f>
        <v>431</v>
      </c>
      <c r="F430" s="1">
        <v>0</v>
      </c>
      <c r="G430" s="1">
        <v>0</v>
      </c>
      <c r="H430" s="1">
        <v>0</v>
      </c>
      <c r="I430" s="1">
        <v>6681</v>
      </c>
      <c r="J430" s="1">
        <v>11243</v>
      </c>
    </row>
    <row r="431" spans="1:10" x14ac:dyDescent="0.25">
      <c r="A431" t="s">
        <v>824</v>
      </c>
      <c r="B431" t="s">
        <v>874</v>
      </c>
      <c r="C431" t="s">
        <v>482</v>
      </c>
      <c r="D431" s="1">
        <f>15482+14002+2+2</f>
        <v>29488</v>
      </c>
      <c r="E431" s="1">
        <f>377+11+76+12</f>
        <v>476</v>
      </c>
      <c r="F431" s="1">
        <v>0</v>
      </c>
      <c r="G431" s="1">
        <v>0</v>
      </c>
      <c r="H431" s="1">
        <v>0</v>
      </c>
      <c r="I431" s="1">
        <v>19999</v>
      </c>
      <c r="J431" s="1">
        <v>8691</v>
      </c>
    </row>
    <row r="432" spans="1:10" hidden="1" x14ac:dyDescent="0.25">
      <c r="A432" t="s">
        <v>248</v>
      </c>
      <c r="B432" t="s">
        <v>874</v>
      </c>
      <c r="C432" t="s">
        <v>483</v>
      </c>
      <c r="D432" s="1">
        <f>63422+4+203+8+13199+4</f>
        <v>76840</v>
      </c>
      <c r="E432" s="1">
        <f>316+8+1+35+63</f>
        <v>423</v>
      </c>
      <c r="F432" s="1">
        <v>0</v>
      </c>
      <c r="G432" s="1">
        <v>0</v>
      </c>
      <c r="H432" s="1">
        <v>0</v>
      </c>
      <c r="I432" s="1">
        <v>197854</v>
      </c>
      <c r="J432" s="1">
        <v>11922</v>
      </c>
    </row>
    <row r="433" spans="1:10" hidden="1" x14ac:dyDescent="0.25">
      <c r="A433" t="s">
        <v>801</v>
      </c>
      <c r="B433" t="s">
        <v>874</v>
      </c>
      <c r="C433" t="s">
        <v>484</v>
      </c>
      <c r="D433" s="1">
        <f>39024+340+7+8+42695+572+61</f>
        <v>82707</v>
      </c>
      <c r="E433" s="1">
        <f>1+1+71</f>
        <v>73</v>
      </c>
      <c r="F433" s="1">
        <v>0</v>
      </c>
      <c r="G433" s="1">
        <v>0</v>
      </c>
      <c r="H433" s="1">
        <v>0</v>
      </c>
      <c r="I433" s="1">
        <v>260017</v>
      </c>
      <c r="J433" s="1">
        <v>36813</v>
      </c>
    </row>
    <row r="434" spans="1:10" hidden="1" x14ac:dyDescent="0.25">
      <c r="A434" t="s">
        <v>818</v>
      </c>
      <c r="B434" t="s">
        <v>874</v>
      </c>
      <c r="C434" t="s">
        <v>485</v>
      </c>
      <c r="D434" s="1">
        <f>37672+2+29+177+25183</f>
        <v>63063</v>
      </c>
      <c r="E434" s="1">
        <f>9+50+1</f>
        <v>60</v>
      </c>
      <c r="F434" s="1">
        <v>0</v>
      </c>
      <c r="G434" s="1">
        <v>0</v>
      </c>
      <c r="H434" s="1">
        <v>0</v>
      </c>
      <c r="I434" s="1">
        <v>37630</v>
      </c>
      <c r="J434" s="1">
        <v>14149</v>
      </c>
    </row>
    <row r="435" spans="1:10" hidden="1" x14ac:dyDescent="0.25">
      <c r="A435" t="s">
        <v>797</v>
      </c>
      <c r="B435" t="s">
        <v>874</v>
      </c>
      <c r="C435" t="s">
        <v>486</v>
      </c>
      <c r="D435" s="1">
        <f>102402+2+2+1+153+1+1+3+4+16937+5</f>
        <v>119511</v>
      </c>
      <c r="E435" s="1">
        <f>68+10+4</f>
        <v>82</v>
      </c>
      <c r="F435" s="1">
        <v>0</v>
      </c>
      <c r="G435" s="1">
        <v>0</v>
      </c>
      <c r="H435" s="1">
        <v>0</v>
      </c>
      <c r="I435" s="1">
        <v>25008</v>
      </c>
      <c r="J435" s="1">
        <v>11706</v>
      </c>
    </row>
    <row r="436" spans="1:10" hidden="1" x14ac:dyDescent="0.25">
      <c r="A436" t="s">
        <v>804</v>
      </c>
      <c r="B436" t="s">
        <v>874</v>
      </c>
      <c r="C436" t="s">
        <v>487</v>
      </c>
      <c r="D436" s="1">
        <f>62244+1+7+13+3+34742+698+14</f>
        <v>97722</v>
      </c>
      <c r="E436" s="1">
        <f>5+3+14+214</f>
        <v>236</v>
      </c>
      <c r="F436" s="1">
        <v>0</v>
      </c>
      <c r="G436" s="1">
        <v>0</v>
      </c>
      <c r="H436" s="1">
        <v>0</v>
      </c>
      <c r="I436" s="1">
        <v>52016</v>
      </c>
      <c r="J436" s="1">
        <v>29991</v>
      </c>
    </row>
    <row r="437" spans="1:10" hidden="1" x14ac:dyDescent="0.25">
      <c r="A437" t="s">
        <v>226</v>
      </c>
      <c r="B437" t="s">
        <v>874</v>
      </c>
      <c r="C437" t="s">
        <v>488</v>
      </c>
      <c r="D437" s="1">
        <f>64294+1+127+3206+3+1+14+8+30+1+17+23165</f>
        <v>90867</v>
      </c>
      <c r="E437" s="1">
        <f>93+113+42+73+20</f>
        <v>341</v>
      </c>
      <c r="F437" s="1">
        <v>0</v>
      </c>
      <c r="G437" s="1">
        <v>0</v>
      </c>
      <c r="H437" s="1">
        <v>0</v>
      </c>
      <c r="I437" s="1">
        <v>45756</v>
      </c>
      <c r="J437" s="1">
        <v>21342</v>
      </c>
    </row>
    <row r="438" spans="1:10" hidden="1" x14ac:dyDescent="0.25">
      <c r="A438" t="s">
        <v>795</v>
      </c>
      <c r="B438" t="s">
        <v>874</v>
      </c>
      <c r="C438" t="s">
        <v>489</v>
      </c>
      <c r="D438" s="1">
        <f>42697+7+22+317+1+5+24+1+8+25851</f>
        <v>68933</v>
      </c>
      <c r="E438" s="1">
        <f>61+1+2+463+502</f>
        <v>1029</v>
      </c>
      <c r="F438" s="1">
        <v>0</v>
      </c>
      <c r="G438" s="1">
        <v>0</v>
      </c>
      <c r="H438" s="1">
        <v>0</v>
      </c>
      <c r="I438" s="1">
        <v>65212</v>
      </c>
      <c r="J438" s="1">
        <v>20336</v>
      </c>
    </row>
    <row r="439" spans="1:10" hidden="1" x14ac:dyDescent="0.25">
      <c r="A439" t="s">
        <v>10</v>
      </c>
      <c r="B439" t="s">
        <v>874</v>
      </c>
      <c r="C439" t="s">
        <v>490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</row>
    <row r="440" spans="1:10" hidden="1" x14ac:dyDescent="0.25">
      <c r="A440" t="s">
        <v>801</v>
      </c>
      <c r="B440" t="s">
        <v>874</v>
      </c>
      <c r="C440" t="s">
        <v>491</v>
      </c>
      <c r="D440" s="1">
        <f>29200+9+74+7+46383+3+13+1+1+35</f>
        <v>75726</v>
      </c>
      <c r="E440" s="1">
        <f>133+80+1117+455+2</f>
        <v>1787</v>
      </c>
      <c r="F440" s="1">
        <v>0</v>
      </c>
      <c r="G440" s="1">
        <v>0</v>
      </c>
      <c r="H440" s="1">
        <v>0</v>
      </c>
      <c r="I440" s="1">
        <v>153893</v>
      </c>
      <c r="J440" s="1">
        <v>35104</v>
      </c>
    </row>
    <row r="441" spans="1:10" hidden="1" x14ac:dyDescent="0.25">
      <c r="A441" t="s">
        <v>818</v>
      </c>
      <c r="B441" t="s">
        <v>874</v>
      </c>
      <c r="C441" t="s">
        <v>492</v>
      </c>
      <c r="D441" s="1">
        <f>26710+332+6+5+48+8787</f>
        <v>35888</v>
      </c>
      <c r="E441" s="1">
        <f>27+42+3+52+10</f>
        <v>134</v>
      </c>
      <c r="F441" s="1">
        <v>0</v>
      </c>
      <c r="G441" s="1">
        <v>0</v>
      </c>
      <c r="H441" s="1">
        <v>0</v>
      </c>
      <c r="I441" s="1">
        <v>58416</v>
      </c>
      <c r="J441" s="1">
        <v>8321</v>
      </c>
    </row>
    <row r="442" spans="1:10" hidden="1" x14ac:dyDescent="0.25">
      <c r="A442" t="s">
        <v>791</v>
      </c>
      <c r="B442" t="s">
        <v>874</v>
      </c>
      <c r="C442" t="s">
        <v>493</v>
      </c>
      <c r="D442" s="1">
        <f>33486+1+9+1+25+5103</f>
        <v>38625</v>
      </c>
      <c r="E442" s="1">
        <f>294+1+429+33</f>
        <v>757</v>
      </c>
      <c r="F442" s="1">
        <v>0</v>
      </c>
      <c r="G442" s="1">
        <v>0</v>
      </c>
      <c r="H442" s="1">
        <v>0</v>
      </c>
      <c r="I442" s="1">
        <v>67090</v>
      </c>
      <c r="J442" s="1">
        <v>5365</v>
      </c>
    </row>
    <row r="443" spans="1:10" hidden="1" x14ac:dyDescent="0.25">
      <c r="A443" t="s">
        <v>138</v>
      </c>
      <c r="B443" t="s">
        <v>874</v>
      </c>
      <c r="C443" t="s">
        <v>494</v>
      </c>
      <c r="D443" s="1">
        <f>27546+74+1+2+2+66+8400</f>
        <v>36091</v>
      </c>
      <c r="E443" s="1">
        <f>71+16</f>
        <v>87</v>
      </c>
      <c r="F443" s="1">
        <v>0</v>
      </c>
      <c r="G443" s="1">
        <v>0</v>
      </c>
      <c r="H443" s="1">
        <v>0</v>
      </c>
      <c r="I443" s="1">
        <v>64818</v>
      </c>
      <c r="J443" s="1">
        <v>6700</v>
      </c>
    </row>
    <row r="444" spans="1:10" hidden="1" x14ac:dyDescent="0.25">
      <c r="A444" t="s">
        <v>495</v>
      </c>
      <c r="B444" t="s">
        <v>874</v>
      </c>
      <c r="C444" t="s">
        <v>496</v>
      </c>
      <c r="D444" s="1">
        <f>203726+6+1+5211+10+63+1+3+578+103681+11+1+3+1+4</f>
        <v>313300</v>
      </c>
      <c r="E444" s="1">
        <f>322+45+44+529+27+8</f>
        <v>975</v>
      </c>
      <c r="F444" s="1">
        <v>0</v>
      </c>
      <c r="G444" s="1">
        <v>0</v>
      </c>
      <c r="H444" s="1">
        <v>0</v>
      </c>
      <c r="I444" s="1">
        <v>85272</v>
      </c>
      <c r="J444" s="1">
        <v>81703</v>
      </c>
    </row>
    <row r="445" spans="1:10" hidden="1" x14ac:dyDescent="0.25">
      <c r="A445" t="s">
        <v>791</v>
      </c>
      <c r="B445" t="s">
        <v>874</v>
      </c>
      <c r="C445" t="s">
        <v>497</v>
      </c>
      <c r="D445" s="1">
        <f>15029+1+15+102+91+2+9+94+13549</f>
        <v>28892</v>
      </c>
      <c r="E445" s="1">
        <f>70+1+2+76</f>
        <v>149</v>
      </c>
      <c r="F445" s="1">
        <v>0</v>
      </c>
      <c r="G445" s="1">
        <v>0</v>
      </c>
      <c r="H445" s="1">
        <v>0</v>
      </c>
      <c r="I445" s="1">
        <v>26554</v>
      </c>
      <c r="J445" s="1">
        <v>11658</v>
      </c>
    </row>
    <row r="446" spans="1:10" hidden="1" x14ac:dyDescent="0.25">
      <c r="A446" s="27" t="s">
        <v>10</v>
      </c>
      <c r="B446" s="27" t="s">
        <v>874</v>
      </c>
      <c r="C446" s="27" t="s">
        <v>782</v>
      </c>
      <c r="D446" s="32"/>
      <c r="E446" s="32"/>
      <c r="F446" s="32"/>
      <c r="G446" s="32"/>
      <c r="H446" s="32"/>
      <c r="I446" s="32"/>
      <c r="J446" s="32"/>
    </row>
    <row r="447" spans="1:10" hidden="1" x14ac:dyDescent="0.25">
      <c r="A447" s="27" t="s">
        <v>10</v>
      </c>
      <c r="B447" s="27" t="s">
        <v>874</v>
      </c>
      <c r="C447" s="27" t="s">
        <v>783</v>
      </c>
      <c r="D447" s="32"/>
      <c r="E447" s="32"/>
      <c r="F447" s="32"/>
      <c r="G447" s="32"/>
      <c r="H447" s="32"/>
      <c r="I447" s="32"/>
      <c r="J447" s="32"/>
    </row>
    <row r="448" spans="1:10" hidden="1" x14ac:dyDescent="0.25">
      <c r="A448" s="27" t="s">
        <v>10</v>
      </c>
      <c r="B448" s="27" t="s">
        <v>874</v>
      </c>
      <c r="C448" s="27" t="s">
        <v>784</v>
      </c>
      <c r="D448" s="32"/>
      <c r="E448" s="32"/>
      <c r="F448" s="32"/>
      <c r="G448" s="32"/>
      <c r="H448" s="32"/>
      <c r="I448" s="32"/>
      <c r="J448" s="32"/>
    </row>
    <row r="449" spans="1:10" hidden="1" x14ac:dyDescent="0.25">
      <c r="A449" s="27" t="s">
        <v>10</v>
      </c>
      <c r="B449" s="27" t="s">
        <v>874</v>
      </c>
      <c r="C449" s="27" t="s">
        <v>785</v>
      </c>
      <c r="D449" s="32"/>
      <c r="E449" s="32"/>
      <c r="F449" s="32"/>
      <c r="G449" s="32"/>
      <c r="H449" s="32"/>
      <c r="I449" s="32"/>
      <c r="J449" s="32"/>
    </row>
    <row r="450" spans="1:10" hidden="1" x14ac:dyDescent="0.25">
      <c r="A450" t="s">
        <v>791</v>
      </c>
      <c r="B450" t="s">
        <v>874</v>
      </c>
      <c r="C450" t="s">
        <v>498</v>
      </c>
      <c r="D450" s="1">
        <f>7392+17247</f>
        <v>24639</v>
      </c>
      <c r="E450" s="1">
        <f>7+14</f>
        <v>21</v>
      </c>
      <c r="F450" s="1">
        <v>0</v>
      </c>
      <c r="G450" s="1">
        <v>0</v>
      </c>
      <c r="H450" s="1">
        <v>0</v>
      </c>
      <c r="I450" s="1">
        <v>4600</v>
      </c>
      <c r="J450" s="1">
        <v>3220</v>
      </c>
    </row>
    <row r="451" spans="1:10" hidden="1" x14ac:dyDescent="0.25">
      <c r="A451" s="27" t="s">
        <v>10</v>
      </c>
      <c r="B451" s="27" t="s">
        <v>874</v>
      </c>
      <c r="C451" s="27" t="s">
        <v>786</v>
      </c>
      <c r="D451" s="32"/>
      <c r="E451" s="32"/>
      <c r="F451" s="32"/>
      <c r="G451" s="32"/>
      <c r="H451" s="32"/>
      <c r="I451" s="32"/>
      <c r="J451" s="32"/>
    </row>
    <row r="452" spans="1:10" hidden="1" x14ac:dyDescent="0.25">
      <c r="A452" t="s">
        <v>796</v>
      </c>
      <c r="B452" t="s">
        <v>874</v>
      </c>
      <c r="C452" t="s">
        <v>499</v>
      </c>
      <c r="D452" s="1">
        <f>6841+15962</f>
        <v>22803</v>
      </c>
      <c r="E452" s="1">
        <f>38+88</f>
        <v>126</v>
      </c>
      <c r="F452" s="1">
        <v>0</v>
      </c>
      <c r="G452" s="1">
        <v>0</v>
      </c>
      <c r="H452" s="1">
        <v>0</v>
      </c>
      <c r="I452" s="1">
        <v>3538</v>
      </c>
      <c r="J452" s="1">
        <v>2476</v>
      </c>
    </row>
    <row r="453" spans="1:10" hidden="1" x14ac:dyDescent="0.25">
      <c r="A453" t="s">
        <v>10</v>
      </c>
      <c r="B453" t="s">
        <v>874</v>
      </c>
      <c r="C453" t="s">
        <v>500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</row>
    <row r="454" spans="1:10" hidden="1" x14ac:dyDescent="0.25">
      <c r="A454" t="s">
        <v>76</v>
      </c>
      <c r="B454" t="s">
        <v>878</v>
      </c>
      <c r="C454" t="s">
        <v>501</v>
      </c>
      <c r="D454" s="1">
        <v>19312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</row>
    <row r="455" spans="1:10" hidden="1" x14ac:dyDescent="0.25">
      <c r="A455" t="s">
        <v>231</v>
      </c>
      <c r="B455" t="s">
        <v>878</v>
      </c>
      <c r="C455" t="s">
        <v>502</v>
      </c>
      <c r="D455" s="1">
        <v>4803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</row>
    <row r="456" spans="1:10" hidden="1" x14ac:dyDescent="0.25">
      <c r="A456" t="s">
        <v>831</v>
      </c>
      <c r="B456" t="s">
        <v>878</v>
      </c>
      <c r="C456" t="s">
        <v>503</v>
      </c>
      <c r="D456" s="1">
        <v>1757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</row>
    <row r="457" spans="1:10" hidden="1" x14ac:dyDescent="0.25">
      <c r="A457" t="s">
        <v>76</v>
      </c>
      <c r="B457" t="s">
        <v>878</v>
      </c>
      <c r="C457" t="s">
        <v>504</v>
      </c>
      <c r="D457" s="1">
        <v>43714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</row>
    <row r="458" spans="1:10" hidden="1" x14ac:dyDescent="0.25">
      <c r="A458" t="s">
        <v>817</v>
      </c>
      <c r="B458" t="s">
        <v>878</v>
      </c>
      <c r="C458" t="s">
        <v>505</v>
      </c>
      <c r="D458" s="1">
        <v>12583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</row>
    <row r="459" spans="1:10" x14ac:dyDescent="0.25">
      <c r="A459" t="s">
        <v>824</v>
      </c>
      <c r="B459" t="s">
        <v>878</v>
      </c>
      <c r="C459" t="s">
        <v>506</v>
      </c>
      <c r="D459" s="1">
        <v>10293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</row>
    <row r="460" spans="1:10" hidden="1" x14ac:dyDescent="0.25">
      <c r="A460" t="s">
        <v>817</v>
      </c>
      <c r="B460" t="s">
        <v>878</v>
      </c>
      <c r="C460" t="s">
        <v>507</v>
      </c>
      <c r="D460" s="1">
        <v>14709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</row>
    <row r="461" spans="1:10" hidden="1" x14ac:dyDescent="0.25">
      <c r="A461" t="s">
        <v>859</v>
      </c>
      <c r="B461" t="s">
        <v>878</v>
      </c>
      <c r="C461" t="s">
        <v>508</v>
      </c>
      <c r="D461" s="1"/>
      <c r="E461" s="1"/>
      <c r="F461" s="1"/>
      <c r="G461" s="1"/>
      <c r="H461" s="1"/>
      <c r="I461" s="1"/>
      <c r="J461" s="1"/>
    </row>
    <row r="462" spans="1:10" hidden="1" x14ac:dyDescent="0.25">
      <c r="A462" t="s">
        <v>801</v>
      </c>
      <c r="B462" t="s">
        <v>878</v>
      </c>
      <c r="C462" t="s">
        <v>509</v>
      </c>
      <c r="D462" s="1">
        <v>789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</row>
    <row r="463" spans="1:10" hidden="1" x14ac:dyDescent="0.25">
      <c r="A463" t="s">
        <v>801</v>
      </c>
      <c r="B463" t="s">
        <v>878</v>
      </c>
      <c r="C463" t="s">
        <v>510</v>
      </c>
      <c r="D463" s="1">
        <v>39975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</row>
    <row r="464" spans="1:10" hidden="1" x14ac:dyDescent="0.25">
      <c r="A464" t="s">
        <v>831</v>
      </c>
      <c r="B464" t="s">
        <v>878</v>
      </c>
      <c r="C464" t="s">
        <v>511</v>
      </c>
      <c r="D464" s="1">
        <v>4380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</row>
    <row r="465" spans="1:10" hidden="1" x14ac:dyDescent="0.25">
      <c r="A465" t="s">
        <v>816</v>
      </c>
      <c r="B465" t="s">
        <v>878</v>
      </c>
      <c r="C465" t="s">
        <v>513</v>
      </c>
      <c r="D465" s="1">
        <v>5572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</row>
    <row r="466" spans="1:10" hidden="1" x14ac:dyDescent="0.25">
      <c r="A466" t="s">
        <v>817</v>
      </c>
      <c r="B466" t="s">
        <v>878</v>
      </c>
      <c r="C466" t="s">
        <v>514</v>
      </c>
      <c r="D466" s="1">
        <v>13528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</row>
    <row r="467" spans="1:10" hidden="1" x14ac:dyDescent="0.25">
      <c r="A467" t="s">
        <v>801</v>
      </c>
      <c r="B467" t="s">
        <v>878</v>
      </c>
      <c r="C467" t="s">
        <v>515</v>
      </c>
      <c r="D467" s="1">
        <v>6017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</row>
    <row r="468" spans="1:10" hidden="1" x14ac:dyDescent="0.25">
      <c r="A468" t="s">
        <v>848</v>
      </c>
      <c r="B468" t="s">
        <v>878</v>
      </c>
      <c r="C468" t="s">
        <v>516</v>
      </c>
      <c r="D468" s="1">
        <v>6934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</row>
    <row r="469" spans="1:10" hidden="1" x14ac:dyDescent="0.25">
      <c r="A469" t="s">
        <v>797</v>
      </c>
      <c r="B469" t="s">
        <v>878</v>
      </c>
      <c r="C469" t="s">
        <v>517</v>
      </c>
      <c r="D469" s="1">
        <v>10105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</row>
    <row r="470" spans="1:10" hidden="1" x14ac:dyDescent="0.25">
      <c r="A470" t="s">
        <v>811</v>
      </c>
      <c r="B470" t="s">
        <v>878</v>
      </c>
      <c r="C470" t="s">
        <v>518</v>
      </c>
      <c r="D470" s="1">
        <v>37334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</row>
    <row r="471" spans="1:10" hidden="1" x14ac:dyDescent="0.25">
      <c r="A471" t="s">
        <v>226</v>
      </c>
      <c r="B471" t="s">
        <v>878</v>
      </c>
      <c r="C471" t="s">
        <v>519</v>
      </c>
      <c r="D471" s="1">
        <v>2057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</row>
    <row r="472" spans="1:10" hidden="1" x14ac:dyDescent="0.25">
      <c r="A472" t="s">
        <v>76</v>
      </c>
      <c r="B472" t="s">
        <v>878</v>
      </c>
      <c r="C472" t="s">
        <v>520</v>
      </c>
      <c r="D472" s="1">
        <v>19322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</row>
    <row r="473" spans="1:10" hidden="1" x14ac:dyDescent="0.25">
      <c r="A473" t="s">
        <v>831</v>
      </c>
      <c r="B473" t="s">
        <v>878</v>
      </c>
      <c r="C473" t="s">
        <v>521</v>
      </c>
      <c r="D473" s="1">
        <v>34959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</row>
    <row r="474" spans="1:10" hidden="1" x14ac:dyDescent="0.25">
      <c r="A474" t="s">
        <v>806</v>
      </c>
      <c r="B474" t="s">
        <v>878</v>
      </c>
      <c r="C474" t="s">
        <v>522</v>
      </c>
      <c r="D474" s="1">
        <v>8084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</row>
    <row r="475" spans="1:10" hidden="1" x14ac:dyDescent="0.25">
      <c r="A475" t="s">
        <v>823</v>
      </c>
      <c r="B475" t="s">
        <v>878</v>
      </c>
      <c r="C475" t="s">
        <v>523</v>
      </c>
      <c r="D475" s="1">
        <v>38740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</row>
    <row r="476" spans="1:10" hidden="1" x14ac:dyDescent="0.25">
      <c r="A476" t="s">
        <v>248</v>
      </c>
      <c r="B476" t="s">
        <v>878</v>
      </c>
      <c r="C476" t="s">
        <v>524</v>
      </c>
      <c r="D476" s="1">
        <v>7848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</row>
    <row r="477" spans="1:10" hidden="1" x14ac:dyDescent="0.25">
      <c r="A477" t="s">
        <v>231</v>
      </c>
      <c r="B477" t="s">
        <v>878</v>
      </c>
      <c r="C477" t="s">
        <v>525</v>
      </c>
      <c r="D477" s="1">
        <v>7999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</row>
    <row r="478" spans="1:10" hidden="1" x14ac:dyDescent="0.25">
      <c r="A478" t="s">
        <v>76</v>
      </c>
      <c r="B478" t="s">
        <v>878</v>
      </c>
      <c r="C478" t="s">
        <v>526</v>
      </c>
      <c r="D478" s="1">
        <v>3495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</row>
    <row r="479" spans="1:10" hidden="1" x14ac:dyDescent="0.25">
      <c r="A479" t="s">
        <v>804</v>
      </c>
      <c r="B479" t="s">
        <v>878</v>
      </c>
      <c r="C479" t="s">
        <v>527</v>
      </c>
      <c r="D479" s="1">
        <v>40618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</row>
    <row r="480" spans="1:10" hidden="1" x14ac:dyDescent="0.25">
      <c r="A480" t="s">
        <v>76</v>
      </c>
      <c r="B480" t="s">
        <v>878</v>
      </c>
      <c r="C480" t="s">
        <v>528</v>
      </c>
      <c r="D480" s="1">
        <v>1399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</row>
    <row r="481" spans="1:10" hidden="1" x14ac:dyDescent="0.25">
      <c r="A481" t="s">
        <v>801</v>
      </c>
      <c r="B481" t="s">
        <v>878</v>
      </c>
      <c r="C481" t="s">
        <v>529</v>
      </c>
      <c r="D481" s="1">
        <v>21771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</row>
    <row r="482" spans="1:10" hidden="1" x14ac:dyDescent="0.25">
      <c r="A482" t="s">
        <v>795</v>
      </c>
      <c r="B482" t="s">
        <v>878</v>
      </c>
      <c r="C482" t="s">
        <v>530</v>
      </c>
      <c r="D482" s="1">
        <v>145303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</row>
    <row r="483" spans="1:10" hidden="1" x14ac:dyDescent="0.25">
      <c r="A483" t="s">
        <v>848</v>
      </c>
      <c r="B483" t="s">
        <v>878</v>
      </c>
      <c r="C483" t="s">
        <v>531</v>
      </c>
      <c r="D483" s="1">
        <v>11040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</row>
    <row r="484" spans="1:10" x14ac:dyDescent="0.25">
      <c r="A484" t="s">
        <v>824</v>
      </c>
      <c r="B484" t="s">
        <v>878</v>
      </c>
      <c r="C484" t="s">
        <v>532</v>
      </c>
      <c r="D484" s="1"/>
      <c r="E484" s="1"/>
      <c r="F484" s="1"/>
      <c r="G484" s="1"/>
      <c r="H484" s="1"/>
      <c r="I484" s="1"/>
      <c r="J484" s="1"/>
    </row>
    <row r="485" spans="1:10" hidden="1" x14ac:dyDescent="0.25">
      <c r="A485" t="s">
        <v>76</v>
      </c>
      <c r="B485" t="s">
        <v>878</v>
      </c>
      <c r="C485" t="s">
        <v>533</v>
      </c>
      <c r="D485" s="1">
        <v>2112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</row>
    <row r="486" spans="1:10" hidden="1" x14ac:dyDescent="0.25">
      <c r="A486" t="s">
        <v>101</v>
      </c>
      <c r="B486" t="s">
        <v>878</v>
      </c>
      <c r="C486" t="s">
        <v>534</v>
      </c>
      <c r="D486" s="1">
        <v>14581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</row>
    <row r="487" spans="1:10" hidden="1" x14ac:dyDescent="0.25">
      <c r="A487" t="s">
        <v>803</v>
      </c>
      <c r="B487" t="s">
        <v>878</v>
      </c>
      <c r="C487" t="s">
        <v>535</v>
      </c>
      <c r="D487" s="1"/>
      <c r="E487" s="1"/>
      <c r="F487" s="1"/>
      <c r="G487" s="1"/>
      <c r="H487" s="1"/>
      <c r="I487" s="1"/>
      <c r="J487" s="1"/>
    </row>
    <row r="488" spans="1:10" hidden="1" x14ac:dyDescent="0.25">
      <c r="A488" t="s">
        <v>120</v>
      </c>
      <c r="B488" t="s">
        <v>878</v>
      </c>
      <c r="C488" t="s">
        <v>536</v>
      </c>
      <c r="D488" s="1">
        <v>7562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</row>
    <row r="489" spans="1:10" hidden="1" x14ac:dyDescent="0.25">
      <c r="A489" t="s">
        <v>817</v>
      </c>
      <c r="B489" t="s">
        <v>878</v>
      </c>
      <c r="C489" t="s">
        <v>537</v>
      </c>
      <c r="D489" s="1">
        <v>48564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</row>
    <row r="490" spans="1:10" hidden="1" x14ac:dyDescent="0.25">
      <c r="A490" t="s">
        <v>811</v>
      </c>
      <c r="B490" t="s">
        <v>878</v>
      </c>
      <c r="C490" t="s">
        <v>538</v>
      </c>
      <c r="D490" s="1">
        <v>180449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</row>
    <row r="491" spans="1:10" hidden="1" x14ac:dyDescent="0.25">
      <c r="A491" t="s">
        <v>817</v>
      </c>
      <c r="B491" t="s">
        <v>878</v>
      </c>
      <c r="C491" t="s">
        <v>539</v>
      </c>
      <c r="D491" s="1">
        <v>14921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</row>
    <row r="492" spans="1:10" hidden="1" x14ac:dyDescent="0.25">
      <c r="A492" t="s">
        <v>146</v>
      </c>
      <c r="B492" t="s">
        <v>878</v>
      </c>
      <c r="C492" t="s">
        <v>540</v>
      </c>
      <c r="D492" s="1">
        <v>26944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</row>
    <row r="493" spans="1:10" hidden="1" x14ac:dyDescent="0.25">
      <c r="A493" t="s">
        <v>817</v>
      </c>
      <c r="B493" t="s">
        <v>878</v>
      </c>
      <c r="C493" t="s">
        <v>541</v>
      </c>
      <c r="D493" s="1">
        <v>27088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</row>
    <row r="494" spans="1:10" hidden="1" x14ac:dyDescent="0.25">
      <c r="A494" t="s">
        <v>72</v>
      </c>
      <c r="B494" t="s">
        <v>878</v>
      </c>
      <c r="C494" t="s">
        <v>542</v>
      </c>
      <c r="D494" s="1">
        <v>31993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</row>
    <row r="495" spans="1:10" hidden="1" x14ac:dyDescent="0.25">
      <c r="A495" t="s">
        <v>848</v>
      </c>
      <c r="B495" t="s">
        <v>878</v>
      </c>
      <c r="C495" t="s">
        <v>543</v>
      </c>
      <c r="D495" s="1">
        <v>16840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</row>
    <row r="496" spans="1:10" hidden="1" x14ac:dyDescent="0.25">
      <c r="A496" t="s">
        <v>83</v>
      </c>
      <c r="B496" t="s">
        <v>878</v>
      </c>
      <c r="C496" t="s">
        <v>544</v>
      </c>
      <c r="D496" s="1">
        <v>1944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</row>
    <row r="497" spans="1:10" hidden="1" x14ac:dyDescent="0.25">
      <c r="A497" t="s">
        <v>248</v>
      </c>
      <c r="B497" t="s">
        <v>878</v>
      </c>
      <c r="C497" t="s">
        <v>545</v>
      </c>
      <c r="D497" s="1">
        <v>14232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</row>
    <row r="498" spans="1:10" hidden="1" x14ac:dyDescent="0.25">
      <c r="A498" t="s">
        <v>76</v>
      </c>
      <c r="B498" t="s">
        <v>878</v>
      </c>
      <c r="C498" t="s">
        <v>546</v>
      </c>
      <c r="D498" s="1">
        <v>7410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</row>
    <row r="499" spans="1:10" hidden="1" x14ac:dyDescent="0.25">
      <c r="A499" t="s">
        <v>495</v>
      </c>
      <c r="B499" t="s">
        <v>878</v>
      </c>
      <c r="C499" t="s">
        <v>547</v>
      </c>
      <c r="D499" s="1">
        <v>30152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</row>
    <row r="500" spans="1:10" hidden="1" x14ac:dyDescent="0.25">
      <c r="A500" t="s">
        <v>825</v>
      </c>
      <c r="B500" t="s">
        <v>878</v>
      </c>
      <c r="C500" t="s">
        <v>548</v>
      </c>
      <c r="D500" s="1">
        <v>15788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</row>
    <row r="501" spans="1:10" hidden="1" x14ac:dyDescent="0.25">
      <c r="A501" t="s">
        <v>72</v>
      </c>
      <c r="B501" t="s">
        <v>878</v>
      </c>
      <c r="C501" t="s">
        <v>549</v>
      </c>
      <c r="D501" s="1">
        <v>40891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</row>
    <row r="502" spans="1:10" hidden="1" x14ac:dyDescent="0.25">
      <c r="A502" t="s">
        <v>134</v>
      </c>
      <c r="B502" t="s">
        <v>878</v>
      </c>
      <c r="C502" t="s">
        <v>550</v>
      </c>
      <c r="D502" s="1">
        <v>33430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</row>
    <row r="503" spans="1:10" hidden="1" x14ac:dyDescent="0.25">
      <c r="A503" t="s">
        <v>795</v>
      </c>
      <c r="B503" t="s">
        <v>878</v>
      </c>
      <c r="C503" t="s">
        <v>551</v>
      </c>
      <c r="D503" s="1">
        <v>16541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</row>
    <row r="504" spans="1:10" hidden="1" x14ac:dyDescent="0.25">
      <c r="A504" t="s">
        <v>76</v>
      </c>
      <c r="B504" t="s">
        <v>878</v>
      </c>
      <c r="C504" t="s">
        <v>552</v>
      </c>
      <c r="D504" s="1">
        <v>3799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</row>
    <row r="505" spans="1:10" x14ac:dyDescent="0.25">
      <c r="A505" t="s">
        <v>824</v>
      </c>
      <c r="B505" t="s">
        <v>878</v>
      </c>
      <c r="C505" t="s">
        <v>553</v>
      </c>
      <c r="D505" s="1">
        <v>3034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</row>
    <row r="506" spans="1:10" hidden="1" x14ac:dyDescent="0.25">
      <c r="A506" t="s">
        <v>512</v>
      </c>
      <c r="B506" t="s">
        <v>878</v>
      </c>
      <c r="C506" t="s">
        <v>554</v>
      </c>
      <c r="D506" s="1">
        <v>19971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</row>
    <row r="507" spans="1:10" hidden="1" x14ac:dyDescent="0.25">
      <c r="A507" t="s">
        <v>788</v>
      </c>
      <c r="B507" t="s">
        <v>878</v>
      </c>
      <c r="C507" t="s">
        <v>555</v>
      </c>
      <c r="D507" s="1">
        <v>90344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</row>
    <row r="508" spans="1:10" hidden="1" x14ac:dyDescent="0.25">
      <c r="A508" t="s">
        <v>101</v>
      </c>
      <c r="B508" t="s">
        <v>878</v>
      </c>
      <c r="C508" t="s">
        <v>556</v>
      </c>
      <c r="D508" s="1">
        <v>36344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</row>
    <row r="509" spans="1:10" hidden="1" x14ac:dyDescent="0.25">
      <c r="A509" t="s">
        <v>231</v>
      </c>
      <c r="B509" t="s">
        <v>878</v>
      </c>
      <c r="C509" t="s">
        <v>557</v>
      </c>
      <c r="D509" s="1">
        <v>18517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</row>
    <row r="510" spans="1:10" hidden="1" x14ac:dyDescent="0.25">
      <c r="A510" t="s">
        <v>817</v>
      </c>
      <c r="B510" t="s">
        <v>878</v>
      </c>
      <c r="C510" t="s">
        <v>558</v>
      </c>
      <c r="D510" s="1">
        <v>10999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</row>
    <row r="511" spans="1:10" hidden="1" x14ac:dyDescent="0.25">
      <c r="A511" t="s">
        <v>76</v>
      </c>
      <c r="B511" t="s">
        <v>878</v>
      </c>
      <c r="C511" t="s">
        <v>559</v>
      </c>
      <c r="D511" s="1">
        <v>11432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</row>
    <row r="512" spans="1:10" hidden="1" x14ac:dyDescent="0.25">
      <c r="A512" t="s">
        <v>801</v>
      </c>
      <c r="B512" t="s">
        <v>878</v>
      </c>
      <c r="C512" t="s">
        <v>560</v>
      </c>
      <c r="D512" s="1">
        <v>52914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</row>
    <row r="513" spans="1:10" hidden="1" x14ac:dyDescent="0.25">
      <c r="A513" t="s">
        <v>796</v>
      </c>
      <c r="B513" t="s">
        <v>878</v>
      </c>
      <c r="C513" t="s">
        <v>561</v>
      </c>
      <c r="D513" s="1">
        <v>14378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</row>
    <row r="514" spans="1:10" hidden="1" x14ac:dyDescent="0.25">
      <c r="A514" t="s">
        <v>817</v>
      </c>
      <c r="B514" t="s">
        <v>878</v>
      </c>
      <c r="C514" t="s">
        <v>562</v>
      </c>
      <c r="D514" s="1">
        <v>12861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</row>
    <row r="515" spans="1:10" hidden="1" x14ac:dyDescent="0.25">
      <c r="A515" t="s">
        <v>10</v>
      </c>
      <c r="B515" t="s">
        <v>878</v>
      </c>
      <c r="C515" t="s">
        <v>563</v>
      </c>
      <c r="D515" s="1"/>
      <c r="E515" s="1"/>
      <c r="F515" s="1"/>
      <c r="G515" s="1"/>
      <c r="H515" s="1"/>
      <c r="I515" s="1"/>
      <c r="J515" s="1"/>
    </row>
    <row r="516" spans="1:10" hidden="1" x14ac:dyDescent="0.25">
      <c r="A516" t="s">
        <v>791</v>
      </c>
      <c r="B516" t="s">
        <v>878</v>
      </c>
      <c r="C516" t="s">
        <v>564</v>
      </c>
      <c r="D516" s="1">
        <v>10619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</row>
    <row r="517" spans="1:10" hidden="1" x14ac:dyDescent="0.25">
      <c r="A517" t="s">
        <v>69</v>
      </c>
      <c r="B517" t="s">
        <v>878</v>
      </c>
      <c r="C517" t="s">
        <v>565</v>
      </c>
      <c r="D517" s="1">
        <v>27019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</row>
    <row r="518" spans="1:10" hidden="1" x14ac:dyDescent="0.25">
      <c r="A518" t="s">
        <v>794</v>
      </c>
      <c r="B518" t="s">
        <v>878</v>
      </c>
      <c r="C518" t="s">
        <v>566</v>
      </c>
      <c r="D518" s="1">
        <v>8693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</row>
    <row r="519" spans="1:10" hidden="1" x14ac:dyDescent="0.25">
      <c r="A519" t="s">
        <v>797</v>
      </c>
      <c r="B519" t="s">
        <v>878</v>
      </c>
      <c r="C519" t="s">
        <v>567</v>
      </c>
      <c r="D519" s="1">
        <v>6266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</row>
    <row r="520" spans="1:10" hidden="1" x14ac:dyDescent="0.25">
      <c r="A520" t="s">
        <v>826</v>
      </c>
      <c r="B520" t="s">
        <v>878</v>
      </c>
      <c r="C520" t="s">
        <v>568</v>
      </c>
      <c r="D520" s="1"/>
      <c r="E520" s="1"/>
      <c r="F520" s="1"/>
      <c r="G520" s="1"/>
      <c r="H520" s="1"/>
      <c r="I520" s="1"/>
      <c r="J520" s="1"/>
    </row>
    <row r="521" spans="1:10" hidden="1" x14ac:dyDescent="0.25">
      <c r="A521" t="s">
        <v>864</v>
      </c>
      <c r="B521" t="s">
        <v>878</v>
      </c>
      <c r="C521" t="s">
        <v>569</v>
      </c>
      <c r="D521" s="1">
        <v>38528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</row>
    <row r="522" spans="1:10" hidden="1" x14ac:dyDescent="0.25">
      <c r="A522" t="s">
        <v>826</v>
      </c>
      <c r="B522" t="s">
        <v>878</v>
      </c>
      <c r="C522" t="s">
        <v>570</v>
      </c>
      <c r="D522" s="1">
        <v>2958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</row>
    <row r="523" spans="1:10" hidden="1" x14ac:dyDescent="0.25">
      <c r="A523" t="s">
        <v>72</v>
      </c>
      <c r="B523" t="s">
        <v>878</v>
      </c>
      <c r="C523" t="s">
        <v>571</v>
      </c>
      <c r="D523" s="1">
        <v>29008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</row>
    <row r="524" spans="1:10" hidden="1" x14ac:dyDescent="0.25">
      <c r="A524" t="s">
        <v>801</v>
      </c>
      <c r="B524" t="s">
        <v>878</v>
      </c>
      <c r="C524" t="s">
        <v>572</v>
      </c>
      <c r="D524" s="1">
        <v>37268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</row>
    <row r="525" spans="1:10" hidden="1" x14ac:dyDescent="0.25">
      <c r="A525" t="s">
        <v>859</v>
      </c>
      <c r="B525" t="s">
        <v>878</v>
      </c>
      <c r="C525" t="s">
        <v>573</v>
      </c>
      <c r="D525" s="1">
        <v>17440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</row>
    <row r="526" spans="1:10" hidden="1" x14ac:dyDescent="0.25">
      <c r="A526" t="s">
        <v>816</v>
      </c>
      <c r="B526" t="s">
        <v>878</v>
      </c>
      <c r="C526" t="s">
        <v>574</v>
      </c>
      <c r="D526" s="1">
        <v>39414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</row>
    <row r="527" spans="1:10" hidden="1" x14ac:dyDescent="0.25">
      <c r="A527" t="s">
        <v>864</v>
      </c>
      <c r="B527" t="s">
        <v>878</v>
      </c>
      <c r="C527" t="s">
        <v>575</v>
      </c>
      <c r="D527" s="1">
        <v>37072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</row>
    <row r="528" spans="1:10" hidden="1" x14ac:dyDescent="0.25">
      <c r="A528" t="s">
        <v>146</v>
      </c>
      <c r="B528" t="s">
        <v>878</v>
      </c>
      <c r="C528" t="s">
        <v>576</v>
      </c>
      <c r="D528" s="1">
        <v>19837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</row>
    <row r="529" spans="1:10" hidden="1" x14ac:dyDescent="0.25">
      <c r="A529" t="s">
        <v>794</v>
      </c>
      <c r="B529" t="s">
        <v>878</v>
      </c>
      <c r="C529" t="s">
        <v>577</v>
      </c>
      <c r="D529" s="1">
        <v>63955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</row>
    <row r="530" spans="1:10" hidden="1" x14ac:dyDescent="0.25">
      <c r="A530" t="s">
        <v>146</v>
      </c>
      <c r="B530" t="s">
        <v>878</v>
      </c>
      <c r="C530" t="s">
        <v>578</v>
      </c>
      <c r="D530" s="1">
        <v>38164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</row>
    <row r="531" spans="1:10" hidden="1" x14ac:dyDescent="0.25">
      <c r="A531" t="s">
        <v>832</v>
      </c>
      <c r="B531" t="s">
        <v>878</v>
      </c>
      <c r="C531" t="s">
        <v>579</v>
      </c>
      <c r="D531" s="1">
        <v>11698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</row>
    <row r="532" spans="1:10" hidden="1" x14ac:dyDescent="0.25">
      <c r="A532" t="s">
        <v>839</v>
      </c>
      <c r="B532" t="s">
        <v>878</v>
      </c>
      <c r="C532" t="s">
        <v>580</v>
      </c>
      <c r="D532" s="1">
        <v>51512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</row>
    <row r="533" spans="1:10" hidden="1" x14ac:dyDescent="0.25">
      <c r="A533" t="s">
        <v>69</v>
      </c>
      <c r="B533" t="s">
        <v>878</v>
      </c>
      <c r="C533" t="s">
        <v>581</v>
      </c>
      <c r="D533" s="1">
        <v>101224</v>
      </c>
      <c r="E533" s="1"/>
      <c r="F533" s="1"/>
      <c r="G533" s="1"/>
      <c r="H533" s="1"/>
      <c r="I533" s="1"/>
      <c r="J533" s="1"/>
    </row>
    <row r="534" spans="1:10" hidden="1" x14ac:dyDescent="0.25">
      <c r="A534" t="s">
        <v>794</v>
      </c>
      <c r="B534" t="s">
        <v>878</v>
      </c>
      <c r="C534" t="s">
        <v>582</v>
      </c>
      <c r="D534" s="1">
        <v>32665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</row>
    <row r="535" spans="1:10" hidden="1" x14ac:dyDescent="0.25">
      <c r="A535" t="s">
        <v>794</v>
      </c>
      <c r="B535" t="s">
        <v>878</v>
      </c>
      <c r="C535" t="s">
        <v>583</v>
      </c>
      <c r="D535" s="1">
        <v>28246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</row>
    <row r="536" spans="1:10" hidden="1" x14ac:dyDescent="0.25">
      <c r="A536" t="s">
        <v>120</v>
      </c>
      <c r="B536" t="s">
        <v>878</v>
      </c>
      <c r="C536" t="s">
        <v>584</v>
      </c>
      <c r="D536" s="1">
        <v>6392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</row>
    <row r="537" spans="1:10" hidden="1" x14ac:dyDescent="0.25">
      <c r="A537" t="s">
        <v>837</v>
      </c>
      <c r="B537" t="s">
        <v>878</v>
      </c>
      <c r="C537" t="s">
        <v>585</v>
      </c>
      <c r="D537" s="1">
        <v>15324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</row>
    <row r="538" spans="1:10" hidden="1" x14ac:dyDescent="0.25">
      <c r="A538" t="s">
        <v>859</v>
      </c>
      <c r="B538" t="s">
        <v>878</v>
      </c>
      <c r="C538" t="s">
        <v>586</v>
      </c>
      <c r="D538" s="1">
        <v>36496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</row>
    <row r="539" spans="1:10" hidden="1" x14ac:dyDescent="0.25">
      <c r="A539" t="s">
        <v>836</v>
      </c>
      <c r="B539" t="s">
        <v>878</v>
      </c>
      <c r="C539" t="s">
        <v>587</v>
      </c>
      <c r="D539" s="1">
        <v>37176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</row>
    <row r="540" spans="1:10" hidden="1" x14ac:dyDescent="0.25">
      <c r="A540" t="s">
        <v>844</v>
      </c>
      <c r="B540" t="s">
        <v>878</v>
      </c>
      <c r="C540" t="s">
        <v>588</v>
      </c>
      <c r="D540" s="1">
        <v>21740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</row>
    <row r="541" spans="1:10" hidden="1" x14ac:dyDescent="0.25">
      <c r="A541" t="s">
        <v>838</v>
      </c>
      <c r="B541" t="s">
        <v>878</v>
      </c>
      <c r="C541" t="s">
        <v>589</v>
      </c>
      <c r="D541" s="1">
        <v>16365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</row>
    <row r="542" spans="1:10" hidden="1" x14ac:dyDescent="0.25">
      <c r="A542" t="s">
        <v>833</v>
      </c>
      <c r="B542" t="s">
        <v>878</v>
      </c>
      <c r="C542" t="s">
        <v>590</v>
      </c>
      <c r="D542" s="1"/>
      <c r="E542" s="1"/>
      <c r="F542" s="1"/>
      <c r="G542" s="1"/>
      <c r="H542" s="1"/>
      <c r="I542" s="1"/>
      <c r="J542" s="1"/>
    </row>
    <row r="543" spans="1:10" hidden="1" x14ac:dyDescent="0.25">
      <c r="A543" t="s">
        <v>845</v>
      </c>
      <c r="B543" t="s">
        <v>878</v>
      </c>
      <c r="C543" t="s">
        <v>591</v>
      </c>
      <c r="D543" s="1">
        <v>5641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</row>
    <row r="544" spans="1:10" hidden="1" x14ac:dyDescent="0.25">
      <c r="A544" t="s">
        <v>794</v>
      </c>
      <c r="B544" t="s">
        <v>878</v>
      </c>
      <c r="C544" t="s">
        <v>592</v>
      </c>
      <c r="D544" s="1">
        <v>12665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</row>
    <row r="545" spans="1:10" hidden="1" x14ac:dyDescent="0.25">
      <c r="A545" t="s">
        <v>843</v>
      </c>
      <c r="B545" t="s">
        <v>878</v>
      </c>
      <c r="C545" t="s">
        <v>593</v>
      </c>
      <c r="D545" s="1">
        <v>5095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</row>
    <row r="546" spans="1:10" hidden="1" x14ac:dyDescent="0.25">
      <c r="A546" t="s">
        <v>863</v>
      </c>
      <c r="B546" t="s">
        <v>878</v>
      </c>
      <c r="C546" t="s">
        <v>594</v>
      </c>
      <c r="D546" s="1">
        <v>13393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</row>
    <row r="547" spans="1:10" hidden="1" x14ac:dyDescent="0.25">
      <c r="A547" t="s">
        <v>804</v>
      </c>
      <c r="B547" t="s">
        <v>878</v>
      </c>
      <c r="C547" t="s">
        <v>595</v>
      </c>
      <c r="D547" s="1">
        <v>9711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</row>
    <row r="548" spans="1:10" hidden="1" x14ac:dyDescent="0.25">
      <c r="A548" t="s">
        <v>795</v>
      </c>
      <c r="B548" t="s">
        <v>878</v>
      </c>
      <c r="C548" t="s">
        <v>596</v>
      </c>
      <c r="D548" s="1">
        <v>34129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</row>
    <row r="549" spans="1:10" hidden="1" x14ac:dyDescent="0.25">
      <c r="A549" t="s">
        <v>101</v>
      </c>
      <c r="B549" t="s">
        <v>878</v>
      </c>
      <c r="C549" t="s">
        <v>597</v>
      </c>
      <c r="D549" s="1">
        <v>27221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</row>
    <row r="550" spans="1:10" hidden="1" x14ac:dyDescent="0.25">
      <c r="A550" t="s">
        <v>835</v>
      </c>
      <c r="B550" t="s">
        <v>878</v>
      </c>
      <c r="C550" t="s">
        <v>598</v>
      </c>
      <c r="D550" s="1">
        <v>9690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</row>
    <row r="551" spans="1:10" hidden="1" x14ac:dyDescent="0.25">
      <c r="A551" t="s">
        <v>842</v>
      </c>
      <c r="B551" t="s">
        <v>878</v>
      </c>
      <c r="C551" t="s">
        <v>599</v>
      </c>
      <c r="D551" s="1">
        <v>6638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</row>
    <row r="552" spans="1:10" hidden="1" x14ac:dyDescent="0.25">
      <c r="A552" t="s">
        <v>226</v>
      </c>
      <c r="B552" t="s">
        <v>878</v>
      </c>
      <c r="C552" t="s">
        <v>600</v>
      </c>
      <c r="D552" s="1">
        <v>3982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</row>
    <row r="553" spans="1:10" hidden="1" x14ac:dyDescent="0.25">
      <c r="A553" t="s">
        <v>817</v>
      </c>
      <c r="B553" t="s">
        <v>878</v>
      </c>
      <c r="C553" t="s">
        <v>601</v>
      </c>
      <c r="D553" s="1">
        <v>23910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</row>
    <row r="554" spans="1:10" hidden="1" x14ac:dyDescent="0.25">
      <c r="A554" t="s">
        <v>859</v>
      </c>
      <c r="B554" t="s">
        <v>878</v>
      </c>
      <c r="C554" t="s">
        <v>602</v>
      </c>
      <c r="D554" s="1">
        <v>45152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</row>
    <row r="555" spans="1:10" hidden="1" x14ac:dyDescent="0.25">
      <c r="A555" t="s">
        <v>859</v>
      </c>
      <c r="B555" t="s">
        <v>878</v>
      </c>
      <c r="C555" t="s">
        <v>603</v>
      </c>
      <c r="D555" s="1">
        <v>9276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</row>
    <row r="556" spans="1:10" hidden="1" x14ac:dyDescent="0.25">
      <c r="A556" t="s">
        <v>831</v>
      </c>
      <c r="B556" t="s">
        <v>878</v>
      </c>
      <c r="C556" t="s">
        <v>604</v>
      </c>
      <c r="D556" s="1">
        <v>20632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</row>
    <row r="557" spans="1:10" hidden="1" x14ac:dyDescent="0.25">
      <c r="A557" t="s">
        <v>809</v>
      </c>
      <c r="B557" t="s">
        <v>878</v>
      </c>
      <c r="C557" t="s">
        <v>605</v>
      </c>
      <c r="D557" s="1">
        <v>26220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</row>
    <row r="558" spans="1:10" hidden="1" x14ac:dyDescent="0.25">
      <c r="A558" t="s">
        <v>817</v>
      </c>
      <c r="B558" t="s">
        <v>878</v>
      </c>
      <c r="C558" t="s">
        <v>606</v>
      </c>
      <c r="D558" s="1">
        <v>102395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</row>
    <row r="559" spans="1:10" x14ac:dyDescent="0.25">
      <c r="A559" t="s">
        <v>824</v>
      </c>
      <c r="B559" t="s">
        <v>878</v>
      </c>
      <c r="C559" t="s">
        <v>607</v>
      </c>
      <c r="D559" s="1">
        <v>16030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</row>
    <row r="560" spans="1:10" hidden="1" x14ac:dyDescent="0.25">
      <c r="A560" t="s">
        <v>138</v>
      </c>
      <c r="B560" t="s">
        <v>878</v>
      </c>
      <c r="C560" t="s">
        <v>608</v>
      </c>
      <c r="D560" s="1">
        <v>37481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</row>
    <row r="561" spans="1:10" hidden="1" x14ac:dyDescent="0.25">
      <c r="A561" t="s">
        <v>859</v>
      </c>
      <c r="B561" t="s">
        <v>878</v>
      </c>
      <c r="C561" t="s">
        <v>609</v>
      </c>
      <c r="D561" s="1">
        <v>16366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</row>
    <row r="562" spans="1:10" hidden="1" x14ac:dyDescent="0.25">
      <c r="A562" t="s">
        <v>817</v>
      </c>
      <c r="B562" t="s">
        <v>878</v>
      </c>
      <c r="C562" t="s">
        <v>610</v>
      </c>
      <c r="D562" s="1">
        <v>87923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</row>
    <row r="563" spans="1:10" hidden="1" x14ac:dyDescent="0.25">
      <c r="A563" t="s">
        <v>817</v>
      </c>
      <c r="B563" t="s">
        <v>878</v>
      </c>
      <c r="C563" t="s">
        <v>611</v>
      </c>
      <c r="D563" s="1">
        <v>12364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</row>
    <row r="564" spans="1:10" hidden="1" x14ac:dyDescent="0.25">
      <c r="A564" t="s">
        <v>134</v>
      </c>
      <c r="B564" t="s">
        <v>878</v>
      </c>
      <c r="C564" t="s">
        <v>612</v>
      </c>
      <c r="D564" s="1">
        <v>50904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</row>
    <row r="565" spans="1:10" hidden="1" x14ac:dyDescent="0.25">
      <c r="A565" t="s">
        <v>817</v>
      </c>
      <c r="B565" t="s">
        <v>878</v>
      </c>
      <c r="C565" t="s">
        <v>613</v>
      </c>
      <c r="D565" s="1">
        <v>72239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</row>
    <row r="566" spans="1:10" hidden="1" x14ac:dyDescent="0.25">
      <c r="A566" t="s">
        <v>817</v>
      </c>
      <c r="B566" t="s">
        <v>878</v>
      </c>
      <c r="C566" t="s">
        <v>614</v>
      </c>
      <c r="D566" s="1">
        <v>10276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</row>
    <row r="567" spans="1:10" hidden="1" x14ac:dyDescent="0.25">
      <c r="A567" t="s">
        <v>826</v>
      </c>
      <c r="B567" t="s">
        <v>878</v>
      </c>
      <c r="C567" t="s">
        <v>615</v>
      </c>
      <c r="D567" s="1">
        <v>10222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</row>
    <row r="568" spans="1:10" hidden="1" x14ac:dyDescent="0.25">
      <c r="A568" t="s">
        <v>101</v>
      </c>
      <c r="B568" t="s">
        <v>878</v>
      </c>
      <c r="C568" t="s">
        <v>616</v>
      </c>
      <c r="D568" s="1">
        <v>16638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</row>
    <row r="569" spans="1:10" hidden="1" x14ac:dyDescent="0.25">
      <c r="A569" t="s">
        <v>811</v>
      </c>
      <c r="B569" t="s">
        <v>878</v>
      </c>
      <c r="C569" t="s">
        <v>617</v>
      </c>
      <c r="D569" s="1">
        <v>10903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</row>
    <row r="570" spans="1:10" hidden="1" x14ac:dyDescent="0.25">
      <c r="A570" t="s">
        <v>859</v>
      </c>
      <c r="B570" t="s">
        <v>878</v>
      </c>
      <c r="C570" t="s">
        <v>618</v>
      </c>
      <c r="D570" s="1"/>
      <c r="E570" s="1"/>
      <c r="F570" s="1"/>
      <c r="G570" s="1"/>
      <c r="H570" s="1"/>
      <c r="I570" s="1"/>
      <c r="J570" s="1"/>
    </row>
    <row r="571" spans="1:10" hidden="1" x14ac:dyDescent="0.25">
      <c r="A571" t="s">
        <v>788</v>
      </c>
      <c r="B571" t="s">
        <v>878</v>
      </c>
      <c r="C571" t="s">
        <v>619</v>
      </c>
      <c r="D571" s="1">
        <v>27924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</row>
    <row r="572" spans="1:10" hidden="1" x14ac:dyDescent="0.25">
      <c r="A572" t="s">
        <v>817</v>
      </c>
      <c r="B572" t="s">
        <v>878</v>
      </c>
      <c r="C572" t="s">
        <v>620</v>
      </c>
      <c r="D572" s="1">
        <v>25865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</row>
    <row r="573" spans="1:10" hidden="1" x14ac:dyDescent="0.25">
      <c r="A573" t="s">
        <v>248</v>
      </c>
      <c r="B573" t="s">
        <v>878</v>
      </c>
      <c r="C573" t="s">
        <v>621</v>
      </c>
      <c r="D573" s="1">
        <v>14958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</row>
    <row r="574" spans="1:10" hidden="1" x14ac:dyDescent="0.25">
      <c r="A574" t="s">
        <v>831</v>
      </c>
      <c r="B574" t="s">
        <v>878</v>
      </c>
      <c r="C574" t="s">
        <v>622</v>
      </c>
      <c r="D574" s="1">
        <v>39059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</row>
    <row r="575" spans="1:10" hidden="1" x14ac:dyDescent="0.25">
      <c r="A575" t="s">
        <v>823</v>
      </c>
      <c r="B575" t="s">
        <v>878</v>
      </c>
      <c r="C575" t="s">
        <v>623</v>
      </c>
      <c r="D575" s="1">
        <v>27674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</row>
    <row r="576" spans="1:10" hidden="1" x14ac:dyDescent="0.25">
      <c r="A576" t="s">
        <v>231</v>
      </c>
      <c r="B576" t="s">
        <v>878</v>
      </c>
      <c r="C576" t="s">
        <v>624</v>
      </c>
      <c r="D576" s="1">
        <v>11859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</row>
    <row r="577" spans="1:10" hidden="1" x14ac:dyDescent="0.25">
      <c r="A577" t="s">
        <v>76</v>
      </c>
      <c r="B577" t="s">
        <v>878</v>
      </c>
      <c r="C577" t="s">
        <v>625</v>
      </c>
      <c r="D577" s="1">
        <v>27803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</row>
    <row r="578" spans="1:10" hidden="1" x14ac:dyDescent="0.25">
      <c r="A578" t="s">
        <v>69</v>
      </c>
      <c r="B578" t="s">
        <v>878</v>
      </c>
      <c r="C578" t="s">
        <v>626</v>
      </c>
      <c r="D578" s="1">
        <v>65707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</row>
    <row r="579" spans="1:10" hidden="1" x14ac:dyDescent="0.25">
      <c r="A579" t="s">
        <v>83</v>
      </c>
      <c r="B579" t="s">
        <v>878</v>
      </c>
      <c r="C579" t="s">
        <v>627</v>
      </c>
      <c r="D579" s="1">
        <v>9759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</row>
    <row r="580" spans="1:10" hidden="1" x14ac:dyDescent="0.25">
      <c r="A580" t="s">
        <v>791</v>
      </c>
      <c r="B580" t="s">
        <v>878</v>
      </c>
      <c r="C580" t="s">
        <v>628</v>
      </c>
      <c r="D580" s="1">
        <v>7114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</row>
    <row r="581" spans="1:10" hidden="1" x14ac:dyDescent="0.25">
      <c r="A581" t="s">
        <v>797</v>
      </c>
      <c r="B581" t="s">
        <v>878</v>
      </c>
      <c r="C581" t="s">
        <v>629</v>
      </c>
      <c r="D581" s="1">
        <v>1109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</row>
    <row r="582" spans="1:10" hidden="1" x14ac:dyDescent="0.25">
      <c r="A582" t="s">
        <v>69</v>
      </c>
      <c r="B582" t="s">
        <v>878</v>
      </c>
      <c r="C582" t="s">
        <v>630</v>
      </c>
      <c r="D582" s="1">
        <v>35541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</row>
    <row r="583" spans="1:10" hidden="1" x14ac:dyDescent="0.25">
      <c r="A583" t="s">
        <v>69</v>
      </c>
      <c r="B583" t="s">
        <v>878</v>
      </c>
      <c r="C583" t="s">
        <v>631</v>
      </c>
      <c r="D583" s="1">
        <v>59836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</row>
    <row r="584" spans="1:10" hidden="1" x14ac:dyDescent="0.25">
      <c r="A584" t="s">
        <v>823</v>
      </c>
      <c r="B584" t="s">
        <v>878</v>
      </c>
      <c r="C584" t="s">
        <v>632</v>
      </c>
      <c r="D584" s="1">
        <v>17975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</row>
    <row r="585" spans="1:10" hidden="1" x14ac:dyDescent="0.25">
      <c r="A585" t="s">
        <v>76</v>
      </c>
      <c r="B585" t="s">
        <v>878</v>
      </c>
      <c r="C585" t="s">
        <v>633</v>
      </c>
      <c r="D585" s="1">
        <v>18800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</row>
    <row r="586" spans="1:10" hidden="1" x14ac:dyDescent="0.25">
      <c r="A586" t="s">
        <v>801</v>
      </c>
      <c r="B586" t="s">
        <v>878</v>
      </c>
      <c r="C586" t="s">
        <v>634</v>
      </c>
      <c r="D586" s="1">
        <v>8265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</row>
    <row r="587" spans="1:10" hidden="1" x14ac:dyDescent="0.25">
      <c r="A587" t="s">
        <v>801</v>
      </c>
      <c r="B587" t="s">
        <v>878</v>
      </c>
      <c r="C587" t="s">
        <v>635</v>
      </c>
      <c r="D587" s="1">
        <v>67860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</row>
    <row r="588" spans="1:10" hidden="1" x14ac:dyDescent="0.25">
      <c r="A588" t="s">
        <v>817</v>
      </c>
      <c r="B588" t="s">
        <v>878</v>
      </c>
      <c r="C588" t="s">
        <v>636</v>
      </c>
      <c r="D588" s="1">
        <v>16489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</row>
    <row r="589" spans="1:10" x14ac:dyDescent="0.25">
      <c r="A589" t="s">
        <v>824</v>
      </c>
      <c r="B589" t="s">
        <v>878</v>
      </c>
      <c r="C589" t="s">
        <v>637</v>
      </c>
      <c r="D589" s="1">
        <v>15507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</row>
    <row r="590" spans="1:10" hidden="1" x14ac:dyDescent="0.25">
      <c r="A590" t="s">
        <v>818</v>
      </c>
      <c r="B590" t="s">
        <v>878</v>
      </c>
      <c r="C590" t="s">
        <v>638</v>
      </c>
      <c r="D590" s="1">
        <v>35694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</row>
    <row r="591" spans="1:10" hidden="1" x14ac:dyDescent="0.25">
      <c r="A591" t="s">
        <v>817</v>
      </c>
      <c r="B591" t="s">
        <v>878</v>
      </c>
      <c r="C591" t="s">
        <v>639</v>
      </c>
      <c r="D591" s="1">
        <v>25369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</row>
    <row r="592" spans="1:10" hidden="1" x14ac:dyDescent="0.25">
      <c r="A592" t="s">
        <v>811</v>
      </c>
      <c r="B592" t="s">
        <v>878</v>
      </c>
      <c r="C592" t="s">
        <v>640</v>
      </c>
      <c r="D592" s="1">
        <v>146232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</row>
    <row r="593" spans="1:10" hidden="1" x14ac:dyDescent="0.25">
      <c r="A593" t="s">
        <v>811</v>
      </c>
      <c r="B593" t="s">
        <v>878</v>
      </c>
      <c r="C593" t="s">
        <v>641</v>
      </c>
      <c r="D593" s="1">
        <v>33867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</row>
    <row r="594" spans="1:10" hidden="1" x14ac:dyDescent="0.25">
      <c r="A594" t="s">
        <v>76</v>
      </c>
      <c r="B594" t="s">
        <v>878</v>
      </c>
      <c r="C594" t="s">
        <v>642</v>
      </c>
      <c r="D594" s="1">
        <v>16526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</row>
    <row r="595" spans="1:10" hidden="1" x14ac:dyDescent="0.25">
      <c r="A595" t="s">
        <v>791</v>
      </c>
      <c r="B595" t="s">
        <v>878</v>
      </c>
      <c r="C595" t="s">
        <v>643</v>
      </c>
      <c r="D595" s="1">
        <v>1879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</row>
    <row r="596" spans="1:10" hidden="1" x14ac:dyDescent="0.25">
      <c r="A596" t="s">
        <v>76</v>
      </c>
      <c r="B596" t="s">
        <v>878</v>
      </c>
      <c r="C596" t="s">
        <v>644</v>
      </c>
      <c r="D596" s="1">
        <v>10560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</row>
    <row r="597" spans="1:10" hidden="1" x14ac:dyDescent="0.25">
      <c r="A597" t="s">
        <v>817</v>
      </c>
      <c r="B597" t="s">
        <v>878</v>
      </c>
      <c r="C597" t="s">
        <v>645</v>
      </c>
      <c r="D597" s="1">
        <v>38889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</row>
    <row r="598" spans="1:10" hidden="1" x14ac:dyDescent="0.25">
      <c r="A598" t="s">
        <v>817</v>
      </c>
      <c r="B598" t="s">
        <v>878</v>
      </c>
      <c r="C598" t="s">
        <v>646</v>
      </c>
      <c r="D598" s="1">
        <v>24030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</row>
    <row r="599" spans="1:10" hidden="1" x14ac:dyDescent="0.25">
      <c r="A599" t="s">
        <v>226</v>
      </c>
      <c r="B599" t="s">
        <v>878</v>
      </c>
      <c r="C599" t="s">
        <v>647</v>
      </c>
      <c r="D599" s="1">
        <v>737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</row>
    <row r="600" spans="1:10" hidden="1" x14ac:dyDescent="0.25">
      <c r="A600" t="s">
        <v>831</v>
      </c>
      <c r="B600" t="s">
        <v>878</v>
      </c>
      <c r="C600" t="s">
        <v>648</v>
      </c>
      <c r="D600" s="1">
        <v>32000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</row>
    <row r="601" spans="1:10" hidden="1" x14ac:dyDescent="0.25">
      <c r="A601" t="s">
        <v>818</v>
      </c>
      <c r="B601" t="s">
        <v>878</v>
      </c>
      <c r="C601" t="s">
        <v>649</v>
      </c>
      <c r="D601" s="1">
        <v>15915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</row>
    <row r="602" spans="1:10" hidden="1" x14ac:dyDescent="0.25">
      <c r="A602" t="s">
        <v>817</v>
      </c>
      <c r="B602" t="s">
        <v>878</v>
      </c>
      <c r="C602" t="s">
        <v>650</v>
      </c>
      <c r="D602" s="1">
        <v>34172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</row>
    <row r="603" spans="1:10" hidden="1" x14ac:dyDescent="0.25">
      <c r="A603" t="s">
        <v>817</v>
      </c>
      <c r="B603" t="s">
        <v>878</v>
      </c>
      <c r="C603" t="s">
        <v>651</v>
      </c>
      <c r="D603" s="1">
        <v>17920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</row>
    <row r="604" spans="1:10" hidden="1" x14ac:dyDescent="0.25">
      <c r="A604" t="s">
        <v>817</v>
      </c>
      <c r="B604" t="s">
        <v>878</v>
      </c>
      <c r="C604" t="s">
        <v>652</v>
      </c>
      <c r="D604" s="1"/>
      <c r="E604" s="1"/>
      <c r="F604" s="1"/>
      <c r="G604" s="1"/>
      <c r="H604" s="1"/>
      <c r="I604" s="1"/>
      <c r="J604" s="1"/>
    </row>
    <row r="605" spans="1:10" hidden="1" x14ac:dyDescent="0.25">
      <c r="A605" t="s">
        <v>817</v>
      </c>
      <c r="B605" t="s">
        <v>878</v>
      </c>
      <c r="C605" t="s">
        <v>653</v>
      </c>
      <c r="D605" s="1">
        <v>53100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</row>
    <row r="606" spans="1:10" hidden="1" x14ac:dyDescent="0.25">
      <c r="A606" t="s">
        <v>817</v>
      </c>
      <c r="B606" t="s">
        <v>878</v>
      </c>
      <c r="C606" t="s">
        <v>654</v>
      </c>
      <c r="D606" s="1">
        <v>44034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</row>
    <row r="607" spans="1:10" hidden="1" x14ac:dyDescent="0.25">
      <c r="A607" t="s">
        <v>826</v>
      </c>
      <c r="B607" t="s">
        <v>878</v>
      </c>
      <c r="C607" t="s">
        <v>655</v>
      </c>
      <c r="D607" s="1"/>
      <c r="E607" s="1"/>
      <c r="F607" s="1"/>
      <c r="G607" s="1"/>
      <c r="H607" s="1"/>
      <c r="I607" s="1"/>
      <c r="J607" s="1"/>
    </row>
    <row r="608" spans="1:10" hidden="1" x14ac:dyDescent="0.25">
      <c r="A608" t="s">
        <v>817</v>
      </c>
      <c r="B608" t="s">
        <v>878</v>
      </c>
      <c r="C608" t="s">
        <v>656</v>
      </c>
      <c r="D608" s="1">
        <v>9422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</row>
    <row r="609" spans="1:10" hidden="1" x14ac:dyDescent="0.25">
      <c r="A609" t="s">
        <v>811</v>
      </c>
      <c r="B609" t="s">
        <v>878</v>
      </c>
      <c r="C609" t="s">
        <v>657</v>
      </c>
      <c r="D609" s="1">
        <v>50702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</row>
    <row r="610" spans="1:10" hidden="1" x14ac:dyDescent="0.25">
      <c r="A610" t="s">
        <v>817</v>
      </c>
      <c r="B610" t="s">
        <v>878</v>
      </c>
      <c r="C610" t="s">
        <v>658</v>
      </c>
      <c r="D610" s="1">
        <v>53061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</row>
    <row r="611" spans="1:10" hidden="1" x14ac:dyDescent="0.25">
      <c r="A611" t="s">
        <v>860</v>
      </c>
      <c r="B611" t="s">
        <v>878</v>
      </c>
      <c r="C611" t="s">
        <v>659</v>
      </c>
      <c r="D611" s="1">
        <v>10030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</row>
    <row r="612" spans="1:10" hidden="1" x14ac:dyDescent="0.25">
      <c r="A612" t="s">
        <v>248</v>
      </c>
      <c r="B612" t="s">
        <v>878</v>
      </c>
      <c r="C612" t="s">
        <v>660</v>
      </c>
      <c r="D612" s="1">
        <v>17496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</row>
    <row r="613" spans="1:10" hidden="1" x14ac:dyDescent="0.25">
      <c r="A613" t="s">
        <v>861</v>
      </c>
      <c r="B613" t="s">
        <v>878</v>
      </c>
      <c r="C613" t="s">
        <v>661</v>
      </c>
      <c r="D613" s="1">
        <v>10444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</row>
    <row r="614" spans="1:10" hidden="1" x14ac:dyDescent="0.25">
      <c r="A614" t="s">
        <v>229</v>
      </c>
      <c r="B614" t="s">
        <v>878</v>
      </c>
      <c r="C614" t="s">
        <v>662</v>
      </c>
      <c r="D614" s="1">
        <v>14966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</row>
    <row r="615" spans="1:10" hidden="1" x14ac:dyDescent="0.25">
      <c r="A615" t="s">
        <v>101</v>
      </c>
      <c r="B615" t="s">
        <v>878</v>
      </c>
      <c r="C615" t="s">
        <v>663</v>
      </c>
      <c r="D615" s="1">
        <v>12483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</row>
    <row r="616" spans="1:10" hidden="1" x14ac:dyDescent="0.25">
      <c r="A616" t="s">
        <v>69</v>
      </c>
      <c r="B616" t="s">
        <v>878</v>
      </c>
      <c r="C616" t="s">
        <v>664</v>
      </c>
      <c r="D616" s="1">
        <v>28863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</row>
    <row r="617" spans="1:10" hidden="1" x14ac:dyDescent="0.25">
      <c r="A617" t="s">
        <v>859</v>
      </c>
      <c r="B617" t="s">
        <v>878</v>
      </c>
      <c r="C617" t="s">
        <v>665</v>
      </c>
      <c r="D617" s="1">
        <v>21103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</row>
    <row r="618" spans="1:10" hidden="1" x14ac:dyDescent="0.25">
      <c r="A618" t="s">
        <v>804</v>
      </c>
      <c r="B618" t="s">
        <v>878</v>
      </c>
      <c r="C618" t="s">
        <v>666</v>
      </c>
      <c r="D618" s="1">
        <v>47244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</row>
    <row r="619" spans="1:10" hidden="1" x14ac:dyDescent="0.25">
      <c r="A619" t="s">
        <v>853</v>
      </c>
      <c r="B619" t="s">
        <v>878</v>
      </c>
      <c r="C619" t="s">
        <v>667</v>
      </c>
      <c r="D619" s="1">
        <v>8080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</row>
    <row r="620" spans="1:10" hidden="1" x14ac:dyDescent="0.25">
      <c r="A620" t="s">
        <v>862</v>
      </c>
      <c r="B620" t="s">
        <v>878</v>
      </c>
      <c r="C620" t="s">
        <v>668</v>
      </c>
      <c r="D620" s="1">
        <v>14533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</row>
    <row r="621" spans="1:10" hidden="1" x14ac:dyDescent="0.25">
      <c r="A621" t="s">
        <v>847</v>
      </c>
      <c r="B621" t="s">
        <v>878</v>
      </c>
      <c r="C621" t="s">
        <v>669</v>
      </c>
      <c r="D621" s="1">
        <v>13372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</row>
    <row r="622" spans="1:10" hidden="1" x14ac:dyDescent="0.25">
      <c r="A622" t="s">
        <v>849</v>
      </c>
      <c r="B622" t="s">
        <v>878</v>
      </c>
      <c r="C622" t="s">
        <v>670</v>
      </c>
      <c r="D622" s="1">
        <v>5021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</row>
    <row r="623" spans="1:10" hidden="1" x14ac:dyDescent="0.25">
      <c r="A623" t="s">
        <v>226</v>
      </c>
      <c r="B623" t="s">
        <v>878</v>
      </c>
      <c r="C623" t="s">
        <v>671</v>
      </c>
      <c r="D623" s="1">
        <v>1847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</row>
    <row r="624" spans="1:10" hidden="1" x14ac:dyDescent="0.25">
      <c r="A624" t="s">
        <v>859</v>
      </c>
      <c r="B624" t="s">
        <v>878</v>
      </c>
      <c r="C624" t="s">
        <v>672</v>
      </c>
      <c r="D624" s="1">
        <v>41781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</row>
    <row r="625" spans="1:10" hidden="1" x14ac:dyDescent="0.25">
      <c r="A625" t="s">
        <v>830</v>
      </c>
      <c r="B625" t="s">
        <v>878</v>
      </c>
      <c r="C625" t="s">
        <v>673</v>
      </c>
      <c r="D625" s="1">
        <v>15005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</row>
    <row r="626" spans="1:10" hidden="1" x14ac:dyDescent="0.25">
      <c r="A626" t="s">
        <v>796</v>
      </c>
      <c r="B626" t="s">
        <v>878</v>
      </c>
      <c r="C626" t="s">
        <v>674</v>
      </c>
      <c r="D626" s="1">
        <v>30978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</row>
    <row r="627" spans="1:10" hidden="1" x14ac:dyDescent="0.25">
      <c r="A627" t="s">
        <v>854</v>
      </c>
      <c r="B627" t="s">
        <v>878</v>
      </c>
      <c r="C627" t="s">
        <v>675</v>
      </c>
      <c r="D627" s="1">
        <v>14316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</row>
    <row r="628" spans="1:10" hidden="1" x14ac:dyDescent="0.25">
      <c r="A628" t="s">
        <v>796</v>
      </c>
      <c r="B628" t="s">
        <v>878</v>
      </c>
      <c r="C628" t="s">
        <v>676</v>
      </c>
      <c r="D628" s="1">
        <v>25618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</row>
    <row r="629" spans="1:10" hidden="1" x14ac:dyDescent="0.25">
      <c r="A629" t="s">
        <v>226</v>
      </c>
      <c r="B629" t="s">
        <v>878</v>
      </c>
      <c r="C629" t="s">
        <v>677</v>
      </c>
      <c r="D629" s="1">
        <v>9640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</row>
    <row r="630" spans="1:10" hidden="1" x14ac:dyDescent="0.25">
      <c r="A630" t="s">
        <v>138</v>
      </c>
      <c r="B630" t="s">
        <v>878</v>
      </c>
      <c r="C630" t="s">
        <v>678</v>
      </c>
      <c r="D630" s="1"/>
      <c r="E630" s="1"/>
      <c r="F630" s="1"/>
      <c r="G630" s="1"/>
      <c r="H630" s="1"/>
      <c r="I630" s="1"/>
      <c r="J630" s="1"/>
    </row>
    <row r="631" spans="1:10" hidden="1" x14ac:dyDescent="0.25">
      <c r="A631" t="s">
        <v>804</v>
      </c>
      <c r="B631" t="s">
        <v>878</v>
      </c>
      <c r="C631" t="s">
        <v>679</v>
      </c>
      <c r="D631" s="1">
        <v>62983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</row>
    <row r="632" spans="1:10" hidden="1" x14ac:dyDescent="0.25">
      <c r="A632" t="s">
        <v>823</v>
      </c>
      <c r="B632" t="s">
        <v>878</v>
      </c>
      <c r="C632" t="s">
        <v>680</v>
      </c>
      <c r="D632" s="1">
        <v>50295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</row>
    <row r="633" spans="1:10" hidden="1" x14ac:dyDescent="0.25">
      <c r="A633" t="s">
        <v>809</v>
      </c>
      <c r="B633" t="s">
        <v>878</v>
      </c>
      <c r="C633" t="s">
        <v>681</v>
      </c>
      <c r="D633" s="1">
        <v>61161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</row>
    <row r="634" spans="1:10" hidden="1" x14ac:dyDescent="0.25">
      <c r="A634" t="s">
        <v>248</v>
      </c>
      <c r="B634" t="s">
        <v>878</v>
      </c>
      <c r="C634" t="s">
        <v>682</v>
      </c>
      <c r="D634" s="1">
        <v>38502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</row>
    <row r="635" spans="1:10" hidden="1" x14ac:dyDescent="0.25">
      <c r="A635" t="s">
        <v>795</v>
      </c>
      <c r="B635" t="s">
        <v>878</v>
      </c>
      <c r="C635" t="s">
        <v>683</v>
      </c>
      <c r="D635" s="1">
        <v>30693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</row>
    <row r="636" spans="1:10" hidden="1" x14ac:dyDescent="0.25">
      <c r="A636" t="s">
        <v>795</v>
      </c>
      <c r="B636" t="s">
        <v>878</v>
      </c>
      <c r="C636" t="s">
        <v>684</v>
      </c>
      <c r="D636" s="1">
        <v>97622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</row>
    <row r="637" spans="1:10" hidden="1" x14ac:dyDescent="0.25">
      <c r="A637" t="s">
        <v>795</v>
      </c>
      <c r="B637" t="s">
        <v>878</v>
      </c>
      <c r="C637" t="s">
        <v>685</v>
      </c>
      <c r="D637" s="1">
        <v>20121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</row>
    <row r="638" spans="1:10" hidden="1" x14ac:dyDescent="0.25">
      <c r="A638" t="s">
        <v>851</v>
      </c>
      <c r="B638" t="s">
        <v>878</v>
      </c>
      <c r="C638" t="s">
        <v>686</v>
      </c>
      <c r="D638" s="1">
        <v>6785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</row>
    <row r="639" spans="1:10" hidden="1" x14ac:dyDescent="0.25">
      <c r="A639" t="s">
        <v>841</v>
      </c>
      <c r="B639" t="s">
        <v>878</v>
      </c>
      <c r="C639" t="s">
        <v>687</v>
      </c>
      <c r="D639" s="1">
        <v>17441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</row>
    <row r="640" spans="1:10" hidden="1" x14ac:dyDescent="0.25">
      <c r="A640" t="s">
        <v>859</v>
      </c>
      <c r="B640" t="s">
        <v>878</v>
      </c>
      <c r="C640" t="s">
        <v>688</v>
      </c>
      <c r="D640" s="1">
        <v>11105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</row>
    <row r="641" spans="1:10" hidden="1" x14ac:dyDescent="0.25">
      <c r="A641" t="s">
        <v>248</v>
      </c>
      <c r="B641" t="s">
        <v>878</v>
      </c>
      <c r="C641" t="s">
        <v>689</v>
      </c>
      <c r="D641" s="1">
        <v>50657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</row>
    <row r="642" spans="1:10" hidden="1" x14ac:dyDescent="0.25">
      <c r="A642" t="s">
        <v>831</v>
      </c>
      <c r="B642" t="s">
        <v>878</v>
      </c>
      <c r="C642" t="s">
        <v>690</v>
      </c>
      <c r="D642" s="1">
        <v>16666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</row>
    <row r="643" spans="1:10" hidden="1" x14ac:dyDescent="0.25">
      <c r="A643" t="s">
        <v>840</v>
      </c>
      <c r="B643" t="s">
        <v>878</v>
      </c>
      <c r="C643" t="s">
        <v>691</v>
      </c>
      <c r="D643" s="1">
        <v>27791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</row>
    <row r="644" spans="1:10" hidden="1" x14ac:dyDescent="0.25">
      <c r="A644" t="s">
        <v>495</v>
      </c>
      <c r="B644" t="s">
        <v>878</v>
      </c>
      <c r="C644" t="s">
        <v>692</v>
      </c>
      <c r="D644" s="1">
        <v>24381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</row>
    <row r="645" spans="1:10" x14ac:dyDescent="0.25">
      <c r="A645" t="s">
        <v>824</v>
      </c>
      <c r="B645" t="s">
        <v>878</v>
      </c>
      <c r="C645" t="s">
        <v>693</v>
      </c>
      <c r="D645" s="1">
        <v>28384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</row>
    <row r="646" spans="1:10" hidden="1" x14ac:dyDescent="0.25">
      <c r="A646" t="s">
        <v>806</v>
      </c>
      <c r="B646" t="s">
        <v>878</v>
      </c>
      <c r="C646" t="s">
        <v>694</v>
      </c>
      <c r="D646" s="1">
        <v>7144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</row>
    <row r="647" spans="1:10" hidden="1" x14ac:dyDescent="0.25">
      <c r="A647" t="s">
        <v>806</v>
      </c>
      <c r="B647" t="s">
        <v>878</v>
      </c>
      <c r="C647" t="s">
        <v>695</v>
      </c>
      <c r="D647" s="1">
        <v>3831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</row>
    <row r="648" spans="1:10" hidden="1" x14ac:dyDescent="0.25">
      <c r="A648" t="s">
        <v>795</v>
      </c>
      <c r="B648" t="s">
        <v>878</v>
      </c>
      <c r="C648" t="s">
        <v>696</v>
      </c>
      <c r="D648" s="1">
        <v>12685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</row>
    <row r="649" spans="1:10" hidden="1" x14ac:dyDescent="0.25">
      <c r="A649" t="s">
        <v>831</v>
      </c>
      <c r="B649" t="s">
        <v>878</v>
      </c>
      <c r="C649" t="s">
        <v>697</v>
      </c>
      <c r="D649" s="1">
        <v>19892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</row>
    <row r="650" spans="1:10" hidden="1" x14ac:dyDescent="0.25">
      <c r="A650" t="s">
        <v>829</v>
      </c>
      <c r="B650" t="s">
        <v>878</v>
      </c>
      <c r="C650" t="s">
        <v>698</v>
      </c>
      <c r="D650" s="1">
        <v>27065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</row>
    <row r="651" spans="1:10" hidden="1" x14ac:dyDescent="0.25">
      <c r="A651" t="s">
        <v>811</v>
      </c>
      <c r="B651" t="s">
        <v>878</v>
      </c>
      <c r="C651" t="s">
        <v>699</v>
      </c>
      <c r="D651" s="1">
        <v>24135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</row>
    <row r="652" spans="1:10" hidden="1" x14ac:dyDescent="0.25">
      <c r="A652" t="s">
        <v>856</v>
      </c>
      <c r="B652" t="s">
        <v>878</v>
      </c>
      <c r="C652" t="s">
        <v>700</v>
      </c>
      <c r="D652" s="1">
        <v>32150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</row>
    <row r="653" spans="1:10" hidden="1" x14ac:dyDescent="0.25">
      <c r="A653" t="s">
        <v>796</v>
      </c>
      <c r="B653" t="s">
        <v>878</v>
      </c>
      <c r="C653" t="s">
        <v>701</v>
      </c>
      <c r="D653" s="1"/>
      <c r="E653" s="1"/>
      <c r="F653" s="1"/>
      <c r="G653" s="1"/>
      <c r="H653" s="1"/>
      <c r="I653" s="1"/>
      <c r="J653" s="1"/>
    </row>
    <row r="654" spans="1:10" hidden="1" x14ac:dyDescent="0.25">
      <c r="A654" t="s">
        <v>791</v>
      </c>
      <c r="B654" t="s">
        <v>878</v>
      </c>
      <c r="C654" t="s">
        <v>702</v>
      </c>
      <c r="D654" s="1">
        <v>4679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</row>
    <row r="655" spans="1:10" hidden="1" x14ac:dyDescent="0.25">
      <c r="A655" t="s">
        <v>850</v>
      </c>
      <c r="B655" t="s">
        <v>878</v>
      </c>
      <c r="C655" t="s">
        <v>703</v>
      </c>
      <c r="D655" s="1">
        <v>4116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</row>
    <row r="656" spans="1:10" hidden="1" x14ac:dyDescent="0.25">
      <c r="A656" t="s">
        <v>146</v>
      </c>
      <c r="B656" t="s">
        <v>878</v>
      </c>
      <c r="C656" t="s">
        <v>704</v>
      </c>
      <c r="D656" s="1">
        <v>27746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</row>
    <row r="657" spans="1:10" hidden="1" x14ac:dyDescent="0.25">
      <c r="A657" t="s">
        <v>846</v>
      </c>
      <c r="B657" t="s">
        <v>878</v>
      </c>
      <c r="C657" t="s">
        <v>705</v>
      </c>
      <c r="D657" s="1">
        <v>8452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</row>
    <row r="658" spans="1:10" hidden="1" x14ac:dyDescent="0.25">
      <c r="A658" t="s">
        <v>855</v>
      </c>
      <c r="B658" t="s">
        <v>878</v>
      </c>
      <c r="C658" t="s">
        <v>706</v>
      </c>
      <c r="D658" s="1">
        <v>9549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</row>
    <row r="659" spans="1:10" hidden="1" x14ac:dyDescent="0.25">
      <c r="A659" t="s">
        <v>794</v>
      </c>
      <c r="B659" t="s">
        <v>878</v>
      </c>
      <c r="C659" t="s">
        <v>707</v>
      </c>
      <c r="D659" s="1">
        <v>15601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</row>
    <row r="660" spans="1:10" hidden="1" x14ac:dyDescent="0.25">
      <c r="A660" t="s">
        <v>803</v>
      </c>
      <c r="B660" t="s">
        <v>878</v>
      </c>
      <c r="C660" t="s">
        <v>708</v>
      </c>
      <c r="D660" s="1"/>
      <c r="E660" s="1"/>
      <c r="F660" s="1"/>
      <c r="G660" s="1"/>
      <c r="H660" s="1"/>
      <c r="I660" s="1"/>
      <c r="J660" s="1"/>
    </row>
    <row r="661" spans="1:10" hidden="1" x14ac:dyDescent="0.25">
      <c r="A661" t="s">
        <v>834</v>
      </c>
      <c r="B661" t="s">
        <v>878</v>
      </c>
      <c r="C661" t="s">
        <v>709</v>
      </c>
      <c r="D661" s="1">
        <v>11437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</row>
    <row r="662" spans="1:10" hidden="1" x14ac:dyDescent="0.25">
      <c r="A662" t="s">
        <v>852</v>
      </c>
      <c r="B662" t="s">
        <v>878</v>
      </c>
      <c r="C662" t="s">
        <v>710</v>
      </c>
      <c r="D662" s="1">
        <v>10909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</row>
    <row r="663" spans="1:10" x14ac:dyDescent="0.25">
      <c r="A663" t="s">
        <v>824</v>
      </c>
      <c r="B663" t="s">
        <v>878</v>
      </c>
      <c r="C663" t="s">
        <v>711</v>
      </c>
      <c r="D663" s="1">
        <v>17560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</row>
    <row r="664" spans="1:10" hidden="1" x14ac:dyDescent="0.25">
      <c r="A664" t="s">
        <v>817</v>
      </c>
      <c r="B664" t="s">
        <v>878</v>
      </c>
      <c r="C664" t="s">
        <v>712</v>
      </c>
      <c r="D664" s="1">
        <v>45314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</row>
    <row r="665" spans="1:10" hidden="1" x14ac:dyDescent="0.25">
      <c r="A665" t="s">
        <v>857</v>
      </c>
      <c r="B665" t="s">
        <v>878</v>
      </c>
      <c r="C665" t="s">
        <v>713</v>
      </c>
      <c r="D665" s="1">
        <v>9908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</row>
    <row r="666" spans="1:10" hidden="1" x14ac:dyDescent="0.25">
      <c r="A666" t="s">
        <v>146</v>
      </c>
      <c r="B666" t="s">
        <v>878</v>
      </c>
      <c r="C666" t="s">
        <v>714</v>
      </c>
      <c r="D666" s="1">
        <v>37939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</row>
    <row r="667" spans="1:10" hidden="1" x14ac:dyDescent="0.25">
      <c r="A667" t="s">
        <v>120</v>
      </c>
      <c r="B667" t="s">
        <v>878</v>
      </c>
      <c r="C667" t="s">
        <v>715</v>
      </c>
      <c r="D667" s="1">
        <v>13061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</row>
    <row r="668" spans="1:10" hidden="1" x14ac:dyDescent="0.25">
      <c r="A668" t="s">
        <v>146</v>
      </c>
      <c r="B668" t="s">
        <v>878</v>
      </c>
      <c r="C668" t="s">
        <v>716</v>
      </c>
      <c r="D668" s="1">
        <v>9523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</row>
    <row r="669" spans="1:10" hidden="1" x14ac:dyDescent="0.25">
      <c r="A669" t="s">
        <v>811</v>
      </c>
      <c r="B669" t="s">
        <v>878</v>
      </c>
      <c r="C669" t="s">
        <v>717</v>
      </c>
      <c r="D669" s="1">
        <v>12922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</row>
    <row r="670" spans="1:10" hidden="1" x14ac:dyDescent="0.25">
      <c r="A670" t="s">
        <v>146</v>
      </c>
      <c r="B670" t="s">
        <v>878</v>
      </c>
      <c r="C670" t="s">
        <v>718</v>
      </c>
      <c r="D670" s="1">
        <v>28940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</row>
    <row r="671" spans="1:10" hidden="1" x14ac:dyDescent="0.25">
      <c r="A671" t="s">
        <v>816</v>
      </c>
      <c r="B671" t="s">
        <v>878</v>
      </c>
      <c r="C671" t="s">
        <v>719</v>
      </c>
      <c r="D671" s="1">
        <v>13436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</row>
    <row r="672" spans="1:10" hidden="1" x14ac:dyDescent="0.25">
      <c r="A672" t="s">
        <v>817</v>
      </c>
      <c r="B672" t="s">
        <v>878</v>
      </c>
      <c r="C672" t="s">
        <v>720</v>
      </c>
      <c r="D672" s="1">
        <v>54445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</row>
    <row r="673" spans="1:10" hidden="1" x14ac:dyDescent="0.25">
      <c r="A673" t="s">
        <v>864</v>
      </c>
      <c r="B673" t="s">
        <v>878</v>
      </c>
      <c r="C673" t="s">
        <v>721</v>
      </c>
      <c r="D673" s="1">
        <v>70399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</row>
    <row r="674" spans="1:10" hidden="1" x14ac:dyDescent="0.25">
      <c r="A674" t="s">
        <v>146</v>
      </c>
      <c r="B674" t="s">
        <v>878</v>
      </c>
      <c r="C674" t="s">
        <v>722</v>
      </c>
      <c r="D674" s="1">
        <v>15110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</row>
    <row r="675" spans="1:10" hidden="1" x14ac:dyDescent="0.25">
      <c r="A675" t="s">
        <v>858</v>
      </c>
      <c r="B675" t="s">
        <v>878</v>
      </c>
      <c r="C675" t="s">
        <v>723</v>
      </c>
      <c r="D675" s="1">
        <v>14061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</row>
    <row r="676" spans="1:10" hidden="1" x14ac:dyDescent="0.25">
      <c r="A676" t="s">
        <v>859</v>
      </c>
      <c r="B676" t="s">
        <v>878</v>
      </c>
      <c r="C676" t="s">
        <v>724</v>
      </c>
      <c r="D676" s="1"/>
      <c r="E676" s="1"/>
      <c r="F676" s="1"/>
      <c r="G676" s="1"/>
      <c r="H676" s="1"/>
      <c r="I676" s="1"/>
      <c r="J676" s="1"/>
    </row>
    <row r="677" spans="1:10" hidden="1" x14ac:dyDescent="0.25">
      <c r="A677" t="s">
        <v>794</v>
      </c>
      <c r="B677" t="s">
        <v>878</v>
      </c>
      <c r="C677" t="s">
        <v>725</v>
      </c>
      <c r="D677" s="1">
        <v>54503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</row>
    <row r="678" spans="1:10" hidden="1" x14ac:dyDescent="0.25">
      <c r="A678" t="s">
        <v>864</v>
      </c>
      <c r="B678" t="s">
        <v>878</v>
      </c>
      <c r="C678" t="s">
        <v>726</v>
      </c>
      <c r="D678" s="1">
        <v>58802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</row>
    <row r="679" spans="1:10" x14ac:dyDescent="0.25">
      <c r="A679" t="s">
        <v>824</v>
      </c>
      <c r="B679" t="s">
        <v>878</v>
      </c>
      <c r="C679" t="s">
        <v>727</v>
      </c>
      <c r="D679" s="1">
        <v>14550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</row>
    <row r="680" spans="1:10" hidden="1" x14ac:dyDescent="0.25">
      <c r="A680" t="s">
        <v>134</v>
      </c>
      <c r="B680" t="s">
        <v>878</v>
      </c>
      <c r="C680" t="s">
        <v>728</v>
      </c>
      <c r="D680" s="1">
        <v>4457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</row>
    <row r="681" spans="1:10" hidden="1" x14ac:dyDescent="0.25">
      <c r="A681" t="s">
        <v>138</v>
      </c>
      <c r="B681" t="s">
        <v>878</v>
      </c>
      <c r="C681" t="s">
        <v>729</v>
      </c>
      <c r="D681" s="1">
        <v>46395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</row>
    <row r="682" spans="1:10" hidden="1" x14ac:dyDescent="0.25">
      <c r="A682" t="s">
        <v>788</v>
      </c>
      <c r="B682" t="s">
        <v>878</v>
      </c>
      <c r="C682" t="s">
        <v>730</v>
      </c>
      <c r="D682" s="1">
        <v>3195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</row>
    <row r="683" spans="1:10" hidden="1" x14ac:dyDescent="0.25">
      <c r="A683" t="s">
        <v>831</v>
      </c>
      <c r="B683" t="s">
        <v>878</v>
      </c>
      <c r="C683" t="s">
        <v>731</v>
      </c>
      <c r="D683" s="1">
        <v>3808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</row>
    <row r="684" spans="1:10" hidden="1" x14ac:dyDescent="0.25">
      <c r="A684" t="s">
        <v>76</v>
      </c>
      <c r="B684" t="s">
        <v>878</v>
      </c>
      <c r="C684" t="s">
        <v>732</v>
      </c>
      <c r="D684" s="1">
        <v>18677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</row>
    <row r="685" spans="1:10" hidden="1" x14ac:dyDescent="0.25">
      <c r="A685" t="s">
        <v>809</v>
      </c>
      <c r="B685" t="s">
        <v>878</v>
      </c>
      <c r="C685" t="s">
        <v>733</v>
      </c>
      <c r="D685" s="1">
        <v>35188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</row>
    <row r="686" spans="1:10" hidden="1" x14ac:dyDescent="0.25">
      <c r="A686" t="s">
        <v>120</v>
      </c>
      <c r="B686" t="s">
        <v>878</v>
      </c>
      <c r="C686" t="s">
        <v>734</v>
      </c>
      <c r="D686" s="1">
        <v>5837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</row>
    <row r="687" spans="1:10" hidden="1" x14ac:dyDescent="0.25">
      <c r="A687" t="s">
        <v>817</v>
      </c>
      <c r="B687" t="s">
        <v>878</v>
      </c>
      <c r="C687" t="s">
        <v>735</v>
      </c>
      <c r="D687" s="1">
        <v>14031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</row>
    <row r="688" spans="1:10" hidden="1" x14ac:dyDescent="0.25">
      <c r="A688" t="s">
        <v>801</v>
      </c>
      <c r="B688" t="s">
        <v>878</v>
      </c>
      <c r="C688" t="s">
        <v>736</v>
      </c>
      <c r="D688" s="1">
        <v>2527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</row>
    <row r="689" spans="1:10" hidden="1" x14ac:dyDescent="0.25">
      <c r="A689" t="s">
        <v>138</v>
      </c>
      <c r="B689" t="s">
        <v>878</v>
      </c>
      <c r="C689" t="s">
        <v>737</v>
      </c>
      <c r="D689" s="1">
        <v>19346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</row>
    <row r="690" spans="1:10" hidden="1" x14ac:dyDescent="0.25">
      <c r="A690" t="s">
        <v>138</v>
      </c>
      <c r="B690" t="s">
        <v>878</v>
      </c>
      <c r="C690" t="s">
        <v>738</v>
      </c>
      <c r="D690" s="1">
        <v>14132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</row>
    <row r="691" spans="1:10" hidden="1" x14ac:dyDescent="0.25">
      <c r="A691" t="s">
        <v>248</v>
      </c>
      <c r="B691" t="s">
        <v>878</v>
      </c>
      <c r="C691" t="s">
        <v>739</v>
      </c>
      <c r="D691" s="1">
        <v>25734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</row>
    <row r="692" spans="1:10" hidden="1" x14ac:dyDescent="0.25">
      <c r="A692" t="s">
        <v>138</v>
      </c>
      <c r="B692" t="s">
        <v>878</v>
      </c>
      <c r="C692" t="s">
        <v>740</v>
      </c>
      <c r="D692" s="1">
        <v>9620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</row>
    <row r="693" spans="1:10" hidden="1" x14ac:dyDescent="0.25">
      <c r="A693" t="s">
        <v>134</v>
      </c>
      <c r="B693" t="s">
        <v>878</v>
      </c>
      <c r="C693" t="s">
        <v>741</v>
      </c>
      <c r="D693" s="1">
        <v>9094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</row>
    <row r="694" spans="1:10" hidden="1" x14ac:dyDescent="0.25">
      <c r="A694" t="s">
        <v>231</v>
      </c>
      <c r="B694" t="s">
        <v>878</v>
      </c>
      <c r="C694" t="s">
        <v>742</v>
      </c>
      <c r="D694" s="1">
        <v>43724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</row>
    <row r="695" spans="1:10" hidden="1" x14ac:dyDescent="0.25">
      <c r="A695" t="s">
        <v>83</v>
      </c>
      <c r="B695" t="s">
        <v>878</v>
      </c>
      <c r="C695" t="s">
        <v>743</v>
      </c>
      <c r="D695" s="1">
        <v>3483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</row>
    <row r="696" spans="1:10" hidden="1" x14ac:dyDescent="0.25">
      <c r="A696" t="s">
        <v>826</v>
      </c>
      <c r="B696" t="s">
        <v>878</v>
      </c>
      <c r="C696" t="s">
        <v>744</v>
      </c>
      <c r="D696" s="1">
        <v>2337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</row>
    <row r="697" spans="1:10" hidden="1" x14ac:dyDescent="0.25">
      <c r="A697" t="s">
        <v>811</v>
      </c>
      <c r="B697" t="s">
        <v>878</v>
      </c>
      <c r="C697" t="s">
        <v>745</v>
      </c>
      <c r="D697" s="1">
        <v>22663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</row>
    <row r="698" spans="1:10" hidden="1" x14ac:dyDescent="0.25">
      <c r="A698" t="s">
        <v>248</v>
      </c>
      <c r="B698" t="s">
        <v>878</v>
      </c>
      <c r="C698" t="s">
        <v>746</v>
      </c>
      <c r="D698" s="1">
        <v>136953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</row>
    <row r="699" spans="1:10" hidden="1" x14ac:dyDescent="0.25">
      <c r="A699" t="s">
        <v>801</v>
      </c>
      <c r="B699" t="s">
        <v>879</v>
      </c>
      <c r="C699" t="s">
        <v>747</v>
      </c>
      <c r="D699" s="1">
        <f>7556+1</f>
        <v>7557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</row>
    <row r="700" spans="1:10" hidden="1" x14ac:dyDescent="0.25">
      <c r="A700" t="s">
        <v>809</v>
      </c>
      <c r="B700" t="s">
        <v>879</v>
      </c>
      <c r="C700" t="s">
        <v>748</v>
      </c>
      <c r="D700" s="1">
        <f>33662+3+6+2+419+1+1+16+324</f>
        <v>34434</v>
      </c>
      <c r="E700" s="1">
        <f>572+84+11</f>
        <v>667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</row>
    <row r="701" spans="1:10" hidden="1" x14ac:dyDescent="0.25">
      <c r="A701" t="s">
        <v>823</v>
      </c>
      <c r="B701" t="s">
        <v>879</v>
      </c>
      <c r="C701" t="s">
        <v>749</v>
      </c>
      <c r="D701" s="1">
        <f>46721+12+307+2</f>
        <v>47042</v>
      </c>
      <c r="E701" s="1">
        <f>11+30</f>
        <v>41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</row>
    <row r="702" spans="1:10" hidden="1" x14ac:dyDescent="0.25">
      <c r="A702" t="s">
        <v>226</v>
      </c>
      <c r="B702" t="s">
        <v>879</v>
      </c>
      <c r="C702" t="s">
        <v>750</v>
      </c>
      <c r="D702" s="1">
        <f>4757+7+10</f>
        <v>4774</v>
      </c>
      <c r="E702" s="1">
        <v>56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</row>
    <row r="703" spans="1:10" hidden="1" x14ac:dyDescent="0.25">
      <c r="A703" t="s">
        <v>864</v>
      </c>
      <c r="B703" t="s">
        <v>879</v>
      </c>
      <c r="C703" t="s">
        <v>751</v>
      </c>
      <c r="D703" s="1">
        <f>20866+140+8</f>
        <v>21014</v>
      </c>
      <c r="E703" s="1">
        <f>21+7</f>
        <v>28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</row>
    <row r="704" spans="1:10" hidden="1" x14ac:dyDescent="0.25">
      <c r="A704" t="s">
        <v>797</v>
      </c>
      <c r="B704" t="s">
        <v>879</v>
      </c>
      <c r="C704" t="s">
        <v>752</v>
      </c>
      <c r="D704" s="1">
        <f>40537+1+1+18+3+26</f>
        <v>40586</v>
      </c>
      <c r="E704" s="1">
        <f>75+4</f>
        <v>79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</row>
    <row r="705" spans="1:10" hidden="1" x14ac:dyDescent="0.25">
      <c r="A705" t="s">
        <v>69</v>
      </c>
      <c r="B705" t="s">
        <v>879</v>
      </c>
      <c r="C705" t="s">
        <v>753</v>
      </c>
      <c r="D705" s="1">
        <f>76064+5+1+2+6</f>
        <v>76078</v>
      </c>
      <c r="E705" s="1">
        <f>22+4</f>
        <v>26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</row>
    <row r="706" spans="1:10" x14ac:dyDescent="0.25">
      <c r="A706" t="s">
        <v>824</v>
      </c>
      <c r="B706" t="s">
        <v>879</v>
      </c>
      <c r="C706" t="s">
        <v>754</v>
      </c>
      <c r="D706" s="1">
        <f>20695+34</f>
        <v>20729</v>
      </c>
      <c r="E706" s="1">
        <f>85+11</f>
        <v>96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</row>
    <row r="707" spans="1:10" hidden="1" x14ac:dyDescent="0.25">
      <c r="A707" t="s">
        <v>817</v>
      </c>
      <c r="B707" t="s">
        <v>879</v>
      </c>
      <c r="C707" t="s">
        <v>755</v>
      </c>
      <c r="D707" s="1">
        <f>73497+1+5+1+154+1+61+4+1+1+65</f>
        <v>73791</v>
      </c>
      <c r="E707" s="1">
        <f>100+1+5+27</f>
        <v>133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</row>
    <row r="708" spans="1:10" hidden="1" x14ac:dyDescent="0.25">
      <c r="A708" t="s">
        <v>794</v>
      </c>
      <c r="B708" t="s">
        <v>879</v>
      </c>
      <c r="C708" t="s">
        <v>756</v>
      </c>
      <c r="D708" s="1">
        <f>66224+5+72+1+4</f>
        <v>66306</v>
      </c>
      <c r="E708" s="1">
        <f>401+2+8</f>
        <v>411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</row>
    <row r="709" spans="1:10" hidden="1" x14ac:dyDescent="0.25">
      <c r="A709" t="s">
        <v>10</v>
      </c>
      <c r="B709" t="s">
        <v>879</v>
      </c>
      <c r="C709" t="s">
        <v>757</v>
      </c>
      <c r="D709" s="1"/>
      <c r="E709" s="1"/>
      <c r="F709" s="1"/>
      <c r="G709" s="1"/>
      <c r="H709" s="1"/>
      <c r="I709" s="1"/>
      <c r="J709" s="1"/>
    </row>
    <row r="710" spans="1:10" hidden="1" x14ac:dyDescent="0.25">
      <c r="A710" t="s">
        <v>788</v>
      </c>
      <c r="B710" t="s">
        <v>879</v>
      </c>
      <c r="C710" t="s">
        <v>758</v>
      </c>
      <c r="D710" s="1">
        <f>34975+1111+11</f>
        <v>36097</v>
      </c>
      <c r="E710" s="1">
        <v>1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</row>
    <row r="711" spans="1:10" hidden="1" x14ac:dyDescent="0.25">
      <c r="A711" t="s">
        <v>146</v>
      </c>
      <c r="B711" t="s">
        <v>879</v>
      </c>
      <c r="C711" t="s">
        <v>759</v>
      </c>
      <c r="D711" s="1">
        <v>114922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</row>
    <row r="712" spans="1:10" hidden="1" x14ac:dyDescent="0.25">
      <c r="A712" t="s">
        <v>795</v>
      </c>
      <c r="B712" t="s">
        <v>879</v>
      </c>
      <c r="C712" t="s">
        <v>760</v>
      </c>
      <c r="D712" s="1">
        <f>88001+2</f>
        <v>88003</v>
      </c>
      <c r="E712" s="1">
        <v>90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</row>
    <row r="713" spans="1:10" hidden="1" x14ac:dyDescent="0.25">
      <c r="A713" t="s">
        <v>248</v>
      </c>
      <c r="B713" t="s">
        <v>879</v>
      </c>
      <c r="C713" t="s">
        <v>761</v>
      </c>
      <c r="D713" s="1">
        <f>53468+6+7+40</f>
        <v>53521</v>
      </c>
      <c r="E713" s="1">
        <v>6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</row>
    <row r="714" spans="1:10" hidden="1" x14ac:dyDescent="0.25">
      <c r="A714" t="s">
        <v>796</v>
      </c>
      <c r="B714" t="s">
        <v>879</v>
      </c>
      <c r="C714" t="s">
        <v>762</v>
      </c>
      <c r="D714" s="1">
        <f>18722+4+1+1+49+12</f>
        <v>18789</v>
      </c>
      <c r="E714" s="1">
        <f>6+8</f>
        <v>14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</row>
    <row r="715" spans="1:10" hidden="1" x14ac:dyDescent="0.25">
      <c r="A715" t="s">
        <v>138</v>
      </c>
      <c r="B715" t="s">
        <v>879</v>
      </c>
      <c r="C715" t="s">
        <v>763</v>
      </c>
      <c r="D715" s="1">
        <f>32933+7+4</f>
        <v>32944</v>
      </c>
      <c r="E715" s="1">
        <f>273+20</f>
        <v>293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</row>
    <row r="716" spans="1:10" hidden="1" x14ac:dyDescent="0.25">
      <c r="A716" t="s">
        <v>10</v>
      </c>
      <c r="B716" t="s">
        <v>879</v>
      </c>
      <c r="C716" t="s">
        <v>764</v>
      </c>
      <c r="D716" s="1"/>
      <c r="E716" s="1"/>
      <c r="F716" s="1"/>
      <c r="G716" s="1"/>
      <c r="H716" s="1"/>
      <c r="I716" s="1"/>
      <c r="J716" s="1"/>
    </row>
    <row r="717" spans="1:10" hidden="1" x14ac:dyDescent="0.25">
      <c r="A717" t="s">
        <v>823</v>
      </c>
      <c r="B717" t="s">
        <v>879</v>
      </c>
      <c r="C717" t="s">
        <v>765</v>
      </c>
      <c r="D717" s="1">
        <f>36802+18+4</f>
        <v>36824</v>
      </c>
      <c r="E717" s="1">
        <f>554+1</f>
        <v>555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</row>
    <row r="718" spans="1:10" hidden="1" x14ac:dyDescent="0.25">
      <c r="A718" t="s">
        <v>83</v>
      </c>
      <c r="B718" t="s">
        <v>879</v>
      </c>
      <c r="C718" t="s">
        <v>766</v>
      </c>
      <c r="D718" s="1">
        <f>11652+9</f>
        <v>11661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</row>
    <row r="719" spans="1:10" hidden="1" x14ac:dyDescent="0.25">
      <c r="A719" t="s">
        <v>864</v>
      </c>
      <c r="B719" t="s">
        <v>879</v>
      </c>
      <c r="C719" t="s">
        <v>767</v>
      </c>
      <c r="D719" s="1">
        <f>31932+1+7</f>
        <v>31940</v>
      </c>
      <c r="E719" s="1">
        <f>63+12+16</f>
        <v>91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</row>
    <row r="720" spans="1:10" hidden="1" x14ac:dyDescent="0.25">
      <c r="A720" t="s">
        <v>76</v>
      </c>
      <c r="B720" t="s">
        <v>879</v>
      </c>
      <c r="C720" t="s">
        <v>768</v>
      </c>
      <c r="D720" s="1">
        <f>55296+3</f>
        <v>55299</v>
      </c>
      <c r="E720" s="1">
        <f>110+111+3</f>
        <v>224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</row>
    <row r="721" spans="1:10" hidden="1" x14ac:dyDescent="0.25">
      <c r="A721" t="s">
        <v>101</v>
      </c>
      <c r="B721" t="s">
        <v>879</v>
      </c>
      <c r="C721" t="s">
        <v>769</v>
      </c>
      <c r="D721" s="60">
        <f>27731+1</f>
        <v>27732</v>
      </c>
      <c r="E721" s="60">
        <v>19</v>
      </c>
      <c r="F721" s="60">
        <v>0</v>
      </c>
      <c r="G721" s="60">
        <v>0</v>
      </c>
      <c r="H721" s="60">
        <v>0</v>
      </c>
      <c r="I721" s="60">
        <v>0</v>
      </c>
      <c r="J721" s="60">
        <v>0</v>
      </c>
    </row>
    <row r="722" spans="1:10" hidden="1" x14ac:dyDescent="0.25">
      <c r="A722" t="s">
        <v>831</v>
      </c>
      <c r="B722" t="s">
        <v>879</v>
      </c>
      <c r="C722" t="s">
        <v>770</v>
      </c>
      <c r="D722" s="60">
        <f>8549+3+2</f>
        <v>8554</v>
      </c>
      <c r="E722" s="60">
        <f>387+4+68</f>
        <v>459</v>
      </c>
      <c r="F722" s="60">
        <v>0</v>
      </c>
      <c r="G722" s="60">
        <v>0</v>
      </c>
      <c r="H722" s="60">
        <v>0</v>
      </c>
      <c r="I722" s="60">
        <v>0</v>
      </c>
      <c r="J722" s="60">
        <v>0</v>
      </c>
    </row>
    <row r="723" spans="1:10" hidden="1" x14ac:dyDescent="0.25">
      <c r="A723" t="s">
        <v>512</v>
      </c>
      <c r="B723" t="s">
        <v>879</v>
      </c>
      <c r="C723" t="s">
        <v>771</v>
      </c>
      <c r="D723" s="60">
        <f>21503+1</f>
        <v>21504</v>
      </c>
      <c r="E723" s="60">
        <v>1</v>
      </c>
      <c r="F723" s="60">
        <v>0</v>
      </c>
      <c r="G723" s="60">
        <v>0</v>
      </c>
      <c r="H723" s="60">
        <v>0</v>
      </c>
      <c r="I723" s="60">
        <v>0</v>
      </c>
      <c r="J723" s="60">
        <v>0</v>
      </c>
    </row>
    <row r="724" spans="1:10" hidden="1" x14ac:dyDescent="0.25">
      <c r="A724" t="s">
        <v>10</v>
      </c>
      <c r="B724" t="s">
        <v>879</v>
      </c>
      <c r="C724" t="s">
        <v>772</v>
      </c>
      <c r="D724" s="60"/>
      <c r="E724" s="60"/>
      <c r="F724" s="60"/>
      <c r="G724" s="60"/>
      <c r="H724" s="60"/>
      <c r="I724" s="60"/>
      <c r="J724" s="60"/>
    </row>
    <row r="725" spans="1:10" hidden="1" x14ac:dyDescent="0.25">
      <c r="A725" t="s">
        <v>794</v>
      </c>
      <c r="B725" t="s">
        <v>879</v>
      </c>
      <c r="C725" t="s">
        <v>773</v>
      </c>
      <c r="D725" s="60">
        <f>41515+1+241+2+100+1+1+18+7</f>
        <v>41886</v>
      </c>
      <c r="E725" s="60">
        <f>112+7+2+10</f>
        <v>131</v>
      </c>
      <c r="F725" s="60">
        <v>0</v>
      </c>
      <c r="G725" s="60">
        <v>0</v>
      </c>
      <c r="H725" s="60">
        <v>0</v>
      </c>
      <c r="I725" s="60">
        <v>0</v>
      </c>
      <c r="J725" s="60">
        <v>0</v>
      </c>
    </row>
    <row r="726" spans="1:10" hidden="1" x14ac:dyDescent="0.25">
      <c r="A726" t="s">
        <v>826</v>
      </c>
      <c r="B726" t="s">
        <v>879</v>
      </c>
      <c r="C726" t="s">
        <v>774</v>
      </c>
      <c r="D726" s="60">
        <f>4516+5+3</f>
        <v>4524</v>
      </c>
      <c r="E726" s="60">
        <v>755</v>
      </c>
      <c r="F726" s="60">
        <v>0</v>
      </c>
      <c r="G726" s="60">
        <v>0</v>
      </c>
      <c r="H726" s="60">
        <v>0</v>
      </c>
      <c r="I726" s="60">
        <v>0</v>
      </c>
      <c r="J726" s="60">
        <v>0</v>
      </c>
    </row>
    <row r="727" spans="1:10" hidden="1" x14ac:dyDescent="0.25">
      <c r="A727" t="s">
        <v>806</v>
      </c>
      <c r="B727" t="s">
        <v>877</v>
      </c>
      <c r="C727" t="s">
        <v>775</v>
      </c>
      <c r="D727" s="60">
        <f>1171+36+2+5+3</f>
        <v>1217</v>
      </c>
      <c r="E727" s="60">
        <v>1</v>
      </c>
      <c r="F727" s="60">
        <v>0</v>
      </c>
      <c r="G727" s="60">
        <f>8414+12+216+9+120+99+84+15+12</f>
        <v>8981</v>
      </c>
      <c r="H727" s="60">
        <v>33</v>
      </c>
      <c r="I727" s="60">
        <v>0</v>
      </c>
      <c r="J727" s="60">
        <v>0</v>
      </c>
    </row>
    <row r="728" spans="1:10" hidden="1" x14ac:dyDescent="0.25">
      <c r="A728" t="s">
        <v>823</v>
      </c>
      <c r="B728" t="s">
        <v>877</v>
      </c>
      <c r="C728" t="s">
        <v>776</v>
      </c>
      <c r="D728" s="60">
        <v>953</v>
      </c>
      <c r="E728" s="60">
        <v>0</v>
      </c>
      <c r="F728" s="60">
        <v>0</v>
      </c>
      <c r="G728" s="60">
        <f>1634+54</f>
        <v>1688</v>
      </c>
      <c r="H728" s="60">
        <v>44</v>
      </c>
      <c r="I728" s="60">
        <v>0</v>
      </c>
      <c r="J728" s="60">
        <v>0</v>
      </c>
    </row>
    <row r="729" spans="1:10" hidden="1" x14ac:dyDescent="0.25">
      <c r="A729" t="s">
        <v>859</v>
      </c>
      <c r="B729" t="s">
        <v>877</v>
      </c>
      <c r="C729" t="s">
        <v>777</v>
      </c>
      <c r="D729" s="61">
        <f>1723+230</f>
        <v>1953</v>
      </c>
      <c r="E729" s="61">
        <v>0</v>
      </c>
      <c r="F729" s="61">
        <v>0</v>
      </c>
      <c r="G729" s="61">
        <f>5014+178</f>
        <v>5192</v>
      </c>
      <c r="H729" s="61">
        <v>0</v>
      </c>
      <c r="I729" s="61">
        <v>0</v>
      </c>
      <c r="J729" s="61">
        <v>0</v>
      </c>
    </row>
  </sheetData>
  <sheetProtection formatCells="0" formatColumns="0" sort="0" autoFilter="0" pivotTables="0"/>
  <phoneticPr fontId="2" type="noConversion"/>
  <conditionalFormatting sqref="C721:C729">
    <cfRule type="expression" dxfId="14" priority="1">
      <formula>C721&lt;&gt;O721</formula>
    </cfRule>
  </conditionalFormatting>
  <conditionalFormatting sqref="D721:J729">
    <cfRule type="expression" dxfId="13" priority="3">
      <formula>D721&lt;&gt;O721</formula>
    </cfRule>
  </conditionalFormatting>
  <pageMargins left="0.7" right="0.7" top="0.75" bottom="0.75" header="0.3" footer="0.3"/>
  <pageSetup paperSize="9" orientation="portrait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C2D0E0CB-6D10-4074-9EE2-B005EC658096}">
            <xm:f>A721&lt;&gt;'202212 DICIEMBRE'!#REF!</xm:f>
            <x14:dxf>
              <fill>
                <patternFill>
                  <bgColor theme="7" tint="0.39994506668294322"/>
                </patternFill>
              </fill>
            </x14:dxf>
          </x14:cfRule>
          <xm:sqref>A721:C729</xm:sqref>
        </x14:conditionalFormatting>
        <x14:conditionalFormatting xmlns:xm="http://schemas.microsoft.com/office/excel/2006/main">
          <x14:cfRule type="expression" priority="4" id="{C8D2E63F-7C0B-41D4-AD11-366D73E73EE8}">
            <xm:f>D721&lt;&gt;'202212 DICIEMBRE'!#REF!</xm:f>
            <x14:dxf>
              <fill>
                <patternFill>
                  <bgColor theme="7" tint="0.39994506668294322"/>
                </patternFill>
              </fill>
            </x14:dxf>
          </x14:cfRule>
          <xm:sqref>D721:J729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62F06-C066-4492-A4AE-47B1A90ADE86}">
  <sheetPr>
    <tabColor rgb="FF92D050"/>
  </sheetPr>
  <dimension ref="A1:V729"/>
  <sheetViews>
    <sheetView zoomScale="90" zoomScaleNormal="90" workbookViewId="0">
      <pane ySplit="1" topLeftCell="A521" activePane="bottomLeft" state="frozen"/>
      <selection pane="bottomLeft" activeCell="C554" sqref="C554"/>
    </sheetView>
  </sheetViews>
  <sheetFormatPr baseColWidth="10" defaultColWidth="11.5703125" defaultRowHeight="15" x14ac:dyDescent="0.25"/>
  <cols>
    <col min="1" max="1" width="12" style="27" bestFit="1" customWidth="1"/>
    <col min="2" max="2" width="9.140625" style="27" bestFit="1" customWidth="1"/>
    <col min="3" max="3" width="14" style="27" bestFit="1" customWidth="1"/>
    <col min="4" max="4" width="12.42578125" style="27" bestFit="1" customWidth="1"/>
    <col min="5" max="5" width="12.5703125" style="27" bestFit="1" customWidth="1"/>
    <col min="6" max="6" width="9" style="27" bestFit="1" customWidth="1"/>
    <col min="7" max="7" width="15.85546875" style="27" bestFit="1" customWidth="1"/>
    <col min="8" max="8" width="16" style="27" bestFit="1" customWidth="1"/>
    <col min="9" max="10" width="10.140625" style="27" bestFit="1" customWidth="1"/>
    <col min="11" max="11" width="21.42578125" style="27" bestFit="1" customWidth="1"/>
    <col min="12" max="14" width="11.5703125" style="27"/>
    <col min="15" max="15" width="14.42578125" style="27" bestFit="1" customWidth="1"/>
    <col min="16" max="16" width="12.28515625" style="27" bestFit="1" customWidth="1"/>
    <col min="17" max="17" width="12.5703125" style="27" bestFit="1" customWidth="1"/>
    <col min="18" max="18" width="9.140625" style="27" bestFit="1" customWidth="1"/>
    <col min="19" max="20" width="13.85546875" style="27" bestFit="1" customWidth="1"/>
    <col min="21" max="21" width="10" style="27" bestFit="1" customWidth="1"/>
    <col min="22" max="22" width="10.140625" style="27" bestFit="1" customWidth="1"/>
    <col min="23" max="16384" width="11.5703125" style="27"/>
  </cols>
  <sheetData>
    <row r="1" spans="1:22" ht="15" customHeight="1" x14ac:dyDescent="0.3">
      <c r="A1" s="27" t="s">
        <v>0</v>
      </c>
      <c r="B1" s="27" t="s">
        <v>869</v>
      </c>
      <c r="C1" s="27" t="s">
        <v>1</v>
      </c>
      <c r="D1" s="27" t="s">
        <v>2</v>
      </c>
      <c r="E1" s="27" t="s">
        <v>3</v>
      </c>
      <c r="F1" s="27" t="s">
        <v>4</v>
      </c>
      <c r="G1" s="27" t="s">
        <v>5</v>
      </c>
      <c r="H1" s="27" t="s">
        <v>6</v>
      </c>
      <c r="I1" s="27" t="s">
        <v>7</v>
      </c>
      <c r="J1" s="27" t="s">
        <v>8</v>
      </c>
      <c r="K1" s="27" t="s">
        <v>9</v>
      </c>
      <c r="M1" s="33" t="s">
        <v>0</v>
      </c>
      <c r="N1" s="33" t="s">
        <v>869</v>
      </c>
      <c r="O1" s="33" t="s">
        <v>1</v>
      </c>
      <c r="P1" s="34" t="s">
        <v>2</v>
      </c>
      <c r="Q1" s="35" t="s">
        <v>3</v>
      </c>
      <c r="R1" s="35" t="s">
        <v>4</v>
      </c>
      <c r="S1" s="35" t="s">
        <v>5</v>
      </c>
      <c r="T1" s="35" t="s">
        <v>6</v>
      </c>
      <c r="U1" s="35" t="s">
        <v>7</v>
      </c>
      <c r="V1" s="36" t="s">
        <v>8</v>
      </c>
    </row>
    <row r="2" spans="1:22" x14ac:dyDescent="0.25">
      <c r="A2" s="27" t="s">
        <v>76</v>
      </c>
      <c r="B2" s="27" t="s">
        <v>870</v>
      </c>
      <c r="C2" s="27" t="s">
        <v>11</v>
      </c>
      <c r="D2" s="32">
        <v>0</v>
      </c>
      <c r="E2" s="32">
        <v>0</v>
      </c>
      <c r="F2" s="32">
        <v>0</v>
      </c>
      <c r="G2" s="32">
        <v>0</v>
      </c>
      <c r="H2" s="32">
        <v>0</v>
      </c>
      <c r="I2" s="32">
        <v>52201</v>
      </c>
      <c r="J2" s="32">
        <v>0</v>
      </c>
      <c r="K2" s="32"/>
      <c r="M2" s="37" t="s">
        <v>76</v>
      </c>
      <c r="N2" s="38" t="s">
        <v>870</v>
      </c>
      <c r="O2" s="38" t="s">
        <v>11</v>
      </c>
      <c r="P2" s="39">
        <v>0</v>
      </c>
      <c r="Q2" s="40">
        <v>0</v>
      </c>
      <c r="R2" s="40">
        <v>0</v>
      </c>
      <c r="S2" s="40">
        <v>0</v>
      </c>
      <c r="T2" s="40">
        <v>0</v>
      </c>
      <c r="U2" s="40">
        <v>52201</v>
      </c>
      <c r="V2" s="41">
        <v>0</v>
      </c>
    </row>
    <row r="3" spans="1:22" x14ac:dyDescent="0.25">
      <c r="A3" s="27" t="s">
        <v>69</v>
      </c>
      <c r="B3" s="27" t="s">
        <v>870</v>
      </c>
      <c r="C3" s="27" t="s">
        <v>12</v>
      </c>
      <c r="D3" s="32">
        <v>0</v>
      </c>
      <c r="E3" s="32">
        <v>0</v>
      </c>
      <c r="F3" s="32">
        <v>0</v>
      </c>
      <c r="G3" s="32">
        <v>0</v>
      </c>
      <c r="H3" s="32">
        <v>0</v>
      </c>
      <c r="I3" s="32">
        <v>112998</v>
      </c>
      <c r="J3" s="32">
        <v>0</v>
      </c>
      <c r="K3" s="32"/>
      <c r="M3" s="42" t="s">
        <v>69</v>
      </c>
      <c r="N3" s="43" t="s">
        <v>870</v>
      </c>
      <c r="O3" s="43" t="s">
        <v>12</v>
      </c>
      <c r="P3" s="44">
        <v>0</v>
      </c>
      <c r="Q3" s="45">
        <v>0</v>
      </c>
      <c r="R3" s="45">
        <v>0</v>
      </c>
      <c r="S3" s="45">
        <v>0</v>
      </c>
      <c r="T3" s="45">
        <v>0</v>
      </c>
      <c r="U3" s="45">
        <v>112998</v>
      </c>
      <c r="V3" s="46">
        <v>0</v>
      </c>
    </row>
    <row r="4" spans="1:22" x14ac:dyDescent="0.25">
      <c r="A4" s="27" t="s">
        <v>76</v>
      </c>
      <c r="B4" s="27" t="s">
        <v>870</v>
      </c>
      <c r="C4" s="27" t="s">
        <v>13</v>
      </c>
      <c r="D4" s="32">
        <v>0</v>
      </c>
      <c r="E4" s="32">
        <v>0</v>
      </c>
      <c r="F4" s="32">
        <v>0</v>
      </c>
      <c r="G4" s="32">
        <v>0</v>
      </c>
      <c r="H4" s="32">
        <v>0</v>
      </c>
      <c r="I4" s="32">
        <v>17086</v>
      </c>
      <c r="J4" s="32">
        <v>0</v>
      </c>
      <c r="K4" s="32"/>
      <c r="M4" s="42" t="s">
        <v>76</v>
      </c>
      <c r="N4" s="43" t="s">
        <v>870</v>
      </c>
      <c r="O4" s="43" t="s">
        <v>13</v>
      </c>
      <c r="P4" s="44">
        <v>0</v>
      </c>
      <c r="Q4" s="45">
        <v>0</v>
      </c>
      <c r="R4" s="45">
        <v>0</v>
      </c>
      <c r="S4" s="45">
        <v>0</v>
      </c>
      <c r="T4" s="45">
        <v>0</v>
      </c>
      <c r="U4" s="45">
        <v>17086</v>
      </c>
      <c r="V4" s="46">
        <v>0</v>
      </c>
    </row>
    <row r="5" spans="1:22" x14ac:dyDescent="0.25">
      <c r="A5" s="27" t="s">
        <v>801</v>
      </c>
      <c r="B5" s="27" t="s">
        <v>870</v>
      </c>
      <c r="C5" s="27" t="s">
        <v>14</v>
      </c>
      <c r="D5" s="32"/>
      <c r="E5" s="32"/>
      <c r="F5" s="32"/>
      <c r="G5" s="32"/>
      <c r="H5" s="32"/>
      <c r="I5" s="32"/>
      <c r="J5" s="32"/>
      <c r="K5" s="32"/>
      <c r="M5" s="42" t="s">
        <v>801</v>
      </c>
      <c r="N5" s="43" t="s">
        <v>870</v>
      </c>
      <c r="O5" s="43" t="s">
        <v>14</v>
      </c>
      <c r="P5" s="44"/>
      <c r="Q5" s="45"/>
      <c r="R5" s="45"/>
      <c r="S5" s="45"/>
      <c r="T5" s="45"/>
      <c r="U5" s="45"/>
      <c r="V5" s="46"/>
    </row>
    <row r="6" spans="1:22" x14ac:dyDescent="0.25">
      <c r="A6" s="27" t="s">
        <v>826</v>
      </c>
      <c r="B6" s="27" t="s">
        <v>870</v>
      </c>
      <c r="C6" s="27" t="s">
        <v>15</v>
      </c>
      <c r="D6" s="32"/>
      <c r="E6" s="32"/>
      <c r="F6" s="32"/>
      <c r="G6" s="32"/>
      <c r="H6" s="32"/>
      <c r="I6" s="32"/>
      <c r="J6" s="32"/>
      <c r="K6" s="32"/>
      <c r="M6" s="42" t="s">
        <v>826</v>
      </c>
      <c r="N6" s="43" t="s">
        <v>870</v>
      </c>
      <c r="O6" s="43" t="s">
        <v>15</v>
      </c>
      <c r="P6" s="44"/>
      <c r="Q6" s="45"/>
      <c r="R6" s="45"/>
      <c r="S6" s="45"/>
      <c r="T6" s="45"/>
      <c r="U6" s="45"/>
      <c r="V6" s="46"/>
    </row>
    <row r="7" spans="1:22" x14ac:dyDescent="0.25">
      <c r="A7" s="27" t="s">
        <v>811</v>
      </c>
      <c r="B7" s="27" t="s">
        <v>870</v>
      </c>
      <c r="C7" s="27" t="s">
        <v>16</v>
      </c>
      <c r="D7" s="32">
        <v>0</v>
      </c>
      <c r="E7" s="32">
        <v>0</v>
      </c>
      <c r="F7" s="32">
        <v>0</v>
      </c>
      <c r="G7" s="32">
        <v>0</v>
      </c>
      <c r="H7" s="32">
        <v>0</v>
      </c>
      <c r="I7" s="32">
        <v>8233</v>
      </c>
      <c r="J7" s="32">
        <v>0</v>
      </c>
      <c r="K7" s="32"/>
      <c r="M7" s="42" t="s">
        <v>811</v>
      </c>
      <c r="N7" s="43" t="s">
        <v>870</v>
      </c>
      <c r="O7" s="43" t="s">
        <v>16</v>
      </c>
      <c r="P7" s="44">
        <v>0</v>
      </c>
      <c r="Q7" s="45">
        <v>0</v>
      </c>
      <c r="R7" s="45">
        <v>0</v>
      </c>
      <c r="S7" s="45">
        <v>0</v>
      </c>
      <c r="T7" s="45">
        <v>0</v>
      </c>
      <c r="U7" s="45">
        <v>8233</v>
      </c>
      <c r="V7" s="46">
        <v>0</v>
      </c>
    </row>
    <row r="8" spans="1:22" x14ac:dyDescent="0.25">
      <c r="A8" s="27" t="s">
        <v>83</v>
      </c>
      <c r="B8" s="27" t="s">
        <v>870</v>
      </c>
      <c r="C8" s="27" t="s">
        <v>17</v>
      </c>
      <c r="D8" s="32">
        <v>0</v>
      </c>
      <c r="E8" s="32">
        <v>0</v>
      </c>
      <c r="F8" s="32">
        <v>0</v>
      </c>
      <c r="G8" s="32">
        <v>0</v>
      </c>
      <c r="H8" s="32">
        <v>0</v>
      </c>
      <c r="I8" s="32">
        <v>977</v>
      </c>
      <c r="J8" s="32">
        <v>0</v>
      </c>
      <c r="K8" s="32"/>
      <c r="M8" s="42" t="s">
        <v>83</v>
      </c>
      <c r="N8" s="43" t="s">
        <v>870</v>
      </c>
      <c r="O8" s="43" t="s">
        <v>17</v>
      </c>
      <c r="P8" s="44">
        <v>0</v>
      </c>
      <c r="Q8" s="45">
        <v>0</v>
      </c>
      <c r="R8" s="45">
        <v>0</v>
      </c>
      <c r="S8" s="45">
        <v>0</v>
      </c>
      <c r="T8" s="45">
        <v>0</v>
      </c>
      <c r="U8" s="45">
        <v>977</v>
      </c>
      <c r="V8" s="46">
        <v>0</v>
      </c>
    </row>
    <row r="9" spans="1:22" x14ac:dyDescent="0.25">
      <c r="A9" s="27" t="s">
        <v>803</v>
      </c>
      <c r="B9" s="27" t="s">
        <v>870</v>
      </c>
      <c r="C9" s="27" t="s">
        <v>18</v>
      </c>
      <c r="D9" s="32"/>
      <c r="E9" s="32"/>
      <c r="F9" s="32"/>
      <c r="G9" s="32"/>
      <c r="H9" s="32"/>
      <c r="I9" s="32"/>
      <c r="J9" s="32"/>
      <c r="K9" s="32"/>
      <c r="M9" s="42" t="s">
        <v>803</v>
      </c>
      <c r="N9" s="43" t="s">
        <v>870</v>
      </c>
      <c r="O9" s="43" t="s">
        <v>18</v>
      </c>
      <c r="P9" s="44"/>
      <c r="Q9" s="44"/>
      <c r="R9" s="44"/>
      <c r="S9" s="44"/>
      <c r="T9" s="44"/>
      <c r="U9" s="44"/>
      <c r="V9" s="44"/>
    </row>
    <row r="10" spans="1:22" x14ac:dyDescent="0.25">
      <c r="A10" s="27" t="s">
        <v>76</v>
      </c>
      <c r="B10" s="27" t="s">
        <v>870</v>
      </c>
      <c r="C10" s="27" t="s">
        <v>19</v>
      </c>
      <c r="D10" s="32">
        <v>0</v>
      </c>
      <c r="E10" s="32">
        <v>0</v>
      </c>
      <c r="F10" s="32">
        <v>0</v>
      </c>
      <c r="G10" s="32">
        <v>0</v>
      </c>
      <c r="H10" s="32">
        <v>0</v>
      </c>
      <c r="I10" s="32">
        <v>34975</v>
      </c>
      <c r="J10" s="32">
        <v>0</v>
      </c>
      <c r="K10" s="32" t="s">
        <v>882</v>
      </c>
      <c r="M10" s="42" t="s">
        <v>76</v>
      </c>
      <c r="N10" s="43" t="s">
        <v>870</v>
      </c>
      <c r="O10" s="43" t="s">
        <v>19</v>
      </c>
      <c r="P10" s="44">
        <v>0</v>
      </c>
      <c r="Q10" s="45">
        <v>0</v>
      </c>
      <c r="R10" s="45">
        <v>0</v>
      </c>
      <c r="S10" s="45">
        <v>0</v>
      </c>
      <c r="T10" s="45">
        <v>0</v>
      </c>
      <c r="U10" s="45">
        <v>34975</v>
      </c>
      <c r="V10" s="46">
        <v>0</v>
      </c>
    </row>
    <row r="11" spans="1:22" x14ac:dyDescent="0.25">
      <c r="A11" s="27" t="s">
        <v>83</v>
      </c>
      <c r="B11" s="27" t="s">
        <v>870</v>
      </c>
      <c r="C11" s="27" t="s">
        <v>20</v>
      </c>
      <c r="D11" s="32">
        <v>0</v>
      </c>
      <c r="E11" s="32">
        <v>0</v>
      </c>
      <c r="F11" s="32">
        <v>0</v>
      </c>
      <c r="G11" s="32">
        <v>0</v>
      </c>
      <c r="H11" s="32">
        <v>0</v>
      </c>
      <c r="I11" s="32">
        <v>996</v>
      </c>
      <c r="J11" s="32">
        <v>0</v>
      </c>
      <c r="K11" s="32"/>
      <c r="M11" s="42" t="s">
        <v>83</v>
      </c>
      <c r="N11" s="43" t="s">
        <v>870</v>
      </c>
      <c r="O11" s="43" t="s">
        <v>20</v>
      </c>
      <c r="P11" s="44">
        <v>0</v>
      </c>
      <c r="Q11" s="45">
        <v>0</v>
      </c>
      <c r="R11" s="45">
        <v>0</v>
      </c>
      <c r="S11" s="45">
        <v>0</v>
      </c>
      <c r="T11" s="45">
        <v>0</v>
      </c>
      <c r="U11" s="45">
        <v>996</v>
      </c>
      <c r="V11" s="46">
        <v>0</v>
      </c>
    </row>
    <row r="12" spans="1:22" x14ac:dyDescent="0.25">
      <c r="A12" s="27" t="s">
        <v>10</v>
      </c>
      <c r="B12" s="27" t="s">
        <v>870</v>
      </c>
      <c r="C12" s="27" t="s">
        <v>21</v>
      </c>
      <c r="D12" s="32"/>
      <c r="E12" s="32"/>
      <c r="F12" s="32"/>
      <c r="G12" s="32"/>
      <c r="H12" s="32"/>
      <c r="I12" s="32"/>
      <c r="J12" s="32"/>
      <c r="K12" s="32"/>
      <c r="M12" s="42" t="s">
        <v>10</v>
      </c>
      <c r="N12" s="43" t="s">
        <v>870</v>
      </c>
      <c r="O12" s="43" t="s">
        <v>21</v>
      </c>
      <c r="P12" s="44"/>
      <c r="Q12" s="45"/>
      <c r="R12" s="45"/>
      <c r="S12" s="45"/>
      <c r="T12" s="45"/>
      <c r="U12" s="45"/>
      <c r="V12" s="46"/>
    </row>
    <row r="13" spans="1:22" x14ac:dyDescent="0.25">
      <c r="A13" s="27" t="s">
        <v>83</v>
      </c>
      <c r="B13" s="27" t="s">
        <v>870</v>
      </c>
      <c r="C13" s="27" t="s">
        <v>22</v>
      </c>
      <c r="D13" s="32">
        <v>0</v>
      </c>
      <c r="E13" s="32">
        <v>0</v>
      </c>
      <c r="F13" s="32">
        <v>0</v>
      </c>
      <c r="G13" s="32">
        <v>0</v>
      </c>
      <c r="H13" s="32">
        <v>0</v>
      </c>
      <c r="I13" s="32">
        <v>2927</v>
      </c>
      <c r="J13" s="32">
        <v>0</v>
      </c>
      <c r="K13" s="32"/>
      <c r="M13" s="42" t="s">
        <v>83</v>
      </c>
      <c r="N13" s="43" t="s">
        <v>870</v>
      </c>
      <c r="O13" s="43" t="s">
        <v>22</v>
      </c>
      <c r="P13" s="44">
        <v>0</v>
      </c>
      <c r="Q13" s="45">
        <v>0</v>
      </c>
      <c r="R13" s="45">
        <v>0</v>
      </c>
      <c r="S13" s="45">
        <v>0</v>
      </c>
      <c r="T13" s="45">
        <v>0</v>
      </c>
      <c r="U13" s="45">
        <v>2927</v>
      </c>
      <c r="V13" s="46">
        <v>0</v>
      </c>
    </row>
    <row r="14" spans="1:22" x14ac:dyDescent="0.25">
      <c r="A14" s="27" t="s">
        <v>801</v>
      </c>
      <c r="B14" s="27" t="s">
        <v>870</v>
      </c>
      <c r="C14" s="27" t="s">
        <v>23</v>
      </c>
      <c r="D14" s="32"/>
      <c r="E14" s="32"/>
      <c r="F14" s="32"/>
      <c r="G14" s="32"/>
      <c r="H14" s="32"/>
      <c r="I14" s="32"/>
      <c r="J14" s="32"/>
      <c r="K14" s="32"/>
      <c r="M14" s="42" t="s">
        <v>801</v>
      </c>
      <c r="N14" s="43" t="s">
        <v>870</v>
      </c>
      <c r="O14" s="43" t="s">
        <v>23</v>
      </c>
      <c r="P14" s="44"/>
      <c r="Q14" s="45"/>
      <c r="R14" s="45"/>
      <c r="S14" s="45"/>
      <c r="T14" s="45"/>
      <c r="U14" s="45"/>
      <c r="V14" s="46"/>
    </row>
    <row r="15" spans="1:22" x14ac:dyDescent="0.25">
      <c r="A15" s="27" t="s">
        <v>69</v>
      </c>
      <c r="B15" s="27" t="s">
        <v>870</v>
      </c>
      <c r="C15" s="27" t="s">
        <v>24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43636</v>
      </c>
      <c r="J15" s="32">
        <v>0</v>
      </c>
      <c r="K15" s="32"/>
      <c r="M15" s="42" t="s">
        <v>69</v>
      </c>
      <c r="N15" s="43" t="s">
        <v>870</v>
      </c>
      <c r="O15" s="43" t="s">
        <v>24</v>
      </c>
      <c r="P15" s="44">
        <v>0</v>
      </c>
      <c r="Q15" s="45">
        <v>0</v>
      </c>
      <c r="R15" s="45">
        <v>0</v>
      </c>
      <c r="S15" s="45">
        <v>0</v>
      </c>
      <c r="T15" s="45">
        <v>0</v>
      </c>
      <c r="U15" s="45">
        <v>43636</v>
      </c>
      <c r="V15" s="46">
        <v>0</v>
      </c>
    </row>
    <row r="16" spans="1:22" x14ac:dyDescent="0.25">
      <c r="A16" s="27" t="s">
        <v>804</v>
      </c>
      <c r="B16" s="27" t="s">
        <v>870</v>
      </c>
      <c r="C16" s="27" t="s">
        <v>25</v>
      </c>
      <c r="D16" s="32">
        <v>0</v>
      </c>
      <c r="E16" s="32">
        <v>0</v>
      </c>
      <c r="F16" s="32">
        <v>0</v>
      </c>
      <c r="G16" s="32">
        <v>0</v>
      </c>
      <c r="H16" s="32">
        <v>0</v>
      </c>
      <c r="I16" s="32">
        <v>3335</v>
      </c>
      <c r="J16" s="32">
        <v>0</v>
      </c>
      <c r="K16" s="32"/>
      <c r="M16" s="42" t="s">
        <v>804</v>
      </c>
      <c r="N16" s="43" t="s">
        <v>870</v>
      </c>
      <c r="O16" s="43" t="s">
        <v>25</v>
      </c>
      <c r="P16" s="44">
        <v>0</v>
      </c>
      <c r="Q16" s="45">
        <v>0</v>
      </c>
      <c r="R16" s="45">
        <v>0</v>
      </c>
      <c r="S16" s="45">
        <v>0</v>
      </c>
      <c r="T16" s="45">
        <v>0</v>
      </c>
      <c r="U16" s="45">
        <v>3335</v>
      </c>
      <c r="V16" s="46">
        <v>0</v>
      </c>
    </row>
    <row r="17" spans="1:22" x14ac:dyDescent="0.25">
      <c r="A17" s="27" t="s">
        <v>788</v>
      </c>
      <c r="B17" s="27" t="s">
        <v>871</v>
      </c>
      <c r="C17" s="27" t="s">
        <v>26</v>
      </c>
      <c r="D17" s="32">
        <v>0</v>
      </c>
      <c r="E17" s="32">
        <v>0</v>
      </c>
      <c r="F17" s="32">
        <v>0</v>
      </c>
      <c r="G17" s="32">
        <v>0</v>
      </c>
      <c r="H17" s="32">
        <v>0</v>
      </c>
      <c r="I17" s="32">
        <v>80042</v>
      </c>
      <c r="J17" s="32">
        <v>0</v>
      </c>
      <c r="K17" s="32"/>
      <c r="M17" s="42" t="s">
        <v>788</v>
      </c>
      <c r="N17" s="43" t="s">
        <v>871</v>
      </c>
      <c r="O17" s="43" t="s">
        <v>26</v>
      </c>
      <c r="P17" s="44">
        <v>0</v>
      </c>
      <c r="Q17" s="45">
        <v>0</v>
      </c>
      <c r="R17" s="45">
        <v>0</v>
      </c>
      <c r="S17" s="45">
        <v>0</v>
      </c>
      <c r="T17" s="45">
        <v>0</v>
      </c>
      <c r="U17" s="45">
        <v>80042</v>
      </c>
      <c r="V17" s="46">
        <v>0</v>
      </c>
    </row>
    <row r="18" spans="1:22" x14ac:dyDescent="0.25">
      <c r="A18" s="27" t="s">
        <v>849</v>
      </c>
      <c r="B18" s="27" t="s">
        <v>872</v>
      </c>
      <c r="C18" s="27" t="s">
        <v>27</v>
      </c>
      <c r="D18" s="32"/>
      <c r="E18" s="32"/>
      <c r="F18" s="32"/>
      <c r="G18" s="32"/>
      <c r="H18" s="32"/>
      <c r="I18" s="32"/>
      <c r="J18" s="32"/>
      <c r="K18" s="32"/>
      <c r="M18" s="42" t="s">
        <v>849</v>
      </c>
      <c r="N18" s="43" t="s">
        <v>872</v>
      </c>
      <c r="O18" s="43" t="s">
        <v>27</v>
      </c>
      <c r="P18" s="44"/>
      <c r="Q18" s="45"/>
      <c r="R18" s="45"/>
      <c r="S18" s="45"/>
      <c r="T18" s="45"/>
      <c r="U18" s="45"/>
      <c r="V18" s="46"/>
    </row>
    <row r="19" spans="1:22" x14ac:dyDescent="0.25">
      <c r="A19" s="27" t="s">
        <v>791</v>
      </c>
      <c r="B19" s="27" t="s">
        <v>872</v>
      </c>
      <c r="C19" s="27" t="s">
        <v>28</v>
      </c>
      <c r="D19" s="32">
        <f>111153+1390+6+42+23995+36</f>
        <v>136622</v>
      </c>
      <c r="E19" s="32">
        <f>64+74</f>
        <v>138</v>
      </c>
      <c r="F19" s="32">
        <v>0</v>
      </c>
      <c r="G19" s="32">
        <v>0</v>
      </c>
      <c r="H19" s="32">
        <v>0</v>
      </c>
      <c r="I19" s="32">
        <v>37938</v>
      </c>
      <c r="J19" s="32">
        <v>19996</v>
      </c>
      <c r="K19" s="32"/>
      <c r="M19" s="42" t="s">
        <v>791</v>
      </c>
      <c r="N19" s="43" t="s">
        <v>872</v>
      </c>
      <c r="O19" s="43" t="s">
        <v>28</v>
      </c>
      <c r="P19" s="44">
        <v>136622</v>
      </c>
      <c r="Q19" s="45">
        <v>138</v>
      </c>
      <c r="R19" s="45">
        <v>0</v>
      </c>
      <c r="S19" s="45">
        <v>0</v>
      </c>
      <c r="T19" s="45">
        <v>0</v>
      </c>
      <c r="U19" s="45">
        <v>37938</v>
      </c>
      <c r="V19" s="46">
        <v>19996</v>
      </c>
    </row>
    <row r="20" spans="1:22" x14ac:dyDescent="0.25">
      <c r="A20" s="27" t="s">
        <v>806</v>
      </c>
      <c r="B20" s="27" t="s">
        <v>872</v>
      </c>
      <c r="C20" s="27" t="s">
        <v>29</v>
      </c>
      <c r="D20" s="32">
        <f>3769+109+1+1066</f>
        <v>4945</v>
      </c>
      <c r="E20" s="32">
        <v>0</v>
      </c>
      <c r="F20" s="32">
        <v>0</v>
      </c>
      <c r="G20" s="32">
        <v>0</v>
      </c>
      <c r="H20" s="32">
        <v>0</v>
      </c>
      <c r="I20" s="32">
        <v>3558</v>
      </c>
      <c r="J20" s="32">
        <v>750</v>
      </c>
      <c r="K20" s="32"/>
      <c r="M20" s="42" t="s">
        <v>806</v>
      </c>
      <c r="N20" s="43" t="s">
        <v>872</v>
      </c>
      <c r="O20" s="43" t="s">
        <v>29</v>
      </c>
      <c r="P20" s="44">
        <v>4945</v>
      </c>
      <c r="Q20" s="45">
        <v>0</v>
      </c>
      <c r="R20" s="45">
        <v>0</v>
      </c>
      <c r="S20" s="45">
        <v>0</v>
      </c>
      <c r="T20" s="45">
        <v>0</v>
      </c>
      <c r="U20" s="45">
        <v>3558</v>
      </c>
      <c r="V20" s="46">
        <v>750</v>
      </c>
    </row>
    <row r="21" spans="1:22" x14ac:dyDescent="0.25">
      <c r="A21" s="27" t="s">
        <v>817</v>
      </c>
      <c r="B21" s="27" t="s">
        <v>872</v>
      </c>
      <c r="C21" s="32" t="s">
        <v>30</v>
      </c>
      <c r="D21" s="32">
        <f>39640+4234+2+10+14548+752</f>
        <v>59186</v>
      </c>
      <c r="E21" s="32">
        <f>285+156+42</f>
        <v>483</v>
      </c>
      <c r="F21" s="32">
        <v>0</v>
      </c>
      <c r="G21" s="32">
        <v>0</v>
      </c>
      <c r="H21" s="32">
        <v>0</v>
      </c>
      <c r="I21" s="32">
        <v>106110</v>
      </c>
      <c r="J21" s="32">
        <v>12539</v>
      </c>
      <c r="K21" s="32"/>
      <c r="M21" s="42" t="s">
        <v>817</v>
      </c>
      <c r="N21" s="43" t="s">
        <v>872</v>
      </c>
      <c r="O21" s="43" t="s">
        <v>30</v>
      </c>
      <c r="P21" s="44">
        <v>59186</v>
      </c>
      <c r="Q21" s="45">
        <v>483</v>
      </c>
      <c r="R21" s="45">
        <v>0</v>
      </c>
      <c r="S21" s="45">
        <v>0</v>
      </c>
      <c r="T21" s="45">
        <v>0</v>
      </c>
      <c r="U21" s="45">
        <v>106110</v>
      </c>
      <c r="V21" s="46">
        <v>12539</v>
      </c>
    </row>
    <row r="22" spans="1:22" x14ac:dyDescent="0.25">
      <c r="A22" s="27" t="s">
        <v>829</v>
      </c>
      <c r="B22" s="27" t="s">
        <v>872</v>
      </c>
      <c r="C22" s="27" t="s">
        <v>32</v>
      </c>
      <c r="D22" s="32"/>
      <c r="E22" s="32"/>
      <c r="F22" s="32"/>
      <c r="G22" s="32"/>
      <c r="H22" s="32"/>
      <c r="I22" s="32"/>
      <c r="J22" s="32"/>
      <c r="K22" s="32"/>
      <c r="M22" s="42" t="s">
        <v>829</v>
      </c>
      <c r="N22" s="43" t="s">
        <v>872</v>
      </c>
      <c r="O22" s="43" t="s">
        <v>32</v>
      </c>
      <c r="P22" s="44"/>
      <c r="Q22" s="45"/>
      <c r="R22" s="45"/>
      <c r="S22" s="45"/>
      <c r="T22" s="45"/>
      <c r="U22" s="45"/>
      <c r="V22" s="46"/>
    </row>
    <row r="23" spans="1:22" x14ac:dyDescent="0.25">
      <c r="A23" s="27" t="s">
        <v>830</v>
      </c>
      <c r="B23" s="27" t="s">
        <v>872</v>
      </c>
      <c r="C23" s="27" t="s">
        <v>34</v>
      </c>
      <c r="D23" s="32"/>
      <c r="E23" s="32"/>
      <c r="F23" s="32"/>
      <c r="G23" s="32"/>
      <c r="H23" s="32"/>
      <c r="I23" s="32"/>
      <c r="J23" s="32"/>
      <c r="K23" s="32"/>
      <c r="M23" s="42" t="s">
        <v>830</v>
      </c>
      <c r="N23" s="43" t="s">
        <v>872</v>
      </c>
      <c r="O23" s="43" t="s">
        <v>34</v>
      </c>
      <c r="P23" s="44"/>
      <c r="Q23" s="45"/>
      <c r="R23" s="45"/>
      <c r="S23" s="45"/>
      <c r="T23" s="45"/>
      <c r="U23" s="45"/>
      <c r="V23" s="46"/>
    </row>
    <row r="24" spans="1:22" x14ac:dyDescent="0.25">
      <c r="A24" s="27" t="s">
        <v>831</v>
      </c>
      <c r="B24" s="27" t="s">
        <v>872</v>
      </c>
      <c r="C24" s="27" t="s">
        <v>35</v>
      </c>
      <c r="D24" s="32"/>
      <c r="E24" s="32"/>
      <c r="F24" s="32"/>
      <c r="G24" s="32"/>
      <c r="H24" s="32"/>
      <c r="I24" s="32"/>
      <c r="J24" s="32"/>
      <c r="K24" s="32"/>
      <c r="M24" s="42" t="s">
        <v>831</v>
      </c>
      <c r="N24" s="43" t="s">
        <v>872</v>
      </c>
      <c r="O24" s="43" t="s">
        <v>35</v>
      </c>
      <c r="P24" s="44"/>
      <c r="Q24" s="45"/>
      <c r="R24" s="45"/>
      <c r="S24" s="45"/>
      <c r="T24" s="45"/>
      <c r="U24" s="45"/>
      <c r="V24" s="46"/>
    </row>
    <row r="25" spans="1:22" x14ac:dyDescent="0.25">
      <c r="A25" s="27" t="s">
        <v>832</v>
      </c>
      <c r="B25" s="27" t="s">
        <v>872</v>
      </c>
      <c r="C25" s="27" t="s">
        <v>37</v>
      </c>
      <c r="D25" s="32"/>
      <c r="E25" s="32"/>
      <c r="F25" s="32"/>
      <c r="G25" s="32"/>
      <c r="H25" s="32"/>
      <c r="I25" s="32"/>
      <c r="J25" s="32"/>
      <c r="K25" s="32"/>
      <c r="M25" s="42" t="s">
        <v>832</v>
      </c>
      <c r="N25" s="43" t="s">
        <v>872</v>
      </c>
      <c r="O25" s="43" t="s">
        <v>37</v>
      </c>
      <c r="P25" s="44"/>
      <c r="Q25" s="45"/>
      <c r="R25" s="45"/>
      <c r="S25" s="45"/>
      <c r="T25" s="45"/>
      <c r="U25" s="45"/>
      <c r="V25" s="46"/>
    </row>
    <row r="26" spans="1:22" x14ac:dyDescent="0.25">
      <c r="A26" s="27" t="s">
        <v>833</v>
      </c>
      <c r="B26" s="27" t="s">
        <v>872</v>
      </c>
      <c r="C26" s="27" t="s">
        <v>39</v>
      </c>
      <c r="D26" s="32"/>
      <c r="E26" s="32"/>
      <c r="F26" s="32"/>
      <c r="G26" s="32"/>
      <c r="H26" s="32"/>
      <c r="I26" s="32"/>
      <c r="J26" s="32"/>
      <c r="K26" s="32"/>
      <c r="M26" s="42" t="s">
        <v>833</v>
      </c>
      <c r="N26" s="43" t="s">
        <v>872</v>
      </c>
      <c r="O26" s="43" t="s">
        <v>39</v>
      </c>
      <c r="P26" s="44"/>
      <c r="Q26" s="45"/>
      <c r="R26" s="45"/>
      <c r="S26" s="45"/>
      <c r="T26" s="45"/>
      <c r="U26" s="45"/>
      <c r="V26" s="46"/>
    </row>
    <row r="27" spans="1:22" x14ac:dyDescent="0.25">
      <c r="A27" s="27" t="s">
        <v>834</v>
      </c>
      <c r="B27" s="27" t="s">
        <v>872</v>
      </c>
      <c r="C27" s="27" t="s">
        <v>41</v>
      </c>
      <c r="D27" s="32"/>
      <c r="E27" s="32"/>
      <c r="F27" s="32"/>
      <c r="G27" s="32"/>
      <c r="H27" s="32"/>
      <c r="I27" s="32"/>
      <c r="J27" s="32"/>
      <c r="K27" s="32"/>
      <c r="M27" s="42" t="s">
        <v>834</v>
      </c>
      <c r="N27" s="43" t="s">
        <v>872</v>
      </c>
      <c r="O27" s="43" t="s">
        <v>41</v>
      </c>
      <c r="P27" s="44"/>
      <c r="Q27" s="45"/>
      <c r="R27" s="45"/>
      <c r="S27" s="45"/>
      <c r="T27" s="45"/>
      <c r="U27" s="45"/>
      <c r="V27" s="46"/>
    </row>
    <row r="28" spans="1:22" x14ac:dyDescent="0.25">
      <c r="A28" s="27" t="s">
        <v>835</v>
      </c>
      <c r="B28" s="27" t="s">
        <v>872</v>
      </c>
      <c r="C28" s="27" t="s">
        <v>42</v>
      </c>
      <c r="D28" s="32"/>
      <c r="E28" s="32"/>
      <c r="F28" s="32"/>
      <c r="G28" s="32"/>
      <c r="H28" s="32"/>
      <c r="I28" s="32"/>
      <c r="J28" s="32"/>
      <c r="K28" s="32"/>
      <c r="M28" s="42" t="s">
        <v>835</v>
      </c>
      <c r="N28" s="43" t="s">
        <v>872</v>
      </c>
      <c r="O28" s="43" t="s">
        <v>42</v>
      </c>
      <c r="P28" s="44"/>
      <c r="Q28" s="45"/>
      <c r="R28" s="45"/>
      <c r="S28" s="45"/>
      <c r="T28" s="45"/>
      <c r="U28" s="45"/>
      <c r="V28" s="46"/>
    </row>
    <row r="29" spans="1:22" x14ac:dyDescent="0.25">
      <c r="A29" s="27" t="s">
        <v>836</v>
      </c>
      <c r="B29" s="27" t="s">
        <v>872</v>
      </c>
      <c r="C29" s="27" t="s">
        <v>44</v>
      </c>
      <c r="D29" s="32"/>
      <c r="E29" s="32"/>
      <c r="F29" s="32"/>
      <c r="G29" s="32"/>
      <c r="H29" s="32"/>
      <c r="I29" s="32"/>
      <c r="J29" s="32"/>
      <c r="K29" s="32"/>
      <c r="M29" s="42" t="s">
        <v>836</v>
      </c>
      <c r="N29" s="43" t="s">
        <v>872</v>
      </c>
      <c r="O29" s="43" t="s">
        <v>44</v>
      </c>
      <c r="P29" s="44"/>
      <c r="Q29" s="45"/>
      <c r="R29" s="45"/>
      <c r="S29" s="45"/>
      <c r="T29" s="45"/>
      <c r="U29" s="45"/>
      <c r="V29" s="46"/>
    </row>
    <row r="30" spans="1:22" x14ac:dyDescent="0.25">
      <c r="A30" s="27" t="s">
        <v>837</v>
      </c>
      <c r="B30" s="27" t="s">
        <v>872</v>
      </c>
      <c r="C30" s="27" t="s">
        <v>46</v>
      </c>
      <c r="D30" s="32"/>
      <c r="E30" s="32"/>
      <c r="F30" s="32"/>
      <c r="G30" s="32"/>
      <c r="H30" s="32"/>
      <c r="I30" s="32"/>
      <c r="J30" s="32"/>
      <c r="K30" s="32"/>
      <c r="M30" s="42" t="s">
        <v>837</v>
      </c>
      <c r="N30" s="43" t="s">
        <v>872</v>
      </c>
      <c r="O30" s="43" t="s">
        <v>46</v>
      </c>
      <c r="P30" s="44"/>
      <c r="Q30" s="45"/>
      <c r="R30" s="45"/>
      <c r="S30" s="45"/>
      <c r="T30" s="45"/>
      <c r="U30" s="45"/>
      <c r="V30" s="46"/>
    </row>
    <row r="31" spans="1:22" x14ac:dyDescent="0.25">
      <c r="A31" s="27" t="s">
        <v>838</v>
      </c>
      <c r="B31" s="27" t="s">
        <v>872</v>
      </c>
      <c r="C31" s="27" t="s">
        <v>48</v>
      </c>
      <c r="D31" s="32"/>
      <c r="E31" s="32"/>
      <c r="F31" s="32"/>
      <c r="G31" s="32"/>
      <c r="H31" s="32"/>
      <c r="I31" s="32"/>
      <c r="J31" s="32"/>
      <c r="K31" s="32"/>
      <c r="M31" s="42" t="s">
        <v>838</v>
      </c>
      <c r="N31" s="43" t="s">
        <v>872</v>
      </c>
      <c r="O31" s="43" t="s">
        <v>48</v>
      </c>
      <c r="P31" s="44"/>
      <c r="Q31" s="45"/>
      <c r="R31" s="45"/>
      <c r="S31" s="45"/>
      <c r="T31" s="45"/>
      <c r="U31" s="45"/>
      <c r="V31" s="46"/>
    </row>
    <row r="32" spans="1:22" x14ac:dyDescent="0.25">
      <c r="A32" s="27" t="s">
        <v>839</v>
      </c>
      <c r="B32" s="27" t="s">
        <v>872</v>
      </c>
      <c r="C32" s="27" t="s">
        <v>49</v>
      </c>
      <c r="D32" s="32">
        <f>16252+18+1+24925</f>
        <v>41196</v>
      </c>
      <c r="E32" s="32">
        <f>13+11+3</f>
        <v>27</v>
      </c>
      <c r="F32" s="32">
        <v>0</v>
      </c>
      <c r="G32" s="32">
        <v>0</v>
      </c>
      <c r="H32" s="32">
        <v>0</v>
      </c>
      <c r="I32" s="32">
        <v>34188</v>
      </c>
      <c r="J32" s="32">
        <v>18195</v>
      </c>
      <c r="K32" s="32"/>
      <c r="M32" s="42" t="s">
        <v>839</v>
      </c>
      <c r="N32" s="43" t="s">
        <v>872</v>
      </c>
      <c r="O32" s="43" t="s">
        <v>49</v>
      </c>
      <c r="P32" s="44">
        <v>41196</v>
      </c>
      <c r="Q32" s="45">
        <v>27</v>
      </c>
      <c r="R32" s="45">
        <v>0</v>
      </c>
      <c r="S32" s="45">
        <v>0</v>
      </c>
      <c r="T32" s="45">
        <v>0</v>
      </c>
      <c r="U32" s="45">
        <v>34188</v>
      </c>
      <c r="V32" s="46">
        <v>18195</v>
      </c>
    </row>
    <row r="33" spans="1:22" x14ac:dyDescent="0.25">
      <c r="A33" s="27" t="s">
        <v>840</v>
      </c>
      <c r="B33" s="27" t="s">
        <v>872</v>
      </c>
      <c r="C33" s="27" t="s">
        <v>51</v>
      </c>
      <c r="D33" s="32"/>
      <c r="E33" s="32"/>
      <c r="F33" s="32"/>
      <c r="G33" s="32"/>
      <c r="H33" s="32"/>
      <c r="I33" s="32"/>
      <c r="J33" s="32"/>
      <c r="K33" s="32"/>
      <c r="M33" s="42" t="s">
        <v>840</v>
      </c>
      <c r="N33" s="43" t="s">
        <v>872</v>
      </c>
      <c r="O33" s="43" t="s">
        <v>51</v>
      </c>
      <c r="P33" s="44"/>
      <c r="Q33" s="45"/>
      <c r="R33" s="45"/>
      <c r="S33" s="45"/>
      <c r="T33" s="45"/>
      <c r="U33" s="45"/>
      <c r="V33" s="46"/>
    </row>
    <row r="34" spans="1:22" x14ac:dyDescent="0.25">
      <c r="A34" s="27" t="s">
        <v>841</v>
      </c>
      <c r="B34" s="27" t="s">
        <v>872</v>
      </c>
      <c r="C34" s="27" t="s">
        <v>53</v>
      </c>
      <c r="D34" s="32"/>
      <c r="E34" s="32"/>
      <c r="F34" s="32"/>
      <c r="G34" s="32"/>
      <c r="H34" s="32"/>
      <c r="I34" s="32"/>
      <c r="J34" s="32"/>
      <c r="K34" s="32"/>
      <c r="M34" s="42" t="s">
        <v>841</v>
      </c>
      <c r="N34" s="43" t="s">
        <v>872</v>
      </c>
      <c r="O34" s="43" t="s">
        <v>53</v>
      </c>
      <c r="P34" s="44"/>
      <c r="Q34" s="45"/>
      <c r="R34" s="45"/>
      <c r="S34" s="45"/>
      <c r="T34" s="45"/>
      <c r="U34" s="45"/>
      <c r="V34" s="46"/>
    </row>
    <row r="35" spans="1:22" x14ac:dyDescent="0.25">
      <c r="A35" s="27" t="s">
        <v>842</v>
      </c>
      <c r="B35" s="27" t="s">
        <v>872</v>
      </c>
      <c r="C35" s="27" t="s">
        <v>55</v>
      </c>
      <c r="D35" s="32"/>
      <c r="E35" s="32"/>
      <c r="F35" s="32"/>
      <c r="G35" s="32"/>
      <c r="H35" s="32"/>
      <c r="I35" s="32"/>
      <c r="J35" s="32"/>
      <c r="K35" s="32"/>
      <c r="M35" s="42" t="s">
        <v>842</v>
      </c>
      <c r="N35" s="43" t="s">
        <v>872</v>
      </c>
      <c r="O35" s="43" t="s">
        <v>55</v>
      </c>
      <c r="P35" s="44"/>
      <c r="Q35" s="45"/>
      <c r="R35" s="45"/>
      <c r="S35" s="45"/>
      <c r="T35" s="45"/>
      <c r="U35" s="45"/>
      <c r="V35" s="46"/>
    </row>
    <row r="36" spans="1:22" x14ac:dyDescent="0.25">
      <c r="A36" s="27" t="s">
        <v>788</v>
      </c>
      <c r="B36" s="27" t="s">
        <v>872</v>
      </c>
      <c r="C36" s="27" t="s">
        <v>56</v>
      </c>
      <c r="D36" s="32">
        <f>56328+1+1+1+2+6+30568</f>
        <v>86907</v>
      </c>
      <c r="E36" s="32">
        <f>104+85+1</f>
        <v>190</v>
      </c>
      <c r="F36" s="32">
        <v>0</v>
      </c>
      <c r="G36" s="32">
        <v>0</v>
      </c>
      <c r="H36" s="32">
        <v>0</v>
      </c>
      <c r="I36" s="32">
        <v>18634</v>
      </c>
      <c r="J36" s="32">
        <v>23377</v>
      </c>
      <c r="K36" s="32"/>
      <c r="M36" s="42" t="s">
        <v>788</v>
      </c>
      <c r="N36" s="43" t="s">
        <v>872</v>
      </c>
      <c r="O36" s="43" t="s">
        <v>56</v>
      </c>
      <c r="P36" s="44">
        <v>86907</v>
      </c>
      <c r="Q36" s="45">
        <v>190</v>
      </c>
      <c r="R36" s="45">
        <v>0</v>
      </c>
      <c r="S36" s="45">
        <v>0</v>
      </c>
      <c r="T36" s="45">
        <v>0</v>
      </c>
      <c r="U36" s="45">
        <v>18634</v>
      </c>
      <c r="V36" s="46">
        <v>23377</v>
      </c>
    </row>
    <row r="37" spans="1:22" x14ac:dyDescent="0.25">
      <c r="A37" s="27" t="s">
        <v>495</v>
      </c>
      <c r="B37" s="27" t="s">
        <v>872</v>
      </c>
      <c r="C37" s="27" t="s">
        <v>57</v>
      </c>
      <c r="D37" s="32">
        <f>36604+2501+3+1+2476</f>
        <v>41585</v>
      </c>
      <c r="E37" s="32">
        <v>33</v>
      </c>
      <c r="F37" s="32">
        <v>0</v>
      </c>
      <c r="G37" s="32">
        <v>0</v>
      </c>
      <c r="H37" s="32">
        <v>0</v>
      </c>
      <c r="I37" s="32">
        <v>6671</v>
      </c>
      <c r="J37" s="32">
        <v>2031</v>
      </c>
      <c r="K37" s="32"/>
      <c r="M37" s="42" t="s">
        <v>495</v>
      </c>
      <c r="N37" s="43" t="s">
        <v>872</v>
      </c>
      <c r="O37" s="43" t="s">
        <v>57</v>
      </c>
      <c r="P37" s="44">
        <v>41585</v>
      </c>
      <c r="Q37" s="45">
        <v>33</v>
      </c>
      <c r="R37" s="45">
        <v>0</v>
      </c>
      <c r="S37" s="45">
        <v>0</v>
      </c>
      <c r="T37" s="45">
        <v>0</v>
      </c>
      <c r="U37" s="45">
        <v>6671</v>
      </c>
      <c r="V37" s="46">
        <v>2031</v>
      </c>
    </row>
    <row r="38" spans="1:22" x14ac:dyDescent="0.25">
      <c r="A38" s="27" t="s">
        <v>248</v>
      </c>
      <c r="B38" s="27" t="s">
        <v>872</v>
      </c>
      <c r="C38" s="27" t="s">
        <v>58</v>
      </c>
      <c r="D38" s="32">
        <f>40003+219+179+96+10774</f>
        <v>51271</v>
      </c>
      <c r="E38" s="32">
        <f>420+96+2+13+6</f>
        <v>537</v>
      </c>
      <c r="F38" s="32">
        <v>0</v>
      </c>
      <c r="G38" s="32">
        <v>0</v>
      </c>
      <c r="H38" s="32">
        <v>0</v>
      </c>
      <c r="I38" s="32">
        <v>46542</v>
      </c>
      <c r="J38" s="32">
        <v>8345</v>
      </c>
      <c r="K38" s="32"/>
      <c r="M38" s="42" t="s">
        <v>248</v>
      </c>
      <c r="N38" s="43" t="s">
        <v>872</v>
      </c>
      <c r="O38" s="43" t="s">
        <v>58</v>
      </c>
      <c r="P38" s="44">
        <v>51271</v>
      </c>
      <c r="Q38" s="45">
        <v>537</v>
      </c>
      <c r="R38" s="45">
        <v>0</v>
      </c>
      <c r="S38" s="45">
        <v>0</v>
      </c>
      <c r="T38" s="45">
        <v>0</v>
      </c>
      <c r="U38" s="45">
        <v>46542</v>
      </c>
      <c r="V38" s="46">
        <v>8345</v>
      </c>
    </row>
    <row r="39" spans="1:22" x14ac:dyDescent="0.25">
      <c r="A39" s="27" t="s">
        <v>843</v>
      </c>
      <c r="B39" s="27" t="s">
        <v>872</v>
      </c>
      <c r="C39" s="27" t="s">
        <v>60</v>
      </c>
      <c r="D39" s="32"/>
      <c r="E39" s="32"/>
      <c r="F39" s="32"/>
      <c r="G39" s="32"/>
      <c r="H39" s="32"/>
      <c r="I39" s="32"/>
      <c r="J39" s="32"/>
      <c r="K39" s="32"/>
      <c r="M39" s="42" t="s">
        <v>843</v>
      </c>
      <c r="N39" s="43" t="s">
        <v>872</v>
      </c>
      <c r="O39" s="43" t="s">
        <v>60</v>
      </c>
      <c r="P39" s="44"/>
      <c r="Q39" s="45"/>
      <c r="R39" s="45"/>
      <c r="S39" s="45"/>
      <c r="T39" s="45"/>
      <c r="U39" s="45"/>
      <c r="V39" s="46"/>
    </row>
    <row r="40" spans="1:22" x14ac:dyDescent="0.25">
      <c r="A40" s="27" t="s">
        <v>844</v>
      </c>
      <c r="B40" s="27" t="s">
        <v>872</v>
      </c>
      <c r="C40" s="27" t="s">
        <v>62</v>
      </c>
      <c r="D40" s="32"/>
      <c r="E40" s="32"/>
      <c r="F40" s="32"/>
      <c r="G40" s="32"/>
      <c r="H40" s="32"/>
      <c r="I40" s="32"/>
      <c r="J40" s="32"/>
      <c r="K40" s="32"/>
      <c r="M40" s="42" t="s">
        <v>844</v>
      </c>
      <c r="N40" s="43" t="s">
        <v>872</v>
      </c>
      <c r="O40" s="43" t="s">
        <v>62</v>
      </c>
      <c r="P40" s="44"/>
      <c r="Q40" s="45"/>
      <c r="R40" s="45"/>
      <c r="S40" s="45"/>
      <c r="T40" s="45"/>
      <c r="U40" s="45"/>
      <c r="V40" s="46"/>
    </row>
    <row r="41" spans="1:22" x14ac:dyDescent="0.25">
      <c r="A41" s="27" t="s">
        <v>845</v>
      </c>
      <c r="B41" s="27" t="s">
        <v>872</v>
      </c>
      <c r="C41" s="27" t="s">
        <v>63</v>
      </c>
      <c r="D41" s="32"/>
      <c r="E41" s="32"/>
      <c r="F41" s="32"/>
      <c r="G41" s="32"/>
      <c r="H41" s="32"/>
      <c r="I41" s="32"/>
      <c r="J41" s="32"/>
      <c r="K41" s="32"/>
      <c r="M41" s="42" t="s">
        <v>845</v>
      </c>
      <c r="N41" s="43" t="s">
        <v>872</v>
      </c>
      <c r="O41" s="43" t="s">
        <v>63</v>
      </c>
      <c r="P41" s="44"/>
      <c r="Q41" s="45"/>
      <c r="R41" s="45"/>
      <c r="S41" s="45"/>
      <c r="T41" s="45"/>
      <c r="U41" s="45"/>
      <c r="V41" s="46"/>
    </row>
    <row r="42" spans="1:22" x14ac:dyDescent="0.25">
      <c r="A42" s="27" t="s">
        <v>846</v>
      </c>
      <c r="B42" s="27" t="s">
        <v>872</v>
      </c>
      <c r="C42" s="27" t="s">
        <v>64</v>
      </c>
      <c r="D42" s="32"/>
      <c r="E42" s="32"/>
      <c r="F42" s="32"/>
      <c r="G42" s="32"/>
      <c r="H42" s="32"/>
      <c r="I42" s="32"/>
      <c r="J42" s="32"/>
      <c r="K42" s="32"/>
      <c r="M42" s="42" t="s">
        <v>846</v>
      </c>
      <c r="N42" s="43" t="s">
        <v>872</v>
      </c>
      <c r="O42" s="43" t="s">
        <v>64</v>
      </c>
      <c r="P42" s="44"/>
      <c r="Q42" s="45"/>
      <c r="R42" s="45"/>
      <c r="S42" s="45"/>
      <c r="T42" s="45"/>
      <c r="U42" s="45"/>
      <c r="V42" s="46"/>
    </row>
    <row r="43" spans="1:22" x14ac:dyDescent="0.25">
      <c r="A43" s="27" t="s">
        <v>788</v>
      </c>
      <c r="B43" s="27" t="s">
        <v>872</v>
      </c>
      <c r="C43" s="27" t="s">
        <v>65</v>
      </c>
      <c r="D43" s="32">
        <f>23045+18+2+2+15441+1</f>
        <v>38509</v>
      </c>
      <c r="E43" s="32">
        <f>128+2+13+15</f>
        <v>158</v>
      </c>
      <c r="F43" s="32">
        <v>0</v>
      </c>
      <c r="G43" s="32">
        <v>0</v>
      </c>
      <c r="H43" s="32">
        <v>0</v>
      </c>
      <c r="I43" s="32">
        <v>37996</v>
      </c>
      <c r="J43" s="32">
        <v>13056</v>
      </c>
      <c r="K43" s="32"/>
      <c r="M43" s="42" t="s">
        <v>788</v>
      </c>
      <c r="N43" s="43" t="s">
        <v>872</v>
      </c>
      <c r="O43" s="43" t="s">
        <v>65</v>
      </c>
      <c r="P43" s="44">
        <v>38509</v>
      </c>
      <c r="Q43" s="45">
        <v>158</v>
      </c>
      <c r="R43" s="45">
        <v>0</v>
      </c>
      <c r="S43" s="45">
        <v>0</v>
      </c>
      <c r="T43" s="45">
        <v>0</v>
      </c>
      <c r="U43" s="45">
        <v>37996</v>
      </c>
      <c r="V43" s="46">
        <v>13056</v>
      </c>
    </row>
    <row r="44" spans="1:22" x14ac:dyDescent="0.25">
      <c r="A44" s="27" t="s">
        <v>76</v>
      </c>
      <c r="B44" s="27" t="s">
        <v>872</v>
      </c>
      <c r="C44" s="27" t="s">
        <v>66</v>
      </c>
      <c r="D44" s="32">
        <f>14956+112+10+141+2+16+9029</f>
        <v>24266</v>
      </c>
      <c r="E44" s="32">
        <f>95+1+2+32+11+1</f>
        <v>142</v>
      </c>
      <c r="F44" s="32">
        <v>0</v>
      </c>
      <c r="G44" s="32">
        <v>0</v>
      </c>
      <c r="H44" s="32">
        <v>0</v>
      </c>
      <c r="I44" s="32">
        <v>3130</v>
      </c>
      <c r="J44" s="32">
        <v>6022</v>
      </c>
      <c r="K44" s="32"/>
      <c r="M44" s="42" t="s">
        <v>76</v>
      </c>
      <c r="N44" s="43" t="s">
        <v>872</v>
      </c>
      <c r="O44" s="43" t="s">
        <v>66</v>
      </c>
      <c r="P44" s="44">
        <v>24266</v>
      </c>
      <c r="Q44" s="45">
        <v>142</v>
      </c>
      <c r="R44" s="45">
        <v>0</v>
      </c>
      <c r="S44" s="45">
        <v>0</v>
      </c>
      <c r="T44" s="45">
        <v>0</v>
      </c>
      <c r="U44" s="45">
        <v>3130</v>
      </c>
      <c r="V44" s="46">
        <v>6022</v>
      </c>
    </row>
    <row r="45" spans="1:22" x14ac:dyDescent="0.25">
      <c r="A45" s="27" t="s">
        <v>67</v>
      </c>
      <c r="B45" s="27" t="s">
        <v>872</v>
      </c>
      <c r="C45" s="27" t="s">
        <v>68</v>
      </c>
      <c r="D45" s="32">
        <f>31321+37+18+63+5464</f>
        <v>36903</v>
      </c>
      <c r="E45" s="32">
        <f>346+1+149+12+3+2</f>
        <v>513</v>
      </c>
      <c r="F45" s="32">
        <v>0</v>
      </c>
      <c r="G45" s="32">
        <v>0</v>
      </c>
      <c r="H45" s="32">
        <v>0</v>
      </c>
      <c r="I45" s="32">
        <v>28014</v>
      </c>
      <c r="J45" s="32">
        <v>4475</v>
      </c>
      <c r="K45" s="32"/>
      <c r="M45" s="42" t="s">
        <v>67</v>
      </c>
      <c r="N45" s="43" t="s">
        <v>872</v>
      </c>
      <c r="O45" s="43" t="s">
        <v>68</v>
      </c>
      <c r="P45" s="44">
        <v>36903</v>
      </c>
      <c r="Q45" s="45">
        <v>513</v>
      </c>
      <c r="R45" s="45">
        <v>0</v>
      </c>
      <c r="S45" s="45">
        <v>0</v>
      </c>
      <c r="T45" s="45">
        <v>0</v>
      </c>
      <c r="U45" s="45">
        <v>28014</v>
      </c>
      <c r="V45" s="46">
        <v>4475</v>
      </c>
    </row>
    <row r="46" spans="1:22" x14ac:dyDescent="0.25">
      <c r="A46" s="27" t="s">
        <v>76</v>
      </c>
      <c r="B46" s="27" t="s">
        <v>872</v>
      </c>
      <c r="C46" s="27" t="s">
        <v>70</v>
      </c>
      <c r="D46" s="32">
        <f>109232+19+3635+26+48+43089+370</f>
        <v>156419</v>
      </c>
      <c r="E46" s="32">
        <f>633+5+2+46+80+129</f>
        <v>895</v>
      </c>
      <c r="F46" s="32">
        <v>0</v>
      </c>
      <c r="G46" s="32">
        <v>0</v>
      </c>
      <c r="H46" s="32">
        <v>0</v>
      </c>
      <c r="I46" s="32">
        <v>97011</v>
      </c>
      <c r="J46" s="32">
        <v>33426</v>
      </c>
      <c r="K46" s="32"/>
      <c r="M46" s="42" t="s">
        <v>76</v>
      </c>
      <c r="N46" s="43" t="s">
        <v>872</v>
      </c>
      <c r="O46" s="43" t="s">
        <v>70</v>
      </c>
      <c r="P46" s="44">
        <v>156419</v>
      </c>
      <c r="Q46" s="45">
        <v>895</v>
      </c>
      <c r="R46" s="45">
        <v>0</v>
      </c>
      <c r="S46" s="45">
        <v>0</v>
      </c>
      <c r="T46" s="45">
        <v>0</v>
      </c>
      <c r="U46" s="45">
        <v>97011</v>
      </c>
      <c r="V46" s="46">
        <v>33426</v>
      </c>
    </row>
    <row r="47" spans="1:22" x14ac:dyDescent="0.25">
      <c r="A47" s="27" t="s">
        <v>803</v>
      </c>
      <c r="B47" s="27" t="s">
        <v>872</v>
      </c>
      <c r="C47" s="27" t="s">
        <v>71</v>
      </c>
      <c r="D47" s="32"/>
      <c r="E47" s="32"/>
      <c r="F47" s="32"/>
      <c r="G47" s="32"/>
      <c r="H47" s="32"/>
      <c r="I47" s="32"/>
      <c r="J47" s="32"/>
      <c r="K47" s="32"/>
      <c r="M47" s="42" t="s">
        <v>803</v>
      </c>
      <c r="N47" s="43" t="s">
        <v>872</v>
      </c>
      <c r="O47" s="43" t="s">
        <v>71</v>
      </c>
      <c r="P47" s="44">
        <v>0</v>
      </c>
      <c r="Q47" s="44">
        <v>0</v>
      </c>
      <c r="R47" s="44">
        <v>0</v>
      </c>
      <c r="S47" s="44">
        <v>0</v>
      </c>
      <c r="T47" s="44">
        <v>0</v>
      </c>
      <c r="U47" s="44">
        <v>0</v>
      </c>
      <c r="V47" s="44">
        <v>0</v>
      </c>
    </row>
    <row r="48" spans="1:22" x14ac:dyDescent="0.25">
      <c r="A48" s="27" t="s">
        <v>72</v>
      </c>
      <c r="B48" s="27" t="s">
        <v>872</v>
      </c>
      <c r="C48" s="27" t="s">
        <v>73</v>
      </c>
      <c r="D48" s="32">
        <f>26616+13+8+6032</f>
        <v>32669</v>
      </c>
      <c r="E48" s="32">
        <v>104</v>
      </c>
      <c r="F48" s="32">
        <v>0</v>
      </c>
      <c r="G48" s="32">
        <v>0</v>
      </c>
      <c r="H48" s="32">
        <v>0</v>
      </c>
      <c r="I48" s="32">
        <v>18874</v>
      </c>
      <c r="J48" s="32">
        <v>5478</v>
      </c>
      <c r="K48" s="32"/>
      <c r="M48" s="42" t="s">
        <v>72</v>
      </c>
      <c r="N48" s="43" t="s">
        <v>872</v>
      </c>
      <c r="O48" s="43" t="s">
        <v>73</v>
      </c>
      <c r="P48" s="44">
        <v>32669</v>
      </c>
      <c r="Q48" s="45">
        <v>104</v>
      </c>
      <c r="R48" s="45">
        <v>0</v>
      </c>
      <c r="S48" s="45">
        <v>0</v>
      </c>
      <c r="T48" s="45">
        <v>0</v>
      </c>
      <c r="U48" s="45">
        <v>18874</v>
      </c>
      <c r="V48" s="46">
        <v>5478</v>
      </c>
    </row>
    <row r="49" spans="1:22" x14ac:dyDescent="0.25">
      <c r="A49" s="27" t="s">
        <v>809</v>
      </c>
      <c r="B49" s="27" t="s">
        <v>872</v>
      </c>
      <c r="C49" s="27" t="s">
        <v>74</v>
      </c>
      <c r="D49" s="32">
        <f>46773+10+321+385+3+24+1+4+1+241+12392</f>
        <v>60155</v>
      </c>
      <c r="E49" s="32">
        <f>1695+3+1+69+24</f>
        <v>1792</v>
      </c>
      <c r="F49" s="32">
        <v>0</v>
      </c>
      <c r="G49" s="32">
        <v>0</v>
      </c>
      <c r="H49" s="32">
        <v>0</v>
      </c>
      <c r="I49" s="32">
        <v>29060</v>
      </c>
      <c r="J49" s="32">
        <v>8720</v>
      </c>
      <c r="K49" s="32"/>
      <c r="M49" s="42" t="s">
        <v>809</v>
      </c>
      <c r="N49" s="43" t="s">
        <v>872</v>
      </c>
      <c r="O49" s="43" t="s">
        <v>74</v>
      </c>
      <c r="P49" s="44">
        <v>60155</v>
      </c>
      <c r="Q49" s="45">
        <v>1792</v>
      </c>
      <c r="R49" s="45">
        <v>0</v>
      </c>
      <c r="S49" s="45">
        <v>0</v>
      </c>
      <c r="T49" s="45">
        <v>0</v>
      </c>
      <c r="U49" s="45">
        <v>29060</v>
      </c>
      <c r="V49" s="46">
        <v>8720</v>
      </c>
    </row>
    <row r="50" spans="1:22" x14ac:dyDescent="0.25">
      <c r="A50" s="27" t="s">
        <v>146</v>
      </c>
      <c r="B50" s="27" t="s">
        <v>872</v>
      </c>
      <c r="C50" s="27" t="s">
        <v>75</v>
      </c>
      <c r="D50" s="32"/>
      <c r="E50" s="32"/>
      <c r="F50" s="32"/>
      <c r="G50" s="32"/>
      <c r="H50" s="32"/>
      <c r="I50" s="32"/>
      <c r="J50" s="32"/>
      <c r="K50" s="32"/>
      <c r="M50" s="42" t="s">
        <v>146</v>
      </c>
      <c r="N50" s="43" t="s">
        <v>872</v>
      </c>
      <c r="O50" s="43" t="s">
        <v>75</v>
      </c>
      <c r="P50" s="44"/>
      <c r="Q50" s="45"/>
      <c r="R50" s="45"/>
      <c r="S50" s="45"/>
      <c r="T50" s="45"/>
      <c r="U50" s="45"/>
      <c r="V50" s="46"/>
    </row>
    <row r="51" spans="1:22" x14ac:dyDescent="0.25">
      <c r="A51" s="27" t="s">
        <v>76</v>
      </c>
      <c r="B51" s="27" t="s">
        <v>872</v>
      </c>
      <c r="C51" s="27" t="s">
        <v>77</v>
      </c>
      <c r="D51" s="32">
        <f>40834+2+820+2+1+23+29542</f>
        <v>71224</v>
      </c>
      <c r="E51" s="32">
        <f>95+2+152+14</f>
        <v>263</v>
      </c>
      <c r="F51" s="32">
        <v>0</v>
      </c>
      <c r="G51" s="32">
        <v>0</v>
      </c>
      <c r="H51" s="32">
        <v>0</v>
      </c>
      <c r="I51" s="32">
        <v>18642</v>
      </c>
      <c r="J51" s="32">
        <v>20848</v>
      </c>
      <c r="K51" s="32"/>
      <c r="M51" s="42" t="s">
        <v>76</v>
      </c>
      <c r="N51" s="43" t="s">
        <v>872</v>
      </c>
      <c r="O51" s="43" t="s">
        <v>77</v>
      </c>
      <c r="P51" s="44">
        <v>71224</v>
      </c>
      <c r="Q51" s="45">
        <v>263</v>
      </c>
      <c r="R51" s="45">
        <v>0</v>
      </c>
      <c r="S51" s="45">
        <v>0</v>
      </c>
      <c r="T51" s="45">
        <v>0</v>
      </c>
      <c r="U51" s="45">
        <v>18642</v>
      </c>
      <c r="V51" s="46">
        <v>20848</v>
      </c>
    </row>
    <row r="52" spans="1:22" x14ac:dyDescent="0.25">
      <c r="A52" s="27" t="s">
        <v>801</v>
      </c>
      <c r="B52" s="27" t="s">
        <v>872</v>
      </c>
      <c r="C52" s="27" t="s">
        <v>78</v>
      </c>
      <c r="D52" s="32"/>
      <c r="E52" s="32"/>
      <c r="F52" s="32"/>
      <c r="G52" s="32"/>
      <c r="H52" s="32"/>
      <c r="I52" s="32"/>
      <c r="J52" s="32"/>
      <c r="K52" s="32"/>
      <c r="M52" s="42" t="s">
        <v>801</v>
      </c>
      <c r="N52" s="43" t="s">
        <v>872</v>
      </c>
      <c r="O52" s="43" t="s">
        <v>78</v>
      </c>
      <c r="P52" s="44"/>
      <c r="Q52" s="45"/>
      <c r="R52" s="45"/>
      <c r="S52" s="45"/>
      <c r="T52" s="45"/>
      <c r="U52" s="45"/>
      <c r="V52" s="46"/>
    </row>
    <row r="53" spans="1:22" x14ac:dyDescent="0.25">
      <c r="A53" s="27" t="s">
        <v>847</v>
      </c>
      <c r="B53" s="27" t="s">
        <v>872</v>
      </c>
      <c r="C53" s="27" t="s">
        <v>79</v>
      </c>
      <c r="D53" s="32"/>
      <c r="E53" s="32"/>
      <c r="F53" s="32"/>
      <c r="G53" s="32"/>
      <c r="H53" s="32"/>
      <c r="I53" s="32"/>
      <c r="J53" s="32"/>
      <c r="K53" s="32"/>
      <c r="M53" s="42" t="s">
        <v>847</v>
      </c>
      <c r="N53" s="43" t="s">
        <v>872</v>
      </c>
      <c r="O53" s="43" t="s">
        <v>79</v>
      </c>
      <c r="P53" s="44"/>
      <c r="Q53" s="45"/>
      <c r="R53" s="45"/>
      <c r="S53" s="45"/>
      <c r="T53" s="45"/>
      <c r="U53" s="45"/>
      <c r="V53" s="46"/>
    </row>
    <row r="54" spans="1:22" x14ac:dyDescent="0.25">
      <c r="A54" s="27" t="s">
        <v>226</v>
      </c>
      <c r="B54" s="27" t="s">
        <v>872</v>
      </c>
      <c r="C54" s="27" t="s">
        <v>80</v>
      </c>
      <c r="D54" s="32">
        <f>8560+1+15+2968</f>
        <v>11544</v>
      </c>
      <c r="E54" s="32">
        <f>7+1</f>
        <v>8</v>
      </c>
      <c r="F54" s="32">
        <v>0</v>
      </c>
      <c r="G54" s="32">
        <v>0</v>
      </c>
      <c r="H54" s="32">
        <v>0</v>
      </c>
      <c r="I54" s="32">
        <v>7849</v>
      </c>
      <c r="J54" s="32">
        <v>2848</v>
      </c>
      <c r="K54" s="32"/>
      <c r="M54" s="42" t="s">
        <v>226</v>
      </c>
      <c r="N54" s="43" t="s">
        <v>872</v>
      </c>
      <c r="O54" s="43" t="s">
        <v>80</v>
      </c>
      <c r="P54" s="44">
        <v>11544</v>
      </c>
      <c r="Q54" s="45">
        <v>8</v>
      </c>
      <c r="R54" s="45">
        <v>0</v>
      </c>
      <c r="S54" s="45">
        <v>0</v>
      </c>
      <c r="T54" s="45">
        <v>0</v>
      </c>
      <c r="U54" s="45">
        <v>7849</v>
      </c>
      <c r="V54" s="46">
        <v>2848</v>
      </c>
    </row>
    <row r="55" spans="1:22" x14ac:dyDescent="0.25">
      <c r="A55" s="27" t="s">
        <v>826</v>
      </c>
      <c r="B55" s="27" t="s">
        <v>872</v>
      </c>
      <c r="C55" s="27" t="s">
        <v>81</v>
      </c>
      <c r="D55" s="32"/>
      <c r="E55" s="32"/>
      <c r="F55" s="32"/>
      <c r="G55" s="32"/>
      <c r="H55" s="32"/>
      <c r="I55" s="32"/>
      <c r="J55" s="32"/>
      <c r="K55" s="32"/>
      <c r="M55" s="42" t="s">
        <v>826</v>
      </c>
      <c r="N55" s="43" t="s">
        <v>872</v>
      </c>
      <c r="O55" s="43" t="s">
        <v>81</v>
      </c>
      <c r="P55" s="44"/>
      <c r="Q55" s="45"/>
      <c r="R55" s="45"/>
      <c r="S55" s="45"/>
      <c r="T55" s="45"/>
      <c r="U55" s="45"/>
      <c r="V55" s="46"/>
    </row>
    <row r="56" spans="1:22" x14ac:dyDescent="0.25">
      <c r="A56" s="27" t="s">
        <v>76</v>
      </c>
      <c r="B56" s="27" t="s">
        <v>872</v>
      </c>
      <c r="C56" s="27" t="s">
        <v>82</v>
      </c>
      <c r="D56" s="32">
        <f>83746+4+9+5+10+16086+3</f>
        <v>99863</v>
      </c>
      <c r="E56" s="32">
        <f>336+473+50</f>
        <v>859</v>
      </c>
      <c r="F56" s="32">
        <v>0</v>
      </c>
      <c r="G56" s="32">
        <v>0</v>
      </c>
      <c r="H56" s="32">
        <v>0</v>
      </c>
      <c r="I56" s="32">
        <v>14503</v>
      </c>
      <c r="J56" s="32">
        <v>10142</v>
      </c>
      <c r="K56" s="32"/>
      <c r="M56" s="42" t="s">
        <v>76</v>
      </c>
      <c r="N56" s="43" t="s">
        <v>872</v>
      </c>
      <c r="O56" s="43" t="s">
        <v>82</v>
      </c>
      <c r="P56" s="44">
        <v>99863</v>
      </c>
      <c r="Q56" s="45">
        <v>859</v>
      </c>
      <c r="R56" s="45">
        <v>0</v>
      </c>
      <c r="S56" s="45">
        <v>0</v>
      </c>
      <c r="T56" s="45">
        <v>0</v>
      </c>
      <c r="U56" s="45">
        <v>14503</v>
      </c>
      <c r="V56" s="46">
        <v>10142</v>
      </c>
    </row>
    <row r="57" spans="1:22" x14ac:dyDescent="0.25">
      <c r="A57" s="27" t="s">
        <v>83</v>
      </c>
      <c r="B57" s="27" t="s">
        <v>872</v>
      </c>
      <c r="C57" s="27" t="s">
        <v>84</v>
      </c>
      <c r="D57" s="32">
        <f>10202+2+4+5+1+24517</f>
        <v>34731</v>
      </c>
      <c r="E57" s="32">
        <f>40+3</f>
        <v>43</v>
      </c>
      <c r="F57" s="32">
        <v>0</v>
      </c>
      <c r="G57" s="32">
        <v>0</v>
      </c>
      <c r="H57" s="32">
        <v>0</v>
      </c>
      <c r="I57" s="32">
        <v>26785</v>
      </c>
      <c r="J57" s="32">
        <v>24054</v>
      </c>
      <c r="K57" s="32"/>
      <c r="M57" s="42" t="s">
        <v>83</v>
      </c>
      <c r="N57" s="43" t="s">
        <v>872</v>
      </c>
      <c r="O57" s="43" t="s">
        <v>84</v>
      </c>
      <c r="P57" s="44">
        <v>34731</v>
      </c>
      <c r="Q57" s="45">
        <v>43</v>
      </c>
      <c r="R57" s="45">
        <v>0</v>
      </c>
      <c r="S57" s="45">
        <v>0</v>
      </c>
      <c r="T57" s="45">
        <v>0</v>
      </c>
      <c r="U57" s="45">
        <v>26785</v>
      </c>
      <c r="V57" s="46">
        <v>24054</v>
      </c>
    </row>
    <row r="58" spans="1:22" x14ac:dyDescent="0.25">
      <c r="A58" s="27" t="s">
        <v>809</v>
      </c>
      <c r="B58" s="27" t="s">
        <v>872</v>
      </c>
      <c r="C58" s="27" t="s">
        <v>85</v>
      </c>
      <c r="D58" s="32">
        <f>12990+1+1+1+30+3275</f>
        <v>16298</v>
      </c>
      <c r="E58" s="32">
        <f>327+52+6</f>
        <v>385</v>
      </c>
      <c r="F58" s="32">
        <v>0</v>
      </c>
      <c r="G58" s="32">
        <v>0</v>
      </c>
      <c r="H58" s="32">
        <v>0</v>
      </c>
      <c r="I58" s="32">
        <v>8864</v>
      </c>
      <c r="J58" s="32">
        <v>2489</v>
      </c>
      <c r="K58" s="32"/>
      <c r="M58" s="42" t="s">
        <v>809</v>
      </c>
      <c r="N58" s="43" t="s">
        <v>872</v>
      </c>
      <c r="O58" s="43" t="s">
        <v>85</v>
      </c>
      <c r="P58" s="44">
        <v>16298</v>
      </c>
      <c r="Q58" s="45">
        <v>385</v>
      </c>
      <c r="R58" s="45">
        <v>0</v>
      </c>
      <c r="S58" s="45">
        <v>0</v>
      </c>
      <c r="T58" s="45">
        <v>0</v>
      </c>
      <c r="U58" s="45">
        <v>8864</v>
      </c>
      <c r="V58" s="46">
        <v>2489</v>
      </c>
    </row>
    <row r="59" spans="1:22" x14ac:dyDescent="0.25">
      <c r="A59" s="27" t="s">
        <v>811</v>
      </c>
      <c r="B59" s="27" t="s">
        <v>872</v>
      </c>
      <c r="C59" s="27" t="s">
        <v>86</v>
      </c>
      <c r="D59" s="32">
        <f>45650+215+6+229+2+55370+2</f>
        <v>101474</v>
      </c>
      <c r="E59" s="32">
        <f>2676+621+36+2504+17160+60</f>
        <v>23057</v>
      </c>
      <c r="F59" s="32">
        <v>0</v>
      </c>
      <c r="G59" s="32">
        <v>0</v>
      </c>
      <c r="H59" s="32">
        <v>0</v>
      </c>
      <c r="I59" s="32">
        <v>17193</v>
      </c>
      <c r="J59" s="32">
        <v>54132</v>
      </c>
      <c r="K59" s="32"/>
      <c r="M59" s="42" t="s">
        <v>811</v>
      </c>
      <c r="N59" s="43" t="s">
        <v>872</v>
      </c>
      <c r="O59" s="43" t="s">
        <v>86</v>
      </c>
      <c r="P59" s="44">
        <v>101474</v>
      </c>
      <c r="Q59" s="45">
        <v>23057</v>
      </c>
      <c r="R59" s="45">
        <v>0</v>
      </c>
      <c r="S59" s="45">
        <v>0</v>
      </c>
      <c r="T59" s="45">
        <v>0</v>
      </c>
      <c r="U59" s="45">
        <v>17193</v>
      </c>
      <c r="V59" s="46">
        <v>54132</v>
      </c>
    </row>
    <row r="60" spans="1:22" x14ac:dyDescent="0.25">
      <c r="A60" s="27" t="s">
        <v>811</v>
      </c>
      <c r="B60" s="27" t="s">
        <v>872</v>
      </c>
      <c r="C60" s="27" t="s">
        <v>87</v>
      </c>
      <c r="D60" s="32">
        <f>37376+2+7+75+97+25+278+17+2+2+1+5+41+1+2+460+14805</f>
        <v>53196</v>
      </c>
      <c r="E60" s="32">
        <f>981+2+44+1444+188</f>
        <v>2659</v>
      </c>
      <c r="F60" s="32">
        <v>0</v>
      </c>
      <c r="G60" s="32">
        <v>0</v>
      </c>
      <c r="H60" s="32">
        <v>0</v>
      </c>
      <c r="I60" s="32">
        <v>16928</v>
      </c>
      <c r="J60" s="32">
        <v>14309</v>
      </c>
      <c r="K60" s="32"/>
      <c r="M60" s="42" t="s">
        <v>811</v>
      </c>
      <c r="N60" s="43" t="s">
        <v>872</v>
      </c>
      <c r="O60" s="43" t="s">
        <v>87</v>
      </c>
      <c r="P60" s="44">
        <v>53196</v>
      </c>
      <c r="Q60" s="45">
        <v>2659</v>
      </c>
      <c r="R60" s="45">
        <v>0</v>
      </c>
      <c r="S60" s="45">
        <v>0</v>
      </c>
      <c r="T60" s="45">
        <v>0</v>
      </c>
      <c r="U60" s="45">
        <v>16928</v>
      </c>
      <c r="V60" s="46">
        <v>14309</v>
      </c>
    </row>
    <row r="61" spans="1:22" x14ac:dyDescent="0.25">
      <c r="A61" s="27" t="s">
        <v>791</v>
      </c>
      <c r="B61" s="27" t="s">
        <v>872</v>
      </c>
      <c r="C61" s="27" t="s">
        <v>88</v>
      </c>
      <c r="D61" s="32">
        <f>26396+12+75+48+14460</f>
        <v>40991</v>
      </c>
      <c r="E61" s="32">
        <f>400+26+108</f>
        <v>534</v>
      </c>
      <c r="F61" s="32">
        <v>0</v>
      </c>
      <c r="G61" s="32">
        <v>0</v>
      </c>
      <c r="H61" s="32">
        <v>0</v>
      </c>
      <c r="I61" s="32">
        <v>9987</v>
      </c>
      <c r="J61" s="32">
        <v>13689</v>
      </c>
      <c r="K61" s="32"/>
      <c r="M61" s="42" t="s">
        <v>791</v>
      </c>
      <c r="N61" s="43" t="s">
        <v>872</v>
      </c>
      <c r="O61" s="43" t="s">
        <v>88</v>
      </c>
      <c r="P61" s="44">
        <v>40991</v>
      </c>
      <c r="Q61" s="45">
        <v>534</v>
      </c>
      <c r="R61" s="45">
        <v>0</v>
      </c>
      <c r="S61" s="45">
        <v>0</v>
      </c>
      <c r="T61" s="45">
        <v>0</v>
      </c>
      <c r="U61" s="45">
        <v>9987</v>
      </c>
      <c r="V61" s="46">
        <v>13689</v>
      </c>
    </row>
    <row r="62" spans="1:22" x14ac:dyDescent="0.25">
      <c r="A62" s="27" t="s">
        <v>809</v>
      </c>
      <c r="B62" s="27" t="s">
        <v>872</v>
      </c>
      <c r="C62" s="27" t="s">
        <v>89</v>
      </c>
      <c r="D62" s="32">
        <f>6980+2+2+16+582</f>
        <v>7582</v>
      </c>
      <c r="E62" s="32">
        <f>24+24</f>
        <v>48</v>
      </c>
      <c r="F62" s="32">
        <v>0</v>
      </c>
      <c r="G62" s="32">
        <v>0</v>
      </c>
      <c r="H62" s="32">
        <v>0</v>
      </c>
      <c r="I62" s="32">
        <v>8478</v>
      </c>
      <c r="J62" s="32">
        <v>411</v>
      </c>
      <c r="K62" s="32"/>
      <c r="M62" s="42" t="s">
        <v>809</v>
      </c>
      <c r="N62" s="43" t="s">
        <v>872</v>
      </c>
      <c r="O62" s="43" t="s">
        <v>89</v>
      </c>
      <c r="P62" s="44">
        <v>7582</v>
      </c>
      <c r="Q62" s="45">
        <v>48</v>
      </c>
      <c r="R62" s="45">
        <v>0</v>
      </c>
      <c r="S62" s="45">
        <v>0</v>
      </c>
      <c r="T62" s="45">
        <v>0</v>
      </c>
      <c r="U62" s="45">
        <v>8478</v>
      </c>
      <c r="V62" s="46">
        <v>411</v>
      </c>
    </row>
    <row r="63" spans="1:22" x14ac:dyDescent="0.25">
      <c r="A63" s="27" t="s">
        <v>848</v>
      </c>
      <c r="B63" s="27" t="s">
        <v>872</v>
      </c>
      <c r="C63" s="27" t="s">
        <v>90</v>
      </c>
      <c r="D63" s="32">
        <f>28809+54+77+1+164+31007</f>
        <v>60112</v>
      </c>
      <c r="E63" s="32">
        <f>67+19+7+120</f>
        <v>213</v>
      </c>
      <c r="F63" s="32">
        <v>0</v>
      </c>
      <c r="G63" s="32">
        <v>0</v>
      </c>
      <c r="H63" s="32">
        <v>0</v>
      </c>
      <c r="I63" s="32">
        <v>11129</v>
      </c>
      <c r="J63" s="32">
        <v>26497</v>
      </c>
      <c r="K63" s="32"/>
      <c r="M63" s="42" t="s">
        <v>848</v>
      </c>
      <c r="N63" s="43" t="s">
        <v>872</v>
      </c>
      <c r="O63" s="43" t="s">
        <v>90</v>
      </c>
      <c r="P63" s="44">
        <v>60112</v>
      </c>
      <c r="Q63" s="45">
        <v>213</v>
      </c>
      <c r="R63" s="45">
        <v>0</v>
      </c>
      <c r="S63" s="45">
        <v>0</v>
      </c>
      <c r="T63" s="45">
        <v>0</v>
      </c>
      <c r="U63" s="45">
        <v>11129</v>
      </c>
      <c r="V63" s="46">
        <v>26497</v>
      </c>
    </row>
    <row r="64" spans="1:22" x14ac:dyDescent="0.25">
      <c r="A64" s="27" t="s">
        <v>248</v>
      </c>
      <c r="B64" s="27" t="s">
        <v>872</v>
      </c>
      <c r="C64" s="27" t="s">
        <v>91</v>
      </c>
      <c r="D64" s="32">
        <f>108164+2+6892+2+5+28+160435+1</f>
        <v>275529</v>
      </c>
      <c r="E64" s="32">
        <f>2910+1+319+1427+525+26</f>
        <v>5208</v>
      </c>
      <c r="F64" s="32">
        <v>0</v>
      </c>
      <c r="G64" s="32">
        <v>0</v>
      </c>
      <c r="H64" s="32">
        <v>0</v>
      </c>
      <c r="I64" s="32">
        <v>104840</v>
      </c>
      <c r="J64" s="32">
        <v>121553</v>
      </c>
      <c r="K64" s="32"/>
      <c r="M64" s="42" t="s">
        <v>248</v>
      </c>
      <c r="N64" s="43" t="s">
        <v>872</v>
      </c>
      <c r="O64" s="43" t="s">
        <v>91</v>
      </c>
      <c r="P64" s="44">
        <v>275529</v>
      </c>
      <c r="Q64" s="45">
        <v>5208</v>
      </c>
      <c r="R64" s="45">
        <v>0</v>
      </c>
      <c r="S64" s="45">
        <v>0</v>
      </c>
      <c r="T64" s="45">
        <v>0</v>
      </c>
      <c r="U64" s="45">
        <v>104840</v>
      </c>
      <c r="V64" s="46">
        <v>121553</v>
      </c>
    </row>
    <row r="65" spans="1:22" x14ac:dyDescent="0.25">
      <c r="A65" s="27" t="s">
        <v>826</v>
      </c>
      <c r="B65" s="27" t="s">
        <v>872</v>
      </c>
      <c r="C65" s="27" t="s">
        <v>92</v>
      </c>
      <c r="D65" s="32"/>
      <c r="E65" s="32"/>
      <c r="F65" s="32"/>
      <c r="G65" s="32"/>
      <c r="H65" s="32"/>
      <c r="I65" s="32"/>
      <c r="J65" s="32"/>
      <c r="K65" s="32"/>
      <c r="M65" s="42" t="s">
        <v>826</v>
      </c>
      <c r="N65" s="43" t="s">
        <v>872</v>
      </c>
      <c r="O65" s="43" t="s">
        <v>92</v>
      </c>
      <c r="P65" s="44"/>
      <c r="Q65" s="45"/>
      <c r="R65" s="45"/>
      <c r="S65" s="45"/>
      <c r="T65" s="45"/>
      <c r="U65" s="45"/>
      <c r="V65" s="46"/>
    </row>
    <row r="66" spans="1:22" x14ac:dyDescent="0.25">
      <c r="A66" s="27" t="s">
        <v>803</v>
      </c>
      <c r="B66" s="27" t="s">
        <v>872</v>
      </c>
      <c r="C66" s="27" t="s">
        <v>93</v>
      </c>
      <c r="D66" s="32"/>
      <c r="E66" s="32"/>
      <c r="F66" s="32"/>
      <c r="G66" s="32"/>
      <c r="H66" s="32"/>
      <c r="I66" s="32"/>
      <c r="J66" s="32"/>
      <c r="K66" s="32"/>
      <c r="M66" s="42" t="s">
        <v>803</v>
      </c>
      <c r="N66" s="43" t="s">
        <v>872</v>
      </c>
      <c r="O66" s="43" t="s">
        <v>93</v>
      </c>
      <c r="P66" s="44"/>
      <c r="Q66" s="45"/>
      <c r="R66" s="45"/>
      <c r="S66" s="45"/>
      <c r="T66" s="45"/>
      <c r="U66" s="45"/>
      <c r="V66" s="46"/>
    </row>
    <row r="67" spans="1:22" x14ac:dyDescent="0.25">
      <c r="A67" s="27" t="s">
        <v>791</v>
      </c>
      <c r="B67" s="27" t="s">
        <v>872</v>
      </c>
      <c r="C67" s="27" t="s">
        <v>94</v>
      </c>
      <c r="D67" s="32">
        <f>17896+88+56+39+7+24+2370</f>
        <v>20480</v>
      </c>
      <c r="E67" s="32">
        <f>134+3+81+2+1</f>
        <v>221</v>
      </c>
      <c r="F67" s="32">
        <v>0</v>
      </c>
      <c r="G67" s="32">
        <v>0</v>
      </c>
      <c r="H67" s="32">
        <v>0</v>
      </c>
      <c r="I67" s="32">
        <v>7816</v>
      </c>
      <c r="J67" s="32">
        <v>1841</v>
      </c>
      <c r="K67" s="32"/>
      <c r="M67" s="42" t="s">
        <v>791</v>
      </c>
      <c r="N67" s="43" t="s">
        <v>872</v>
      </c>
      <c r="O67" s="43" t="s">
        <v>94</v>
      </c>
      <c r="P67" s="44">
        <v>20480</v>
      </c>
      <c r="Q67" s="45">
        <v>221</v>
      </c>
      <c r="R67" s="45">
        <v>0</v>
      </c>
      <c r="S67" s="45">
        <v>0</v>
      </c>
      <c r="T67" s="45">
        <v>0</v>
      </c>
      <c r="U67" s="45">
        <v>7816</v>
      </c>
      <c r="V67" s="46">
        <v>1841</v>
      </c>
    </row>
    <row r="68" spans="1:22" x14ac:dyDescent="0.25">
      <c r="A68" s="27" t="s">
        <v>848</v>
      </c>
      <c r="B68" s="27" t="s">
        <v>872</v>
      </c>
      <c r="C68" s="27" t="s">
        <v>95</v>
      </c>
      <c r="D68" s="32">
        <f>5171+1+2399</f>
        <v>7571</v>
      </c>
      <c r="E68" s="32">
        <f>78+8+30+20</f>
        <v>136</v>
      </c>
      <c r="F68" s="32">
        <v>0</v>
      </c>
      <c r="G68" s="32">
        <v>0</v>
      </c>
      <c r="H68" s="32">
        <v>0</v>
      </c>
      <c r="I68" s="32">
        <v>3090</v>
      </c>
      <c r="J68" s="32">
        <v>1963</v>
      </c>
      <c r="K68" s="32"/>
      <c r="M68" s="42" t="s">
        <v>848</v>
      </c>
      <c r="N68" s="43" t="s">
        <v>872</v>
      </c>
      <c r="O68" s="43" t="s">
        <v>95</v>
      </c>
      <c r="P68" s="44">
        <v>7571</v>
      </c>
      <c r="Q68" s="45">
        <v>136</v>
      </c>
      <c r="R68" s="45">
        <v>0</v>
      </c>
      <c r="S68" s="45">
        <v>0</v>
      </c>
      <c r="T68" s="45">
        <v>0</v>
      </c>
      <c r="U68" s="45">
        <v>3090</v>
      </c>
      <c r="V68" s="46">
        <v>1963</v>
      </c>
    </row>
    <row r="69" spans="1:22" x14ac:dyDescent="0.25">
      <c r="A69" s="27" t="s">
        <v>826</v>
      </c>
      <c r="B69" s="27" t="s">
        <v>872</v>
      </c>
      <c r="C69" s="27" t="s">
        <v>96</v>
      </c>
      <c r="D69" s="32"/>
      <c r="E69" s="32"/>
      <c r="F69" s="32"/>
      <c r="G69" s="32"/>
      <c r="H69" s="32"/>
      <c r="I69" s="32"/>
      <c r="J69" s="32"/>
      <c r="K69" s="32"/>
      <c r="M69" s="42" t="s">
        <v>826</v>
      </c>
      <c r="N69" s="43" t="s">
        <v>872</v>
      </c>
      <c r="O69" s="43" t="s">
        <v>96</v>
      </c>
      <c r="P69" s="44"/>
      <c r="Q69" s="45"/>
      <c r="R69" s="45"/>
      <c r="S69" s="45"/>
      <c r="T69" s="45"/>
      <c r="U69" s="45"/>
      <c r="V69" s="46"/>
    </row>
    <row r="70" spans="1:22" x14ac:dyDescent="0.25">
      <c r="A70" s="27" t="s">
        <v>850</v>
      </c>
      <c r="B70" s="27" t="s">
        <v>872</v>
      </c>
      <c r="C70" s="27" t="s">
        <v>98</v>
      </c>
      <c r="D70" s="32"/>
      <c r="E70" s="32"/>
      <c r="F70" s="32"/>
      <c r="G70" s="32"/>
      <c r="H70" s="32"/>
      <c r="I70" s="32"/>
      <c r="J70" s="32"/>
      <c r="K70" s="32"/>
      <c r="M70" s="42" t="s">
        <v>850</v>
      </c>
      <c r="N70" s="43" t="s">
        <v>872</v>
      </c>
      <c r="O70" s="43" t="s">
        <v>98</v>
      </c>
      <c r="P70" s="44"/>
      <c r="Q70" s="45"/>
      <c r="R70" s="45"/>
      <c r="S70" s="45"/>
      <c r="T70" s="45"/>
      <c r="U70" s="45"/>
      <c r="V70" s="46"/>
    </row>
    <row r="71" spans="1:22" x14ac:dyDescent="0.25">
      <c r="A71" s="27" t="s">
        <v>851</v>
      </c>
      <c r="B71" s="27" t="s">
        <v>872</v>
      </c>
      <c r="C71" s="27" t="s">
        <v>100</v>
      </c>
      <c r="D71" s="32"/>
      <c r="E71" s="32"/>
      <c r="F71" s="32"/>
      <c r="G71" s="32"/>
      <c r="H71" s="32"/>
      <c r="I71" s="32"/>
      <c r="J71" s="32"/>
      <c r="K71" s="32"/>
      <c r="M71" s="42" t="s">
        <v>851</v>
      </c>
      <c r="N71" s="43" t="s">
        <v>872</v>
      </c>
      <c r="O71" s="43" t="s">
        <v>100</v>
      </c>
      <c r="P71" s="44"/>
      <c r="Q71" s="45"/>
      <c r="R71" s="45"/>
      <c r="S71" s="45"/>
      <c r="T71" s="45"/>
      <c r="U71" s="45"/>
      <c r="V71" s="46"/>
    </row>
    <row r="72" spans="1:22" x14ac:dyDescent="0.25">
      <c r="A72" s="27" t="s">
        <v>101</v>
      </c>
      <c r="B72" s="27" t="s">
        <v>872</v>
      </c>
      <c r="C72" s="27" t="s">
        <v>102</v>
      </c>
      <c r="D72" s="32">
        <f>55470+39+27+6+12922</f>
        <v>68464</v>
      </c>
      <c r="E72" s="32">
        <f>5+1</f>
        <v>6</v>
      </c>
      <c r="F72" s="32">
        <v>0</v>
      </c>
      <c r="G72" s="32">
        <v>0</v>
      </c>
      <c r="H72" s="32">
        <v>0</v>
      </c>
      <c r="I72" s="32">
        <v>61343</v>
      </c>
      <c r="J72" s="32">
        <v>10263</v>
      </c>
      <c r="K72" s="32"/>
      <c r="M72" s="42" t="s">
        <v>101</v>
      </c>
      <c r="N72" s="43" t="s">
        <v>872</v>
      </c>
      <c r="O72" s="43" t="s">
        <v>102</v>
      </c>
      <c r="P72" s="44">
        <v>68464</v>
      </c>
      <c r="Q72" s="45">
        <v>6</v>
      </c>
      <c r="R72" s="45">
        <v>0</v>
      </c>
      <c r="S72" s="45">
        <v>0</v>
      </c>
      <c r="T72" s="45">
        <v>0</v>
      </c>
      <c r="U72" s="45">
        <v>61343</v>
      </c>
      <c r="V72" s="46">
        <v>10263</v>
      </c>
    </row>
    <row r="73" spans="1:22" x14ac:dyDescent="0.25">
      <c r="A73" s="27" t="s">
        <v>512</v>
      </c>
      <c r="B73" s="27" t="s">
        <v>872</v>
      </c>
      <c r="C73" s="27" t="s">
        <v>103</v>
      </c>
      <c r="D73" s="32">
        <f>27025+1+3+10183</f>
        <v>37212</v>
      </c>
      <c r="E73" s="32">
        <v>0</v>
      </c>
      <c r="F73" s="32">
        <v>0</v>
      </c>
      <c r="G73" s="32">
        <v>0</v>
      </c>
      <c r="H73" s="32">
        <v>0</v>
      </c>
      <c r="I73" s="32">
        <v>1624</v>
      </c>
      <c r="J73" s="32">
        <v>7040</v>
      </c>
      <c r="K73" s="32"/>
      <c r="M73" s="42" t="s">
        <v>512</v>
      </c>
      <c r="N73" s="43" t="s">
        <v>872</v>
      </c>
      <c r="O73" s="43" t="s">
        <v>103</v>
      </c>
      <c r="P73" s="44">
        <v>37212</v>
      </c>
      <c r="Q73" s="45">
        <v>0</v>
      </c>
      <c r="R73" s="45">
        <v>0</v>
      </c>
      <c r="S73" s="45">
        <v>0</v>
      </c>
      <c r="T73" s="45">
        <v>0</v>
      </c>
      <c r="U73" s="45">
        <v>1624</v>
      </c>
      <c r="V73" s="46">
        <v>7040</v>
      </c>
    </row>
    <row r="74" spans="1:22" x14ac:dyDescent="0.25">
      <c r="A74" s="27" t="s">
        <v>852</v>
      </c>
      <c r="B74" s="27" t="s">
        <v>872</v>
      </c>
      <c r="C74" s="27" t="s">
        <v>105</v>
      </c>
      <c r="D74" s="32"/>
      <c r="E74" s="32"/>
      <c r="F74" s="32"/>
      <c r="G74" s="32"/>
      <c r="H74" s="32"/>
      <c r="I74" s="32"/>
      <c r="J74" s="32"/>
      <c r="K74" s="32"/>
      <c r="M74" s="42" t="s">
        <v>852</v>
      </c>
      <c r="N74" s="43" t="s">
        <v>872</v>
      </c>
      <c r="O74" s="43" t="s">
        <v>105</v>
      </c>
      <c r="P74" s="44"/>
      <c r="Q74" s="45"/>
      <c r="R74" s="45"/>
      <c r="S74" s="45"/>
      <c r="T74" s="45"/>
      <c r="U74" s="45"/>
      <c r="V74" s="46"/>
    </row>
    <row r="75" spans="1:22" x14ac:dyDescent="0.25">
      <c r="A75" s="27" t="s">
        <v>853</v>
      </c>
      <c r="B75" s="27" t="s">
        <v>872</v>
      </c>
      <c r="C75" s="27" t="s">
        <v>107</v>
      </c>
      <c r="D75" s="32"/>
      <c r="E75" s="32"/>
      <c r="F75" s="32"/>
      <c r="G75" s="32"/>
      <c r="H75" s="32"/>
      <c r="I75" s="32"/>
      <c r="J75" s="32"/>
      <c r="K75" s="32"/>
      <c r="M75" s="42" t="s">
        <v>853</v>
      </c>
      <c r="N75" s="43" t="s">
        <v>872</v>
      </c>
      <c r="O75" s="43" t="s">
        <v>107</v>
      </c>
      <c r="P75" s="44"/>
      <c r="Q75" s="45"/>
      <c r="R75" s="45"/>
      <c r="S75" s="45"/>
      <c r="T75" s="45"/>
      <c r="U75" s="45"/>
      <c r="V75" s="46"/>
    </row>
    <row r="76" spans="1:22" x14ac:dyDescent="0.25">
      <c r="A76" s="27" t="s">
        <v>854</v>
      </c>
      <c r="B76" s="27" t="s">
        <v>872</v>
      </c>
      <c r="C76" s="27" t="s">
        <v>109</v>
      </c>
      <c r="D76" s="32"/>
      <c r="E76" s="32"/>
      <c r="F76" s="32"/>
      <c r="G76" s="32"/>
      <c r="H76" s="32"/>
      <c r="I76" s="32"/>
      <c r="J76" s="32"/>
      <c r="K76" s="32"/>
      <c r="M76" s="42" t="s">
        <v>854</v>
      </c>
      <c r="N76" s="43" t="s">
        <v>872</v>
      </c>
      <c r="O76" s="43" t="s">
        <v>109</v>
      </c>
      <c r="P76" s="44"/>
      <c r="Q76" s="45"/>
      <c r="R76" s="45"/>
      <c r="S76" s="45"/>
      <c r="T76" s="45"/>
      <c r="U76" s="45"/>
      <c r="V76" s="46"/>
    </row>
    <row r="77" spans="1:22" x14ac:dyDescent="0.25">
      <c r="A77" s="27" t="s">
        <v>855</v>
      </c>
      <c r="B77" s="27" t="s">
        <v>872</v>
      </c>
      <c r="C77" s="27" t="s">
        <v>111</v>
      </c>
      <c r="D77" s="32"/>
      <c r="E77" s="32"/>
      <c r="F77" s="32"/>
      <c r="G77" s="32"/>
      <c r="H77" s="32"/>
      <c r="I77" s="32"/>
      <c r="J77" s="32"/>
      <c r="K77" s="32"/>
      <c r="M77" s="42" t="s">
        <v>855</v>
      </c>
      <c r="N77" s="43" t="s">
        <v>872</v>
      </c>
      <c r="O77" s="43" t="s">
        <v>111</v>
      </c>
      <c r="P77" s="44"/>
      <c r="Q77" s="45"/>
      <c r="R77" s="45"/>
      <c r="S77" s="45"/>
      <c r="T77" s="45"/>
      <c r="U77" s="45"/>
      <c r="V77" s="46"/>
    </row>
    <row r="78" spans="1:22" x14ac:dyDescent="0.25">
      <c r="A78" s="27" t="s">
        <v>101</v>
      </c>
      <c r="B78" s="27" t="s">
        <v>872</v>
      </c>
      <c r="C78" s="27" t="s">
        <v>112</v>
      </c>
      <c r="D78" s="32">
        <f>41214+25+1+932+14+6371</f>
        <v>48557</v>
      </c>
      <c r="E78" s="32">
        <f>11+3</f>
        <v>14</v>
      </c>
      <c r="F78" s="32">
        <v>0</v>
      </c>
      <c r="G78" s="32">
        <v>0</v>
      </c>
      <c r="H78" s="32">
        <v>0</v>
      </c>
      <c r="I78" s="32">
        <v>117642</v>
      </c>
      <c r="J78" s="32">
        <v>5470</v>
      </c>
      <c r="K78" s="32"/>
      <c r="M78" s="42" t="s">
        <v>101</v>
      </c>
      <c r="N78" s="43" t="s">
        <v>872</v>
      </c>
      <c r="O78" s="43" t="s">
        <v>112</v>
      </c>
      <c r="P78" s="44">
        <v>48557</v>
      </c>
      <c r="Q78" s="45">
        <v>14</v>
      </c>
      <c r="R78" s="45">
        <v>0</v>
      </c>
      <c r="S78" s="45">
        <v>0</v>
      </c>
      <c r="T78" s="45">
        <v>0</v>
      </c>
      <c r="U78" s="45">
        <v>117642</v>
      </c>
      <c r="V78" s="46">
        <v>5470</v>
      </c>
    </row>
    <row r="79" spans="1:22" x14ac:dyDescent="0.25">
      <c r="A79" s="27" t="s">
        <v>856</v>
      </c>
      <c r="B79" s="27" t="s">
        <v>872</v>
      </c>
      <c r="C79" s="27" t="s">
        <v>114</v>
      </c>
      <c r="D79" s="32"/>
      <c r="E79" s="32"/>
      <c r="F79" s="32"/>
      <c r="G79" s="32"/>
      <c r="H79" s="32"/>
      <c r="I79" s="32"/>
      <c r="J79" s="32"/>
      <c r="K79" s="32"/>
      <c r="M79" s="42" t="s">
        <v>856</v>
      </c>
      <c r="N79" s="43" t="s">
        <v>872</v>
      </c>
      <c r="O79" s="43" t="s">
        <v>114</v>
      </c>
      <c r="P79" s="44"/>
      <c r="Q79" s="45"/>
      <c r="R79" s="45"/>
      <c r="S79" s="45"/>
      <c r="T79" s="45"/>
      <c r="U79" s="45"/>
      <c r="V79" s="46"/>
    </row>
    <row r="80" spans="1:22" x14ac:dyDescent="0.25">
      <c r="A80" s="27" t="s">
        <v>857</v>
      </c>
      <c r="B80" s="27" t="s">
        <v>872</v>
      </c>
      <c r="C80" s="27" t="s">
        <v>116</v>
      </c>
      <c r="D80" s="32"/>
      <c r="E80" s="32"/>
      <c r="F80" s="32"/>
      <c r="G80" s="32"/>
      <c r="H80" s="32"/>
      <c r="I80" s="32"/>
      <c r="J80" s="32"/>
      <c r="K80" s="32"/>
      <c r="M80" s="42" t="s">
        <v>857</v>
      </c>
      <c r="N80" s="43" t="s">
        <v>872</v>
      </c>
      <c r="O80" s="43" t="s">
        <v>116</v>
      </c>
      <c r="P80" s="44"/>
      <c r="Q80" s="45"/>
      <c r="R80" s="45"/>
      <c r="S80" s="45"/>
      <c r="T80" s="45"/>
      <c r="U80" s="45"/>
      <c r="V80" s="46"/>
    </row>
    <row r="81" spans="1:22" x14ac:dyDescent="0.25">
      <c r="A81" s="27" t="s">
        <v>823</v>
      </c>
      <c r="B81" s="27" t="s">
        <v>872</v>
      </c>
      <c r="C81" s="27" t="s">
        <v>117</v>
      </c>
      <c r="D81" s="32"/>
      <c r="E81" s="32"/>
      <c r="F81" s="32"/>
      <c r="G81" s="32"/>
      <c r="H81" s="32"/>
      <c r="I81" s="32"/>
      <c r="J81" s="32"/>
      <c r="K81" s="32"/>
      <c r="M81" s="42" t="s">
        <v>823</v>
      </c>
      <c r="N81" s="43" t="s">
        <v>872</v>
      </c>
      <c r="O81" s="43" t="s">
        <v>117</v>
      </c>
      <c r="P81" s="44"/>
      <c r="Q81" s="45"/>
      <c r="R81" s="45"/>
      <c r="S81" s="45"/>
      <c r="T81" s="45"/>
      <c r="U81" s="45"/>
      <c r="V81" s="46"/>
    </row>
    <row r="82" spans="1:22" x14ac:dyDescent="0.25">
      <c r="A82" s="27" t="s">
        <v>858</v>
      </c>
      <c r="B82" s="27" t="s">
        <v>872</v>
      </c>
      <c r="C82" s="27" t="s">
        <v>119</v>
      </c>
      <c r="D82" s="32"/>
      <c r="E82" s="32"/>
      <c r="F82" s="32"/>
      <c r="G82" s="32"/>
      <c r="H82" s="32"/>
      <c r="I82" s="32"/>
      <c r="J82" s="32"/>
      <c r="K82" s="32"/>
      <c r="M82" s="42" t="s">
        <v>858</v>
      </c>
      <c r="N82" s="43" t="s">
        <v>872</v>
      </c>
      <c r="O82" s="43" t="s">
        <v>119</v>
      </c>
      <c r="P82" s="44"/>
      <c r="Q82" s="45"/>
      <c r="R82" s="45"/>
      <c r="S82" s="45"/>
      <c r="T82" s="45"/>
      <c r="U82" s="45"/>
      <c r="V82" s="46"/>
    </row>
    <row r="83" spans="1:22" x14ac:dyDescent="0.25">
      <c r="A83" s="27" t="s">
        <v>859</v>
      </c>
      <c r="B83" s="27" t="s">
        <v>872</v>
      </c>
      <c r="C83" s="27" t="s">
        <v>121</v>
      </c>
      <c r="D83" s="32">
        <f>34948+19+45+7+10151</f>
        <v>45170</v>
      </c>
      <c r="E83" s="32">
        <f>51+41+2+2</f>
        <v>96</v>
      </c>
      <c r="F83" s="32">
        <v>0</v>
      </c>
      <c r="G83" s="32">
        <v>0</v>
      </c>
      <c r="H83" s="32">
        <v>0</v>
      </c>
      <c r="I83" s="32">
        <v>41548</v>
      </c>
      <c r="J83" s="32">
        <v>8141</v>
      </c>
      <c r="K83" s="32"/>
      <c r="M83" s="42" t="s">
        <v>859</v>
      </c>
      <c r="N83" s="43" t="s">
        <v>872</v>
      </c>
      <c r="O83" s="43" t="s">
        <v>121</v>
      </c>
      <c r="P83" s="44">
        <v>45170</v>
      </c>
      <c r="Q83" s="45">
        <v>96</v>
      </c>
      <c r="R83" s="45">
        <v>0</v>
      </c>
      <c r="S83" s="45">
        <v>0</v>
      </c>
      <c r="T83" s="45">
        <v>0</v>
      </c>
      <c r="U83" s="45">
        <v>41548</v>
      </c>
      <c r="V83" s="46">
        <v>8141</v>
      </c>
    </row>
    <row r="84" spans="1:22" x14ac:dyDescent="0.25">
      <c r="A84" s="27" t="s">
        <v>860</v>
      </c>
      <c r="B84" s="27" t="s">
        <v>872</v>
      </c>
      <c r="C84" s="27" t="s">
        <v>122</v>
      </c>
      <c r="D84" s="32"/>
      <c r="E84" s="32"/>
      <c r="F84" s="32"/>
      <c r="G84" s="32"/>
      <c r="H84" s="32"/>
      <c r="I84" s="32"/>
      <c r="J84" s="32"/>
      <c r="K84" s="32"/>
      <c r="M84" s="42" t="s">
        <v>860</v>
      </c>
      <c r="N84" s="43" t="s">
        <v>872</v>
      </c>
      <c r="O84" s="43" t="s">
        <v>122</v>
      </c>
      <c r="P84" s="44"/>
      <c r="Q84" s="45"/>
      <c r="R84" s="45"/>
      <c r="S84" s="45"/>
      <c r="T84" s="45"/>
      <c r="U84" s="45"/>
      <c r="V84" s="46"/>
    </row>
    <row r="85" spans="1:22" x14ac:dyDescent="0.25">
      <c r="A85" s="27" t="s">
        <v>861</v>
      </c>
      <c r="B85" s="27" t="s">
        <v>872</v>
      </c>
      <c r="C85" s="27" t="s">
        <v>124</v>
      </c>
      <c r="D85" s="32"/>
      <c r="E85" s="32"/>
      <c r="F85" s="32"/>
      <c r="G85" s="32"/>
      <c r="H85" s="32"/>
      <c r="I85" s="32"/>
      <c r="J85" s="32"/>
      <c r="K85" s="32"/>
      <c r="M85" s="42" t="s">
        <v>861</v>
      </c>
      <c r="N85" s="43" t="s">
        <v>872</v>
      </c>
      <c r="O85" s="43" t="s">
        <v>124</v>
      </c>
      <c r="P85" s="44"/>
      <c r="Q85" s="45"/>
      <c r="R85" s="45"/>
      <c r="S85" s="45"/>
      <c r="T85" s="45"/>
      <c r="U85" s="45"/>
      <c r="V85" s="46"/>
    </row>
    <row r="86" spans="1:22" x14ac:dyDescent="0.25">
      <c r="A86" s="27" t="s">
        <v>823</v>
      </c>
      <c r="B86" s="27" t="s">
        <v>872</v>
      </c>
      <c r="C86" s="27" t="s">
        <v>125</v>
      </c>
      <c r="D86" s="32"/>
      <c r="E86" s="32"/>
      <c r="F86" s="32"/>
      <c r="G86" s="32"/>
      <c r="H86" s="32"/>
      <c r="I86" s="32"/>
      <c r="J86" s="32"/>
      <c r="K86" s="32"/>
      <c r="M86" s="42" t="s">
        <v>823</v>
      </c>
      <c r="N86" s="43" t="s">
        <v>872</v>
      </c>
      <c r="O86" s="43" t="s">
        <v>125</v>
      </c>
      <c r="P86" s="44"/>
      <c r="Q86" s="45"/>
      <c r="R86" s="45"/>
      <c r="S86" s="45"/>
      <c r="T86" s="45"/>
      <c r="U86" s="45"/>
      <c r="V86" s="46"/>
    </row>
    <row r="87" spans="1:22" ht="15.75" x14ac:dyDescent="0.25">
      <c r="A87" s="27" t="s">
        <v>248</v>
      </c>
      <c r="B87" s="27" t="s">
        <v>872</v>
      </c>
      <c r="C87" s="27" t="s">
        <v>126</v>
      </c>
      <c r="D87" s="32">
        <f>26710+1+2+2+8638</f>
        <v>35353</v>
      </c>
      <c r="E87" s="32">
        <f>104+5+22+1</f>
        <v>132</v>
      </c>
      <c r="F87" s="32">
        <v>0</v>
      </c>
      <c r="G87" s="32">
        <v>0</v>
      </c>
      <c r="H87" s="32">
        <v>0</v>
      </c>
      <c r="I87" s="32">
        <v>54425</v>
      </c>
      <c r="J87" s="32">
        <v>6884</v>
      </c>
      <c r="K87" s="32"/>
      <c r="M87" s="42" t="s">
        <v>248</v>
      </c>
      <c r="N87" s="43" t="s">
        <v>872</v>
      </c>
      <c r="O87" s="43" t="s">
        <v>126</v>
      </c>
      <c r="P87" s="47">
        <v>35353</v>
      </c>
      <c r="Q87" s="45">
        <v>132</v>
      </c>
      <c r="R87" s="45">
        <v>0</v>
      </c>
      <c r="S87" s="45">
        <v>0</v>
      </c>
      <c r="T87" s="45">
        <v>0</v>
      </c>
      <c r="U87" s="45">
        <v>54425</v>
      </c>
      <c r="V87" s="46">
        <v>6884</v>
      </c>
    </row>
    <row r="88" spans="1:22" x14ac:dyDescent="0.25">
      <c r="A88" s="27" t="s">
        <v>862</v>
      </c>
      <c r="B88" s="27" t="s">
        <v>872</v>
      </c>
      <c r="C88" s="27" t="s">
        <v>127</v>
      </c>
      <c r="D88" s="32"/>
      <c r="E88" s="32"/>
      <c r="F88" s="32"/>
      <c r="G88" s="32"/>
      <c r="H88" s="32"/>
      <c r="I88" s="32"/>
      <c r="J88" s="32"/>
      <c r="K88" s="32"/>
      <c r="M88" s="42" t="s">
        <v>862</v>
      </c>
      <c r="N88" s="43" t="s">
        <v>872</v>
      </c>
      <c r="O88" s="43" t="s">
        <v>127</v>
      </c>
      <c r="P88" s="44"/>
      <c r="Q88" s="45"/>
      <c r="R88" s="45"/>
      <c r="S88" s="45"/>
      <c r="T88" s="45"/>
      <c r="U88" s="45"/>
      <c r="V88" s="46"/>
    </row>
    <row r="89" spans="1:22" x14ac:dyDescent="0.25">
      <c r="A89" s="27" t="s">
        <v>863</v>
      </c>
      <c r="B89" s="27" t="s">
        <v>872</v>
      </c>
      <c r="C89" s="27" t="s">
        <v>129</v>
      </c>
      <c r="D89" s="32"/>
      <c r="E89" s="32"/>
      <c r="F89" s="32"/>
      <c r="G89" s="32"/>
      <c r="H89" s="32"/>
      <c r="I89" s="32"/>
      <c r="J89" s="32"/>
      <c r="K89" s="32"/>
      <c r="M89" s="42" t="s">
        <v>863</v>
      </c>
      <c r="N89" s="43" t="s">
        <v>872</v>
      </c>
      <c r="O89" s="43" t="s">
        <v>129</v>
      </c>
      <c r="P89" s="44"/>
      <c r="Q89" s="45"/>
      <c r="R89" s="45"/>
      <c r="S89" s="45"/>
      <c r="T89" s="45"/>
      <c r="U89" s="45"/>
      <c r="V89" s="46"/>
    </row>
    <row r="90" spans="1:22" x14ac:dyDescent="0.25">
      <c r="A90" s="27" t="s">
        <v>794</v>
      </c>
      <c r="B90" s="27" t="s">
        <v>872</v>
      </c>
      <c r="C90" s="27" t="s">
        <v>130</v>
      </c>
      <c r="D90" s="32"/>
      <c r="E90" s="32"/>
      <c r="F90" s="32"/>
      <c r="G90" s="32"/>
      <c r="H90" s="32"/>
      <c r="I90" s="32"/>
      <c r="J90" s="32"/>
      <c r="K90" s="32"/>
      <c r="M90" s="42" t="s">
        <v>794</v>
      </c>
      <c r="N90" s="43" t="s">
        <v>872</v>
      </c>
      <c r="O90" s="43" t="s">
        <v>130</v>
      </c>
      <c r="P90" s="44"/>
      <c r="Q90" s="45"/>
      <c r="R90" s="45"/>
      <c r="S90" s="45"/>
      <c r="T90" s="45"/>
      <c r="U90" s="45"/>
      <c r="V90" s="46"/>
    </row>
    <row r="91" spans="1:22" x14ac:dyDescent="0.25">
      <c r="A91" s="27" t="s">
        <v>803</v>
      </c>
      <c r="B91" s="27" t="s">
        <v>872</v>
      </c>
      <c r="C91" s="27" t="s">
        <v>132</v>
      </c>
      <c r="D91" s="32"/>
      <c r="E91" s="32"/>
      <c r="F91" s="32"/>
      <c r="G91" s="32"/>
      <c r="H91" s="32"/>
      <c r="I91" s="32"/>
      <c r="J91" s="32"/>
      <c r="K91" s="32"/>
      <c r="M91" s="42" t="s">
        <v>803</v>
      </c>
      <c r="N91" s="43" t="s">
        <v>872</v>
      </c>
      <c r="O91" s="43" t="s">
        <v>132</v>
      </c>
      <c r="P91" s="44"/>
      <c r="Q91" s="45"/>
      <c r="R91" s="45"/>
      <c r="S91" s="45"/>
      <c r="T91" s="45"/>
      <c r="U91" s="45"/>
      <c r="V91" s="46"/>
    </row>
    <row r="92" spans="1:22" ht="15.75" x14ac:dyDescent="0.25">
      <c r="A92" s="27" t="s">
        <v>512</v>
      </c>
      <c r="B92" s="27" t="s">
        <v>872</v>
      </c>
      <c r="C92" s="27" t="s">
        <v>133</v>
      </c>
      <c r="D92" s="32">
        <f>11654+2+4169</f>
        <v>15825</v>
      </c>
      <c r="E92" s="32">
        <f>639+61</f>
        <v>700</v>
      </c>
      <c r="F92" s="32">
        <v>0</v>
      </c>
      <c r="G92" s="32">
        <v>0</v>
      </c>
      <c r="H92" s="32">
        <v>0</v>
      </c>
      <c r="I92" s="32">
        <v>11347</v>
      </c>
      <c r="J92" s="32">
        <v>3284</v>
      </c>
      <c r="K92" s="32"/>
      <c r="M92" s="42" t="s">
        <v>512</v>
      </c>
      <c r="N92" s="43" t="s">
        <v>872</v>
      </c>
      <c r="O92" s="43" t="s">
        <v>133</v>
      </c>
      <c r="P92" s="44">
        <v>15825</v>
      </c>
      <c r="Q92" s="45">
        <v>700</v>
      </c>
      <c r="R92" s="45">
        <v>0</v>
      </c>
      <c r="S92" s="45">
        <v>0</v>
      </c>
      <c r="T92" s="45">
        <v>0</v>
      </c>
      <c r="U92" s="48">
        <v>11347</v>
      </c>
      <c r="V92" s="49">
        <v>3284</v>
      </c>
    </row>
    <row r="93" spans="1:22" x14ac:dyDescent="0.25">
      <c r="A93" s="27" t="s">
        <v>134</v>
      </c>
      <c r="B93" s="27" t="s">
        <v>872</v>
      </c>
      <c r="C93" s="27" t="s">
        <v>135</v>
      </c>
      <c r="D93" s="32">
        <f>28273+63+71+13322</f>
        <v>41729</v>
      </c>
      <c r="E93" s="32">
        <f>37+3</f>
        <v>40</v>
      </c>
      <c r="F93" s="32">
        <v>0</v>
      </c>
      <c r="G93" s="32">
        <v>0</v>
      </c>
      <c r="H93" s="32">
        <v>0</v>
      </c>
      <c r="I93" s="32">
        <v>47682</v>
      </c>
      <c r="J93" s="32">
        <v>10952</v>
      </c>
      <c r="K93" s="32"/>
      <c r="M93" s="42" t="s">
        <v>134</v>
      </c>
      <c r="N93" s="43" t="s">
        <v>872</v>
      </c>
      <c r="O93" s="43" t="s">
        <v>135</v>
      </c>
      <c r="P93" s="44">
        <v>41729</v>
      </c>
      <c r="Q93" s="45">
        <v>40</v>
      </c>
      <c r="R93" s="45">
        <v>0</v>
      </c>
      <c r="S93" s="45">
        <v>0</v>
      </c>
      <c r="T93" s="45">
        <v>0</v>
      </c>
      <c r="U93" s="45">
        <v>47682</v>
      </c>
      <c r="V93" s="46">
        <v>10952</v>
      </c>
    </row>
    <row r="94" spans="1:22" x14ac:dyDescent="0.25">
      <c r="A94" s="27" t="s">
        <v>795</v>
      </c>
      <c r="B94" s="27" t="s">
        <v>872</v>
      </c>
      <c r="C94" s="27" t="s">
        <v>136</v>
      </c>
      <c r="D94" s="32">
        <f>15835+16+4+8407</f>
        <v>24262</v>
      </c>
      <c r="E94" s="32">
        <f>318+36+102+7</f>
        <v>463</v>
      </c>
      <c r="F94" s="32">
        <v>0</v>
      </c>
      <c r="G94" s="32">
        <v>0</v>
      </c>
      <c r="H94" s="32">
        <v>0</v>
      </c>
      <c r="I94" s="32">
        <v>23214</v>
      </c>
      <c r="J94" s="32">
        <v>7570</v>
      </c>
      <c r="K94" s="32"/>
      <c r="M94" s="42" t="s">
        <v>795</v>
      </c>
      <c r="N94" s="43" t="s">
        <v>872</v>
      </c>
      <c r="O94" s="43" t="s">
        <v>136</v>
      </c>
      <c r="P94" s="44">
        <v>24262</v>
      </c>
      <c r="Q94" s="45">
        <v>463</v>
      </c>
      <c r="R94" s="45">
        <v>0</v>
      </c>
      <c r="S94" s="45">
        <v>0</v>
      </c>
      <c r="T94" s="45">
        <v>0</v>
      </c>
      <c r="U94" s="45">
        <v>23214</v>
      </c>
      <c r="V94" s="46">
        <v>7570</v>
      </c>
    </row>
    <row r="95" spans="1:22" x14ac:dyDescent="0.25">
      <c r="A95" s="27" t="s">
        <v>120</v>
      </c>
      <c r="B95" s="27" t="s">
        <v>872</v>
      </c>
      <c r="C95" s="27" t="s">
        <v>137</v>
      </c>
      <c r="D95" s="32">
        <f>54117+1+8701+1+55+18+99+9481+8</f>
        <v>72481</v>
      </c>
      <c r="E95" s="32">
        <f>92+2+3</f>
        <v>97</v>
      </c>
      <c r="F95" s="32">
        <v>0</v>
      </c>
      <c r="G95" s="32">
        <v>0</v>
      </c>
      <c r="H95" s="32">
        <v>0</v>
      </c>
      <c r="I95" s="32">
        <v>30612</v>
      </c>
      <c r="J95" s="32">
        <v>5384</v>
      </c>
      <c r="K95" s="32"/>
      <c r="M95" s="42" t="s">
        <v>120</v>
      </c>
      <c r="N95" s="43" t="s">
        <v>872</v>
      </c>
      <c r="O95" s="43" t="s">
        <v>137</v>
      </c>
      <c r="P95" s="44">
        <v>72481</v>
      </c>
      <c r="Q95" s="45">
        <v>97</v>
      </c>
      <c r="R95" s="45">
        <v>0</v>
      </c>
      <c r="S95" s="45">
        <v>0</v>
      </c>
      <c r="T95" s="45">
        <v>0</v>
      </c>
      <c r="U95" s="45">
        <v>30612</v>
      </c>
      <c r="V95" s="46">
        <v>5384</v>
      </c>
    </row>
    <row r="96" spans="1:22" x14ac:dyDescent="0.25">
      <c r="A96" s="27" t="s">
        <v>138</v>
      </c>
      <c r="B96" s="27" t="s">
        <v>872</v>
      </c>
      <c r="C96" s="27" t="s">
        <v>139</v>
      </c>
      <c r="D96" s="32"/>
      <c r="E96" s="32"/>
      <c r="F96" s="32"/>
      <c r="G96" s="32"/>
      <c r="H96" s="32"/>
      <c r="I96" s="32"/>
      <c r="J96" s="32"/>
      <c r="K96" s="32"/>
      <c r="M96" s="42" t="s">
        <v>138</v>
      </c>
      <c r="N96" s="43" t="s">
        <v>872</v>
      </c>
      <c r="O96" s="43" t="s">
        <v>139</v>
      </c>
      <c r="P96" s="44"/>
      <c r="Q96" s="45"/>
      <c r="R96" s="45"/>
      <c r="S96" s="45"/>
      <c r="T96" s="45"/>
      <c r="U96" s="45"/>
      <c r="V96" s="46"/>
    </row>
    <row r="97" spans="1:22" x14ac:dyDescent="0.25">
      <c r="A97" s="27" t="s">
        <v>868</v>
      </c>
      <c r="B97" s="27" t="s">
        <v>872</v>
      </c>
      <c r="C97" s="27" t="s">
        <v>141</v>
      </c>
      <c r="D97" s="32"/>
      <c r="E97" s="32"/>
      <c r="F97" s="32"/>
      <c r="G97" s="32"/>
      <c r="H97" s="32"/>
      <c r="I97" s="32"/>
      <c r="J97" s="32"/>
      <c r="K97" s="32"/>
      <c r="M97" s="42" t="s">
        <v>868</v>
      </c>
      <c r="N97" s="43" t="s">
        <v>872</v>
      </c>
      <c r="O97" s="43" t="s">
        <v>141</v>
      </c>
      <c r="P97" s="44"/>
      <c r="Q97" s="45"/>
      <c r="R97" s="45"/>
      <c r="S97" s="45"/>
      <c r="T97" s="45"/>
      <c r="U97" s="45"/>
      <c r="V97" s="46"/>
    </row>
    <row r="98" spans="1:22" x14ac:dyDescent="0.25">
      <c r="A98" s="27" t="s">
        <v>67</v>
      </c>
      <c r="B98" s="27" t="s">
        <v>872</v>
      </c>
      <c r="C98" s="27" t="s">
        <v>142</v>
      </c>
      <c r="D98" s="32">
        <f>40159+2+1751+1+37+5259</f>
        <v>47209</v>
      </c>
      <c r="E98" s="32">
        <f>111+1+4+2+2</f>
        <v>120</v>
      </c>
      <c r="F98" s="32">
        <v>0</v>
      </c>
      <c r="G98" s="32">
        <v>0</v>
      </c>
      <c r="H98" s="32">
        <v>0</v>
      </c>
      <c r="I98" s="32">
        <v>11657</v>
      </c>
      <c r="J98" s="32">
        <v>4613</v>
      </c>
      <c r="K98" s="32"/>
      <c r="M98" s="42" t="s">
        <v>67</v>
      </c>
      <c r="N98" s="43" t="s">
        <v>872</v>
      </c>
      <c r="O98" s="43" t="s">
        <v>142</v>
      </c>
      <c r="P98" s="44">
        <v>47209</v>
      </c>
      <c r="Q98" s="45">
        <v>120</v>
      </c>
      <c r="R98" s="45">
        <v>0</v>
      </c>
      <c r="S98" s="45">
        <v>0</v>
      </c>
      <c r="T98" s="45">
        <v>0</v>
      </c>
      <c r="U98" s="45">
        <v>11657</v>
      </c>
      <c r="V98" s="46">
        <v>4613</v>
      </c>
    </row>
    <row r="99" spans="1:22" x14ac:dyDescent="0.25">
      <c r="A99" s="27" t="s">
        <v>823</v>
      </c>
      <c r="B99" s="27" t="s">
        <v>872</v>
      </c>
      <c r="C99" s="27" t="s">
        <v>143</v>
      </c>
      <c r="D99" s="32"/>
      <c r="E99" s="32"/>
      <c r="F99" s="32"/>
      <c r="G99" s="32"/>
      <c r="H99" s="32"/>
      <c r="I99" s="32"/>
      <c r="J99" s="32"/>
      <c r="K99" s="32"/>
      <c r="M99" s="42" t="s">
        <v>823</v>
      </c>
      <c r="N99" s="43" t="s">
        <v>872</v>
      </c>
      <c r="O99" s="43" t="s">
        <v>143</v>
      </c>
      <c r="P99" s="44"/>
      <c r="Q99" s="45"/>
      <c r="R99" s="45"/>
      <c r="S99" s="45"/>
      <c r="T99" s="45"/>
      <c r="U99" s="45"/>
      <c r="V99" s="46"/>
    </row>
    <row r="100" spans="1:22" x14ac:dyDescent="0.25">
      <c r="A100" s="27" t="s">
        <v>848</v>
      </c>
      <c r="B100" s="27" t="s">
        <v>872</v>
      </c>
      <c r="C100" s="27" t="s">
        <v>144</v>
      </c>
      <c r="D100" s="32">
        <f>9742+10+6264</f>
        <v>16016</v>
      </c>
      <c r="E100" s="32">
        <f>571+5</f>
        <v>576</v>
      </c>
      <c r="F100" s="32">
        <v>0</v>
      </c>
      <c r="G100" s="32">
        <v>0</v>
      </c>
      <c r="H100" s="32">
        <v>0</v>
      </c>
      <c r="I100" s="32">
        <v>2321</v>
      </c>
      <c r="J100" s="32">
        <v>5549</v>
      </c>
      <c r="K100" s="32"/>
      <c r="M100" s="42" t="s">
        <v>848</v>
      </c>
      <c r="N100" s="43" t="s">
        <v>872</v>
      </c>
      <c r="O100" s="43" t="s">
        <v>144</v>
      </c>
      <c r="P100" s="44">
        <v>16016</v>
      </c>
      <c r="Q100" s="45">
        <v>576</v>
      </c>
      <c r="R100" s="45">
        <v>0</v>
      </c>
      <c r="S100" s="45">
        <v>0</v>
      </c>
      <c r="T100" s="45">
        <v>0</v>
      </c>
      <c r="U100" s="45">
        <v>2321</v>
      </c>
      <c r="V100" s="46">
        <v>5549</v>
      </c>
    </row>
    <row r="101" spans="1:22" x14ac:dyDescent="0.25">
      <c r="A101" s="27" t="s">
        <v>816</v>
      </c>
      <c r="B101" s="27" t="s">
        <v>872</v>
      </c>
      <c r="C101" s="27" t="s">
        <v>145</v>
      </c>
      <c r="D101" s="32">
        <f>50349+1+33+13+33118+1</f>
        <v>83515</v>
      </c>
      <c r="E101" s="32">
        <f>35+52+41+1</f>
        <v>129</v>
      </c>
      <c r="F101" s="32">
        <v>0</v>
      </c>
      <c r="G101" s="32">
        <v>0</v>
      </c>
      <c r="H101" s="32">
        <v>0</v>
      </c>
      <c r="I101" s="32">
        <v>66639</v>
      </c>
      <c r="J101" s="32">
        <v>28829</v>
      </c>
      <c r="K101" s="32"/>
      <c r="M101" s="42" t="s">
        <v>816</v>
      </c>
      <c r="N101" s="43" t="s">
        <v>872</v>
      </c>
      <c r="O101" s="43" t="s">
        <v>145</v>
      </c>
      <c r="P101" s="44">
        <v>83515</v>
      </c>
      <c r="Q101" s="45">
        <v>129</v>
      </c>
      <c r="R101" s="45">
        <v>0</v>
      </c>
      <c r="S101" s="45">
        <v>0</v>
      </c>
      <c r="T101" s="45">
        <v>0</v>
      </c>
      <c r="U101" s="45">
        <v>66639</v>
      </c>
      <c r="V101" s="46">
        <v>28829</v>
      </c>
    </row>
    <row r="102" spans="1:22" x14ac:dyDescent="0.25">
      <c r="A102" s="27" t="s">
        <v>146</v>
      </c>
      <c r="B102" s="27" t="s">
        <v>872</v>
      </c>
      <c r="C102" s="27" t="s">
        <v>147</v>
      </c>
      <c r="D102" s="32"/>
      <c r="E102" s="32"/>
      <c r="F102" s="32"/>
      <c r="G102" s="32"/>
      <c r="H102" s="32"/>
      <c r="I102" s="32"/>
      <c r="J102" s="32"/>
      <c r="K102" s="32"/>
      <c r="M102" s="42" t="s">
        <v>146</v>
      </c>
      <c r="N102" s="43" t="s">
        <v>872</v>
      </c>
      <c r="O102" s="43" t="s">
        <v>147</v>
      </c>
      <c r="P102" s="44"/>
      <c r="Q102" s="45"/>
      <c r="R102" s="45"/>
      <c r="S102" s="45"/>
      <c r="T102" s="45"/>
      <c r="U102" s="45"/>
      <c r="V102" s="46"/>
    </row>
    <row r="103" spans="1:22" x14ac:dyDescent="0.25">
      <c r="A103" s="27" t="s">
        <v>804</v>
      </c>
      <c r="B103" s="27" t="s">
        <v>872</v>
      </c>
      <c r="C103" s="27" t="s">
        <v>148</v>
      </c>
      <c r="D103" s="32">
        <f>85616+4+5+121+22+26651</f>
        <v>112419</v>
      </c>
      <c r="E103" s="32">
        <f>46+4+22+42+2</f>
        <v>116</v>
      </c>
      <c r="F103" s="32">
        <v>0</v>
      </c>
      <c r="G103" s="32">
        <v>0</v>
      </c>
      <c r="H103" s="32">
        <v>0</v>
      </c>
      <c r="I103" s="32">
        <v>119998</v>
      </c>
      <c r="J103" s="32">
        <v>21656</v>
      </c>
      <c r="K103" s="32"/>
      <c r="M103" s="42" t="s">
        <v>804</v>
      </c>
      <c r="N103" s="43" t="s">
        <v>872</v>
      </c>
      <c r="O103" s="43" t="s">
        <v>148</v>
      </c>
      <c r="P103" s="44">
        <v>112419</v>
      </c>
      <c r="Q103" s="45">
        <v>116</v>
      </c>
      <c r="R103" s="45">
        <v>0</v>
      </c>
      <c r="S103" s="45">
        <v>0</v>
      </c>
      <c r="T103" s="45">
        <v>0</v>
      </c>
      <c r="U103" s="45">
        <v>119998</v>
      </c>
      <c r="V103" s="46">
        <v>21656</v>
      </c>
    </row>
    <row r="104" spans="1:22" x14ac:dyDescent="0.25">
      <c r="A104" s="27" t="s">
        <v>817</v>
      </c>
      <c r="B104" s="27" t="s">
        <v>872</v>
      </c>
      <c r="C104" s="27" t="s">
        <v>149</v>
      </c>
      <c r="D104" s="32">
        <f>16822+413+1+16907+2</f>
        <v>34145</v>
      </c>
      <c r="E104" s="32">
        <f>543+3+185+294+2</f>
        <v>1027</v>
      </c>
      <c r="F104" s="32">
        <v>0</v>
      </c>
      <c r="G104" s="32">
        <v>0</v>
      </c>
      <c r="H104" s="32">
        <v>0</v>
      </c>
      <c r="I104" s="32">
        <v>36263</v>
      </c>
      <c r="J104" s="32">
        <v>14389</v>
      </c>
      <c r="K104" s="32"/>
      <c r="M104" s="42" t="s">
        <v>817</v>
      </c>
      <c r="N104" s="43" t="s">
        <v>872</v>
      </c>
      <c r="O104" s="43" t="s">
        <v>149</v>
      </c>
      <c r="P104" s="44">
        <v>34145</v>
      </c>
      <c r="Q104" s="45">
        <v>1027</v>
      </c>
      <c r="R104" s="45">
        <v>0</v>
      </c>
      <c r="S104" s="45">
        <v>0</v>
      </c>
      <c r="T104" s="45">
        <v>0</v>
      </c>
      <c r="U104" s="45">
        <v>36263</v>
      </c>
      <c r="V104" s="46">
        <v>14389</v>
      </c>
    </row>
    <row r="105" spans="1:22" x14ac:dyDescent="0.25">
      <c r="A105" s="27" t="s">
        <v>831</v>
      </c>
      <c r="B105" s="27" t="s">
        <v>872</v>
      </c>
      <c r="C105" s="27" t="s">
        <v>151</v>
      </c>
      <c r="D105" s="32"/>
      <c r="E105" s="32"/>
      <c r="F105" s="32"/>
      <c r="G105" s="32"/>
      <c r="H105" s="32"/>
      <c r="I105" s="32"/>
      <c r="J105" s="32"/>
      <c r="K105" s="32"/>
      <c r="M105" s="42" t="s">
        <v>831</v>
      </c>
      <c r="N105" s="43" t="s">
        <v>872</v>
      </c>
      <c r="O105" s="43" t="s">
        <v>151</v>
      </c>
      <c r="P105" s="44"/>
      <c r="Q105" s="45"/>
      <c r="R105" s="45"/>
      <c r="S105" s="45"/>
      <c r="T105" s="45"/>
      <c r="U105" s="45"/>
      <c r="V105" s="46"/>
    </row>
    <row r="106" spans="1:22" x14ac:dyDescent="0.25">
      <c r="A106" s="27" t="s">
        <v>146</v>
      </c>
      <c r="B106" s="27" t="s">
        <v>872</v>
      </c>
      <c r="C106" s="27" t="s">
        <v>152</v>
      </c>
      <c r="D106" s="32">
        <f>18989+500+4+352+22178</f>
        <v>42023</v>
      </c>
      <c r="E106" s="32">
        <f>20+22+4+162+2</f>
        <v>210</v>
      </c>
      <c r="F106" s="32">
        <v>0</v>
      </c>
      <c r="G106" s="32">
        <v>0</v>
      </c>
      <c r="H106" s="32">
        <v>0</v>
      </c>
      <c r="I106" s="32">
        <v>49327</v>
      </c>
      <c r="J106" s="32">
        <v>16004</v>
      </c>
      <c r="K106" s="32"/>
      <c r="M106" s="42" t="s">
        <v>146</v>
      </c>
      <c r="N106" s="43" t="s">
        <v>872</v>
      </c>
      <c r="O106" s="43" t="s">
        <v>152</v>
      </c>
      <c r="P106" s="44">
        <v>42023</v>
      </c>
      <c r="Q106" s="45">
        <v>210</v>
      </c>
      <c r="R106" s="45">
        <v>0</v>
      </c>
      <c r="S106" s="45">
        <v>0</v>
      </c>
      <c r="T106" s="45">
        <v>0</v>
      </c>
      <c r="U106" s="45">
        <v>49327</v>
      </c>
      <c r="V106" s="46">
        <v>16004</v>
      </c>
    </row>
    <row r="107" spans="1:22" x14ac:dyDescent="0.25">
      <c r="A107" s="27" t="s">
        <v>495</v>
      </c>
      <c r="B107" s="27" t="s">
        <v>872</v>
      </c>
      <c r="C107" s="27" t="s">
        <v>153</v>
      </c>
      <c r="D107" s="32">
        <f>9981+48+2147</f>
        <v>12176</v>
      </c>
      <c r="E107" s="32">
        <f>4+2</f>
        <v>6</v>
      </c>
      <c r="F107" s="32">
        <v>0</v>
      </c>
      <c r="G107" s="32">
        <v>0</v>
      </c>
      <c r="H107" s="32">
        <v>0</v>
      </c>
      <c r="I107" s="32">
        <v>12851</v>
      </c>
      <c r="J107" s="32">
        <v>1607</v>
      </c>
      <c r="K107" s="32"/>
      <c r="M107" s="42" t="s">
        <v>495</v>
      </c>
      <c r="N107" s="43" t="s">
        <v>872</v>
      </c>
      <c r="O107" s="43" t="s">
        <v>153</v>
      </c>
      <c r="P107" s="44">
        <v>12176</v>
      </c>
      <c r="Q107" s="45">
        <v>6</v>
      </c>
      <c r="R107" s="45">
        <v>0</v>
      </c>
      <c r="S107" s="45">
        <v>0</v>
      </c>
      <c r="T107" s="45">
        <v>0</v>
      </c>
      <c r="U107" s="45">
        <v>12851</v>
      </c>
      <c r="V107" s="46">
        <v>1607</v>
      </c>
    </row>
    <row r="108" spans="1:22" x14ac:dyDescent="0.25">
      <c r="A108" s="27" t="s">
        <v>76</v>
      </c>
      <c r="B108" s="27" t="s">
        <v>872</v>
      </c>
      <c r="C108" s="27" t="s">
        <v>154</v>
      </c>
      <c r="D108" s="32">
        <f>32779+348+2+30015+3</f>
        <v>63147</v>
      </c>
      <c r="E108" s="32">
        <f>11+1+494+1</f>
        <v>507</v>
      </c>
      <c r="F108" s="32">
        <v>0</v>
      </c>
      <c r="G108" s="32">
        <v>0</v>
      </c>
      <c r="H108" s="32">
        <v>0</v>
      </c>
      <c r="I108" s="32">
        <v>8703</v>
      </c>
      <c r="J108" s="32">
        <v>22635</v>
      </c>
      <c r="K108" s="32"/>
      <c r="M108" s="42" t="s">
        <v>76</v>
      </c>
      <c r="N108" s="43" t="s">
        <v>872</v>
      </c>
      <c r="O108" s="43" t="s">
        <v>154</v>
      </c>
      <c r="P108" s="44">
        <v>63147</v>
      </c>
      <c r="Q108" s="45">
        <v>507</v>
      </c>
      <c r="R108" s="45">
        <v>0</v>
      </c>
      <c r="S108" s="45">
        <v>0</v>
      </c>
      <c r="T108" s="45">
        <v>0</v>
      </c>
      <c r="U108" s="45">
        <v>8703</v>
      </c>
      <c r="V108" s="46">
        <v>22635</v>
      </c>
    </row>
    <row r="109" spans="1:22" x14ac:dyDescent="0.25">
      <c r="A109" s="27" t="s">
        <v>83</v>
      </c>
      <c r="B109" s="27" t="s">
        <v>872</v>
      </c>
      <c r="C109" s="27" t="s">
        <v>155</v>
      </c>
      <c r="D109" s="32">
        <f>16379+5530</f>
        <v>21909</v>
      </c>
      <c r="E109" s="32">
        <f>10+97</f>
        <v>107</v>
      </c>
      <c r="F109" s="32">
        <v>0</v>
      </c>
      <c r="G109" s="32">
        <v>0</v>
      </c>
      <c r="H109" s="32">
        <v>0</v>
      </c>
      <c r="I109" s="32">
        <v>69233</v>
      </c>
      <c r="J109" s="32">
        <v>4419</v>
      </c>
      <c r="K109" s="32"/>
      <c r="M109" s="42" t="s">
        <v>83</v>
      </c>
      <c r="N109" s="43" t="s">
        <v>872</v>
      </c>
      <c r="O109" s="43" t="s">
        <v>155</v>
      </c>
      <c r="P109" s="44">
        <v>21909</v>
      </c>
      <c r="Q109" s="45">
        <v>107</v>
      </c>
      <c r="R109" s="45">
        <v>0</v>
      </c>
      <c r="S109" s="45">
        <v>0</v>
      </c>
      <c r="T109" s="45">
        <v>0</v>
      </c>
      <c r="U109" s="45">
        <v>69233</v>
      </c>
      <c r="V109" s="46">
        <v>4419</v>
      </c>
    </row>
    <row r="110" spans="1:22" x14ac:dyDescent="0.25">
      <c r="A110" s="27" t="s">
        <v>138</v>
      </c>
      <c r="B110" s="27" t="s">
        <v>872</v>
      </c>
      <c r="C110" s="27" t="s">
        <v>156</v>
      </c>
      <c r="D110" s="32"/>
      <c r="E110" s="32"/>
      <c r="F110" s="32"/>
      <c r="G110" s="32"/>
      <c r="H110" s="32"/>
      <c r="I110" s="32"/>
      <c r="J110" s="32"/>
      <c r="K110" s="32"/>
      <c r="M110" s="42" t="s">
        <v>138</v>
      </c>
      <c r="N110" s="43" t="s">
        <v>872</v>
      </c>
      <c r="O110" s="43" t="s">
        <v>156</v>
      </c>
      <c r="P110" s="44"/>
      <c r="Q110" s="45"/>
      <c r="R110" s="45"/>
      <c r="S110" s="45"/>
      <c r="T110" s="45"/>
      <c r="U110" s="45"/>
      <c r="V110" s="46"/>
    </row>
    <row r="111" spans="1:22" x14ac:dyDescent="0.25">
      <c r="A111" s="27" t="s">
        <v>831</v>
      </c>
      <c r="B111" s="27" t="s">
        <v>872</v>
      </c>
      <c r="C111" s="27" t="s">
        <v>157</v>
      </c>
      <c r="D111" s="32"/>
      <c r="E111" s="32"/>
      <c r="F111" s="32"/>
      <c r="G111" s="32"/>
      <c r="H111" s="32"/>
      <c r="I111" s="32"/>
      <c r="J111" s="32"/>
      <c r="K111" s="32"/>
      <c r="M111" s="42" t="s">
        <v>831</v>
      </c>
      <c r="N111" s="43" t="s">
        <v>872</v>
      </c>
      <c r="O111" s="43" t="s">
        <v>157</v>
      </c>
      <c r="P111" s="44"/>
      <c r="Q111" s="45"/>
      <c r="R111" s="45"/>
      <c r="S111" s="45"/>
      <c r="T111" s="45"/>
      <c r="U111" s="45"/>
      <c r="V111" s="46"/>
    </row>
    <row r="112" spans="1:22" x14ac:dyDescent="0.25">
      <c r="A112" s="27" t="s">
        <v>818</v>
      </c>
      <c r="B112" s="27" t="s">
        <v>872</v>
      </c>
      <c r="C112" s="27" t="s">
        <v>158</v>
      </c>
      <c r="D112" s="32">
        <f>24544+664+156+5225</f>
        <v>30589</v>
      </c>
      <c r="E112" s="32">
        <v>14</v>
      </c>
      <c r="F112" s="32">
        <v>0</v>
      </c>
      <c r="G112" s="32">
        <v>0</v>
      </c>
      <c r="H112" s="32">
        <v>0</v>
      </c>
      <c r="I112" s="32">
        <v>18947</v>
      </c>
      <c r="J112" s="32">
        <v>4573</v>
      </c>
      <c r="K112" s="32"/>
      <c r="M112" s="42" t="s">
        <v>818</v>
      </c>
      <c r="N112" s="43" t="s">
        <v>872</v>
      </c>
      <c r="O112" s="43" t="s">
        <v>158</v>
      </c>
      <c r="P112" s="44">
        <v>30589</v>
      </c>
      <c r="Q112" s="45">
        <v>14</v>
      </c>
      <c r="R112" s="45">
        <v>0</v>
      </c>
      <c r="S112" s="45">
        <v>0</v>
      </c>
      <c r="T112" s="45">
        <v>0</v>
      </c>
      <c r="U112" s="45">
        <v>18947</v>
      </c>
      <c r="V112" s="46">
        <v>4573</v>
      </c>
    </row>
    <row r="113" spans="1:22" x14ac:dyDescent="0.25">
      <c r="A113" s="27" t="s">
        <v>134</v>
      </c>
      <c r="B113" s="27" t="s">
        <v>872</v>
      </c>
      <c r="C113" s="27" t="s">
        <v>159</v>
      </c>
      <c r="D113" s="32">
        <f>8005+1+1+1+10+2453</f>
        <v>10471</v>
      </c>
      <c r="E113" s="32">
        <f>84+6</f>
        <v>90</v>
      </c>
      <c r="F113" s="32">
        <v>0</v>
      </c>
      <c r="G113" s="32">
        <v>0</v>
      </c>
      <c r="H113" s="32">
        <v>0</v>
      </c>
      <c r="I113" s="32">
        <v>11754</v>
      </c>
      <c r="J113" s="32">
        <v>1746</v>
      </c>
      <c r="K113" s="32"/>
      <c r="M113" s="42" t="s">
        <v>134</v>
      </c>
      <c r="N113" s="43" t="s">
        <v>872</v>
      </c>
      <c r="O113" s="43" t="s">
        <v>159</v>
      </c>
      <c r="P113" s="44">
        <v>10471</v>
      </c>
      <c r="Q113" s="45">
        <v>90</v>
      </c>
      <c r="R113" s="45">
        <v>0</v>
      </c>
      <c r="S113" s="45">
        <v>0</v>
      </c>
      <c r="T113" s="45">
        <v>0</v>
      </c>
      <c r="U113" s="45">
        <v>11754</v>
      </c>
      <c r="V113" s="46">
        <v>1746</v>
      </c>
    </row>
    <row r="114" spans="1:22" x14ac:dyDescent="0.25">
      <c r="A114" s="27" t="s">
        <v>72</v>
      </c>
      <c r="B114" s="27" t="s">
        <v>872</v>
      </c>
      <c r="C114" s="27" t="s">
        <v>160</v>
      </c>
      <c r="D114" s="32">
        <f>56637+20+31324</f>
        <v>87981</v>
      </c>
      <c r="E114" s="32">
        <f>198+56+7+131+503+889</f>
        <v>1784</v>
      </c>
      <c r="F114" s="32">
        <v>0</v>
      </c>
      <c r="G114" s="32">
        <v>0</v>
      </c>
      <c r="H114" s="32">
        <v>0</v>
      </c>
      <c r="I114" s="32">
        <v>32492</v>
      </c>
      <c r="J114" s="32">
        <v>26412</v>
      </c>
      <c r="K114" s="32"/>
      <c r="M114" s="42" t="s">
        <v>72</v>
      </c>
      <c r="N114" s="43" t="s">
        <v>872</v>
      </c>
      <c r="O114" s="43" t="s">
        <v>160</v>
      </c>
      <c r="P114" s="44">
        <v>87981</v>
      </c>
      <c r="Q114" s="45">
        <v>1784</v>
      </c>
      <c r="R114" s="45">
        <v>0</v>
      </c>
      <c r="S114" s="45">
        <v>0</v>
      </c>
      <c r="T114" s="45">
        <v>0</v>
      </c>
      <c r="U114" s="45">
        <v>32492</v>
      </c>
      <c r="V114" s="46">
        <v>26412</v>
      </c>
    </row>
    <row r="115" spans="1:22" x14ac:dyDescent="0.25">
      <c r="A115" s="27" t="s">
        <v>226</v>
      </c>
      <c r="B115" s="27" t="s">
        <v>872</v>
      </c>
      <c r="C115" s="27" t="s">
        <v>161</v>
      </c>
      <c r="D115" s="32">
        <f>6135+26+44+322</f>
        <v>6527</v>
      </c>
      <c r="E115" s="32">
        <v>1</v>
      </c>
      <c r="F115" s="32">
        <v>0</v>
      </c>
      <c r="G115" s="32">
        <v>0</v>
      </c>
      <c r="H115" s="32">
        <v>0</v>
      </c>
      <c r="I115" s="32">
        <v>1242</v>
      </c>
      <c r="J115" s="32">
        <v>318</v>
      </c>
      <c r="K115" s="32"/>
      <c r="M115" s="42" t="s">
        <v>226</v>
      </c>
      <c r="N115" s="43" t="s">
        <v>872</v>
      </c>
      <c r="O115" s="43" t="s">
        <v>161</v>
      </c>
      <c r="P115" s="44">
        <v>6527</v>
      </c>
      <c r="Q115" s="45">
        <v>1</v>
      </c>
      <c r="R115" s="45">
        <v>0</v>
      </c>
      <c r="S115" s="45">
        <v>0</v>
      </c>
      <c r="T115" s="45">
        <v>0</v>
      </c>
      <c r="U115" s="45">
        <v>1242</v>
      </c>
      <c r="V115" s="46">
        <v>318</v>
      </c>
    </row>
    <row r="116" spans="1:22" x14ac:dyDescent="0.25">
      <c r="A116" s="27" t="s">
        <v>791</v>
      </c>
      <c r="B116" s="27" t="s">
        <v>872</v>
      </c>
      <c r="C116" s="27" t="s">
        <v>162</v>
      </c>
      <c r="D116" s="32">
        <f>19131+1+101+1+1+3+34+1+217+9709</f>
        <v>29199</v>
      </c>
      <c r="E116" s="32">
        <f>59+9+1+138</f>
        <v>207</v>
      </c>
      <c r="F116" s="32">
        <v>0</v>
      </c>
      <c r="G116" s="32">
        <v>0</v>
      </c>
      <c r="H116" s="32">
        <v>0</v>
      </c>
      <c r="I116" s="32">
        <v>10908</v>
      </c>
      <c r="J116" s="32">
        <v>8931</v>
      </c>
      <c r="K116" s="32"/>
      <c r="M116" s="42" t="s">
        <v>791</v>
      </c>
      <c r="N116" s="43" t="s">
        <v>872</v>
      </c>
      <c r="O116" s="43" t="s">
        <v>162</v>
      </c>
      <c r="P116" s="44">
        <v>29199</v>
      </c>
      <c r="Q116" s="45">
        <v>207</v>
      </c>
      <c r="R116" s="45">
        <v>0</v>
      </c>
      <c r="S116" s="45">
        <v>0</v>
      </c>
      <c r="T116" s="45">
        <v>0</v>
      </c>
      <c r="U116" s="45">
        <v>10908</v>
      </c>
      <c r="V116" s="46">
        <v>8931</v>
      </c>
    </row>
    <row r="117" spans="1:22" x14ac:dyDescent="0.25">
      <c r="A117" s="27" t="s">
        <v>811</v>
      </c>
      <c r="B117" s="27" t="s">
        <v>872</v>
      </c>
      <c r="C117" s="27" t="s">
        <v>163</v>
      </c>
      <c r="D117" s="32">
        <f>46793+4+2+1+8+36+31552</f>
        <v>78396</v>
      </c>
      <c r="E117" s="32">
        <f>1452+24+4+329+29</f>
        <v>1838</v>
      </c>
      <c r="F117" s="32">
        <v>0</v>
      </c>
      <c r="G117" s="32">
        <v>0</v>
      </c>
      <c r="H117" s="32">
        <v>0</v>
      </c>
      <c r="I117" s="32">
        <v>66207</v>
      </c>
      <c r="J117" s="32">
        <v>26644</v>
      </c>
      <c r="K117" s="32"/>
      <c r="M117" s="42" t="s">
        <v>811</v>
      </c>
      <c r="N117" s="43" t="s">
        <v>872</v>
      </c>
      <c r="O117" s="43" t="s">
        <v>163</v>
      </c>
      <c r="P117" s="44">
        <v>78396</v>
      </c>
      <c r="Q117" s="45">
        <v>1838</v>
      </c>
      <c r="R117" s="45">
        <v>0</v>
      </c>
      <c r="S117" s="45">
        <v>0</v>
      </c>
      <c r="T117" s="45">
        <v>0</v>
      </c>
      <c r="U117" s="45">
        <v>66207</v>
      </c>
      <c r="V117" s="46">
        <v>26644</v>
      </c>
    </row>
    <row r="118" spans="1:22" x14ac:dyDescent="0.25">
      <c r="A118" s="27" t="s">
        <v>791</v>
      </c>
      <c r="B118" s="27" t="s">
        <v>872</v>
      </c>
      <c r="C118" s="27" t="s">
        <v>164</v>
      </c>
      <c r="D118" s="32">
        <f>51342+2+18+18877</f>
        <v>70239</v>
      </c>
      <c r="E118" s="32">
        <f>89+36+36+38</f>
        <v>199</v>
      </c>
      <c r="F118" s="32">
        <v>0</v>
      </c>
      <c r="G118" s="32">
        <v>0</v>
      </c>
      <c r="H118" s="32">
        <v>0</v>
      </c>
      <c r="I118" s="32">
        <v>34865</v>
      </c>
      <c r="J118" s="32">
        <v>16040</v>
      </c>
      <c r="K118" s="32"/>
      <c r="M118" s="42" t="s">
        <v>791</v>
      </c>
      <c r="N118" s="43" t="s">
        <v>872</v>
      </c>
      <c r="O118" s="43" t="s">
        <v>164</v>
      </c>
      <c r="P118" s="44">
        <v>70239</v>
      </c>
      <c r="Q118" s="45">
        <v>199</v>
      </c>
      <c r="R118" s="45">
        <v>0</v>
      </c>
      <c r="S118" s="45">
        <v>0</v>
      </c>
      <c r="T118" s="45">
        <v>0</v>
      </c>
      <c r="U118" s="45">
        <v>34865</v>
      </c>
      <c r="V118" s="46">
        <v>16040</v>
      </c>
    </row>
    <row r="119" spans="1:22" x14ac:dyDescent="0.25">
      <c r="A119" s="27" t="s">
        <v>83</v>
      </c>
      <c r="B119" s="27" t="s">
        <v>872</v>
      </c>
      <c r="C119" s="27" t="s">
        <v>165</v>
      </c>
      <c r="D119" s="32">
        <f>10672+5019</f>
        <v>15691</v>
      </c>
      <c r="E119" s="32">
        <f>118+24+13</f>
        <v>155</v>
      </c>
      <c r="F119" s="32">
        <v>0</v>
      </c>
      <c r="G119" s="32">
        <v>0</v>
      </c>
      <c r="H119" s="32">
        <v>0</v>
      </c>
      <c r="I119" s="32">
        <v>6513</v>
      </c>
      <c r="J119" s="32">
        <v>2911</v>
      </c>
      <c r="K119" s="32"/>
      <c r="M119" s="42" t="s">
        <v>83</v>
      </c>
      <c r="N119" s="43" t="s">
        <v>872</v>
      </c>
      <c r="O119" s="43" t="s">
        <v>165</v>
      </c>
      <c r="P119" s="44">
        <v>15691</v>
      </c>
      <c r="Q119" s="45">
        <v>155</v>
      </c>
      <c r="R119" s="45">
        <v>0</v>
      </c>
      <c r="S119" s="45">
        <v>0</v>
      </c>
      <c r="T119" s="45">
        <v>0</v>
      </c>
      <c r="U119" s="45">
        <v>6513</v>
      </c>
      <c r="V119" s="46">
        <v>2911</v>
      </c>
    </row>
    <row r="120" spans="1:22" ht="15.75" x14ac:dyDescent="0.25">
      <c r="A120" s="27" t="s">
        <v>818</v>
      </c>
      <c r="B120" s="27" t="s">
        <v>872</v>
      </c>
      <c r="C120" s="27" t="s">
        <v>166</v>
      </c>
      <c r="D120" s="32">
        <f>9059+1179+2+34+917</f>
        <v>11191</v>
      </c>
      <c r="E120" s="32">
        <f>10+8+2</f>
        <v>20</v>
      </c>
      <c r="F120" s="32">
        <v>0</v>
      </c>
      <c r="G120" s="32">
        <v>0</v>
      </c>
      <c r="H120" s="32">
        <v>0</v>
      </c>
      <c r="I120" s="32">
        <v>12119</v>
      </c>
      <c r="J120" s="32">
        <v>821</v>
      </c>
      <c r="K120" s="32"/>
      <c r="M120" s="42" t="s">
        <v>818</v>
      </c>
      <c r="N120" s="43" t="s">
        <v>872</v>
      </c>
      <c r="O120" s="43" t="s">
        <v>166</v>
      </c>
      <c r="P120" s="47">
        <v>11191</v>
      </c>
      <c r="Q120" s="45">
        <v>20</v>
      </c>
      <c r="R120" s="45">
        <v>0</v>
      </c>
      <c r="S120" s="45">
        <v>0</v>
      </c>
      <c r="T120" s="45">
        <v>0</v>
      </c>
      <c r="U120" s="45">
        <v>12119</v>
      </c>
      <c r="V120" s="46">
        <v>821</v>
      </c>
    </row>
    <row r="121" spans="1:22" x14ac:dyDescent="0.25">
      <c r="A121" s="27" t="s">
        <v>801</v>
      </c>
      <c r="B121" s="27" t="s">
        <v>872</v>
      </c>
      <c r="C121" s="27" t="s">
        <v>167</v>
      </c>
      <c r="D121" s="32"/>
      <c r="E121" s="32"/>
      <c r="F121" s="32"/>
      <c r="G121" s="32"/>
      <c r="H121" s="32"/>
      <c r="I121" s="32"/>
      <c r="J121" s="32"/>
      <c r="K121" s="32"/>
      <c r="M121" s="42" t="s">
        <v>801</v>
      </c>
      <c r="N121" s="43" t="s">
        <v>872</v>
      </c>
      <c r="O121" s="43" t="s">
        <v>167</v>
      </c>
      <c r="P121" s="44"/>
      <c r="Q121" s="45"/>
      <c r="R121" s="45"/>
      <c r="S121" s="45"/>
      <c r="T121" s="45"/>
      <c r="U121" s="45"/>
      <c r="V121" s="46"/>
    </row>
    <row r="122" spans="1:22" x14ac:dyDescent="0.25">
      <c r="A122" s="27" t="s">
        <v>826</v>
      </c>
      <c r="B122" s="27" t="s">
        <v>872</v>
      </c>
      <c r="C122" s="27" t="s">
        <v>168</v>
      </c>
      <c r="D122" s="32"/>
      <c r="E122" s="32"/>
      <c r="F122" s="32"/>
      <c r="G122" s="32"/>
      <c r="H122" s="32"/>
      <c r="I122" s="32"/>
      <c r="J122" s="32"/>
      <c r="K122" s="32"/>
      <c r="M122" s="42" t="s">
        <v>826</v>
      </c>
      <c r="N122" s="43" t="s">
        <v>872</v>
      </c>
      <c r="O122" s="43" t="s">
        <v>168</v>
      </c>
      <c r="P122" s="44"/>
      <c r="Q122" s="45"/>
      <c r="R122" s="45"/>
      <c r="S122" s="45"/>
      <c r="T122" s="45"/>
      <c r="U122" s="45"/>
      <c r="V122" s="46"/>
    </row>
    <row r="123" spans="1:22" x14ac:dyDescent="0.25">
      <c r="A123" s="27" t="s">
        <v>848</v>
      </c>
      <c r="B123" s="27" t="s">
        <v>872</v>
      </c>
      <c r="C123" s="27" t="s">
        <v>169</v>
      </c>
      <c r="D123" s="32">
        <f>8047+1+35+2+4+33+4249+1</f>
        <v>12372</v>
      </c>
      <c r="E123" s="32">
        <f>73+2+39+36+1</f>
        <v>151</v>
      </c>
      <c r="F123" s="32">
        <v>0</v>
      </c>
      <c r="G123" s="32">
        <v>0</v>
      </c>
      <c r="H123" s="32">
        <v>0</v>
      </c>
      <c r="I123" s="32">
        <v>2542</v>
      </c>
      <c r="J123" s="32">
        <v>4129</v>
      </c>
      <c r="K123" s="32"/>
      <c r="M123" s="42" t="s">
        <v>848</v>
      </c>
      <c r="N123" s="43" t="s">
        <v>872</v>
      </c>
      <c r="O123" s="43" t="s">
        <v>169</v>
      </c>
      <c r="P123" s="44">
        <v>12372</v>
      </c>
      <c r="Q123" s="45">
        <v>151</v>
      </c>
      <c r="R123" s="45">
        <v>0</v>
      </c>
      <c r="S123" s="45">
        <v>0</v>
      </c>
      <c r="T123" s="45">
        <v>0</v>
      </c>
      <c r="U123" s="45">
        <v>2542</v>
      </c>
      <c r="V123" s="46">
        <v>4129</v>
      </c>
    </row>
    <row r="124" spans="1:22" x14ac:dyDescent="0.25">
      <c r="A124" s="27" t="s">
        <v>811</v>
      </c>
      <c r="B124" s="27" t="s">
        <v>872</v>
      </c>
      <c r="C124" s="27" t="s">
        <v>170</v>
      </c>
      <c r="D124" s="32">
        <f>33765+1047+49+18276</f>
        <v>53137</v>
      </c>
      <c r="E124" s="32">
        <f>778+88+7+11+23</f>
        <v>907</v>
      </c>
      <c r="F124" s="32">
        <v>0</v>
      </c>
      <c r="G124" s="32">
        <v>0</v>
      </c>
      <c r="H124" s="32">
        <v>0</v>
      </c>
      <c r="I124" s="32">
        <v>17994</v>
      </c>
      <c r="J124" s="32">
        <v>15890</v>
      </c>
      <c r="K124" s="32"/>
      <c r="M124" s="42" t="s">
        <v>811</v>
      </c>
      <c r="N124" s="43" t="s">
        <v>872</v>
      </c>
      <c r="O124" s="43" t="s">
        <v>170</v>
      </c>
      <c r="P124" s="44">
        <v>53137</v>
      </c>
      <c r="Q124" s="45">
        <v>907</v>
      </c>
      <c r="R124" s="45">
        <v>0</v>
      </c>
      <c r="S124" s="45">
        <v>0</v>
      </c>
      <c r="T124" s="45">
        <v>0</v>
      </c>
      <c r="U124" s="45">
        <v>17994</v>
      </c>
      <c r="V124" s="46">
        <v>15890</v>
      </c>
    </row>
    <row r="125" spans="1:22" x14ac:dyDescent="0.25">
      <c r="A125" s="27" t="s">
        <v>512</v>
      </c>
      <c r="B125" s="27" t="s">
        <v>872</v>
      </c>
      <c r="C125" s="27" t="s">
        <v>171</v>
      </c>
      <c r="D125" s="32">
        <f>10546+6123</f>
        <v>16669</v>
      </c>
      <c r="E125" s="32">
        <v>3</v>
      </c>
      <c r="F125" s="32">
        <v>0</v>
      </c>
      <c r="G125" s="32">
        <v>0</v>
      </c>
      <c r="H125" s="32">
        <v>0</v>
      </c>
      <c r="I125" s="32">
        <v>5266</v>
      </c>
      <c r="J125" s="32">
        <v>3765</v>
      </c>
      <c r="K125" s="32"/>
      <c r="M125" s="42" t="s">
        <v>512</v>
      </c>
      <c r="N125" s="43" t="s">
        <v>872</v>
      </c>
      <c r="O125" s="43" t="s">
        <v>171</v>
      </c>
      <c r="P125" s="44">
        <v>16669</v>
      </c>
      <c r="Q125" s="45">
        <v>3</v>
      </c>
      <c r="R125" s="45">
        <v>0</v>
      </c>
      <c r="S125" s="45">
        <v>0</v>
      </c>
      <c r="T125" s="45">
        <v>0</v>
      </c>
      <c r="U125" s="45">
        <v>5266</v>
      </c>
      <c r="V125" s="46">
        <v>3765</v>
      </c>
    </row>
    <row r="126" spans="1:22" x14ac:dyDescent="0.25">
      <c r="A126" s="27" t="s">
        <v>848</v>
      </c>
      <c r="B126" s="27" t="s">
        <v>872</v>
      </c>
      <c r="C126" s="27" t="s">
        <v>172</v>
      </c>
      <c r="D126" s="32">
        <f>8043+3764</f>
        <v>11807</v>
      </c>
      <c r="E126" s="32">
        <f>1+4+4</f>
        <v>9</v>
      </c>
      <c r="F126" s="32">
        <v>0</v>
      </c>
      <c r="G126" s="32">
        <v>0</v>
      </c>
      <c r="H126" s="32">
        <v>0</v>
      </c>
      <c r="I126" s="32">
        <v>4516</v>
      </c>
      <c r="J126" s="32">
        <v>1730</v>
      </c>
      <c r="K126" s="32"/>
      <c r="M126" s="42" t="s">
        <v>848</v>
      </c>
      <c r="N126" s="43" t="s">
        <v>872</v>
      </c>
      <c r="O126" s="43" t="s">
        <v>172</v>
      </c>
      <c r="P126" s="44">
        <v>11807</v>
      </c>
      <c r="Q126" s="45">
        <v>9</v>
      </c>
      <c r="R126" s="45">
        <v>0</v>
      </c>
      <c r="S126" s="45">
        <v>0</v>
      </c>
      <c r="T126" s="45">
        <v>0</v>
      </c>
      <c r="U126" s="45">
        <v>4516</v>
      </c>
      <c r="V126" s="46">
        <v>1730</v>
      </c>
    </row>
    <row r="127" spans="1:22" x14ac:dyDescent="0.25">
      <c r="A127" s="27" t="s">
        <v>801</v>
      </c>
      <c r="B127" s="27" t="s">
        <v>872</v>
      </c>
      <c r="C127" s="27" t="s">
        <v>173</v>
      </c>
      <c r="D127" s="32"/>
      <c r="E127" s="32"/>
      <c r="F127" s="32"/>
      <c r="G127" s="32"/>
      <c r="H127" s="32"/>
      <c r="I127" s="32"/>
      <c r="J127" s="32"/>
      <c r="K127" s="32"/>
      <c r="M127" s="42" t="s">
        <v>801</v>
      </c>
      <c r="N127" s="43" t="s">
        <v>872</v>
      </c>
      <c r="O127" s="43" t="s">
        <v>173</v>
      </c>
      <c r="P127" s="44"/>
      <c r="Q127" s="45"/>
      <c r="R127" s="45"/>
      <c r="S127" s="45"/>
      <c r="T127" s="45"/>
      <c r="U127" s="45"/>
      <c r="V127" s="46"/>
    </row>
    <row r="128" spans="1:22" x14ac:dyDescent="0.25">
      <c r="A128" s="27" t="s">
        <v>864</v>
      </c>
      <c r="B128" s="27" t="s">
        <v>872</v>
      </c>
      <c r="C128" s="27" t="s">
        <v>174</v>
      </c>
      <c r="D128" s="32">
        <f>21737+3+70+6+7281+2</f>
        <v>29099</v>
      </c>
      <c r="E128" s="32">
        <f>24+26+35+18</f>
        <v>103</v>
      </c>
      <c r="F128" s="32">
        <v>0</v>
      </c>
      <c r="G128" s="32">
        <v>0</v>
      </c>
      <c r="H128" s="32">
        <v>0</v>
      </c>
      <c r="I128" s="32">
        <v>23380</v>
      </c>
      <c r="J128" s="32">
        <v>5995</v>
      </c>
      <c r="K128" s="32"/>
      <c r="M128" s="42" t="s">
        <v>864</v>
      </c>
      <c r="N128" s="43" t="s">
        <v>872</v>
      </c>
      <c r="O128" s="43" t="s">
        <v>174</v>
      </c>
      <c r="P128" s="44">
        <v>29099</v>
      </c>
      <c r="Q128" s="45">
        <v>103</v>
      </c>
      <c r="R128" s="45">
        <v>0</v>
      </c>
      <c r="S128" s="45">
        <v>0</v>
      </c>
      <c r="T128" s="45">
        <v>0</v>
      </c>
      <c r="U128" s="45">
        <v>23380</v>
      </c>
      <c r="V128" s="46">
        <v>5995</v>
      </c>
    </row>
    <row r="129" spans="1:22" x14ac:dyDescent="0.25">
      <c r="A129" s="27" t="s">
        <v>226</v>
      </c>
      <c r="B129" s="27" t="s">
        <v>872</v>
      </c>
      <c r="C129" s="27" t="s">
        <v>175</v>
      </c>
      <c r="D129" s="32">
        <f>3948+24+18+1213</f>
        <v>5203</v>
      </c>
      <c r="E129" s="32">
        <v>344</v>
      </c>
      <c r="F129" s="32">
        <v>0</v>
      </c>
      <c r="G129" s="32">
        <v>0</v>
      </c>
      <c r="H129" s="32">
        <v>0</v>
      </c>
      <c r="I129" s="32">
        <v>1925</v>
      </c>
      <c r="J129" s="32">
        <v>1019</v>
      </c>
      <c r="K129" s="32"/>
      <c r="M129" s="42" t="s">
        <v>226</v>
      </c>
      <c r="N129" s="43" t="s">
        <v>872</v>
      </c>
      <c r="O129" s="43" t="s">
        <v>175</v>
      </c>
      <c r="P129" s="44">
        <v>5203</v>
      </c>
      <c r="Q129" s="45">
        <v>344</v>
      </c>
      <c r="R129" s="45">
        <v>0</v>
      </c>
      <c r="S129" s="45">
        <v>0</v>
      </c>
      <c r="T129" s="45">
        <v>0</v>
      </c>
      <c r="U129" s="45">
        <v>1925</v>
      </c>
      <c r="V129" s="46">
        <v>1019</v>
      </c>
    </row>
    <row r="130" spans="1:22" x14ac:dyDescent="0.25">
      <c r="A130" s="27" t="s">
        <v>794</v>
      </c>
      <c r="B130" s="27" t="s">
        <v>872</v>
      </c>
      <c r="C130" s="27" t="s">
        <v>176</v>
      </c>
      <c r="D130" s="32"/>
      <c r="E130" s="32"/>
      <c r="F130" s="32"/>
      <c r="G130" s="32"/>
      <c r="H130" s="32"/>
      <c r="I130" s="32"/>
      <c r="J130" s="32"/>
      <c r="K130" s="32"/>
      <c r="M130" s="42" t="s">
        <v>794</v>
      </c>
      <c r="N130" s="43" t="s">
        <v>872</v>
      </c>
      <c r="O130" s="43" t="s">
        <v>176</v>
      </c>
      <c r="P130" s="44"/>
      <c r="Q130" s="45"/>
      <c r="R130" s="45"/>
      <c r="S130" s="45"/>
      <c r="T130" s="45"/>
      <c r="U130" s="45"/>
      <c r="V130" s="46"/>
    </row>
    <row r="131" spans="1:22" x14ac:dyDescent="0.25">
      <c r="A131" s="27" t="s">
        <v>248</v>
      </c>
      <c r="B131" s="27" t="s">
        <v>872</v>
      </c>
      <c r="C131" s="27" t="s">
        <v>177</v>
      </c>
      <c r="D131" s="32">
        <f>21598+3+1+12+2+19+5+64+11957</f>
        <v>33661</v>
      </c>
      <c r="E131" s="32">
        <f>25+2+10+107+61</f>
        <v>205</v>
      </c>
      <c r="F131" s="32">
        <v>0</v>
      </c>
      <c r="G131" s="32">
        <v>0</v>
      </c>
      <c r="H131" s="32">
        <v>0</v>
      </c>
      <c r="I131" s="32">
        <v>33249</v>
      </c>
      <c r="J131" s="32">
        <v>9067</v>
      </c>
      <c r="K131" s="32"/>
      <c r="M131" s="42" t="s">
        <v>248</v>
      </c>
      <c r="N131" s="43" t="s">
        <v>872</v>
      </c>
      <c r="O131" s="43" t="s">
        <v>177</v>
      </c>
      <c r="P131" s="44">
        <v>33661</v>
      </c>
      <c r="Q131" s="45">
        <v>205</v>
      </c>
      <c r="R131" s="45">
        <v>0</v>
      </c>
      <c r="S131" s="45">
        <v>0</v>
      </c>
      <c r="T131" s="45">
        <v>0</v>
      </c>
      <c r="U131" s="45">
        <v>33249</v>
      </c>
      <c r="V131" s="46">
        <v>9067</v>
      </c>
    </row>
    <row r="132" spans="1:22" x14ac:dyDescent="0.25">
      <c r="A132" s="27" t="s">
        <v>83</v>
      </c>
      <c r="B132" s="27" t="s">
        <v>872</v>
      </c>
      <c r="C132" s="27" t="s">
        <v>178</v>
      </c>
      <c r="D132" s="32">
        <f>50298+103+31+2+1+11666</f>
        <v>62101</v>
      </c>
      <c r="E132" s="32">
        <f>611+26+33</f>
        <v>670</v>
      </c>
      <c r="F132" s="32">
        <v>0</v>
      </c>
      <c r="G132" s="32">
        <v>0</v>
      </c>
      <c r="H132" s="32">
        <v>0</v>
      </c>
      <c r="I132" s="32">
        <v>76076</v>
      </c>
      <c r="J132" s="32">
        <v>10668</v>
      </c>
      <c r="K132" s="32"/>
      <c r="M132" s="42" t="s">
        <v>83</v>
      </c>
      <c r="N132" s="43" t="s">
        <v>872</v>
      </c>
      <c r="O132" s="43" t="s">
        <v>178</v>
      </c>
      <c r="P132" s="44">
        <v>62101</v>
      </c>
      <c r="Q132" s="45">
        <v>670</v>
      </c>
      <c r="R132" s="45">
        <v>0</v>
      </c>
      <c r="S132" s="45">
        <v>0</v>
      </c>
      <c r="T132" s="45">
        <v>0</v>
      </c>
      <c r="U132" s="45">
        <v>76076</v>
      </c>
      <c r="V132" s="46">
        <v>10668</v>
      </c>
    </row>
    <row r="133" spans="1:22" x14ac:dyDescent="0.25">
      <c r="A133" s="27" t="s">
        <v>823</v>
      </c>
      <c r="B133" s="27" t="s">
        <v>872</v>
      </c>
      <c r="C133" s="27" t="s">
        <v>179</v>
      </c>
      <c r="D133" s="32"/>
      <c r="E133" s="32"/>
      <c r="F133" s="32"/>
      <c r="G133" s="32"/>
      <c r="H133" s="32"/>
      <c r="I133" s="32"/>
      <c r="J133" s="32"/>
      <c r="K133" s="32"/>
      <c r="M133" s="42" t="s">
        <v>823</v>
      </c>
      <c r="N133" s="43" t="s">
        <v>872</v>
      </c>
      <c r="O133" s="43" t="s">
        <v>179</v>
      </c>
      <c r="P133" s="44"/>
      <c r="Q133" s="45"/>
      <c r="R133" s="45"/>
      <c r="S133" s="45"/>
      <c r="T133" s="45"/>
      <c r="U133" s="45"/>
      <c r="V133" s="46"/>
    </row>
    <row r="134" spans="1:22" x14ac:dyDescent="0.25">
      <c r="A134" s="27" t="s">
        <v>795</v>
      </c>
      <c r="B134" s="27" t="s">
        <v>872</v>
      </c>
      <c r="C134" s="27" t="s">
        <v>180</v>
      </c>
      <c r="D134" s="32">
        <f>93124+16+50700</f>
        <v>143840</v>
      </c>
      <c r="E134" s="32">
        <f>24+67</f>
        <v>91</v>
      </c>
      <c r="F134" s="32">
        <v>0</v>
      </c>
      <c r="G134" s="32">
        <v>0</v>
      </c>
      <c r="H134" s="32">
        <v>0</v>
      </c>
      <c r="I134" s="32">
        <v>75156</v>
      </c>
      <c r="J134" s="32">
        <v>47543</v>
      </c>
      <c r="K134" s="32"/>
      <c r="M134" s="42" t="s">
        <v>795</v>
      </c>
      <c r="N134" s="43" t="s">
        <v>872</v>
      </c>
      <c r="O134" s="43" t="s">
        <v>180</v>
      </c>
      <c r="P134" s="44">
        <v>143840</v>
      </c>
      <c r="Q134" s="45">
        <v>91</v>
      </c>
      <c r="R134" s="45">
        <v>0</v>
      </c>
      <c r="S134" s="45">
        <v>0</v>
      </c>
      <c r="T134" s="45">
        <v>0</v>
      </c>
      <c r="U134" s="45">
        <v>75156</v>
      </c>
      <c r="V134" s="46">
        <v>47543</v>
      </c>
    </row>
    <row r="135" spans="1:22" x14ac:dyDescent="0.25">
      <c r="A135" s="27" t="s">
        <v>791</v>
      </c>
      <c r="B135" s="27" t="s">
        <v>872</v>
      </c>
      <c r="C135" s="27" t="s">
        <v>181</v>
      </c>
      <c r="D135" s="32">
        <f>4995+60+4+1+8+55+7723+1</f>
        <v>12847</v>
      </c>
      <c r="E135" s="32">
        <f>5+465+81+2</f>
        <v>553</v>
      </c>
      <c r="F135" s="32">
        <v>0</v>
      </c>
      <c r="G135" s="32">
        <v>0</v>
      </c>
      <c r="H135" s="32">
        <v>0</v>
      </c>
      <c r="I135" s="32">
        <v>18375</v>
      </c>
      <c r="J135" s="32">
        <v>3694</v>
      </c>
      <c r="K135" s="32"/>
      <c r="M135" s="42" t="s">
        <v>791</v>
      </c>
      <c r="N135" s="43" t="s">
        <v>872</v>
      </c>
      <c r="O135" s="43" t="s">
        <v>181</v>
      </c>
      <c r="P135" s="44">
        <v>12847</v>
      </c>
      <c r="Q135" s="45">
        <v>553</v>
      </c>
      <c r="R135" s="45">
        <v>0</v>
      </c>
      <c r="S135" s="45">
        <v>0</v>
      </c>
      <c r="T135" s="45">
        <v>0</v>
      </c>
      <c r="U135" s="45">
        <v>18375</v>
      </c>
      <c r="V135" s="46">
        <v>3694</v>
      </c>
    </row>
    <row r="136" spans="1:22" x14ac:dyDescent="0.25">
      <c r="A136" s="27" t="s">
        <v>83</v>
      </c>
      <c r="B136" s="27" t="s">
        <v>872</v>
      </c>
      <c r="C136" s="27" t="s">
        <v>182</v>
      </c>
      <c r="D136" s="32">
        <f>25950+9571</f>
        <v>35521</v>
      </c>
      <c r="E136" s="32">
        <f>76+5</f>
        <v>81</v>
      </c>
      <c r="F136" s="32">
        <v>0</v>
      </c>
      <c r="G136" s="32">
        <v>0</v>
      </c>
      <c r="H136" s="32">
        <v>0</v>
      </c>
      <c r="I136" s="32">
        <v>5036</v>
      </c>
      <c r="J136" s="32">
        <v>9258</v>
      </c>
      <c r="K136" s="32"/>
      <c r="M136" s="42" t="s">
        <v>83</v>
      </c>
      <c r="N136" s="43" t="s">
        <v>872</v>
      </c>
      <c r="O136" s="43" t="s">
        <v>182</v>
      </c>
      <c r="P136" s="44">
        <v>35521</v>
      </c>
      <c r="Q136" s="45">
        <v>81</v>
      </c>
      <c r="R136" s="45">
        <v>0</v>
      </c>
      <c r="S136" s="45">
        <v>0</v>
      </c>
      <c r="T136" s="45">
        <v>0</v>
      </c>
      <c r="U136" s="45">
        <v>5036</v>
      </c>
      <c r="V136" s="46">
        <v>9258</v>
      </c>
    </row>
    <row r="137" spans="1:22" x14ac:dyDescent="0.25">
      <c r="A137" s="27" t="s">
        <v>803</v>
      </c>
      <c r="B137" s="27" t="s">
        <v>872</v>
      </c>
      <c r="C137" s="27" t="s">
        <v>183</v>
      </c>
      <c r="D137" s="32"/>
      <c r="E137" s="32"/>
      <c r="F137" s="32"/>
      <c r="G137" s="32"/>
      <c r="H137" s="32"/>
      <c r="I137" s="32"/>
      <c r="J137" s="32"/>
      <c r="K137" s="32"/>
      <c r="M137" s="42" t="s">
        <v>803</v>
      </c>
      <c r="N137" s="43" t="s">
        <v>872</v>
      </c>
      <c r="O137" s="43" t="s">
        <v>183</v>
      </c>
      <c r="P137" s="44"/>
      <c r="Q137" s="44"/>
      <c r="R137" s="44"/>
      <c r="S137" s="44"/>
      <c r="T137" s="44"/>
      <c r="U137" s="44"/>
      <c r="V137" s="44"/>
    </row>
    <row r="138" spans="1:22" x14ac:dyDescent="0.25">
      <c r="A138" s="27" t="s">
        <v>67</v>
      </c>
      <c r="B138" s="27" t="s">
        <v>872</v>
      </c>
      <c r="C138" s="27" t="s">
        <v>184</v>
      </c>
      <c r="D138" s="32">
        <f>54409+2+1763+11+17+11481+156+9</f>
        <v>67848</v>
      </c>
      <c r="E138" s="32">
        <f>181+84+40+9+19</f>
        <v>333</v>
      </c>
      <c r="F138" s="32">
        <v>0</v>
      </c>
      <c r="G138" s="32">
        <v>0</v>
      </c>
      <c r="H138" s="32">
        <v>0</v>
      </c>
      <c r="I138" s="32">
        <v>70003</v>
      </c>
      <c r="J138" s="32">
        <v>9770</v>
      </c>
      <c r="K138" s="32"/>
      <c r="M138" s="42" t="s">
        <v>67</v>
      </c>
      <c r="N138" s="43" t="s">
        <v>872</v>
      </c>
      <c r="O138" s="43" t="s">
        <v>184</v>
      </c>
      <c r="P138" s="44">
        <v>67848</v>
      </c>
      <c r="Q138" s="45">
        <v>333</v>
      </c>
      <c r="R138" s="45">
        <v>0</v>
      </c>
      <c r="S138" s="45">
        <v>0</v>
      </c>
      <c r="T138" s="45">
        <v>0</v>
      </c>
      <c r="U138" s="45">
        <v>70003</v>
      </c>
      <c r="V138" s="46">
        <v>9770</v>
      </c>
    </row>
    <row r="139" spans="1:22" x14ac:dyDescent="0.25">
      <c r="A139" s="27" t="s">
        <v>865</v>
      </c>
      <c r="B139" s="27" t="s">
        <v>872</v>
      </c>
      <c r="C139" s="27" t="s">
        <v>186</v>
      </c>
      <c r="D139" s="32">
        <f>16829+1+1+7+12+11580</f>
        <v>28430</v>
      </c>
      <c r="E139" s="32">
        <f>10+1+14+4</f>
        <v>29</v>
      </c>
      <c r="F139" s="32">
        <v>0</v>
      </c>
      <c r="G139" s="32">
        <v>0</v>
      </c>
      <c r="H139" s="32">
        <v>0</v>
      </c>
      <c r="I139" s="32">
        <v>37627</v>
      </c>
      <c r="J139" s="32">
        <v>6677</v>
      </c>
      <c r="K139" s="32"/>
      <c r="M139" s="42" t="s">
        <v>865</v>
      </c>
      <c r="N139" s="43" t="s">
        <v>872</v>
      </c>
      <c r="O139" s="43" t="s">
        <v>186</v>
      </c>
      <c r="P139" s="44">
        <v>28430</v>
      </c>
      <c r="Q139" s="45">
        <v>29</v>
      </c>
      <c r="R139" s="45">
        <v>0</v>
      </c>
      <c r="S139" s="45">
        <v>0</v>
      </c>
      <c r="T139" s="45">
        <v>0</v>
      </c>
      <c r="U139" s="45">
        <v>37627</v>
      </c>
      <c r="V139" s="46">
        <v>6677</v>
      </c>
    </row>
    <row r="140" spans="1:22" x14ac:dyDescent="0.25">
      <c r="A140" s="27" t="s">
        <v>512</v>
      </c>
      <c r="B140" s="27" t="s">
        <v>872</v>
      </c>
      <c r="C140" s="27" t="s">
        <v>187</v>
      </c>
      <c r="D140" s="32">
        <f>34059+1+1+427+29+77+7438</f>
        <v>42032</v>
      </c>
      <c r="E140" s="32">
        <f>1+5+5+2</f>
        <v>13</v>
      </c>
      <c r="F140" s="32">
        <v>0</v>
      </c>
      <c r="G140" s="32">
        <v>0</v>
      </c>
      <c r="H140" s="32">
        <v>0</v>
      </c>
      <c r="I140" s="32">
        <v>18632</v>
      </c>
      <c r="J140" s="32">
        <v>6257</v>
      </c>
      <c r="K140" s="32"/>
      <c r="M140" s="42" t="s">
        <v>512</v>
      </c>
      <c r="N140" s="43" t="s">
        <v>872</v>
      </c>
      <c r="O140" s="43" t="s">
        <v>187</v>
      </c>
      <c r="P140" s="44">
        <v>42032</v>
      </c>
      <c r="Q140" s="45">
        <v>13</v>
      </c>
      <c r="R140" s="45">
        <v>0</v>
      </c>
      <c r="S140" s="45">
        <v>0</v>
      </c>
      <c r="T140" s="45">
        <v>0</v>
      </c>
      <c r="U140" s="45">
        <v>18632</v>
      </c>
      <c r="V140" s="46">
        <v>6257</v>
      </c>
    </row>
    <row r="141" spans="1:22" x14ac:dyDescent="0.25">
      <c r="A141" s="27" t="s">
        <v>824</v>
      </c>
      <c r="B141" s="27" t="s">
        <v>872</v>
      </c>
      <c r="C141" s="27" t="s">
        <v>189</v>
      </c>
      <c r="D141" s="32">
        <f>45324+8+1082+45+3+12+53+11132</f>
        <v>57659</v>
      </c>
      <c r="E141" s="32">
        <f>2+119+40</f>
        <v>161</v>
      </c>
      <c r="F141" s="32">
        <v>0</v>
      </c>
      <c r="G141" s="32">
        <v>0</v>
      </c>
      <c r="H141" s="32">
        <v>0</v>
      </c>
      <c r="I141" s="32">
        <v>9744</v>
      </c>
      <c r="J141" s="32">
        <v>8024</v>
      </c>
      <c r="K141" s="32"/>
      <c r="M141" s="42" t="s">
        <v>824</v>
      </c>
      <c r="N141" s="43" t="s">
        <v>872</v>
      </c>
      <c r="O141" s="43" t="s">
        <v>189</v>
      </c>
      <c r="P141" s="44">
        <v>57659</v>
      </c>
      <c r="Q141" s="45">
        <v>161</v>
      </c>
      <c r="R141" s="45">
        <v>0</v>
      </c>
      <c r="S141" s="45">
        <v>0</v>
      </c>
      <c r="T141" s="45">
        <v>0</v>
      </c>
      <c r="U141" s="45">
        <v>9744</v>
      </c>
      <c r="V141" s="46">
        <v>8024</v>
      </c>
    </row>
    <row r="142" spans="1:22" x14ac:dyDescent="0.25">
      <c r="A142" s="27" t="s">
        <v>83</v>
      </c>
      <c r="B142" s="27" t="s">
        <v>872</v>
      </c>
      <c r="C142" s="27" t="s">
        <v>190</v>
      </c>
      <c r="D142" s="32">
        <f>32057+106+1+12+1786</f>
        <v>33962</v>
      </c>
      <c r="E142" s="32">
        <f>105+8+18</f>
        <v>131</v>
      </c>
      <c r="F142" s="32">
        <v>0</v>
      </c>
      <c r="G142" s="32">
        <v>0</v>
      </c>
      <c r="H142" s="32">
        <v>0</v>
      </c>
      <c r="I142" s="32">
        <v>3695</v>
      </c>
      <c r="J142" s="32">
        <v>1891</v>
      </c>
      <c r="K142" s="32"/>
      <c r="M142" s="42" t="s">
        <v>83</v>
      </c>
      <c r="N142" s="43" t="s">
        <v>872</v>
      </c>
      <c r="O142" s="43" t="s">
        <v>190</v>
      </c>
      <c r="P142" s="44">
        <v>33962</v>
      </c>
      <c r="Q142" s="45">
        <v>131</v>
      </c>
      <c r="R142" s="45">
        <v>0</v>
      </c>
      <c r="S142" s="45">
        <v>0</v>
      </c>
      <c r="T142" s="45">
        <v>0</v>
      </c>
      <c r="U142" s="45">
        <v>3695</v>
      </c>
      <c r="V142" s="46">
        <v>1891</v>
      </c>
    </row>
    <row r="143" spans="1:22" x14ac:dyDescent="0.25">
      <c r="A143" s="27" t="s">
        <v>76</v>
      </c>
      <c r="B143" s="27" t="s">
        <v>872</v>
      </c>
      <c r="C143" s="27" t="s">
        <v>191</v>
      </c>
      <c r="D143" s="32">
        <f>68891+137+27739</f>
        <v>96767</v>
      </c>
      <c r="E143" s="32">
        <f>8+1+2539+257+4</f>
        <v>2809</v>
      </c>
      <c r="F143" s="32">
        <v>0</v>
      </c>
      <c r="G143" s="32">
        <v>0</v>
      </c>
      <c r="H143" s="32">
        <v>0</v>
      </c>
      <c r="I143" s="32">
        <v>4824</v>
      </c>
      <c r="J143" s="32">
        <v>20343</v>
      </c>
      <c r="K143" s="32"/>
      <c r="M143" s="42" t="s">
        <v>76</v>
      </c>
      <c r="N143" s="43" t="s">
        <v>872</v>
      </c>
      <c r="O143" s="43" t="s">
        <v>191</v>
      </c>
      <c r="P143" s="44">
        <v>96767</v>
      </c>
      <c r="Q143" s="45">
        <v>2809</v>
      </c>
      <c r="R143" s="45">
        <v>0</v>
      </c>
      <c r="S143" s="45">
        <v>0</v>
      </c>
      <c r="T143" s="45">
        <v>0</v>
      </c>
      <c r="U143" s="45">
        <v>4824</v>
      </c>
      <c r="V143" s="46">
        <v>20343</v>
      </c>
    </row>
    <row r="144" spans="1:22" x14ac:dyDescent="0.25">
      <c r="A144" s="27" t="s">
        <v>101</v>
      </c>
      <c r="B144" s="27" t="s">
        <v>872</v>
      </c>
      <c r="C144" s="27" t="s">
        <v>192</v>
      </c>
      <c r="D144" s="32">
        <f>57386+63+8+12142</f>
        <v>69599</v>
      </c>
      <c r="E144" s="32">
        <f>383+13+15</f>
        <v>411</v>
      </c>
      <c r="F144" s="32">
        <v>0</v>
      </c>
      <c r="G144" s="32">
        <v>0</v>
      </c>
      <c r="H144" s="32">
        <v>0</v>
      </c>
      <c r="I144" s="32">
        <v>84302</v>
      </c>
      <c r="J144" s="32">
        <v>9341</v>
      </c>
      <c r="K144" s="32"/>
      <c r="M144" s="42" t="s">
        <v>101</v>
      </c>
      <c r="N144" s="43" t="s">
        <v>872</v>
      </c>
      <c r="O144" s="43" t="s">
        <v>192</v>
      </c>
      <c r="P144" s="44">
        <v>69599</v>
      </c>
      <c r="Q144" s="45">
        <v>411</v>
      </c>
      <c r="R144" s="45">
        <v>0</v>
      </c>
      <c r="S144" s="45">
        <v>0</v>
      </c>
      <c r="T144" s="45">
        <v>0</v>
      </c>
      <c r="U144" s="45">
        <v>84302</v>
      </c>
      <c r="V144" s="46">
        <v>9341</v>
      </c>
    </row>
    <row r="145" spans="1:22" x14ac:dyDescent="0.25">
      <c r="A145" s="27" t="s">
        <v>831</v>
      </c>
      <c r="B145" s="27" t="s">
        <v>872</v>
      </c>
      <c r="C145" s="27" t="s">
        <v>193</v>
      </c>
      <c r="D145" s="32"/>
      <c r="E145" s="32"/>
      <c r="F145" s="32"/>
      <c r="G145" s="32"/>
      <c r="H145" s="32"/>
      <c r="I145" s="32"/>
      <c r="J145" s="32"/>
      <c r="K145" s="32"/>
      <c r="M145" s="42" t="s">
        <v>831</v>
      </c>
      <c r="N145" s="43" t="s">
        <v>872</v>
      </c>
      <c r="O145" s="43" t="s">
        <v>193</v>
      </c>
      <c r="P145" s="44"/>
      <c r="Q145" s="45"/>
      <c r="R145" s="45"/>
      <c r="S145" s="45"/>
      <c r="T145" s="45"/>
      <c r="U145" s="45"/>
      <c r="V145" s="46"/>
    </row>
    <row r="146" spans="1:22" x14ac:dyDescent="0.25">
      <c r="A146" s="27" t="s">
        <v>811</v>
      </c>
      <c r="B146" s="27" t="s">
        <v>872</v>
      </c>
      <c r="C146" s="27" t="s">
        <v>194</v>
      </c>
      <c r="D146" s="32">
        <f>114568+95+4+15104</f>
        <v>129771</v>
      </c>
      <c r="E146" s="32">
        <f>574+262+220+4</f>
        <v>1060</v>
      </c>
      <c r="F146" s="32">
        <v>0</v>
      </c>
      <c r="G146" s="32">
        <v>0</v>
      </c>
      <c r="H146" s="32">
        <v>0</v>
      </c>
      <c r="I146" s="32">
        <v>3322</v>
      </c>
      <c r="J146" s="32">
        <v>11500</v>
      </c>
      <c r="K146" s="32"/>
      <c r="M146" s="42" t="s">
        <v>811</v>
      </c>
      <c r="N146" s="43" t="s">
        <v>872</v>
      </c>
      <c r="O146" s="43" t="s">
        <v>194</v>
      </c>
      <c r="P146" s="44">
        <v>129771</v>
      </c>
      <c r="Q146" s="45">
        <v>1060</v>
      </c>
      <c r="R146" s="45">
        <v>0</v>
      </c>
      <c r="S146" s="45">
        <v>0</v>
      </c>
      <c r="T146" s="45">
        <v>0</v>
      </c>
      <c r="U146" s="45">
        <v>3322</v>
      </c>
      <c r="V146" s="46">
        <v>11500</v>
      </c>
    </row>
    <row r="147" spans="1:22" x14ac:dyDescent="0.25">
      <c r="A147" s="27" t="s">
        <v>76</v>
      </c>
      <c r="B147" s="27" t="s">
        <v>872</v>
      </c>
      <c r="C147" s="27" t="s">
        <v>195</v>
      </c>
      <c r="D147" s="32">
        <f>68951+45+8+56+20470</f>
        <v>89530</v>
      </c>
      <c r="E147" s="32">
        <f>354+26+147+582+21</f>
        <v>1130</v>
      </c>
      <c r="F147" s="32">
        <v>0</v>
      </c>
      <c r="G147" s="32">
        <v>0</v>
      </c>
      <c r="H147" s="32">
        <v>0</v>
      </c>
      <c r="I147" s="32">
        <v>65285</v>
      </c>
      <c r="J147" s="32">
        <v>17896</v>
      </c>
      <c r="K147" s="32"/>
      <c r="M147" s="42" t="s">
        <v>76</v>
      </c>
      <c r="N147" s="43" t="s">
        <v>872</v>
      </c>
      <c r="O147" s="43" t="s">
        <v>195</v>
      </c>
      <c r="P147" s="44">
        <v>89530</v>
      </c>
      <c r="Q147" s="45">
        <v>1130</v>
      </c>
      <c r="R147" s="45">
        <v>0</v>
      </c>
      <c r="S147" s="45">
        <v>0</v>
      </c>
      <c r="T147" s="45">
        <v>0</v>
      </c>
      <c r="U147" s="45">
        <v>65285</v>
      </c>
      <c r="V147" s="46">
        <v>17896</v>
      </c>
    </row>
    <row r="148" spans="1:22" x14ac:dyDescent="0.25">
      <c r="A148" s="27" t="s">
        <v>788</v>
      </c>
      <c r="B148" s="27" t="s">
        <v>872</v>
      </c>
      <c r="C148" s="27" t="s">
        <v>196</v>
      </c>
      <c r="D148" s="32">
        <f>32657+343+5+13+1+29585</f>
        <v>62604</v>
      </c>
      <c r="E148" s="32">
        <f>34+2+315+502</f>
        <v>853</v>
      </c>
      <c r="F148" s="32">
        <v>0</v>
      </c>
      <c r="G148" s="32">
        <v>0</v>
      </c>
      <c r="H148" s="32">
        <v>0</v>
      </c>
      <c r="I148" s="32">
        <v>108155</v>
      </c>
      <c r="J148" s="32">
        <v>24882</v>
      </c>
      <c r="K148" s="32"/>
      <c r="M148" s="42" t="s">
        <v>788</v>
      </c>
      <c r="N148" s="43" t="s">
        <v>872</v>
      </c>
      <c r="O148" s="43" t="s">
        <v>196</v>
      </c>
      <c r="P148" s="44">
        <v>62604</v>
      </c>
      <c r="Q148" s="45">
        <v>853</v>
      </c>
      <c r="R148" s="45">
        <v>0</v>
      </c>
      <c r="S148" s="45">
        <v>0</v>
      </c>
      <c r="T148" s="45">
        <v>0</v>
      </c>
      <c r="U148" s="45">
        <v>108155</v>
      </c>
      <c r="V148" s="46">
        <v>24882</v>
      </c>
    </row>
    <row r="149" spans="1:22" x14ac:dyDescent="0.25">
      <c r="A149" s="27" t="s">
        <v>817</v>
      </c>
      <c r="B149" s="27" t="s">
        <v>872</v>
      </c>
      <c r="C149" s="27" t="s">
        <v>197</v>
      </c>
      <c r="D149" s="32">
        <f>8123+2+30+43+28421</f>
        <v>36619</v>
      </c>
      <c r="E149" s="32">
        <f>17+5+25+101</f>
        <v>148</v>
      </c>
      <c r="F149" s="32">
        <v>0</v>
      </c>
      <c r="G149" s="32">
        <v>0</v>
      </c>
      <c r="H149" s="32">
        <v>0</v>
      </c>
      <c r="I149" s="32">
        <v>77266</v>
      </c>
      <c r="J149" s="32">
        <v>24949</v>
      </c>
      <c r="K149" s="32"/>
      <c r="M149" s="42" t="s">
        <v>817</v>
      </c>
      <c r="N149" s="43" t="s">
        <v>872</v>
      </c>
      <c r="O149" s="43" t="s">
        <v>197</v>
      </c>
      <c r="P149" s="44">
        <v>36619</v>
      </c>
      <c r="Q149" s="45">
        <v>148</v>
      </c>
      <c r="R149" s="45">
        <v>0</v>
      </c>
      <c r="S149" s="45">
        <v>0</v>
      </c>
      <c r="T149" s="45">
        <v>0</v>
      </c>
      <c r="U149" s="45">
        <v>77266</v>
      </c>
      <c r="V149" s="46">
        <v>24949</v>
      </c>
    </row>
    <row r="150" spans="1:22" x14ac:dyDescent="0.25">
      <c r="A150" s="27" t="s">
        <v>817</v>
      </c>
      <c r="B150" s="27" t="s">
        <v>872</v>
      </c>
      <c r="C150" s="27" t="s">
        <v>198</v>
      </c>
      <c r="D150" s="32">
        <f>10776+6+1+5+17507</f>
        <v>28295</v>
      </c>
      <c r="E150" s="32">
        <f>48+3+27+440+133</f>
        <v>651</v>
      </c>
      <c r="F150" s="32">
        <v>0</v>
      </c>
      <c r="G150" s="32">
        <v>0</v>
      </c>
      <c r="H150" s="32">
        <v>0</v>
      </c>
      <c r="I150" s="32">
        <v>31269</v>
      </c>
      <c r="J150" s="32">
        <v>17531</v>
      </c>
      <c r="K150" s="32"/>
      <c r="M150" s="42" t="s">
        <v>817</v>
      </c>
      <c r="N150" s="43" t="s">
        <v>872</v>
      </c>
      <c r="O150" s="43" t="s">
        <v>198</v>
      </c>
      <c r="P150" s="44">
        <v>28295</v>
      </c>
      <c r="Q150" s="45">
        <v>651</v>
      </c>
      <c r="R150" s="45">
        <v>0</v>
      </c>
      <c r="S150" s="45">
        <v>0</v>
      </c>
      <c r="T150" s="45">
        <v>0</v>
      </c>
      <c r="U150" s="45">
        <v>31269</v>
      </c>
      <c r="V150" s="46">
        <v>17531</v>
      </c>
    </row>
    <row r="151" spans="1:22" x14ac:dyDescent="0.25">
      <c r="A151" s="27" t="s">
        <v>69</v>
      </c>
      <c r="B151" s="27" t="s">
        <v>872</v>
      </c>
      <c r="C151" s="27" t="s">
        <v>199</v>
      </c>
      <c r="D151" s="32">
        <f>66565+17+2+12+16+1+74+24457</f>
        <v>91144</v>
      </c>
      <c r="E151" s="32">
        <f>16+75+14</f>
        <v>105</v>
      </c>
      <c r="F151" s="32">
        <v>0</v>
      </c>
      <c r="G151" s="32">
        <v>0</v>
      </c>
      <c r="H151" s="32">
        <v>0</v>
      </c>
      <c r="I151" s="32">
        <v>142485</v>
      </c>
      <c r="J151" s="32">
        <v>19993</v>
      </c>
      <c r="K151" s="32"/>
      <c r="M151" s="42" t="s">
        <v>69</v>
      </c>
      <c r="N151" s="43" t="s">
        <v>872</v>
      </c>
      <c r="O151" s="45" t="s">
        <v>199</v>
      </c>
      <c r="P151" s="44">
        <v>91144</v>
      </c>
      <c r="Q151" s="45">
        <v>105</v>
      </c>
      <c r="R151" s="45">
        <v>0</v>
      </c>
      <c r="S151" s="45">
        <v>0</v>
      </c>
      <c r="T151" s="45">
        <v>0</v>
      </c>
      <c r="U151" s="45">
        <v>142485</v>
      </c>
      <c r="V151" s="46">
        <v>19993</v>
      </c>
    </row>
    <row r="152" spans="1:22" ht="15.75" x14ac:dyDescent="0.25">
      <c r="A152" s="27" t="s">
        <v>76</v>
      </c>
      <c r="B152" s="27" t="s">
        <v>872</v>
      </c>
      <c r="C152" s="27" t="s">
        <v>200</v>
      </c>
      <c r="D152" s="32">
        <f>25726+323+21+4+10242+21</f>
        <v>36337</v>
      </c>
      <c r="E152" s="32">
        <f>264+2+15+13+2</f>
        <v>296</v>
      </c>
      <c r="F152" s="32">
        <v>0</v>
      </c>
      <c r="G152" s="32">
        <v>0</v>
      </c>
      <c r="H152" s="32">
        <v>0</v>
      </c>
      <c r="I152" s="32">
        <v>24140</v>
      </c>
      <c r="J152" s="32">
        <v>8612</v>
      </c>
      <c r="K152" s="32"/>
      <c r="M152" s="42" t="s">
        <v>76</v>
      </c>
      <c r="N152" s="43" t="s">
        <v>872</v>
      </c>
      <c r="O152" s="43" t="s">
        <v>200</v>
      </c>
      <c r="P152" s="47">
        <v>36337</v>
      </c>
      <c r="Q152" s="48">
        <v>296</v>
      </c>
      <c r="R152" s="48">
        <v>0</v>
      </c>
      <c r="S152" s="48">
        <v>0</v>
      </c>
      <c r="T152" s="48">
        <v>0</v>
      </c>
      <c r="U152" s="48">
        <v>24140</v>
      </c>
      <c r="V152" s="49">
        <v>8612</v>
      </c>
    </row>
    <row r="153" spans="1:22" ht="15.75" x14ac:dyDescent="0.25">
      <c r="A153" s="27" t="s">
        <v>120</v>
      </c>
      <c r="B153" s="27" t="s">
        <v>872</v>
      </c>
      <c r="C153" s="27" t="s">
        <v>201</v>
      </c>
      <c r="D153" s="32">
        <f>24373+2+764+10021</f>
        <v>35160</v>
      </c>
      <c r="E153" s="32">
        <f>210+193+21</f>
        <v>424</v>
      </c>
      <c r="F153" s="32">
        <v>0</v>
      </c>
      <c r="G153" s="32">
        <v>0</v>
      </c>
      <c r="H153" s="32">
        <v>0</v>
      </c>
      <c r="I153" s="32">
        <v>9312</v>
      </c>
      <c r="J153" s="32">
        <v>5151</v>
      </c>
      <c r="K153" s="32"/>
      <c r="M153" s="42" t="s">
        <v>120</v>
      </c>
      <c r="N153" s="43" t="s">
        <v>872</v>
      </c>
      <c r="O153" s="43" t="s">
        <v>201</v>
      </c>
      <c r="P153" s="47">
        <v>35160</v>
      </c>
      <c r="Q153" s="48">
        <v>424</v>
      </c>
      <c r="R153" s="48">
        <v>0</v>
      </c>
      <c r="S153" s="48">
        <v>0</v>
      </c>
      <c r="T153" s="48">
        <v>0</v>
      </c>
      <c r="U153" s="48">
        <v>9312</v>
      </c>
      <c r="V153" s="49">
        <v>5151</v>
      </c>
    </row>
    <row r="154" spans="1:22" ht="15.75" x14ac:dyDescent="0.25">
      <c r="A154" s="27" t="s">
        <v>495</v>
      </c>
      <c r="B154" s="27" t="s">
        <v>872</v>
      </c>
      <c r="C154" s="27" t="s">
        <v>202</v>
      </c>
      <c r="D154" s="32">
        <f>68349+2+42+355+1+476+24861+2+44</f>
        <v>94132</v>
      </c>
      <c r="E154" s="32">
        <f>321+5+2+34+11</f>
        <v>373</v>
      </c>
      <c r="F154" s="32">
        <v>0</v>
      </c>
      <c r="G154" s="32">
        <v>0</v>
      </c>
      <c r="H154" s="32">
        <v>0</v>
      </c>
      <c r="I154" s="32">
        <v>44012</v>
      </c>
      <c r="J154" s="32">
        <v>19308</v>
      </c>
      <c r="K154" s="32"/>
      <c r="M154" s="42" t="s">
        <v>495</v>
      </c>
      <c r="N154" s="43" t="s">
        <v>872</v>
      </c>
      <c r="O154" s="43" t="s">
        <v>202</v>
      </c>
      <c r="P154" s="47">
        <v>94132</v>
      </c>
      <c r="Q154" s="48">
        <v>373</v>
      </c>
      <c r="R154" s="48">
        <v>0</v>
      </c>
      <c r="S154" s="48">
        <v>0</v>
      </c>
      <c r="T154" s="48">
        <v>0</v>
      </c>
      <c r="U154" s="48">
        <v>44012</v>
      </c>
      <c r="V154" s="49">
        <v>19308</v>
      </c>
    </row>
    <row r="155" spans="1:22" x14ac:dyDescent="0.25">
      <c r="A155" s="27" t="s">
        <v>788</v>
      </c>
      <c r="B155" s="27" t="s">
        <v>872</v>
      </c>
      <c r="C155" s="27" t="s">
        <v>203</v>
      </c>
      <c r="D155" s="32">
        <f>56636+9+1+1897+14+2+3+6+11+5+43462+15+30+11</f>
        <v>102102</v>
      </c>
      <c r="E155" s="32">
        <f>139+3+9+19+11+10</f>
        <v>191</v>
      </c>
      <c r="F155" s="32">
        <v>0</v>
      </c>
      <c r="G155" s="32">
        <v>0</v>
      </c>
      <c r="H155" s="32">
        <v>0</v>
      </c>
      <c r="I155" s="32">
        <v>24558</v>
      </c>
      <c r="J155" s="32">
        <v>16401</v>
      </c>
      <c r="K155" s="32"/>
      <c r="M155" s="42" t="s">
        <v>788</v>
      </c>
      <c r="N155" s="43" t="s">
        <v>872</v>
      </c>
      <c r="O155" s="43" t="s">
        <v>203</v>
      </c>
      <c r="P155" s="44">
        <v>102102</v>
      </c>
      <c r="Q155" s="45">
        <v>191</v>
      </c>
      <c r="R155" s="45">
        <v>0</v>
      </c>
      <c r="S155" s="45">
        <v>0</v>
      </c>
      <c r="T155" s="45">
        <v>0</v>
      </c>
      <c r="U155" s="45">
        <v>24558</v>
      </c>
      <c r="V155" s="46">
        <v>16401</v>
      </c>
    </row>
    <row r="156" spans="1:22" x14ac:dyDescent="0.25">
      <c r="A156" s="27" t="s">
        <v>72</v>
      </c>
      <c r="B156" s="27" t="s">
        <v>872</v>
      </c>
      <c r="C156" s="27" t="s">
        <v>204</v>
      </c>
      <c r="D156" s="32">
        <f>24473+5+1+64+36+28+6031</f>
        <v>30638</v>
      </c>
      <c r="E156" s="32">
        <f>123+10</f>
        <v>133</v>
      </c>
      <c r="F156" s="32">
        <v>0</v>
      </c>
      <c r="G156" s="32">
        <v>0</v>
      </c>
      <c r="H156" s="32">
        <v>0</v>
      </c>
      <c r="I156" s="32">
        <v>9748</v>
      </c>
      <c r="J156" s="32">
        <v>4462</v>
      </c>
      <c r="K156" s="32"/>
      <c r="M156" s="42" t="s">
        <v>72</v>
      </c>
      <c r="N156" s="43" t="s">
        <v>872</v>
      </c>
      <c r="O156" s="43" t="s">
        <v>204</v>
      </c>
      <c r="P156" s="44">
        <v>30638</v>
      </c>
      <c r="Q156" s="45">
        <v>133</v>
      </c>
      <c r="R156" s="45">
        <v>0</v>
      </c>
      <c r="S156" s="45">
        <v>0</v>
      </c>
      <c r="T156" s="45">
        <v>0</v>
      </c>
      <c r="U156" s="45">
        <v>9748</v>
      </c>
      <c r="V156" s="46">
        <v>4462</v>
      </c>
    </row>
    <row r="157" spans="1:22" ht="15.75" x14ac:dyDescent="0.25">
      <c r="A157" s="27" t="s">
        <v>76</v>
      </c>
      <c r="B157" s="27" t="s">
        <v>873</v>
      </c>
      <c r="C157" s="27" t="s">
        <v>205</v>
      </c>
      <c r="D157" s="32">
        <f>14726+18+58+1+5+32061+2+1+4</f>
        <v>46876</v>
      </c>
      <c r="E157" s="32">
        <f>46+164</f>
        <v>210</v>
      </c>
      <c r="F157" s="32">
        <v>0</v>
      </c>
      <c r="G157" s="32">
        <v>0</v>
      </c>
      <c r="H157" s="32">
        <v>0</v>
      </c>
      <c r="I157" s="32">
        <v>26452</v>
      </c>
      <c r="J157" s="32">
        <v>21640</v>
      </c>
      <c r="K157" s="32"/>
      <c r="M157" s="42" t="s">
        <v>76</v>
      </c>
      <c r="N157" s="43" t="s">
        <v>873</v>
      </c>
      <c r="O157" s="43" t="s">
        <v>205</v>
      </c>
      <c r="P157" s="47">
        <v>46876</v>
      </c>
      <c r="Q157" s="48">
        <v>210</v>
      </c>
      <c r="R157" s="48">
        <v>0</v>
      </c>
      <c r="S157" s="48">
        <v>0</v>
      </c>
      <c r="T157" s="48">
        <v>0</v>
      </c>
      <c r="U157" s="48">
        <v>26452</v>
      </c>
      <c r="V157" s="49">
        <v>21640</v>
      </c>
    </row>
    <row r="158" spans="1:22" ht="15.75" x14ac:dyDescent="0.25">
      <c r="A158" s="27" t="s">
        <v>864</v>
      </c>
      <c r="B158" s="27" t="s">
        <v>872</v>
      </c>
      <c r="C158" s="27" t="s">
        <v>206</v>
      </c>
      <c r="D158" s="32">
        <f>22015+284+8+33685+1017</f>
        <v>57009</v>
      </c>
      <c r="E158" s="32">
        <f>3+2+4+9+3</f>
        <v>21</v>
      </c>
      <c r="F158" s="32">
        <v>0</v>
      </c>
      <c r="G158" s="32">
        <v>0</v>
      </c>
      <c r="H158" s="32">
        <v>0</v>
      </c>
      <c r="I158" s="32">
        <v>28088</v>
      </c>
      <c r="J158" s="32">
        <v>32421</v>
      </c>
      <c r="K158" s="32"/>
      <c r="M158" s="42" t="s">
        <v>864</v>
      </c>
      <c r="N158" s="43" t="s">
        <v>872</v>
      </c>
      <c r="O158" s="43" t="s">
        <v>206</v>
      </c>
      <c r="P158" s="47">
        <v>57009</v>
      </c>
      <c r="Q158" s="48">
        <v>21</v>
      </c>
      <c r="R158" s="48">
        <v>0</v>
      </c>
      <c r="S158" s="48">
        <v>0</v>
      </c>
      <c r="T158" s="48">
        <v>0</v>
      </c>
      <c r="U158" s="48">
        <v>28088</v>
      </c>
      <c r="V158" s="49">
        <v>32421</v>
      </c>
    </row>
    <row r="159" spans="1:22" x14ac:dyDescent="0.25">
      <c r="A159" s="27" t="s">
        <v>76</v>
      </c>
      <c r="B159" s="27" t="s">
        <v>872</v>
      </c>
      <c r="C159" s="27" t="s">
        <v>207</v>
      </c>
      <c r="D159" s="32">
        <f>37212+2+11+24318</f>
        <v>61543</v>
      </c>
      <c r="E159" s="32">
        <f>17+2+26+8</f>
        <v>53</v>
      </c>
      <c r="F159" s="32">
        <v>0</v>
      </c>
      <c r="G159" s="32">
        <v>0</v>
      </c>
      <c r="H159" s="32">
        <v>0</v>
      </c>
      <c r="I159" s="32">
        <v>56439</v>
      </c>
      <c r="J159" s="32">
        <v>21729</v>
      </c>
      <c r="K159" s="32"/>
      <c r="M159" s="42" t="s">
        <v>76</v>
      </c>
      <c r="N159" s="43" t="s">
        <v>872</v>
      </c>
      <c r="O159" s="43" t="s">
        <v>207</v>
      </c>
      <c r="P159" s="44">
        <v>61543</v>
      </c>
      <c r="Q159" s="45">
        <v>53</v>
      </c>
      <c r="R159" s="45">
        <v>0</v>
      </c>
      <c r="S159" s="45">
        <v>0</v>
      </c>
      <c r="T159" s="45">
        <v>0</v>
      </c>
      <c r="U159" s="45">
        <v>56439</v>
      </c>
      <c r="V159" s="46">
        <v>21729</v>
      </c>
    </row>
    <row r="160" spans="1:22" x14ac:dyDescent="0.25">
      <c r="A160" s="27" t="s">
        <v>265</v>
      </c>
      <c r="B160" s="27" t="s">
        <v>872</v>
      </c>
      <c r="C160" s="27" t="s">
        <v>208</v>
      </c>
      <c r="D160" s="32">
        <f>17562+6+1+6+4569</f>
        <v>22144</v>
      </c>
      <c r="E160" s="32">
        <v>227</v>
      </c>
      <c r="F160" s="32">
        <v>0</v>
      </c>
      <c r="G160" s="32">
        <v>0</v>
      </c>
      <c r="H160" s="32">
        <v>0</v>
      </c>
      <c r="I160" s="32">
        <v>10599</v>
      </c>
      <c r="J160" s="32">
        <v>4334</v>
      </c>
      <c r="K160" s="32"/>
      <c r="M160" s="42" t="s">
        <v>265</v>
      </c>
      <c r="N160" s="43" t="s">
        <v>872</v>
      </c>
      <c r="O160" s="43" t="s">
        <v>208</v>
      </c>
      <c r="P160" s="44">
        <v>22144</v>
      </c>
      <c r="Q160" s="45">
        <v>227</v>
      </c>
      <c r="R160" s="45">
        <v>0</v>
      </c>
      <c r="S160" s="45">
        <v>0</v>
      </c>
      <c r="T160" s="45">
        <v>0</v>
      </c>
      <c r="U160" s="45">
        <v>10599</v>
      </c>
      <c r="V160" s="46">
        <v>4334</v>
      </c>
    </row>
    <row r="161" spans="1:22" x14ac:dyDescent="0.25">
      <c r="A161" s="27" t="s">
        <v>801</v>
      </c>
      <c r="B161" s="27" t="s">
        <v>872</v>
      </c>
      <c r="C161" s="27" t="s">
        <v>209</v>
      </c>
      <c r="D161" s="32"/>
      <c r="E161" s="32"/>
      <c r="F161" s="32"/>
      <c r="G161" s="32"/>
      <c r="H161" s="32"/>
      <c r="I161" s="32"/>
      <c r="J161" s="32"/>
      <c r="K161" s="32"/>
      <c r="M161" s="42" t="s">
        <v>801</v>
      </c>
      <c r="N161" s="43" t="s">
        <v>872</v>
      </c>
      <c r="O161" s="43" t="s">
        <v>209</v>
      </c>
      <c r="P161" s="44"/>
      <c r="Q161" s="45"/>
      <c r="R161" s="45"/>
      <c r="S161" s="45"/>
      <c r="T161" s="45"/>
      <c r="U161" s="45"/>
      <c r="V161" s="46"/>
    </row>
    <row r="162" spans="1:22" x14ac:dyDescent="0.25">
      <c r="A162" s="27" t="s">
        <v>72</v>
      </c>
      <c r="B162" s="27" t="s">
        <v>872</v>
      </c>
      <c r="C162" s="27" t="s">
        <v>210</v>
      </c>
      <c r="D162" s="32">
        <f>38907+4+69+5+1+17+19415</f>
        <v>58418</v>
      </c>
      <c r="E162" s="32">
        <f>45+9+34+7+12</f>
        <v>107</v>
      </c>
      <c r="F162" s="32">
        <v>0</v>
      </c>
      <c r="G162" s="32">
        <v>0</v>
      </c>
      <c r="H162" s="32">
        <v>0</v>
      </c>
      <c r="I162" s="32">
        <v>41146</v>
      </c>
      <c r="J162" s="32">
        <v>17736</v>
      </c>
      <c r="K162" s="32"/>
      <c r="M162" s="42" t="s">
        <v>72</v>
      </c>
      <c r="N162" s="43" t="s">
        <v>872</v>
      </c>
      <c r="O162" s="43" t="s">
        <v>210</v>
      </c>
      <c r="P162" s="44">
        <v>58418</v>
      </c>
      <c r="Q162" s="45">
        <v>107</v>
      </c>
      <c r="R162" s="45">
        <v>0</v>
      </c>
      <c r="S162" s="45">
        <v>0</v>
      </c>
      <c r="T162" s="45">
        <v>0</v>
      </c>
      <c r="U162" s="45">
        <v>41146</v>
      </c>
      <c r="V162" s="46">
        <v>17736</v>
      </c>
    </row>
    <row r="163" spans="1:22" ht="15.75" x14ac:dyDescent="0.25">
      <c r="A163" s="27" t="s">
        <v>817</v>
      </c>
      <c r="B163" s="27" t="s">
        <v>872</v>
      </c>
      <c r="C163" s="27" t="s">
        <v>211</v>
      </c>
      <c r="D163" s="32">
        <f>2258+42+6+115071+1</f>
        <v>117378</v>
      </c>
      <c r="E163" s="32">
        <f>126+204+36</f>
        <v>366</v>
      </c>
      <c r="F163" s="32">
        <v>0</v>
      </c>
      <c r="G163" s="32">
        <v>0</v>
      </c>
      <c r="H163" s="32">
        <v>0</v>
      </c>
      <c r="I163" s="32">
        <v>84436</v>
      </c>
      <c r="J163" s="32">
        <v>105231</v>
      </c>
      <c r="K163" s="32"/>
      <c r="M163" s="42" t="s">
        <v>817</v>
      </c>
      <c r="N163" s="43" t="s">
        <v>872</v>
      </c>
      <c r="O163" s="43" t="s">
        <v>211</v>
      </c>
      <c r="P163" s="47">
        <v>117378</v>
      </c>
      <c r="Q163" s="48">
        <v>366</v>
      </c>
      <c r="R163" s="48">
        <v>0</v>
      </c>
      <c r="S163" s="48">
        <v>0</v>
      </c>
      <c r="T163" s="48">
        <v>0</v>
      </c>
      <c r="U163" s="48">
        <v>84436</v>
      </c>
      <c r="V163" s="49">
        <v>105231</v>
      </c>
    </row>
    <row r="164" spans="1:22" x14ac:dyDescent="0.25">
      <c r="A164" s="27" t="s">
        <v>72</v>
      </c>
      <c r="B164" s="27" t="s">
        <v>872</v>
      </c>
      <c r="C164" s="27" t="s">
        <v>212</v>
      </c>
      <c r="D164" s="32">
        <f>34848+14+7+4055+2</f>
        <v>38926</v>
      </c>
      <c r="E164" s="32">
        <v>1</v>
      </c>
      <c r="F164" s="32">
        <v>0</v>
      </c>
      <c r="G164" s="32">
        <v>0</v>
      </c>
      <c r="H164" s="32">
        <v>0</v>
      </c>
      <c r="I164" s="32">
        <v>5022</v>
      </c>
      <c r="J164" s="32">
        <v>4022</v>
      </c>
      <c r="K164" s="32"/>
      <c r="M164" s="42" t="s">
        <v>72</v>
      </c>
      <c r="N164" s="43" t="s">
        <v>872</v>
      </c>
      <c r="O164" s="43" t="s">
        <v>212</v>
      </c>
      <c r="P164" s="44">
        <v>38926</v>
      </c>
      <c r="Q164" s="45">
        <v>1</v>
      </c>
      <c r="R164" s="45">
        <v>0</v>
      </c>
      <c r="S164" s="45">
        <v>0</v>
      </c>
      <c r="T164" s="45">
        <v>0</v>
      </c>
      <c r="U164" s="45">
        <v>5022</v>
      </c>
      <c r="V164" s="46">
        <v>4022</v>
      </c>
    </row>
    <row r="165" spans="1:22" ht="15.75" x14ac:dyDescent="0.25">
      <c r="A165" s="27" t="s">
        <v>134</v>
      </c>
      <c r="B165" s="27" t="s">
        <v>872</v>
      </c>
      <c r="C165" s="27" t="s">
        <v>213</v>
      </c>
      <c r="D165" s="32">
        <f>34533+1393</f>
        <v>35926</v>
      </c>
      <c r="E165" s="32">
        <v>0</v>
      </c>
      <c r="F165" s="32">
        <v>0</v>
      </c>
      <c r="G165" s="32">
        <v>0</v>
      </c>
      <c r="H165" s="32">
        <v>0</v>
      </c>
      <c r="I165" s="32">
        <v>58642</v>
      </c>
      <c r="J165" s="32">
        <v>1255</v>
      </c>
      <c r="K165" s="32"/>
      <c r="M165" s="42" t="s">
        <v>134</v>
      </c>
      <c r="N165" s="43" t="s">
        <v>872</v>
      </c>
      <c r="O165" s="43" t="s">
        <v>213</v>
      </c>
      <c r="P165" s="47">
        <v>35926</v>
      </c>
      <c r="Q165" s="48">
        <v>0</v>
      </c>
      <c r="R165" s="48">
        <v>0</v>
      </c>
      <c r="S165" s="48">
        <v>0</v>
      </c>
      <c r="T165" s="48">
        <v>0</v>
      </c>
      <c r="U165" s="48">
        <v>58642</v>
      </c>
      <c r="V165" s="49">
        <v>1255</v>
      </c>
    </row>
    <row r="166" spans="1:22" x14ac:dyDescent="0.25">
      <c r="A166" s="27" t="s">
        <v>495</v>
      </c>
      <c r="B166" s="27" t="s">
        <v>872</v>
      </c>
      <c r="C166" s="27" t="s">
        <v>214</v>
      </c>
      <c r="D166" s="32">
        <f>53795+1+2+52+5716+1+49+22592+1</f>
        <v>82209</v>
      </c>
      <c r="E166" s="32">
        <f>3798+11+73+160+339+15</f>
        <v>4396</v>
      </c>
      <c r="F166" s="32">
        <v>0</v>
      </c>
      <c r="G166" s="32">
        <v>0</v>
      </c>
      <c r="H166" s="32">
        <v>0</v>
      </c>
      <c r="I166" s="32">
        <v>41317</v>
      </c>
      <c r="J166" s="32">
        <v>18180</v>
      </c>
      <c r="K166" s="32"/>
      <c r="M166" s="42" t="s">
        <v>495</v>
      </c>
      <c r="N166" s="43" t="s">
        <v>872</v>
      </c>
      <c r="O166" s="43" t="s">
        <v>214</v>
      </c>
      <c r="P166" s="44">
        <v>82209</v>
      </c>
      <c r="Q166" s="45">
        <v>4396</v>
      </c>
      <c r="R166" s="45">
        <v>0</v>
      </c>
      <c r="S166" s="45">
        <v>0</v>
      </c>
      <c r="T166" s="45">
        <v>0</v>
      </c>
      <c r="U166" s="45">
        <v>41317</v>
      </c>
      <c r="V166" s="46">
        <v>18180</v>
      </c>
    </row>
    <row r="167" spans="1:22" x14ac:dyDescent="0.25">
      <c r="A167" s="27" t="s">
        <v>146</v>
      </c>
      <c r="B167" s="27" t="s">
        <v>872</v>
      </c>
      <c r="C167" s="27" t="s">
        <v>215</v>
      </c>
      <c r="D167" s="32">
        <f>62240+391+5+1+5+11+23198+6</f>
        <v>85857</v>
      </c>
      <c r="E167" s="32">
        <f>9795+121+36+36+220+14</f>
        <v>10222</v>
      </c>
      <c r="F167" s="32">
        <v>0</v>
      </c>
      <c r="G167" s="32">
        <v>0</v>
      </c>
      <c r="H167" s="32">
        <v>0</v>
      </c>
      <c r="I167" s="32">
        <v>74695</v>
      </c>
      <c r="J167" s="32">
        <v>21018</v>
      </c>
      <c r="K167" s="32"/>
      <c r="M167" s="42" t="s">
        <v>146</v>
      </c>
      <c r="N167" s="43" t="s">
        <v>872</v>
      </c>
      <c r="O167" s="43" t="s">
        <v>215</v>
      </c>
      <c r="P167" s="44">
        <v>85857</v>
      </c>
      <c r="Q167" s="45">
        <v>10222</v>
      </c>
      <c r="R167" s="45">
        <v>0</v>
      </c>
      <c r="S167" s="45">
        <v>0</v>
      </c>
      <c r="T167" s="45">
        <v>0</v>
      </c>
      <c r="U167" s="45">
        <v>74695</v>
      </c>
      <c r="V167" s="46">
        <v>21018</v>
      </c>
    </row>
    <row r="168" spans="1:22" x14ac:dyDescent="0.25">
      <c r="A168" s="27" t="s">
        <v>138</v>
      </c>
      <c r="B168" s="27" t="s">
        <v>872</v>
      </c>
      <c r="C168" s="27" t="s">
        <v>216</v>
      </c>
      <c r="D168" s="32"/>
      <c r="E168" s="32"/>
      <c r="F168" s="32"/>
      <c r="G168" s="32"/>
      <c r="H168" s="32"/>
      <c r="I168" s="32"/>
      <c r="J168" s="32"/>
      <c r="K168" s="32"/>
      <c r="M168" s="42" t="s">
        <v>138</v>
      </c>
      <c r="N168" s="43" t="s">
        <v>872</v>
      </c>
      <c r="O168" s="43" t="s">
        <v>216</v>
      </c>
      <c r="P168" s="44"/>
      <c r="Q168" s="45"/>
      <c r="R168" s="45"/>
      <c r="S168" s="45"/>
      <c r="T168" s="45"/>
      <c r="U168" s="45"/>
      <c r="V168" s="46"/>
    </row>
    <row r="169" spans="1:22" x14ac:dyDescent="0.25">
      <c r="A169" s="27" t="s">
        <v>794</v>
      </c>
      <c r="B169" s="27" t="s">
        <v>872</v>
      </c>
      <c r="C169" s="27" t="s">
        <v>217</v>
      </c>
      <c r="D169" s="32"/>
      <c r="E169" s="32"/>
      <c r="F169" s="32"/>
      <c r="G169" s="32"/>
      <c r="H169" s="32"/>
      <c r="I169" s="32"/>
      <c r="J169" s="32"/>
      <c r="K169" s="32"/>
      <c r="M169" s="42" t="s">
        <v>794</v>
      </c>
      <c r="N169" s="43" t="s">
        <v>872</v>
      </c>
      <c r="O169" s="43" t="s">
        <v>217</v>
      </c>
      <c r="P169" s="44"/>
      <c r="Q169" s="45"/>
      <c r="R169" s="45"/>
      <c r="S169" s="45"/>
      <c r="T169" s="45"/>
      <c r="U169" s="45"/>
      <c r="V169" s="46"/>
    </row>
    <row r="170" spans="1:22" x14ac:dyDescent="0.25">
      <c r="A170" s="27" t="s">
        <v>265</v>
      </c>
      <c r="B170" s="27" t="s">
        <v>872</v>
      </c>
      <c r="C170" s="27" t="s">
        <v>218</v>
      </c>
      <c r="D170" s="32">
        <f>20101+2+5+3+4+1+1+6754</f>
        <v>26871</v>
      </c>
      <c r="E170" s="32">
        <v>18</v>
      </c>
      <c r="F170" s="32">
        <v>0</v>
      </c>
      <c r="G170" s="32">
        <v>0</v>
      </c>
      <c r="H170" s="32">
        <v>0</v>
      </c>
      <c r="I170" s="32">
        <v>62690</v>
      </c>
      <c r="J170" s="32">
        <v>5363</v>
      </c>
      <c r="K170" s="32"/>
      <c r="M170" s="42" t="s">
        <v>265</v>
      </c>
      <c r="N170" s="43" t="s">
        <v>872</v>
      </c>
      <c r="O170" s="43" t="s">
        <v>218</v>
      </c>
      <c r="P170" s="44">
        <v>26871</v>
      </c>
      <c r="Q170" s="45">
        <v>18</v>
      </c>
      <c r="R170" s="45">
        <v>0</v>
      </c>
      <c r="S170" s="45">
        <v>0</v>
      </c>
      <c r="T170" s="45">
        <v>0</v>
      </c>
      <c r="U170" s="45">
        <v>62690</v>
      </c>
      <c r="V170" s="46">
        <v>5363</v>
      </c>
    </row>
    <row r="171" spans="1:22" x14ac:dyDescent="0.25">
      <c r="A171" s="27" t="s">
        <v>801</v>
      </c>
      <c r="B171" s="27" t="s">
        <v>872</v>
      </c>
      <c r="C171" s="27" t="s">
        <v>219</v>
      </c>
      <c r="D171" s="32"/>
      <c r="E171" s="32"/>
      <c r="F171" s="32"/>
      <c r="G171" s="32"/>
      <c r="H171" s="32"/>
      <c r="I171" s="32"/>
      <c r="J171" s="32"/>
      <c r="K171" s="32"/>
      <c r="M171" s="42" t="s">
        <v>801</v>
      </c>
      <c r="N171" s="43" t="s">
        <v>872</v>
      </c>
      <c r="O171" s="43" t="s">
        <v>219</v>
      </c>
      <c r="P171" s="44"/>
      <c r="Q171" s="45"/>
      <c r="R171" s="45"/>
      <c r="S171" s="45"/>
      <c r="T171" s="45"/>
      <c r="U171" s="45"/>
      <c r="V171" s="46"/>
    </row>
    <row r="172" spans="1:22" x14ac:dyDescent="0.25">
      <c r="A172" s="27" t="s">
        <v>831</v>
      </c>
      <c r="B172" s="27" t="s">
        <v>872</v>
      </c>
      <c r="C172" s="27" t="s">
        <v>220</v>
      </c>
      <c r="D172" s="32"/>
      <c r="E172" s="32"/>
      <c r="F172" s="32"/>
      <c r="G172" s="32"/>
      <c r="H172" s="32"/>
      <c r="I172" s="32"/>
      <c r="J172" s="32"/>
      <c r="K172" s="32"/>
      <c r="M172" s="42" t="s">
        <v>831</v>
      </c>
      <c r="N172" s="43" t="s">
        <v>872</v>
      </c>
      <c r="O172" s="43" t="s">
        <v>220</v>
      </c>
      <c r="P172" s="44"/>
      <c r="Q172" s="45"/>
      <c r="R172" s="45"/>
      <c r="S172" s="45"/>
      <c r="T172" s="45"/>
      <c r="U172" s="45"/>
      <c r="V172" s="46"/>
    </row>
    <row r="173" spans="1:22" x14ac:dyDescent="0.25">
      <c r="A173" s="27" t="s">
        <v>794</v>
      </c>
      <c r="B173" s="27" t="s">
        <v>872</v>
      </c>
      <c r="C173" s="27" t="s">
        <v>221</v>
      </c>
      <c r="D173" s="32"/>
      <c r="E173" s="32"/>
      <c r="F173" s="32"/>
      <c r="G173" s="32"/>
      <c r="H173" s="32"/>
      <c r="I173" s="32"/>
      <c r="J173" s="32"/>
      <c r="K173" s="32"/>
      <c r="M173" s="42" t="s">
        <v>794</v>
      </c>
      <c r="N173" s="43" t="s">
        <v>872</v>
      </c>
      <c r="O173" s="43" t="s">
        <v>221</v>
      </c>
      <c r="P173" s="44"/>
      <c r="Q173" s="45"/>
      <c r="R173" s="45"/>
      <c r="S173" s="45"/>
      <c r="T173" s="45"/>
      <c r="U173" s="45"/>
      <c r="V173" s="46"/>
    </row>
    <row r="174" spans="1:22" x14ac:dyDescent="0.25">
      <c r="A174" s="27" t="s">
        <v>120</v>
      </c>
      <c r="B174" s="27" t="s">
        <v>872</v>
      </c>
      <c r="C174" s="27" t="s">
        <v>222</v>
      </c>
      <c r="D174" s="32">
        <f>81230+1+1+4380+6+6+12541</f>
        <v>98165</v>
      </c>
      <c r="E174" s="32">
        <f>53+1+84</f>
        <v>138</v>
      </c>
      <c r="F174" s="32">
        <v>0</v>
      </c>
      <c r="G174" s="32">
        <v>0</v>
      </c>
      <c r="H174" s="32">
        <v>0</v>
      </c>
      <c r="I174" s="32">
        <v>10697</v>
      </c>
      <c r="J174" s="32">
        <v>7603</v>
      </c>
      <c r="K174" s="32"/>
      <c r="M174" s="42" t="s">
        <v>120</v>
      </c>
      <c r="N174" s="43" t="s">
        <v>872</v>
      </c>
      <c r="O174" s="43" t="s">
        <v>222</v>
      </c>
      <c r="P174" s="44">
        <v>98165</v>
      </c>
      <c r="Q174" s="45">
        <v>138</v>
      </c>
      <c r="R174" s="45">
        <v>0</v>
      </c>
      <c r="S174" s="45">
        <v>0</v>
      </c>
      <c r="T174" s="45">
        <v>0</v>
      </c>
      <c r="U174" s="45">
        <v>10697</v>
      </c>
      <c r="V174" s="46">
        <v>7603</v>
      </c>
    </row>
    <row r="175" spans="1:22" x14ac:dyDescent="0.25">
      <c r="A175" s="27" t="s">
        <v>848</v>
      </c>
      <c r="B175" s="27" t="s">
        <v>872</v>
      </c>
      <c r="C175" s="27" t="s">
        <v>223</v>
      </c>
      <c r="D175" s="32">
        <f>15678+6+3841</f>
        <v>19525</v>
      </c>
      <c r="E175" s="32">
        <v>13</v>
      </c>
      <c r="F175" s="32">
        <v>0</v>
      </c>
      <c r="G175" s="32">
        <v>0</v>
      </c>
      <c r="H175" s="32">
        <v>0</v>
      </c>
      <c r="I175" s="32">
        <v>2774</v>
      </c>
      <c r="J175" s="32">
        <v>3170</v>
      </c>
      <c r="K175" s="32"/>
      <c r="M175" s="42" t="s">
        <v>848</v>
      </c>
      <c r="N175" s="43" t="s">
        <v>872</v>
      </c>
      <c r="O175" s="43" t="s">
        <v>223</v>
      </c>
      <c r="P175" s="44">
        <v>19525</v>
      </c>
      <c r="Q175" s="45">
        <v>13</v>
      </c>
      <c r="R175" s="45">
        <v>0</v>
      </c>
      <c r="S175" s="45">
        <v>0</v>
      </c>
      <c r="T175" s="45">
        <v>0</v>
      </c>
      <c r="U175" s="45">
        <v>2774</v>
      </c>
      <c r="V175" s="46">
        <v>3170</v>
      </c>
    </row>
    <row r="176" spans="1:22" x14ac:dyDescent="0.25">
      <c r="A176" s="27" t="s">
        <v>825</v>
      </c>
      <c r="B176" s="27" t="s">
        <v>872</v>
      </c>
      <c r="C176" s="27" t="s">
        <v>224</v>
      </c>
      <c r="D176" s="32">
        <f>15712+1528+15+2949</f>
        <v>20204</v>
      </c>
      <c r="E176" s="32">
        <f>82+21+24+3</f>
        <v>130</v>
      </c>
      <c r="F176" s="32">
        <v>0</v>
      </c>
      <c r="G176" s="32">
        <v>0</v>
      </c>
      <c r="H176" s="32">
        <v>0</v>
      </c>
      <c r="I176" s="32">
        <v>10793</v>
      </c>
      <c r="J176" s="32">
        <v>2250</v>
      </c>
      <c r="K176" s="32"/>
      <c r="M176" s="42" t="s">
        <v>825</v>
      </c>
      <c r="N176" s="43" t="s">
        <v>872</v>
      </c>
      <c r="O176" s="43" t="s">
        <v>224</v>
      </c>
      <c r="P176" s="44">
        <v>20204</v>
      </c>
      <c r="Q176" s="45">
        <v>130</v>
      </c>
      <c r="R176" s="45">
        <v>0</v>
      </c>
      <c r="S176" s="45">
        <v>0</v>
      </c>
      <c r="T176" s="45">
        <v>0</v>
      </c>
      <c r="U176" s="45">
        <v>10793</v>
      </c>
      <c r="V176" s="46">
        <v>2250</v>
      </c>
    </row>
    <row r="177" spans="1:22" x14ac:dyDescent="0.25">
      <c r="A177" s="27" t="s">
        <v>788</v>
      </c>
      <c r="B177" s="27" t="s">
        <v>872</v>
      </c>
      <c r="C177" s="27" t="s">
        <v>225</v>
      </c>
      <c r="D177" s="32">
        <f>29376+1+2+37498</f>
        <v>66877</v>
      </c>
      <c r="E177" s="32">
        <f>1+42+2</f>
        <v>45</v>
      </c>
      <c r="F177" s="32">
        <v>0</v>
      </c>
      <c r="G177" s="32">
        <v>0</v>
      </c>
      <c r="H177" s="32">
        <v>0</v>
      </c>
      <c r="I177" s="32">
        <v>133281</v>
      </c>
      <c r="J177" s="32">
        <v>31016</v>
      </c>
      <c r="K177" s="32"/>
      <c r="M177" s="42" t="s">
        <v>788</v>
      </c>
      <c r="N177" s="43" t="s">
        <v>872</v>
      </c>
      <c r="O177" s="43" t="s">
        <v>225</v>
      </c>
      <c r="P177" s="44">
        <v>66877</v>
      </c>
      <c r="Q177" s="45">
        <v>45</v>
      </c>
      <c r="R177" s="45">
        <v>0</v>
      </c>
      <c r="S177" s="45">
        <v>0</v>
      </c>
      <c r="T177" s="45">
        <v>0</v>
      </c>
      <c r="U177" s="45">
        <v>133281</v>
      </c>
      <c r="V177" s="46">
        <v>31016</v>
      </c>
    </row>
    <row r="178" spans="1:22" x14ac:dyDescent="0.25">
      <c r="A178" s="27" t="s">
        <v>226</v>
      </c>
      <c r="B178" s="27" t="s">
        <v>872</v>
      </c>
      <c r="C178" s="27" t="s">
        <v>227</v>
      </c>
      <c r="D178" s="32">
        <f>26066+1+3+9384</f>
        <v>35454</v>
      </c>
      <c r="E178" s="32">
        <v>17</v>
      </c>
      <c r="F178" s="32">
        <v>0</v>
      </c>
      <c r="G178" s="32">
        <v>0</v>
      </c>
      <c r="H178" s="32">
        <v>0</v>
      </c>
      <c r="I178" s="32">
        <v>14984</v>
      </c>
      <c r="J178" s="32">
        <v>8108</v>
      </c>
      <c r="K178" s="32"/>
      <c r="M178" s="42" t="s">
        <v>226</v>
      </c>
      <c r="N178" s="43" t="s">
        <v>872</v>
      </c>
      <c r="O178" s="43" t="s">
        <v>227</v>
      </c>
      <c r="P178" s="44">
        <v>35454</v>
      </c>
      <c r="Q178" s="45">
        <v>17</v>
      </c>
      <c r="R178" s="45">
        <v>0</v>
      </c>
      <c r="S178" s="45">
        <v>0</v>
      </c>
      <c r="T178" s="45">
        <v>0</v>
      </c>
      <c r="U178" s="45">
        <v>14984</v>
      </c>
      <c r="V178" s="46">
        <v>8108</v>
      </c>
    </row>
    <row r="179" spans="1:22" x14ac:dyDescent="0.25">
      <c r="A179" s="27" t="s">
        <v>226</v>
      </c>
      <c r="B179" s="27" t="s">
        <v>872</v>
      </c>
      <c r="C179" s="27" t="s">
        <v>228</v>
      </c>
      <c r="D179" s="32"/>
      <c r="E179" s="32"/>
      <c r="F179" s="32"/>
      <c r="G179" s="32"/>
      <c r="H179" s="32"/>
      <c r="I179" s="32"/>
      <c r="J179" s="32"/>
      <c r="K179" s="32"/>
      <c r="M179" s="42" t="s">
        <v>226</v>
      </c>
      <c r="N179" s="43" t="s">
        <v>872</v>
      </c>
      <c r="O179" s="43" t="s">
        <v>228</v>
      </c>
      <c r="P179" s="44"/>
      <c r="Q179" s="45"/>
      <c r="R179" s="45"/>
      <c r="S179" s="45"/>
      <c r="T179" s="45"/>
      <c r="U179" s="45"/>
      <c r="V179" s="46"/>
    </row>
    <row r="180" spans="1:22" x14ac:dyDescent="0.25">
      <c r="A180" s="27" t="s">
        <v>229</v>
      </c>
      <c r="B180" s="27" t="s">
        <v>872</v>
      </c>
      <c r="C180" s="27" t="s">
        <v>230</v>
      </c>
      <c r="D180" s="32">
        <f>20624+1+9492</f>
        <v>30117</v>
      </c>
      <c r="E180" s="32">
        <f>13+11+1+2</f>
        <v>27</v>
      </c>
      <c r="F180" s="32">
        <v>0</v>
      </c>
      <c r="G180" s="32">
        <v>0</v>
      </c>
      <c r="H180" s="32">
        <v>0</v>
      </c>
      <c r="I180" s="32">
        <v>17038</v>
      </c>
      <c r="J180" s="32">
        <v>7832</v>
      </c>
      <c r="K180" s="32"/>
      <c r="M180" s="42" t="s">
        <v>229</v>
      </c>
      <c r="N180" s="43" t="s">
        <v>872</v>
      </c>
      <c r="O180" s="43" t="s">
        <v>230</v>
      </c>
      <c r="P180" s="44">
        <v>30117</v>
      </c>
      <c r="Q180" s="45">
        <v>27</v>
      </c>
      <c r="R180" s="45">
        <v>0</v>
      </c>
      <c r="S180" s="45">
        <v>0</v>
      </c>
      <c r="T180" s="45">
        <v>0</v>
      </c>
      <c r="U180" s="45">
        <v>17038</v>
      </c>
      <c r="V180" s="46">
        <v>7832</v>
      </c>
    </row>
    <row r="181" spans="1:22" x14ac:dyDescent="0.25">
      <c r="A181" s="27" t="s">
        <v>231</v>
      </c>
      <c r="B181" s="27" t="s">
        <v>872</v>
      </c>
      <c r="C181" s="27" t="s">
        <v>232</v>
      </c>
      <c r="D181" s="32">
        <f>21433+30+1+1+3248</f>
        <v>24713</v>
      </c>
      <c r="E181" s="32">
        <f>1+1</f>
        <v>2</v>
      </c>
      <c r="F181" s="32">
        <v>0</v>
      </c>
      <c r="G181" s="32">
        <v>0</v>
      </c>
      <c r="H181" s="32">
        <v>0</v>
      </c>
      <c r="I181" s="32">
        <v>3692</v>
      </c>
      <c r="J181" s="32">
        <v>2708</v>
      </c>
      <c r="K181" s="32"/>
      <c r="M181" s="42" t="s">
        <v>231</v>
      </c>
      <c r="N181" s="43" t="s">
        <v>872</v>
      </c>
      <c r="O181" s="43" t="s">
        <v>232</v>
      </c>
      <c r="P181" s="44">
        <v>24713</v>
      </c>
      <c r="Q181" s="45">
        <v>2</v>
      </c>
      <c r="R181" s="45">
        <v>0</v>
      </c>
      <c r="S181" s="45">
        <v>0</v>
      </c>
      <c r="T181" s="45">
        <v>0</v>
      </c>
      <c r="U181" s="45">
        <v>3692</v>
      </c>
      <c r="V181" s="46">
        <v>2708</v>
      </c>
    </row>
    <row r="182" spans="1:22" x14ac:dyDescent="0.25">
      <c r="A182" s="27" t="s">
        <v>248</v>
      </c>
      <c r="B182" s="27" t="s">
        <v>872</v>
      </c>
      <c r="C182" s="27" t="s">
        <v>233</v>
      </c>
      <c r="D182" s="32">
        <f>18902+25+644+2292+36</f>
        <v>21899</v>
      </c>
      <c r="E182" s="32">
        <v>81</v>
      </c>
      <c r="F182" s="32">
        <v>0</v>
      </c>
      <c r="G182" s="32">
        <v>0</v>
      </c>
      <c r="H182" s="32">
        <v>0</v>
      </c>
      <c r="I182" s="32">
        <v>29612</v>
      </c>
      <c r="J182" s="32">
        <v>1780</v>
      </c>
      <c r="K182" s="32"/>
      <c r="M182" s="42" t="s">
        <v>248</v>
      </c>
      <c r="N182" s="43" t="s">
        <v>872</v>
      </c>
      <c r="O182" s="43" t="s">
        <v>233</v>
      </c>
      <c r="P182" s="44">
        <v>21899</v>
      </c>
      <c r="Q182" s="45">
        <v>81</v>
      </c>
      <c r="R182" s="45">
        <v>0</v>
      </c>
      <c r="S182" s="45">
        <v>0</v>
      </c>
      <c r="T182" s="45">
        <v>0</v>
      </c>
      <c r="U182" s="45">
        <v>29612</v>
      </c>
      <c r="V182" s="46">
        <v>1780</v>
      </c>
    </row>
    <row r="183" spans="1:22" x14ac:dyDescent="0.25">
      <c r="A183" s="27" t="s">
        <v>69</v>
      </c>
      <c r="B183" s="27" t="s">
        <v>872</v>
      </c>
      <c r="C183" s="27" t="s">
        <v>234</v>
      </c>
      <c r="D183" s="32">
        <f>112107+37+93+293+23295</f>
        <v>135825</v>
      </c>
      <c r="E183" s="32">
        <f>30+12+39+1+59</f>
        <v>141</v>
      </c>
      <c r="F183" s="32">
        <v>0</v>
      </c>
      <c r="G183" s="32">
        <v>0</v>
      </c>
      <c r="H183" s="32">
        <v>0</v>
      </c>
      <c r="I183" s="32">
        <v>299009</v>
      </c>
      <c r="J183" s="32">
        <v>19533</v>
      </c>
      <c r="K183" s="32"/>
      <c r="M183" s="42" t="s">
        <v>69</v>
      </c>
      <c r="N183" s="43" t="s">
        <v>872</v>
      </c>
      <c r="O183" s="43" t="s">
        <v>234</v>
      </c>
      <c r="P183" s="44">
        <v>135825</v>
      </c>
      <c r="Q183" s="45">
        <v>141</v>
      </c>
      <c r="R183" s="45">
        <v>0</v>
      </c>
      <c r="S183" s="45">
        <v>0</v>
      </c>
      <c r="T183" s="45">
        <v>0</v>
      </c>
      <c r="U183" s="45">
        <v>299009</v>
      </c>
      <c r="V183" s="46">
        <v>19533</v>
      </c>
    </row>
    <row r="184" spans="1:22" x14ac:dyDescent="0.25">
      <c r="A184" s="27" t="s">
        <v>795</v>
      </c>
      <c r="B184" s="27" t="s">
        <v>872</v>
      </c>
      <c r="C184" s="27" t="s">
        <v>235</v>
      </c>
      <c r="D184" s="32">
        <f>22815+17+29806+7</f>
        <v>52645</v>
      </c>
      <c r="E184" s="32">
        <f>29+1</f>
        <v>30</v>
      </c>
      <c r="F184" s="32">
        <v>0</v>
      </c>
      <c r="G184" s="32">
        <v>0</v>
      </c>
      <c r="H184" s="32">
        <v>0</v>
      </c>
      <c r="I184" s="32">
        <v>971</v>
      </c>
      <c r="J184" s="32">
        <v>28005</v>
      </c>
      <c r="K184" s="32"/>
      <c r="M184" s="42" t="s">
        <v>795</v>
      </c>
      <c r="N184" s="43" t="s">
        <v>872</v>
      </c>
      <c r="O184" s="43" t="s">
        <v>235</v>
      </c>
      <c r="P184" s="44">
        <v>52645</v>
      </c>
      <c r="Q184" s="45">
        <v>30</v>
      </c>
      <c r="R184" s="45">
        <v>0</v>
      </c>
      <c r="S184" s="45">
        <v>0</v>
      </c>
      <c r="T184" s="45">
        <v>0</v>
      </c>
      <c r="U184" s="45">
        <v>971</v>
      </c>
      <c r="V184" s="46">
        <v>28005</v>
      </c>
    </row>
    <row r="185" spans="1:22" x14ac:dyDescent="0.25">
      <c r="A185" s="27" t="s">
        <v>795</v>
      </c>
      <c r="B185" s="27" t="s">
        <v>872</v>
      </c>
      <c r="C185" s="27" t="s">
        <v>236</v>
      </c>
      <c r="D185" s="32">
        <f>17263+1+1+265+2+2+24052+1</f>
        <v>41587</v>
      </c>
      <c r="E185" s="32">
        <f>33+1+23+187+6</f>
        <v>250</v>
      </c>
      <c r="F185" s="32">
        <v>0</v>
      </c>
      <c r="G185" s="32">
        <v>0</v>
      </c>
      <c r="H185" s="32">
        <v>0</v>
      </c>
      <c r="I185" s="32">
        <v>34774</v>
      </c>
      <c r="J185" s="32">
        <v>18557</v>
      </c>
      <c r="K185" s="32"/>
      <c r="M185" s="42" t="s">
        <v>795</v>
      </c>
      <c r="N185" s="43" t="s">
        <v>872</v>
      </c>
      <c r="O185" s="43" t="s">
        <v>236</v>
      </c>
      <c r="P185" s="44">
        <v>41587</v>
      </c>
      <c r="Q185" s="45">
        <v>250</v>
      </c>
      <c r="R185" s="45">
        <v>0</v>
      </c>
      <c r="S185" s="45">
        <v>0</v>
      </c>
      <c r="T185" s="45">
        <v>0</v>
      </c>
      <c r="U185" s="45">
        <v>34774</v>
      </c>
      <c r="V185" s="46">
        <v>18557</v>
      </c>
    </row>
    <row r="186" spans="1:22" x14ac:dyDescent="0.25">
      <c r="A186" s="27" t="s">
        <v>801</v>
      </c>
      <c r="B186" s="27" t="s">
        <v>872</v>
      </c>
      <c r="C186" s="27" t="s">
        <v>237</v>
      </c>
      <c r="D186" s="32"/>
      <c r="E186" s="32"/>
      <c r="F186" s="32"/>
      <c r="G186" s="32"/>
      <c r="H186" s="32"/>
      <c r="I186" s="32"/>
      <c r="J186" s="32"/>
      <c r="K186" s="32"/>
      <c r="M186" s="42" t="s">
        <v>801</v>
      </c>
      <c r="N186" s="43" t="s">
        <v>872</v>
      </c>
      <c r="O186" s="43" t="s">
        <v>237</v>
      </c>
      <c r="P186" s="44"/>
      <c r="Q186" s="45"/>
      <c r="R186" s="45"/>
      <c r="S186" s="45"/>
      <c r="T186" s="45"/>
      <c r="U186" s="45"/>
      <c r="V186" s="46"/>
    </row>
    <row r="187" spans="1:22" x14ac:dyDescent="0.25">
      <c r="A187" s="27" t="s">
        <v>788</v>
      </c>
      <c r="B187" s="27" t="s">
        <v>872</v>
      </c>
      <c r="C187" s="27" t="s">
        <v>238</v>
      </c>
      <c r="D187" s="32">
        <f>30436+91+1082+2+12+5+8602</f>
        <v>40230</v>
      </c>
      <c r="E187" s="32">
        <f>54+6</f>
        <v>60</v>
      </c>
      <c r="F187" s="32">
        <v>0</v>
      </c>
      <c r="G187" s="32">
        <v>0</v>
      </c>
      <c r="H187" s="32">
        <v>0</v>
      </c>
      <c r="I187" s="32">
        <v>24121</v>
      </c>
      <c r="J187" s="32">
        <v>7896</v>
      </c>
      <c r="K187" s="32"/>
      <c r="M187" s="42" t="s">
        <v>788</v>
      </c>
      <c r="N187" s="43" t="s">
        <v>872</v>
      </c>
      <c r="O187" s="43" t="s">
        <v>238</v>
      </c>
      <c r="P187" s="44">
        <v>40230</v>
      </c>
      <c r="Q187" s="45">
        <v>60</v>
      </c>
      <c r="R187" s="45">
        <v>0</v>
      </c>
      <c r="S187" s="45">
        <v>0</v>
      </c>
      <c r="T187" s="45">
        <v>0</v>
      </c>
      <c r="U187" s="45">
        <v>24121</v>
      </c>
      <c r="V187" s="46">
        <v>7896</v>
      </c>
    </row>
    <row r="188" spans="1:22" x14ac:dyDescent="0.25">
      <c r="A188" s="27" t="s">
        <v>791</v>
      </c>
      <c r="B188" s="27" t="s">
        <v>872</v>
      </c>
      <c r="C188" s="27" t="s">
        <v>239</v>
      </c>
      <c r="D188" s="32">
        <f>10546+1+197+3+5832</f>
        <v>16579</v>
      </c>
      <c r="E188" s="32">
        <f>67+2</f>
        <v>69</v>
      </c>
      <c r="F188" s="32">
        <v>0</v>
      </c>
      <c r="G188" s="32">
        <v>0</v>
      </c>
      <c r="H188" s="32">
        <v>0</v>
      </c>
      <c r="I188" s="32">
        <v>6055</v>
      </c>
      <c r="J188" s="32">
        <v>4538</v>
      </c>
      <c r="K188" s="32"/>
      <c r="M188" s="42" t="s">
        <v>791</v>
      </c>
      <c r="N188" s="43" t="s">
        <v>872</v>
      </c>
      <c r="O188" s="43" t="s">
        <v>239</v>
      </c>
      <c r="P188" s="44">
        <v>16579</v>
      </c>
      <c r="Q188" s="45">
        <v>69</v>
      </c>
      <c r="R188" s="45">
        <v>0</v>
      </c>
      <c r="S188" s="45">
        <v>0</v>
      </c>
      <c r="T188" s="45">
        <v>0</v>
      </c>
      <c r="U188" s="45">
        <v>6055</v>
      </c>
      <c r="V188" s="46">
        <v>4538</v>
      </c>
    </row>
    <row r="189" spans="1:22" x14ac:dyDescent="0.25">
      <c r="A189" s="27" t="s">
        <v>801</v>
      </c>
      <c r="B189" s="27" t="s">
        <v>872</v>
      </c>
      <c r="C189" s="27" t="s">
        <v>240</v>
      </c>
      <c r="D189" s="32"/>
      <c r="E189" s="32"/>
      <c r="F189" s="32"/>
      <c r="G189" s="32"/>
      <c r="H189" s="32"/>
      <c r="I189" s="32"/>
      <c r="J189" s="32"/>
      <c r="K189" s="32"/>
      <c r="M189" s="42" t="s">
        <v>801</v>
      </c>
      <c r="N189" s="43" t="s">
        <v>872</v>
      </c>
      <c r="O189" s="43" t="s">
        <v>240</v>
      </c>
      <c r="P189" s="44"/>
      <c r="Q189" s="45"/>
      <c r="R189" s="45"/>
      <c r="S189" s="45"/>
      <c r="T189" s="45"/>
      <c r="U189" s="45"/>
      <c r="V189" s="46"/>
    </row>
    <row r="190" spans="1:22" x14ac:dyDescent="0.25">
      <c r="A190" s="27" t="s">
        <v>788</v>
      </c>
      <c r="B190" s="27" t="s">
        <v>872</v>
      </c>
      <c r="C190" s="27" t="s">
        <v>241</v>
      </c>
      <c r="D190" s="32">
        <f>77407+528+5+29202</f>
        <v>107142</v>
      </c>
      <c r="E190" s="32">
        <f>44+12</f>
        <v>56</v>
      </c>
      <c r="F190" s="32">
        <v>0</v>
      </c>
      <c r="G190" s="32">
        <v>0</v>
      </c>
      <c r="H190" s="32">
        <v>0</v>
      </c>
      <c r="I190" s="32">
        <v>63946</v>
      </c>
      <c r="J190" s="32">
        <v>24826</v>
      </c>
      <c r="K190" s="32"/>
      <c r="M190" s="42" t="s">
        <v>788</v>
      </c>
      <c r="N190" s="43" t="s">
        <v>872</v>
      </c>
      <c r="O190" s="43" t="s">
        <v>241</v>
      </c>
      <c r="P190" s="44">
        <v>107142</v>
      </c>
      <c r="Q190" s="45">
        <v>56</v>
      </c>
      <c r="R190" s="45">
        <v>0</v>
      </c>
      <c r="S190" s="45">
        <v>0</v>
      </c>
      <c r="T190" s="45">
        <v>0</v>
      </c>
      <c r="U190" s="45">
        <v>63946</v>
      </c>
      <c r="V190" s="46">
        <v>24826</v>
      </c>
    </row>
    <row r="191" spans="1:22" x14ac:dyDescent="0.25">
      <c r="A191" s="27" t="s">
        <v>138</v>
      </c>
      <c r="B191" s="27" t="s">
        <v>872</v>
      </c>
      <c r="C191" s="27" t="s">
        <v>242</v>
      </c>
      <c r="D191" s="32"/>
      <c r="E191" s="32"/>
      <c r="F191" s="32"/>
      <c r="G191" s="32"/>
      <c r="H191" s="32"/>
      <c r="I191" s="32"/>
      <c r="J191" s="32"/>
      <c r="K191" s="32"/>
      <c r="M191" s="42" t="s">
        <v>138</v>
      </c>
      <c r="N191" s="43" t="s">
        <v>872</v>
      </c>
      <c r="O191" s="43" t="s">
        <v>242</v>
      </c>
      <c r="P191" s="44"/>
      <c r="Q191" s="45"/>
      <c r="R191" s="45"/>
      <c r="S191" s="45"/>
      <c r="T191" s="45"/>
      <c r="U191" s="45"/>
      <c r="V191" s="46"/>
    </row>
    <row r="192" spans="1:22" x14ac:dyDescent="0.25">
      <c r="A192" s="27" t="s">
        <v>512</v>
      </c>
      <c r="B192" s="27" t="s">
        <v>872</v>
      </c>
      <c r="C192" s="27" t="s">
        <v>243</v>
      </c>
      <c r="D192" s="32">
        <f>13382+1+2481</f>
        <v>15864</v>
      </c>
      <c r="E192" s="32">
        <v>39</v>
      </c>
      <c r="F192" s="32">
        <v>0</v>
      </c>
      <c r="G192" s="32">
        <v>0</v>
      </c>
      <c r="H192" s="32">
        <v>0</v>
      </c>
      <c r="I192" s="32">
        <v>994</v>
      </c>
      <c r="J192" s="32">
        <v>1569</v>
      </c>
      <c r="K192" s="32"/>
      <c r="M192" s="42" t="s">
        <v>512</v>
      </c>
      <c r="N192" s="43" t="s">
        <v>872</v>
      </c>
      <c r="O192" s="43" t="s">
        <v>243</v>
      </c>
      <c r="P192" s="44">
        <v>15864</v>
      </c>
      <c r="Q192" s="45">
        <v>39</v>
      </c>
      <c r="R192" s="45">
        <v>0</v>
      </c>
      <c r="S192" s="45">
        <v>0</v>
      </c>
      <c r="T192" s="45">
        <v>0</v>
      </c>
      <c r="U192" s="45">
        <v>994</v>
      </c>
      <c r="V192" s="46">
        <v>1569</v>
      </c>
    </row>
    <row r="193" spans="1:22" x14ac:dyDescent="0.25">
      <c r="A193" s="27" t="s">
        <v>796</v>
      </c>
      <c r="B193" s="27" t="s">
        <v>872</v>
      </c>
      <c r="C193" s="27" t="s">
        <v>244</v>
      </c>
      <c r="D193" s="32">
        <f>62244+670+5+5+13+18361+25</f>
        <v>81323</v>
      </c>
      <c r="E193" s="32">
        <f>526+9+19+4+115+124+120</f>
        <v>917</v>
      </c>
      <c r="F193" s="32">
        <v>0</v>
      </c>
      <c r="G193" s="32">
        <v>0</v>
      </c>
      <c r="H193" s="32">
        <v>0</v>
      </c>
      <c r="I193" s="32">
        <v>101590</v>
      </c>
      <c r="J193" s="32">
        <v>16539</v>
      </c>
      <c r="K193" s="32"/>
      <c r="M193" s="42" t="s">
        <v>796</v>
      </c>
      <c r="N193" s="43" t="s">
        <v>872</v>
      </c>
      <c r="O193" s="43" t="s">
        <v>244</v>
      </c>
      <c r="P193" s="44">
        <v>81323</v>
      </c>
      <c r="Q193" s="45">
        <v>917</v>
      </c>
      <c r="R193" s="45">
        <v>0</v>
      </c>
      <c r="S193" s="45">
        <v>0</v>
      </c>
      <c r="T193" s="45">
        <v>0</v>
      </c>
      <c r="U193" s="45">
        <v>101590</v>
      </c>
      <c r="V193" s="46">
        <v>16539</v>
      </c>
    </row>
    <row r="194" spans="1:22" x14ac:dyDescent="0.25">
      <c r="A194" s="27" t="s">
        <v>146</v>
      </c>
      <c r="B194" s="27" t="s">
        <v>872</v>
      </c>
      <c r="C194" s="27" t="s">
        <v>245</v>
      </c>
      <c r="D194" s="32">
        <f>28646+155+5+9931+149</f>
        <v>38886</v>
      </c>
      <c r="E194" s="32">
        <f>72+21+4+61+12</f>
        <v>170</v>
      </c>
      <c r="F194" s="32">
        <v>0</v>
      </c>
      <c r="G194" s="32">
        <v>0</v>
      </c>
      <c r="H194" s="32">
        <v>0</v>
      </c>
      <c r="I194" s="32">
        <v>39315</v>
      </c>
      <c r="J194" s="32">
        <v>9374</v>
      </c>
      <c r="K194" s="32"/>
      <c r="M194" s="42" t="s">
        <v>146</v>
      </c>
      <c r="N194" s="43" t="s">
        <v>872</v>
      </c>
      <c r="O194" s="43" t="s">
        <v>245</v>
      </c>
      <c r="P194" s="44">
        <v>38886</v>
      </c>
      <c r="Q194" s="45">
        <v>170</v>
      </c>
      <c r="R194" s="45">
        <v>0</v>
      </c>
      <c r="S194" s="45">
        <v>0</v>
      </c>
      <c r="T194" s="45">
        <v>0</v>
      </c>
      <c r="U194" s="45">
        <v>39315</v>
      </c>
      <c r="V194" s="46">
        <v>9374</v>
      </c>
    </row>
    <row r="195" spans="1:22" x14ac:dyDescent="0.25">
      <c r="A195" s="27" t="s">
        <v>831</v>
      </c>
      <c r="B195" s="27" t="s">
        <v>872</v>
      </c>
      <c r="C195" s="27" t="s">
        <v>246</v>
      </c>
      <c r="D195" s="32"/>
      <c r="E195" s="32"/>
      <c r="F195" s="32"/>
      <c r="G195" s="32"/>
      <c r="H195" s="32"/>
      <c r="I195" s="32"/>
      <c r="J195" s="32"/>
      <c r="K195" s="32"/>
      <c r="M195" s="42" t="s">
        <v>831</v>
      </c>
      <c r="N195" s="43" t="s">
        <v>872</v>
      </c>
      <c r="O195" s="43" t="s">
        <v>246</v>
      </c>
      <c r="P195" s="44"/>
      <c r="Q195" s="45"/>
      <c r="R195" s="45"/>
      <c r="S195" s="45"/>
      <c r="T195" s="45"/>
      <c r="U195" s="45"/>
      <c r="V195" s="46"/>
    </row>
    <row r="196" spans="1:22" x14ac:dyDescent="0.25">
      <c r="A196" s="27" t="s">
        <v>791</v>
      </c>
      <c r="B196" s="27" t="s">
        <v>872</v>
      </c>
      <c r="C196" s="27" t="s">
        <v>247</v>
      </c>
      <c r="D196" s="32">
        <f>2184+8901</f>
        <v>11085</v>
      </c>
      <c r="E196" s="32">
        <f>3+306</f>
        <v>309</v>
      </c>
      <c r="F196" s="32">
        <v>0</v>
      </c>
      <c r="G196" s="32">
        <v>0</v>
      </c>
      <c r="H196" s="32">
        <v>0</v>
      </c>
      <c r="I196" s="32">
        <v>3431</v>
      </c>
      <c r="J196" s="32">
        <v>5500</v>
      </c>
      <c r="K196" s="32"/>
      <c r="M196" s="42" t="s">
        <v>791</v>
      </c>
      <c r="N196" s="43" t="s">
        <v>872</v>
      </c>
      <c r="O196" s="43" t="s">
        <v>247</v>
      </c>
      <c r="P196" s="44">
        <v>11085</v>
      </c>
      <c r="Q196" s="45">
        <v>309</v>
      </c>
      <c r="R196" s="45">
        <v>0</v>
      </c>
      <c r="S196" s="45">
        <v>0</v>
      </c>
      <c r="T196" s="45">
        <v>0</v>
      </c>
      <c r="U196" s="45">
        <v>3431</v>
      </c>
      <c r="V196" s="46">
        <v>5500</v>
      </c>
    </row>
    <row r="197" spans="1:22" x14ac:dyDescent="0.25">
      <c r="A197" s="27" t="s">
        <v>248</v>
      </c>
      <c r="B197" s="27" t="s">
        <v>872</v>
      </c>
      <c r="C197" s="27" t="s">
        <v>249</v>
      </c>
      <c r="D197" s="32">
        <f>52067+1+74+1+10+3+15561+2+1</f>
        <v>67720</v>
      </c>
      <c r="E197" s="32">
        <f>197+4+33+122+11</f>
        <v>367</v>
      </c>
      <c r="F197" s="32">
        <v>0</v>
      </c>
      <c r="G197" s="32">
        <v>0</v>
      </c>
      <c r="H197" s="32">
        <v>0</v>
      </c>
      <c r="I197" s="32">
        <v>87082</v>
      </c>
      <c r="J197" s="32">
        <v>12970</v>
      </c>
      <c r="K197" s="32"/>
      <c r="M197" s="42" t="s">
        <v>248</v>
      </c>
      <c r="N197" s="43" t="s">
        <v>872</v>
      </c>
      <c r="O197" s="43" t="s">
        <v>249</v>
      </c>
      <c r="P197" s="44">
        <v>67720</v>
      </c>
      <c r="Q197" s="45">
        <v>367</v>
      </c>
      <c r="R197" s="45">
        <v>0</v>
      </c>
      <c r="S197" s="45">
        <v>0</v>
      </c>
      <c r="T197" s="45">
        <v>0</v>
      </c>
      <c r="U197" s="45">
        <v>87082</v>
      </c>
      <c r="V197" s="46">
        <v>12970</v>
      </c>
    </row>
    <row r="198" spans="1:22" x14ac:dyDescent="0.25">
      <c r="A198" s="27" t="s">
        <v>865</v>
      </c>
      <c r="B198" s="27" t="s">
        <v>872</v>
      </c>
      <c r="C198" s="27" t="s">
        <v>250</v>
      </c>
      <c r="D198" s="32">
        <f>19691+8+19+1+3520</f>
        <v>23239</v>
      </c>
      <c r="E198" s="32">
        <f>26+2+7+1</f>
        <v>36</v>
      </c>
      <c r="F198" s="32">
        <v>0</v>
      </c>
      <c r="G198" s="32">
        <v>0</v>
      </c>
      <c r="H198" s="32">
        <v>0</v>
      </c>
      <c r="I198" s="32">
        <v>11546</v>
      </c>
      <c r="J198" s="32">
        <v>3054</v>
      </c>
      <c r="K198" s="32"/>
      <c r="M198" s="42" t="s">
        <v>865</v>
      </c>
      <c r="N198" s="43" t="s">
        <v>872</v>
      </c>
      <c r="O198" s="43" t="s">
        <v>250</v>
      </c>
      <c r="P198" s="44">
        <v>23239</v>
      </c>
      <c r="Q198" s="45">
        <v>36</v>
      </c>
      <c r="R198" s="45">
        <v>0</v>
      </c>
      <c r="S198" s="45">
        <v>0</v>
      </c>
      <c r="T198" s="45">
        <v>0</v>
      </c>
      <c r="U198" s="45">
        <v>11546</v>
      </c>
      <c r="V198" s="46">
        <v>3054</v>
      </c>
    </row>
    <row r="199" spans="1:22" x14ac:dyDescent="0.25">
      <c r="A199" s="27" t="s">
        <v>248</v>
      </c>
      <c r="B199" s="27" t="s">
        <v>872</v>
      </c>
      <c r="C199" s="27" t="s">
        <v>251</v>
      </c>
      <c r="D199" s="32">
        <f>34539+6+3+9622</f>
        <v>44170</v>
      </c>
      <c r="E199" s="32">
        <f>466+2+192+36+11</f>
        <v>707</v>
      </c>
      <c r="F199" s="32">
        <v>0</v>
      </c>
      <c r="G199" s="32">
        <v>0</v>
      </c>
      <c r="H199" s="32">
        <v>0</v>
      </c>
      <c r="I199" s="32">
        <v>37518</v>
      </c>
      <c r="J199" s="32">
        <v>7695</v>
      </c>
      <c r="K199" s="32"/>
      <c r="M199" s="42" t="s">
        <v>248</v>
      </c>
      <c r="N199" s="43" t="s">
        <v>872</v>
      </c>
      <c r="O199" s="43" t="s">
        <v>251</v>
      </c>
      <c r="P199" s="44">
        <v>44170</v>
      </c>
      <c r="Q199" s="45">
        <v>707</v>
      </c>
      <c r="R199" s="45">
        <v>0</v>
      </c>
      <c r="S199" s="45">
        <v>0</v>
      </c>
      <c r="T199" s="45">
        <v>0</v>
      </c>
      <c r="U199" s="45">
        <v>37518</v>
      </c>
      <c r="V199" s="46">
        <v>7695</v>
      </c>
    </row>
    <row r="200" spans="1:22" x14ac:dyDescent="0.25">
      <c r="A200" s="27" t="s">
        <v>795</v>
      </c>
      <c r="B200" s="27" t="s">
        <v>872</v>
      </c>
      <c r="C200" s="27" t="s">
        <v>252</v>
      </c>
      <c r="D200" s="32">
        <f>28447+74+29+529+2+18519</f>
        <v>47600</v>
      </c>
      <c r="E200" s="32">
        <f>12+14+16+1+57</f>
        <v>100</v>
      </c>
      <c r="F200" s="32">
        <v>0</v>
      </c>
      <c r="G200" s="32">
        <v>0</v>
      </c>
      <c r="H200" s="32">
        <v>0</v>
      </c>
      <c r="I200" s="32">
        <v>18066</v>
      </c>
      <c r="J200" s="32">
        <v>13975</v>
      </c>
      <c r="K200" s="32"/>
      <c r="M200" s="42" t="s">
        <v>795</v>
      </c>
      <c r="N200" s="43" t="s">
        <v>872</v>
      </c>
      <c r="O200" s="43" t="s">
        <v>252</v>
      </c>
      <c r="P200" s="44">
        <v>47600</v>
      </c>
      <c r="Q200" s="45">
        <v>100</v>
      </c>
      <c r="R200" s="45">
        <v>0</v>
      </c>
      <c r="S200" s="45">
        <v>0</v>
      </c>
      <c r="T200" s="45">
        <v>0</v>
      </c>
      <c r="U200" s="45">
        <v>18066</v>
      </c>
      <c r="V200" s="46">
        <v>13975</v>
      </c>
    </row>
    <row r="201" spans="1:22" x14ac:dyDescent="0.25">
      <c r="A201" s="27" t="s">
        <v>248</v>
      </c>
      <c r="B201" s="27" t="s">
        <v>872</v>
      </c>
      <c r="C201" s="27" t="s">
        <v>253</v>
      </c>
      <c r="D201" s="32">
        <f>71075+4+81+9+70+21300</f>
        <v>92539</v>
      </c>
      <c r="E201" s="32">
        <f>134+1+164+79+1</f>
        <v>379</v>
      </c>
      <c r="F201" s="32">
        <v>0</v>
      </c>
      <c r="G201" s="32">
        <v>0</v>
      </c>
      <c r="H201" s="32">
        <v>0</v>
      </c>
      <c r="I201" s="32">
        <v>42845</v>
      </c>
      <c r="J201" s="32">
        <v>17020</v>
      </c>
      <c r="K201" s="32"/>
      <c r="M201" s="42" t="s">
        <v>248</v>
      </c>
      <c r="N201" s="43" t="s">
        <v>872</v>
      </c>
      <c r="O201" s="43" t="s">
        <v>253</v>
      </c>
      <c r="P201" s="44">
        <v>92539</v>
      </c>
      <c r="Q201" s="45">
        <v>379</v>
      </c>
      <c r="R201" s="45">
        <v>0</v>
      </c>
      <c r="S201" s="45">
        <v>0</v>
      </c>
      <c r="T201" s="45">
        <v>0</v>
      </c>
      <c r="U201" s="45">
        <v>42845</v>
      </c>
      <c r="V201" s="46">
        <v>17020</v>
      </c>
    </row>
    <row r="202" spans="1:22" x14ac:dyDescent="0.25">
      <c r="A202" s="27" t="s">
        <v>823</v>
      </c>
      <c r="B202" s="27" t="s">
        <v>872</v>
      </c>
      <c r="C202" s="27" t="s">
        <v>254</v>
      </c>
      <c r="D202" s="32"/>
      <c r="E202" s="32"/>
      <c r="F202" s="32"/>
      <c r="G202" s="32"/>
      <c r="H202" s="32"/>
      <c r="I202" s="32"/>
      <c r="J202" s="32"/>
      <c r="K202" s="32"/>
      <c r="M202" s="42" t="s">
        <v>823</v>
      </c>
      <c r="N202" s="43" t="s">
        <v>872</v>
      </c>
      <c r="O202" s="43" t="s">
        <v>254</v>
      </c>
      <c r="P202" s="44"/>
      <c r="Q202" s="45"/>
      <c r="R202" s="45"/>
      <c r="S202" s="45"/>
      <c r="T202" s="45"/>
      <c r="U202" s="45"/>
      <c r="V202" s="46"/>
    </row>
    <row r="203" spans="1:22" x14ac:dyDescent="0.25">
      <c r="A203" s="27" t="s">
        <v>67</v>
      </c>
      <c r="B203" s="27" t="s">
        <v>872</v>
      </c>
      <c r="C203" s="27" t="s">
        <v>255</v>
      </c>
      <c r="D203" s="32"/>
      <c r="E203" s="32"/>
      <c r="F203" s="32"/>
      <c r="G203" s="32"/>
      <c r="H203" s="32"/>
      <c r="I203" s="32"/>
      <c r="J203" s="32"/>
      <c r="K203" s="32"/>
      <c r="M203" s="42" t="s">
        <v>67</v>
      </c>
      <c r="N203" s="43" t="s">
        <v>872</v>
      </c>
      <c r="O203" s="43" t="s">
        <v>255</v>
      </c>
      <c r="P203" s="44"/>
      <c r="Q203" s="45"/>
      <c r="R203" s="45"/>
      <c r="S203" s="45"/>
      <c r="T203" s="45"/>
      <c r="U203" s="45"/>
      <c r="V203" s="46"/>
    </row>
    <row r="204" spans="1:22" x14ac:dyDescent="0.25">
      <c r="A204" s="27" t="s">
        <v>72</v>
      </c>
      <c r="B204" s="27" t="s">
        <v>872</v>
      </c>
      <c r="C204" s="27" t="s">
        <v>256</v>
      </c>
      <c r="D204" s="32">
        <f>20300+475+1+2+28+4946</f>
        <v>25752</v>
      </c>
      <c r="E204" s="32">
        <f>18+4</f>
        <v>22</v>
      </c>
      <c r="F204" s="32">
        <v>0</v>
      </c>
      <c r="G204" s="32">
        <v>0</v>
      </c>
      <c r="H204" s="32">
        <v>0</v>
      </c>
      <c r="I204" s="32">
        <v>24958</v>
      </c>
      <c r="J204" s="32">
        <v>4569</v>
      </c>
      <c r="K204" s="32"/>
      <c r="M204" s="42" t="s">
        <v>72</v>
      </c>
      <c r="N204" s="43" t="s">
        <v>872</v>
      </c>
      <c r="O204" s="43" t="s">
        <v>256</v>
      </c>
      <c r="P204" s="44">
        <v>25752</v>
      </c>
      <c r="Q204" s="45">
        <v>22</v>
      </c>
      <c r="R204" s="45">
        <v>0</v>
      </c>
      <c r="S204" s="45">
        <v>0</v>
      </c>
      <c r="T204" s="45">
        <v>0</v>
      </c>
      <c r="U204" s="45">
        <v>24958</v>
      </c>
      <c r="V204" s="46">
        <v>4569</v>
      </c>
    </row>
    <row r="205" spans="1:22" x14ac:dyDescent="0.25">
      <c r="A205" s="27" t="s">
        <v>138</v>
      </c>
      <c r="B205" s="27" t="s">
        <v>872</v>
      </c>
      <c r="C205" s="27" t="s">
        <v>257</v>
      </c>
      <c r="D205" s="32"/>
      <c r="E205" s="32"/>
      <c r="F205" s="32"/>
      <c r="G205" s="32"/>
      <c r="H205" s="32"/>
      <c r="I205" s="32"/>
      <c r="J205" s="32"/>
      <c r="K205" s="32"/>
      <c r="M205" s="42" t="s">
        <v>138</v>
      </c>
      <c r="N205" s="43" t="s">
        <v>872</v>
      </c>
      <c r="O205" s="43" t="s">
        <v>257</v>
      </c>
      <c r="P205" s="44"/>
      <c r="Q205" s="45"/>
      <c r="R205" s="45"/>
      <c r="S205" s="45"/>
      <c r="T205" s="45"/>
      <c r="U205" s="45"/>
      <c r="V205" s="46"/>
    </row>
    <row r="206" spans="1:22" x14ac:dyDescent="0.25">
      <c r="A206" s="27" t="s">
        <v>817</v>
      </c>
      <c r="B206" s="27" t="s">
        <v>872</v>
      </c>
      <c r="C206" s="27" t="s">
        <v>258</v>
      </c>
      <c r="D206" s="32">
        <f>31668+650+7+1+21328+1</f>
        <v>53655</v>
      </c>
      <c r="E206" s="32">
        <f>804+4+19+21+28</f>
        <v>876</v>
      </c>
      <c r="F206" s="32">
        <v>0</v>
      </c>
      <c r="G206" s="32">
        <v>0</v>
      </c>
      <c r="H206" s="32">
        <v>0</v>
      </c>
      <c r="I206" s="32">
        <v>89241</v>
      </c>
      <c r="J206" s="32">
        <v>17188</v>
      </c>
      <c r="K206" s="32"/>
      <c r="M206" s="42" t="s">
        <v>817</v>
      </c>
      <c r="N206" s="43" t="s">
        <v>872</v>
      </c>
      <c r="O206" s="43" t="s">
        <v>258</v>
      </c>
      <c r="P206" s="44">
        <v>53655</v>
      </c>
      <c r="Q206" s="45">
        <v>876</v>
      </c>
      <c r="R206" s="45">
        <v>0</v>
      </c>
      <c r="S206" s="45">
        <v>0</v>
      </c>
      <c r="T206" s="45">
        <v>0</v>
      </c>
      <c r="U206" s="45">
        <v>89241</v>
      </c>
      <c r="V206" s="46">
        <v>17188</v>
      </c>
    </row>
    <row r="207" spans="1:22" x14ac:dyDescent="0.25">
      <c r="A207" s="27" t="s">
        <v>795</v>
      </c>
      <c r="B207" s="27" t="s">
        <v>872</v>
      </c>
      <c r="C207" s="27" t="s">
        <v>259</v>
      </c>
      <c r="D207" s="32">
        <f>50570+15743+29980+858</f>
        <v>97151</v>
      </c>
      <c r="E207" s="32">
        <f>483+3+9+40</f>
        <v>535</v>
      </c>
      <c r="F207" s="32">
        <v>0</v>
      </c>
      <c r="G207" s="32">
        <v>0</v>
      </c>
      <c r="H207" s="32">
        <v>0</v>
      </c>
      <c r="I207" s="32">
        <v>28742</v>
      </c>
      <c r="J207" s="32">
        <v>25115</v>
      </c>
      <c r="K207" s="32"/>
      <c r="M207" s="42" t="s">
        <v>795</v>
      </c>
      <c r="N207" s="43" t="s">
        <v>872</v>
      </c>
      <c r="O207" s="43" t="s">
        <v>259</v>
      </c>
      <c r="P207" s="44">
        <v>97151</v>
      </c>
      <c r="Q207" s="45">
        <v>535</v>
      </c>
      <c r="R207" s="45">
        <v>0</v>
      </c>
      <c r="S207" s="45">
        <v>0</v>
      </c>
      <c r="T207" s="45">
        <v>0</v>
      </c>
      <c r="U207" s="45">
        <v>28742</v>
      </c>
      <c r="V207" s="46">
        <v>25115</v>
      </c>
    </row>
    <row r="208" spans="1:22" x14ac:dyDescent="0.25">
      <c r="A208" s="27" t="s">
        <v>864</v>
      </c>
      <c r="B208" s="27" t="s">
        <v>872</v>
      </c>
      <c r="C208" s="27" t="s">
        <v>260</v>
      </c>
      <c r="D208" s="32">
        <f>27007+4+1367+2+4+2+8+22249</f>
        <v>50643</v>
      </c>
      <c r="E208" s="32">
        <f>213+1+233+41+167</f>
        <v>655</v>
      </c>
      <c r="F208" s="32">
        <v>0</v>
      </c>
      <c r="G208" s="32">
        <v>0</v>
      </c>
      <c r="H208" s="32">
        <v>0</v>
      </c>
      <c r="I208" s="32">
        <v>44233</v>
      </c>
      <c r="J208" s="32">
        <v>18273</v>
      </c>
      <c r="K208" s="32"/>
      <c r="M208" s="42" t="s">
        <v>864</v>
      </c>
      <c r="N208" s="43" t="s">
        <v>872</v>
      </c>
      <c r="O208" s="43" t="s">
        <v>260</v>
      </c>
      <c r="P208" s="44">
        <v>50643</v>
      </c>
      <c r="Q208" s="45">
        <v>655</v>
      </c>
      <c r="R208" s="45">
        <v>0</v>
      </c>
      <c r="S208" s="45">
        <v>0</v>
      </c>
      <c r="T208" s="45">
        <v>0</v>
      </c>
      <c r="U208" s="45">
        <v>44233</v>
      </c>
      <c r="V208" s="46">
        <v>18273</v>
      </c>
    </row>
    <row r="209" spans="1:22" x14ac:dyDescent="0.25">
      <c r="A209" s="27" t="s">
        <v>826</v>
      </c>
      <c r="B209" s="27" t="s">
        <v>872</v>
      </c>
      <c r="C209" s="27" t="s">
        <v>261</v>
      </c>
      <c r="D209" s="32"/>
      <c r="E209" s="32"/>
      <c r="F209" s="32"/>
      <c r="G209" s="32"/>
      <c r="H209" s="32"/>
      <c r="I209" s="32"/>
      <c r="J209" s="32"/>
      <c r="K209" s="32"/>
      <c r="M209" s="42" t="s">
        <v>826</v>
      </c>
      <c r="N209" s="43" t="s">
        <v>872</v>
      </c>
      <c r="O209" s="43" t="s">
        <v>261</v>
      </c>
      <c r="P209" s="44"/>
      <c r="Q209" s="45"/>
      <c r="R209" s="45"/>
      <c r="S209" s="45"/>
      <c r="T209" s="45"/>
      <c r="U209" s="45"/>
      <c r="V209" s="46"/>
    </row>
    <row r="210" spans="1:22" x14ac:dyDescent="0.25">
      <c r="A210" s="27" t="s">
        <v>801</v>
      </c>
      <c r="B210" s="27" t="s">
        <v>872</v>
      </c>
      <c r="C210" s="27" t="s">
        <v>262</v>
      </c>
      <c r="D210" s="32"/>
      <c r="E210" s="32"/>
      <c r="F210" s="32"/>
      <c r="G210" s="32"/>
      <c r="H210" s="32"/>
      <c r="I210" s="32"/>
      <c r="J210" s="32"/>
      <c r="K210" s="32"/>
      <c r="M210" s="42" t="s">
        <v>801</v>
      </c>
      <c r="N210" s="43" t="s">
        <v>872</v>
      </c>
      <c r="O210" s="43" t="s">
        <v>262</v>
      </c>
      <c r="P210" s="44"/>
      <c r="Q210" s="45"/>
      <c r="R210" s="45"/>
      <c r="S210" s="45"/>
      <c r="T210" s="45"/>
      <c r="U210" s="45"/>
      <c r="V210" s="46"/>
    </row>
    <row r="211" spans="1:22" x14ac:dyDescent="0.25">
      <c r="A211" s="27" t="s">
        <v>120</v>
      </c>
      <c r="B211" s="27" t="s">
        <v>872</v>
      </c>
      <c r="C211" s="27" t="s">
        <v>263</v>
      </c>
      <c r="D211" s="32">
        <f>37153+52+5+857+3+19+3932</f>
        <v>42021</v>
      </c>
      <c r="E211" s="32">
        <f>16+1</f>
        <v>17</v>
      </c>
      <c r="F211" s="32">
        <v>0</v>
      </c>
      <c r="G211" s="32">
        <v>0</v>
      </c>
      <c r="H211" s="32">
        <v>0</v>
      </c>
      <c r="I211" s="32">
        <v>4958</v>
      </c>
      <c r="J211" s="32">
        <v>3122</v>
      </c>
      <c r="K211" s="32"/>
      <c r="M211" s="42" t="s">
        <v>120</v>
      </c>
      <c r="N211" s="43" t="s">
        <v>872</v>
      </c>
      <c r="O211" s="43" t="s">
        <v>263</v>
      </c>
      <c r="P211" s="44">
        <v>42021</v>
      </c>
      <c r="Q211" s="45">
        <v>17</v>
      </c>
      <c r="R211" s="45">
        <v>0</v>
      </c>
      <c r="S211" s="45">
        <v>0</v>
      </c>
      <c r="T211" s="45">
        <v>0</v>
      </c>
      <c r="U211" s="45">
        <v>4958</v>
      </c>
      <c r="V211" s="46">
        <v>3122</v>
      </c>
    </row>
    <row r="212" spans="1:22" x14ac:dyDescent="0.25">
      <c r="A212" s="27" t="s">
        <v>868</v>
      </c>
      <c r="B212" s="27" t="s">
        <v>872</v>
      </c>
      <c r="C212" s="27" t="s">
        <v>264</v>
      </c>
      <c r="D212" s="32"/>
      <c r="E212" s="32"/>
      <c r="F212" s="32"/>
      <c r="G212" s="32"/>
      <c r="H212" s="32"/>
      <c r="I212" s="32"/>
      <c r="J212" s="32"/>
      <c r="K212" s="32"/>
      <c r="M212" s="42" t="s">
        <v>868</v>
      </c>
      <c r="N212" s="43" t="s">
        <v>872</v>
      </c>
      <c r="O212" s="43" t="s">
        <v>264</v>
      </c>
      <c r="P212" s="44"/>
      <c r="Q212" s="45"/>
      <c r="R212" s="45"/>
      <c r="S212" s="45"/>
      <c r="T212" s="45"/>
      <c r="U212" s="45"/>
      <c r="V212" s="46"/>
    </row>
    <row r="213" spans="1:22" x14ac:dyDescent="0.25">
      <c r="A213" s="27" t="s">
        <v>265</v>
      </c>
      <c r="B213" s="27" t="s">
        <v>872</v>
      </c>
      <c r="C213" s="27" t="s">
        <v>266</v>
      </c>
      <c r="D213" s="32">
        <f>82109+4+1+126+16+2+1+91+24148</f>
        <v>106498</v>
      </c>
      <c r="E213" s="32">
        <f>220+6+280</f>
        <v>506</v>
      </c>
      <c r="F213" s="32">
        <v>0</v>
      </c>
      <c r="G213" s="32">
        <v>0</v>
      </c>
      <c r="H213" s="32">
        <v>0</v>
      </c>
      <c r="I213" s="32">
        <v>61322</v>
      </c>
      <c r="J213" s="32">
        <v>21622</v>
      </c>
      <c r="K213" s="32"/>
      <c r="M213" s="42" t="s">
        <v>265</v>
      </c>
      <c r="N213" s="43" t="s">
        <v>872</v>
      </c>
      <c r="O213" s="43" t="s">
        <v>266</v>
      </c>
      <c r="P213" s="44">
        <v>106498</v>
      </c>
      <c r="Q213" s="45">
        <v>506</v>
      </c>
      <c r="R213" s="45">
        <v>0</v>
      </c>
      <c r="S213" s="45">
        <v>0</v>
      </c>
      <c r="T213" s="45">
        <v>0</v>
      </c>
      <c r="U213" s="45">
        <v>61322</v>
      </c>
      <c r="V213" s="46">
        <v>21622</v>
      </c>
    </row>
    <row r="214" spans="1:22" x14ac:dyDescent="0.25">
      <c r="A214" s="27" t="s">
        <v>797</v>
      </c>
      <c r="B214" s="27" t="s">
        <v>872</v>
      </c>
      <c r="C214" s="27" t="s">
        <v>267</v>
      </c>
      <c r="D214" s="32">
        <f>31693+3+1+37+1+1+51113</f>
        <v>82849</v>
      </c>
      <c r="E214" s="32">
        <f>300+1+46+1181+27</f>
        <v>1555</v>
      </c>
      <c r="F214" s="32">
        <v>0</v>
      </c>
      <c r="G214" s="32">
        <v>0</v>
      </c>
      <c r="H214" s="32">
        <v>0</v>
      </c>
      <c r="I214" s="32">
        <v>53099</v>
      </c>
      <c r="J214" s="32">
        <v>43530</v>
      </c>
      <c r="K214" s="32"/>
      <c r="M214" s="42" t="s">
        <v>797</v>
      </c>
      <c r="N214" s="43" t="s">
        <v>872</v>
      </c>
      <c r="O214" s="43" t="s">
        <v>267</v>
      </c>
      <c r="P214" s="44">
        <v>82849</v>
      </c>
      <c r="Q214" s="45">
        <v>1555</v>
      </c>
      <c r="R214" s="45">
        <v>0</v>
      </c>
      <c r="S214" s="45">
        <v>0</v>
      </c>
      <c r="T214" s="45">
        <v>0</v>
      </c>
      <c r="U214" s="45">
        <v>53099</v>
      </c>
      <c r="V214" s="46">
        <v>43530</v>
      </c>
    </row>
    <row r="215" spans="1:22" x14ac:dyDescent="0.25">
      <c r="A215" s="27" t="s">
        <v>831</v>
      </c>
      <c r="B215" s="27" t="s">
        <v>872</v>
      </c>
      <c r="C215" s="27" t="s">
        <v>268</v>
      </c>
      <c r="D215" s="32"/>
      <c r="E215" s="32"/>
      <c r="F215" s="32"/>
      <c r="G215" s="32"/>
      <c r="H215" s="32"/>
      <c r="I215" s="32"/>
      <c r="J215" s="32"/>
      <c r="K215" s="32"/>
      <c r="M215" s="42" t="s">
        <v>831</v>
      </c>
      <c r="N215" s="43" t="s">
        <v>872</v>
      </c>
      <c r="O215" s="43" t="s">
        <v>268</v>
      </c>
      <c r="P215" s="44"/>
      <c r="Q215" s="45"/>
      <c r="R215" s="45"/>
      <c r="S215" s="45"/>
      <c r="T215" s="45"/>
      <c r="U215" s="45"/>
      <c r="V215" s="46"/>
    </row>
    <row r="216" spans="1:22" x14ac:dyDescent="0.25">
      <c r="A216" s="27" t="s">
        <v>794</v>
      </c>
      <c r="B216" s="27" t="s">
        <v>872</v>
      </c>
      <c r="C216" s="27" t="s">
        <v>269</v>
      </c>
      <c r="D216" s="32"/>
      <c r="E216" s="32"/>
      <c r="F216" s="32"/>
      <c r="G216" s="32"/>
      <c r="H216" s="32"/>
      <c r="I216" s="32"/>
      <c r="J216" s="32"/>
      <c r="K216" s="32"/>
      <c r="M216" s="42" t="s">
        <v>794</v>
      </c>
      <c r="N216" s="43" t="s">
        <v>872</v>
      </c>
      <c r="O216" s="43" t="s">
        <v>269</v>
      </c>
      <c r="P216" s="44"/>
      <c r="Q216" s="45"/>
      <c r="R216" s="45"/>
      <c r="S216" s="45"/>
      <c r="T216" s="45"/>
      <c r="U216" s="45"/>
      <c r="V216" s="46"/>
    </row>
    <row r="217" spans="1:22" x14ac:dyDescent="0.25">
      <c r="A217" s="27" t="s">
        <v>809</v>
      </c>
      <c r="B217" s="27" t="s">
        <v>872</v>
      </c>
      <c r="C217" s="27" t="s">
        <v>270</v>
      </c>
      <c r="D217" s="32">
        <f>20354+15+1+1+1+90+14303</f>
        <v>34765</v>
      </c>
      <c r="E217" s="32">
        <f>24+97+2</f>
        <v>123</v>
      </c>
      <c r="F217" s="32">
        <v>0</v>
      </c>
      <c r="G217" s="32">
        <v>0</v>
      </c>
      <c r="H217" s="32">
        <v>0</v>
      </c>
      <c r="I217" s="32">
        <v>16281</v>
      </c>
      <c r="J217" s="32">
        <v>8030</v>
      </c>
      <c r="K217" s="32"/>
      <c r="M217" s="42" t="s">
        <v>809</v>
      </c>
      <c r="N217" s="43" t="s">
        <v>872</v>
      </c>
      <c r="O217" s="43" t="s">
        <v>270</v>
      </c>
      <c r="P217" s="44">
        <v>34765</v>
      </c>
      <c r="Q217" s="45">
        <v>123</v>
      </c>
      <c r="R217" s="45">
        <v>0</v>
      </c>
      <c r="S217" s="45">
        <v>0</v>
      </c>
      <c r="T217" s="45">
        <v>0</v>
      </c>
      <c r="U217" s="45">
        <v>16281</v>
      </c>
      <c r="V217" s="46">
        <v>8030</v>
      </c>
    </row>
    <row r="218" spans="1:22" x14ac:dyDescent="0.25">
      <c r="A218" s="27" t="s">
        <v>265</v>
      </c>
      <c r="B218" s="27" t="s">
        <v>872</v>
      </c>
      <c r="C218" s="27" t="s">
        <v>271</v>
      </c>
      <c r="D218" s="32">
        <f>111340+36+838+59+8+1+2+1+2+10+33062</f>
        <v>145359</v>
      </c>
      <c r="E218" s="32">
        <f>2140+8+14+28+16+4</f>
        <v>2210</v>
      </c>
      <c r="F218" s="32">
        <v>0</v>
      </c>
      <c r="G218" s="32">
        <v>0</v>
      </c>
      <c r="H218" s="32">
        <v>0</v>
      </c>
      <c r="I218" s="32">
        <v>150857</v>
      </c>
      <c r="J218" s="32">
        <v>23231</v>
      </c>
      <c r="K218" s="32"/>
      <c r="M218" s="42" t="s">
        <v>265</v>
      </c>
      <c r="N218" s="43" t="s">
        <v>872</v>
      </c>
      <c r="O218" s="43" t="s">
        <v>271</v>
      </c>
      <c r="P218" s="44">
        <v>145359</v>
      </c>
      <c r="Q218" s="45">
        <v>2210</v>
      </c>
      <c r="R218" s="45">
        <v>0</v>
      </c>
      <c r="S218" s="45">
        <v>0</v>
      </c>
      <c r="T218" s="45">
        <v>0</v>
      </c>
      <c r="U218" s="45">
        <v>150857</v>
      </c>
      <c r="V218" s="46">
        <v>23231</v>
      </c>
    </row>
    <row r="219" spans="1:22" x14ac:dyDescent="0.25">
      <c r="A219" s="27" t="s">
        <v>823</v>
      </c>
      <c r="B219" s="27" t="s">
        <v>872</v>
      </c>
      <c r="C219" s="27" t="s">
        <v>272</v>
      </c>
      <c r="D219" s="32"/>
      <c r="E219" s="32"/>
      <c r="F219" s="32"/>
      <c r="G219" s="32"/>
      <c r="H219" s="32"/>
      <c r="I219" s="32"/>
      <c r="J219" s="32"/>
      <c r="K219" s="32"/>
      <c r="M219" s="42" t="s">
        <v>823</v>
      </c>
      <c r="N219" s="43" t="s">
        <v>872</v>
      </c>
      <c r="O219" s="43" t="s">
        <v>272</v>
      </c>
      <c r="P219" s="44"/>
      <c r="Q219" s="45"/>
      <c r="R219" s="45"/>
      <c r="S219" s="45"/>
      <c r="T219" s="45"/>
      <c r="U219" s="45"/>
      <c r="V219" s="46"/>
    </row>
    <row r="220" spans="1:22" ht="15.75" x14ac:dyDescent="0.25">
      <c r="A220" s="27" t="s">
        <v>146</v>
      </c>
      <c r="B220" s="27" t="s">
        <v>872</v>
      </c>
      <c r="C220" s="27" t="s">
        <v>273</v>
      </c>
      <c r="D220" s="32">
        <f>19034+1+5818+9+26727+3+2+1</f>
        <v>51595</v>
      </c>
      <c r="E220" s="32">
        <f>153+386+2+9</f>
        <v>550</v>
      </c>
      <c r="F220" s="32">
        <v>0</v>
      </c>
      <c r="G220" s="32">
        <v>0</v>
      </c>
      <c r="H220" s="32">
        <v>0</v>
      </c>
      <c r="I220" s="32">
        <v>115183</v>
      </c>
      <c r="J220" s="32">
        <v>23424</v>
      </c>
      <c r="K220" s="32"/>
      <c r="M220" s="42" t="s">
        <v>146</v>
      </c>
      <c r="N220" s="43" t="s">
        <v>872</v>
      </c>
      <c r="O220" s="43" t="s">
        <v>273</v>
      </c>
      <c r="P220" s="47">
        <v>51595</v>
      </c>
      <c r="Q220" s="48">
        <v>550</v>
      </c>
      <c r="R220" s="48">
        <v>0</v>
      </c>
      <c r="S220" s="48">
        <v>0</v>
      </c>
      <c r="T220" s="48">
        <v>0</v>
      </c>
      <c r="U220" s="48">
        <v>115183</v>
      </c>
      <c r="V220" s="49">
        <v>23424</v>
      </c>
    </row>
    <row r="221" spans="1:22" x14ac:dyDescent="0.25">
      <c r="A221" s="27" t="s">
        <v>788</v>
      </c>
      <c r="B221" s="27" t="s">
        <v>872</v>
      </c>
      <c r="C221" s="27" t="s">
        <v>274</v>
      </c>
      <c r="D221" s="32">
        <f>29825+664+10+16384</f>
        <v>46883</v>
      </c>
      <c r="E221" s="32">
        <f>29+3+1+12</f>
        <v>45</v>
      </c>
      <c r="F221" s="32">
        <v>0</v>
      </c>
      <c r="G221" s="32">
        <v>0</v>
      </c>
      <c r="H221" s="32">
        <v>0</v>
      </c>
      <c r="I221" s="32">
        <v>39246</v>
      </c>
      <c r="J221" s="32">
        <v>11770</v>
      </c>
      <c r="K221" s="32"/>
      <c r="M221" s="42" t="s">
        <v>788</v>
      </c>
      <c r="N221" s="43" t="s">
        <v>872</v>
      </c>
      <c r="O221" s="43" t="s">
        <v>274</v>
      </c>
      <c r="P221" s="44">
        <v>46883</v>
      </c>
      <c r="Q221" s="45">
        <v>45</v>
      </c>
      <c r="R221" s="45">
        <v>0</v>
      </c>
      <c r="S221" s="45">
        <v>0</v>
      </c>
      <c r="T221" s="45">
        <v>0</v>
      </c>
      <c r="U221" s="45">
        <v>39246</v>
      </c>
      <c r="V221" s="46">
        <v>11770</v>
      </c>
    </row>
    <row r="222" spans="1:22" x14ac:dyDescent="0.25">
      <c r="A222" s="27" t="s">
        <v>495</v>
      </c>
      <c r="B222" s="27" t="s">
        <v>874</v>
      </c>
      <c r="C222" s="27" t="s">
        <v>275</v>
      </c>
      <c r="D222" s="32">
        <f>372181+382+2+4+9437+1+2+11+175957+2940+77+5473+1</f>
        <v>566468</v>
      </c>
      <c r="E222" s="32">
        <f>3135+111+4+3+751+267+90+65+23+3</f>
        <v>4452</v>
      </c>
      <c r="F222" s="32">
        <v>0</v>
      </c>
      <c r="G222" s="32">
        <v>0</v>
      </c>
      <c r="H222" s="32">
        <v>0</v>
      </c>
      <c r="I222" s="32">
        <v>73062</v>
      </c>
      <c r="J222" s="32">
        <v>164241</v>
      </c>
      <c r="K222" s="32"/>
      <c r="M222" s="42" t="s">
        <v>495</v>
      </c>
      <c r="N222" s="43" t="s">
        <v>874</v>
      </c>
      <c r="O222" s="43" t="s">
        <v>275</v>
      </c>
      <c r="P222" s="44">
        <v>566468</v>
      </c>
      <c r="Q222" s="45">
        <v>4452</v>
      </c>
      <c r="R222" s="45">
        <v>0</v>
      </c>
      <c r="S222" s="45">
        <v>0</v>
      </c>
      <c r="T222" s="45">
        <v>0</v>
      </c>
      <c r="U222" s="45">
        <v>73062</v>
      </c>
      <c r="V222" s="46">
        <v>164241</v>
      </c>
    </row>
    <row r="223" spans="1:22" x14ac:dyDescent="0.25">
      <c r="A223" s="27" t="s">
        <v>120</v>
      </c>
      <c r="B223" s="27" t="s">
        <v>874</v>
      </c>
      <c r="C223" s="27" t="s">
        <v>276</v>
      </c>
      <c r="D223" s="32">
        <f>199798+11324+298+40+101877+1870+1+5+4</f>
        <v>315217</v>
      </c>
      <c r="E223" s="32">
        <f>114+143+126+20+1272+48+78+684+12+1+689</f>
        <v>3187</v>
      </c>
      <c r="F223" s="32">
        <v>0</v>
      </c>
      <c r="G223" s="32">
        <v>0</v>
      </c>
      <c r="H223" s="32">
        <v>0</v>
      </c>
      <c r="I223" s="32">
        <v>55136</v>
      </c>
      <c r="J223" s="32">
        <v>83136</v>
      </c>
      <c r="K223" s="32"/>
      <c r="M223" s="42" t="s">
        <v>120</v>
      </c>
      <c r="N223" s="43" t="s">
        <v>874</v>
      </c>
      <c r="O223" s="43" t="s">
        <v>276</v>
      </c>
      <c r="P223" s="44">
        <v>315217</v>
      </c>
      <c r="Q223" s="45">
        <v>3187</v>
      </c>
      <c r="R223" s="45">
        <v>0</v>
      </c>
      <c r="S223" s="45">
        <v>0</v>
      </c>
      <c r="T223" s="45">
        <v>0</v>
      </c>
      <c r="U223" s="45">
        <v>55136</v>
      </c>
      <c r="V223" s="46">
        <v>83136</v>
      </c>
    </row>
    <row r="224" spans="1:22" x14ac:dyDescent="0.25">
      <c r="A224" s="27" t="s">
        <v>76</v>
      </c>
      <c r="B224" s="27" t="s">
        <v>875</v>
      </c>
      <c r="C224" s="27" t="s">
        <v>277</v>
      </c>
      <c r="D224" s="32">
        <f>109463+2+1+5708+8+5943</f>
        <v>121125</v>
      </c>
      <c r="E224" s="32">
        <f>559+2+34</f>
        <v>595</v>
      </c>
      <c r="F224" s="32">
        <v>0</v>
      </c>
      <c r="G224" s="32">
        <v>0</v>
      </c>
      <c r="H224" s="32">
        <v>0</v>
      </c>
      <c r="I224" s="32">
        <v>0</v>
      </c>
      <c r="J224" s="32">
        <v>0</v>
      </c>
      <c r="K224" s="32"/>
      <c r="M224" s="42" t="s">
        <v>76</v>
      </c>
      <c r="N224" s="43" t="s">
        <v>875</v>
      </c>
      <c r="O224" s="43" t="s">
        <v>277</v>
      </c>
      <c r="P224" s="44">
        <v>121125</v>
      </c>
      <c r="Q224" s="45">
        <v>595</v>
      </c>
      <c r="R224" s="45">
        <v>0</v>
      </c>
      <c r="S224" s="45">
        <v>0</v>
      </c>
      <c r="T224" s="45">
        <v>0</v>
      </c>
      <c r="U224" s="45">
        <v>0</v>
      </c>
      <c r="V224" s="46">
        <v>0</v>
      </c>
    </row>
    <row r="225" spans="1:22" x14ac:dyDescent="0.25">
      <c r="A225" s="27" t="s">
        <v>823</v>
      </c>
      <c r="B225" s="27" t="s">
        <v>875</v>
      </c>
      <c r="C225" s="27" t="s">
        <v>278</v>
      </c>
      <c r="D225" s="32"/>
      <c r="E225" s="32"/>
      <c r="F225" s="32"/>
      <c r="G225" s="32"/>
      <c r="H225" s="32"/>
      <c r="I225" s="32"/>
      <c r="J225" s="32"/>
      <c r="K225" s="32"/>
      <c r="M225" s="42" t="s">
        <v>823</v>
      </c>
      <c r="N225" s="43" t="s">
        <v>875</v>
      </c>
      <c r="O225" s="43" t="s">
        <v>278</v>
      </c>
      <c r="P225" s="44"/>
      <c r="Q225" s="45"/>
      <c r="R225" s="45"/>
      <c r="S225" s="45"/>
      <c r="T225" s="45"/>
      <c r="U225" s="45"/>
      <c r="V225" s="46"/>
    </row>
    <row r="226" spans="1:22" x14ac:dyDescent="0.25">
      <c r="A226" s="27" t="s">
        <v>120</v>
      </c>
      <c r="B226" s="27" t="s">
        <v>876</v>
      </c>
      <c r="C226" s="27" t="s">
        <v>279</v>
      </c>
      <c r="D226" s="32">
        <v>0</v>
      </c>
      <c r="E226" s="32">
        <v>0</v>
      </c>
      <c r="F226" s="32">
        <v>0</v>
      </c>
      <c r="G226" s="32">
        <v>0</v>
      </c>
      <c r="H226" s="32">
        <v>0</v>
      </c>
      <c r="I226" s="32">
        <f>37171+32980+5009</f>
        <v>75160</v>
      </c>
      <c r="J226" s="32">
        <v>0</v>
      </c>
      <c r="K226" s="32"/>
      <c r="M226" s="42" t="s">
        <v>120</v>
      </c>
      <c r="N226" s="43" t="s">
        <v>876</v>
      </c>
      <c r="O226" s="43" t="s">
        <v>279</v>
      </c>
      <c r="P226" s="44">
        <v>0</v>
      </c>
      <c r="Q226" s="45">
        <v>0</v>
      </c>
      <c r="R226" s="45">
        <v>0</v>
      </c>
      <c r="S226" s="45">
        <v>0</v>
      </c>
      <c r="T226" s="45">
        <v>0</v>
      </c>
      <c r="U226" s="45">
        <v>75160</v>
      </c>
      <c r="V226" s="46">
        <v>0</v>
      </c>
    </row>
    <row r="227" spans="1:22" x14ac:dyDescent="0.25">
      <c r="A227" s="27" t="s">
        <v>817</v>
      </c>
      <c r="B227" s="27" t="s">
        <v>875</v>
      </c>
      <c r="C227" s="27" t="s">
        <v>280</v>
      </c>
      <c r="D227" s="32">
        <f>271400+1+236+400</f>
        <v>272037</v>
      </c>
      <c r="E227" s="32">
        <f>543+9+16</f>
        <v>568</v>
      </c>
      <c r="F227" s="32">
        <v>0</v>
      </c>
      <c r="G227" s="32">
        <v>0</v>
      </c>
      <c r="H227" s="32">
        <v>0</v>
      </c>
      <c r="I227" s="32">
        <v>0</v>
      </c>
      <c r="J227" s="32">
        <v>0</v>
      </c>
      <c r="K227" s="32"/>
      <c r="M227" s="42" t="s">
        <v>817</v>
      </c>
      <c r="N227" s="43" t="s">
        <v>875</v>
      </c>
      <c r="O227" s="43" t="s">
        <v>280</v>
      </c>
      <c r="P227" s="44">
        <v>272037</v>
      </c>
      <c r="Q227" s="45">
        <v>568</v>
      </c>
      <c r="R227" s="45">
        <v>0</v>
      </c>
      <c r="S227" s="45">
        <v>0</v>
      </c>
      <c r="T227" s="45">
        <v>0</v>
      </c>
      <c r="U227" s="45">
        <v>0</v>
      </c>
      <c r="V227" s="46">
        <v>0</v>
      </c>
    </row>
    <row r="228" spans="1:22" x14ac:dyDescent="0.25">
      <c r="A228" s="27" t="s">
        <v>791</v>
      </c>
      <c r="B228" s="27" t="s">
        <v>875</v>
      </c>
      <c r="C228" s="27" t="s">
        <v>281</v>
      </c>
      <c r="D228" s="32">
        <f>20448+9+2+14</f>
        <v>20473</v>
      </c>
      <c r="E228" s="32">
        <v>6</v>
      </c>
      <c r="F228" s="32">
        <v>0</v>
      </c>
      <c r="G228" s="32">
        <v>0</v>
      </c>
      <c r="H228" s="32">
        <v>0</v>
      </c>
      <c r="I228" s="32">
        <v>0</v>
      </c>
      <c r="J228" s="32">
        <v>0</v>
      </c>
      <c r="K228" s="32"/>
      <c r="M228" s="42" t="s">
        <v>791</v>
      </c>
      <c r="N228" s="43" t="s">
        <v>875</v>
      </c>
      <c r="O228" s="43" t="s">
        <v>281</v>
      </c>
      <c r="P228" s="44">
        <v>20473</v>
      </c>
      <c r="Q228" s="45">
        <v>6</v>
      </c>
      <c r="R228" s="45">
        <v>0</v>
      </c>
      <c r="S228" s="45">
        <v>0</v>
      </c>
      <c r="T228" s="45">
        <v>0</v>
      </c>
      <c r="U228" s="45">
        <v>0</v>
      </c>
      <c r="V228" s="46">
        <v>0</v>
      </c>
    </row>
    <row r="229" spans="1:22" x14ac:dyDescent="0.25">
      <c r="A229" s="27" t="s">
        <v>801</v>
      </c>
      <c r="B229" s="27" t="s">
        <v>875</v>
      </c>
      <c r="C229" s="27" t="s">
        <v>282</v>
      </c>
      <c r="D229" s="32"/>
      <c r="E229" s="32"/>
      <c r="F229" s="32"/>
      <c r="G229" s="32"/>
      <c r="H229" s="32"/>
      <c r="I229" s="32"/>
      <c r="J229" s="32"/>
      <c r="K229" s="32"/>
      <c r="M229" s="42" t="s">
        <v>801</v>
      </c>
      <c r="N229" s="43" t="s">
        <v>875</v>
      </c>
      <c r="O229" s="43" t="s">
        <v>282</v>
      </c>
      <c r="P229" s="44"/>
      <c r="Q229" s="45"/>
      <c r="R229" s="45"/>
      <c r="S229" s="45"/>
      <c r="T229" s="45"/>
      <c r="U229" s="45"/>
      <c r="V229" s="46"/>
    </row>
    <row r="230" spans="1:22" x14ac:dyDescent="0.25">
      <c r="A230" s="27" t="s">
        <v>795</v>
      </c>
      <c r="B230" s="27" t="s">
        <v>875</v>
      </c>
      <c r="C230" s="27" t="s">
        <v>283</v>
      </c>
      <c r="D230" s="32">
        <f>216863+1+99+270</f>
        <v>217233</v>
      </c>
      <c r="E230" s="32">
        <f>146+39+4</f>
        <v>189</v>
      </c>
      <c r="F230" s="32">
        <v>0</v>
      </c>
      <c r="G230" s="32">
        <v>0</v>
      </c>
      <c r="H230" s="32">
        <v>0</v>
      </c>
      <c r="I230" s="32">
        <v>0</v>
      </c>
      <c r="J230" s="32">
        <v>0</v>
      </c>
      <c r="K230" s="32"/>
      <c r="M230" s="42" t="s">
        <v>795</v>
      </c>
      <c r="N230" s="43" t="s">
        <v>875</v>
      </c>
      <c r="O230" s="43" t="s">
        <v>283</v>
      </c>
      <c r="P230" s="44">
        <v>217233</v>
      </c>
      <c r="Q230" s="45">
        <v>189</v>
      </c>
      <c r="R230" s="45">
        <v>0</v>
      </c>
      <c r="S230" s="45">
        <v>0</v>
      </c>
      <c r="T230" s="45">
        <v>0</v>
      </c>
      <c r="U230" s="45">
        <v>0</v>
      </c>
      <c r="V230" s="46">
        <v>0</v>
      </c>
    </row>
    <row r="231" spans="1:22" x14ac:dyDescent="0.25">
      <c r="A231" s="27" t="s">
        <v>811</v>
      </c>
      <c r="B231" s="27" t="s">
        <v>875</v>
      </c>
      <c r="C231" s="27" t="s">
        <v>284</v>
      </c>
      <c r="D231" s="32">
        <f>145080+21</f>
        <v>145101</v>
      </c>
      <c r="E231" s="32">
        <f>2236+168+2175</f>
        <v>4579</v>
      </c>
      <c r="F231" s="32">
        <v>0</v>
      </c>
      <c r="G231" s="32">
        <v>0</v>
      </c>
      <c r="H231" s="32">
        <v>0</v>
      </c>
      <c r="I231" s="32">
        <v>0</v>
      </c>
      <c r="J231" s="32">
        <v>0</v>
      </c>
      <c r="K231" s="32"/>
      <c r="M231" s="42" t="s">
        <v>811</v>
      </c>
      <c r="N231" s="43" t="s">
        <v>875</v>
      </c>
      <c r="O231" s="43" t="s">
        <v>284</v>
      </c>
      <c r="P231" s="44">
        <v>145101</v>
      </c>
      <c r="Q231" s="45">
        <v>4579</v>
      </c>
      <c r="R231" s="45">
        <v>0</v>
      </c>
      <c r="S231" s="45">
        <v>0</v>
      </c>
      <c r="T231" s="45">
        <v>0</v>
      </c>
      <c r="U231" s="45">
        <v>0</v>
      </c>
      <c r="V231" s="46">
        <v>0</v>
      </c>
    </row>
    <row r="232" spans="1:22" x14ac:dyDescent="0.25">
      <c r="A232" s="27" t="s">
        <v>495</v>
      </c>
      <c r="B232" s="27" t="s">
        <v>875</v>
      </c>
      <c r="C232" s="27" t="s">
        <v>285</v>
      </c>
      <c r="D232" s="32">
        <f>31263+2217+4+3+33</f>
        <v>33520</v>
      </c>
      <c r="E232" s="32">
        <v>165</v>
      </c>
      <c r="F232" s="32">
        <v>0</v>
      </c>
      <c r="G232" s="32">
        <v>0</v>
      </c>
      <c r="H232" s="32">
        <v>0</v>
      </c>
      <c r="I232" s="32">
        <v>0</v>
      </c>
      <c r="J232" s="32">
        <v>0</v>
      </c>
      <c r="K232" s="32"/>
      <c r="M232" s="42" t="s">
        <v>495</v>
      </c>
      <c r="N232" s="43" t="s">
        <v>875</v>
      </c>
      <c r="O232" s="43" t="s">
        <v>285</v>
      </c>
      <c r="P232" s="44">
        <v>33520</v>
      </c>
      <c r="Q232" s="45">
        <v>165</v>
      </c>
      <c r="R232" s="45">
        <v>0</v>
      </c>
      <c r="S232" s="45">
        <v>0</v>
      </c>
      <c r="T232" s="45">
        <v>0</v>
      </c>
      <c r="U232" s="45">
        <v>0</v>
      </c>
      <c r="V232" s="46">
        <v>0</v>
      </c>
    </row>
    <row r="233" spans="1:22" x14ac:dyDescent="0.25">
      <c r="A233" s="27" t="s">
        <v>101</v>
      </c>
      <c r="B233" s="27" t="s">
        <v>875</v>
      </c>
      <c r="C233" s="27" t="s">
        <v>286</v>
      </c>
      <c r="D233" s="32">
        <f>41899+148+2+11</f>
        <v>42060</v>
      </c>
      <c r="E233" s="32">
        <f>295+20</f>
        <v>315</v>
      </c>
      <c r="F233" s="32">
        <v>0</v>
      </c>
      <c r="G233" s="32">
        <v>0</v>
      </c>
      <c r="H233" s="32">
        <v>0</v>
      </c>
      <c r="I233" s="32">
        <v>0</v>
      </c>
      <c r="J233" s="32">
        <v>0</v>
      </c>
      <c r="K233" s="32"/>
      <c r="M233" s="42" t="s">
        <v>101</v>
      </c>
      <c r="N233" s="43" t="s">
        <v>875</v>
      </c>
      <c r="O233" s="43" t="s">
        <v>286</v>
      </c>
      <c r="P233" s="44">
        <v>42060</v>
      </c>
      <c r="Q233" s="45">
        <v>315</v>
      </c>
      <c r="R233" s="45">
        <v>0</v>
      </c>
      <c r="S233" s="45">
        <v>0</v>
      </c>
      <c r="T233" s="45">
        <v>0</v>
      </c>
      <c r="U233" s="45">
        <v>0</v>
      </c>
      <c r="V233" s="46">
        <v>0</v>
      </c>
    </row>
    <row r="234" spans="1:22" x14ac:dyDescent="0.25">
      <c r="A234" s="27" t="s">
        <v>226</v>
      </c>
      <c r="B234" s="27" t="s">
        <v>875</v>
      </c>
      <c r="C234" s="27" t="s">
        <v>287</v>
      </c>
      <c r="D234" s="32">
        <f>16614+24+3+12+5</f>
        <v>16658</v>
      </c>
      <c r="E234" s="32">
        <v>0</v>
      </c>
      <c r="F234" s="32">
        <v>0</v>
      </c>
      <c r="G234" s="32">
        <v>0</v>
      </c>
      <c r="H234" s="32">
        <v>0</v>
      </c>
      <c r="I234" s="32">
        <v>0</v>
      </c>
      <c r="J234" s="32">
        <v>0</v>
      </c>
      <c r="K234" s="32"/>
      <c r="M234" s="42" t="s">
        <v>226</v>
      </c>
      <c r="N234" s="43" t="s">
        <v>875</v>
      </c>
      <c r="O234" s="43" t="s">
        <v>287</v>
      </c>
      <c r="P234" s="44">
        <v>16658</v>
      </c>
      <c r="Q234" s="45">
        <v>0</v>
      </c>
      <c r="R234" s="45">
        <v>0</v>
      </c>
      <c r="S234" s="45">
        <v>0</v>
      </c>
      <c r="T234" s="45">
        <v>0</v>
      </c>
      <c r="U234" s="45">
        <v>0</v>
      </c>
      <c r="V234" s="46">
        <v>0</v>
      </c>
    </row>
    <row r="235" spans="1:22" x14ac:dyDescent="0.25">
      <c r="A235" s="27" t="s">
        <v>120</v>
      </c>
      <c r="B235" s="27" t="s">
        <v>877</v>
      </c>
      <c r="C235" s="27" t="s">
        <v>288</v>
      </c>
      <c r="D235" s="32">
        <v>9224</v>
      </c>
      <c r="E235" s="32">
        <v>2</v>
      </c>
      <c r="F235" s="32">
        <v>0</v>
      </c>
      <c r="G235" s="32">
        <f>69520+2+3+8</f>
        <v>69533</v>
      </c>
      <c r="H235" s="32">
        <v>46</v>
      </c>
      <c r="I235" s="32">
        <v>0</v>
      </c>
      <c r="J235" s="32">
        <v>0</v>
      </c>
      <c r="K235" s="32"/>
      <c r="M235" s="42" t="s">
        <v>120</v>
      </c>
      <c r="N235" s="43" t="s">
        <v>877</v>
      </c>
      <c r="O235" s="43" t="s">
        <v>288</v>
      </c>
      <c r="P235" s="44">
        <v>9224</v>
      </c>
      <c r="Q235" s="45">
        <v>2</v>
      </c>
      <c r="R235" s="45">
        <v>0</v>
      </c>
      <c r="S235" s="45">
        <v>69533</v>
      </c>
      <c r="T235" s="45">
        <v>46</v>
      </c>
      <c r="U235" s="45">
        <v>0</v>
      </c>
      <c r="V235" s="46">
        <v>0</v>
      </c>
    </row>
    <row r="236" spans="1:22" x14ac:dyDescent="0.25">
      <c r="A236" s="27" t="s">
        <v>826</v>
      </c>
      <c r="B236" s="27" t="s">
        <v>877</v>
      </c>
      <c r="C236" s="27" t="s">
        <v>289</v>
      </c>
      <c r="D236" s="32"/>
      <c r="E236" s="32"/>
      <c r="F236" s="32"/>
      <c r="G236" s="32"/>
      <c r="H236" s="32"/>
      <c r="I236" s="32"/>
      <c r="J236" s="32"/>
      <c r="K236" s="32"/>
      <c r="M236" s="42" t="s">
        <v>826</v>
      </c>
      <c r="N236" s="43" t="s">
        <v>877</v>
      </c>
      <c r="O236" s="43" t="s">
        <v>289</v>
      </c>
      <c r="P236" s="44"/>
      <c r="Q236" s="45"/>
      <c r="R236" s="45"/>
      <c r="S236" s="45"/>
      <c r="T236" s="45"/>
      <c r="U236" s="45"/>
      <c r="V236" s="46"/>
    </row>
    <row r="237" spans="1:22" x14ac:dyDescent="0.25">
      <c r="A237" s="27" t="s">
        <v>791</v>
      </c>
      <c r="B237" s="27" t="s">
        <v>877</v>
      </c>
      <c r="C237" s="27" t="s">
        <v>290</v>
      </c>
      <c r="D237" s="32">
        <f>6474+3+16+2+3+3+28</f>
        <v>6529</v>
      </c>
      <c r="E237" s="32">
        <f>1648+5</f>
        <v>1653</v>
      </c>
      <c r="F237" s="32">
        <v>0</v>
      </c>
      <c r="G237" s="32">
        <f>18745+7+33+19+6+15+142+2+1+7+675</f>
        <v>19652</v>
      </c>
      <c r="H237" s="32">
        <f>58+230</f>
        <v>288</v>
      </c>
      <c r="I237" s="32">
        <v>0</v>
      </c>
      <c r="J237" s="32">
        <v>0</v>
      </c>
      <c r="K237" s="32"/>
      <c r="M237" s="42" t="s">
        <v>791</v>
      </c>
      <c r="N237" s="43" t="s">
        <v>877</v>
      </c>
      <c r="O237" s="43" t="s">
        <v>290</v>
      </c>
      <c r="P237" s="44">
        <v>6529</v>
      </c>
      <c r="Q237" s="45">
        <v>1653</v>
      </c>
      <c r="R237" s="45">
        <v>0</v>
      </c>
      <c r="S237" s="45">
        <v>19652</v>
      </c>
      <c r="T237" s="45">
        <v>288</v>
      </c>
      <c r="U237" s="45">
        <v>0</v>
      </c>
      <c r="V237" s="46">
        <v>0</v>
      </c>
    </row>
    <row r="238" spans="1:22" x14ac:dyDescent="0.25">
      <c r="A238" s="27" t="s">
        <v>826</v>
      </c>
      <c r="B238" s="27" t="s">
        <v>877</v>
      </c>
      <c r="C238" s="27" t="s">
        <v>291</v>
      </c>
      <c r="D238" s="32"/>
      <c r="E238" s="32"/>
      <c r="F238" s="32"/>
      <c r="G238" s="32"/>
      <c r="H238" s="32"/>
      <c r="I238" s="32"/>
      <c r="J238" s="32"/>
      <c r="K238" s="32"/>
      <c r="M238" s="42" t="s">
        <v>826</v>
      </c>
      <c r="N238" s="43" t="s">
        <v>877</v>
      </c>
      <c r="O238" s="43" t="s">
        <v>291</v>
      </c>
      <c r="P238" s="44"/>
      <c r="Q238" s="45"/>
      <c r="R238" s="45"/>
      <c r="S238" s="45"/>
      <c r="T238" s="45"/>
      <c r="U238" s="45"/>
      <c r="V238" s="46"/>
    </row>
    <row r="239" spans="1:22" x14ac:dyDescent="0.25">
      <c r="A239" s="27" t="s">
        <v>226</v>
      </c>
      <c r="B239" s="27" t="s">
        <v>877</v>
      </c>
      <c r="C239" s="27" t="s">
        <v>292</v>
      </c>
      <c r="D239" s="32">
        <f>1459+2+1+1</f>
        <v>1463</v>
      </c>
      <c r="E239" s="32">
        <v>29</v>
      </c>
      <c r="F239" s="32">
        <v>0</v>
      </c>
      <c r="G239" s="32">
        <f>16741+7+1+100+119+2+5+2+32</f>
        <v>17009</v>
      </c>
      <c r="H239" s="32">
        <v>91</v>
      </c>
      <c r="I239" s="32">
        <v>0</v>
      </c>
      <c r="J239" s="32">
        <v>0</v>
      </c>
      <c r="K239" s="32"/>
      <c r="M239" s="42" t="s">
        <v>226</v>
      </c>
      <c r="N239" s="43" t="s">
        <v>877</v>
      </c>
      <c r="O239" s="43" t="s">
        <v>292</v>
      </c>
      <c r="P239" s="44">
        <v>1463</v>
      </c>
      <c r="Q239" s="45">
        <v>29</v>
      </c>
      <c r="R239" s="45">
        <v>0</v>
      </c>
      <c r="S239" s="45">
        <v>17009</v>
      </c>
      <c r="T239" s="45">
        <v>91</v>
      </c>
      <c r="U239" s="45">
        <v>0</v>
      </c>
      <c r="V239" s="46">
        <v>0</v>
      </c>
    </row>
    <row r="240" spans="1:22" x14ac:dyDescent="0.25">
      <c r="A240" s="27" t="s">
        <v>495</v>
      </c>
      <c r="B240" s="27" t="s">
        <v>877</v>
      </c>
      <c r="C240" s="27" t="s">
        <v>293</v>
      </c>
      <c r="D240" s="32">
        <f>12441+25+8+31</f>
        <v>12505</v>
      </c>
      <c r="E240" s="32">
        <f>4+26+25</f>
        <v>55</v>
      </c>
      <c r="F240" s="32">
        <v>0</v>
      </c>
      <c r="G240" s="32">
        <f>12780+4+8+148</f>
        <v>12940</v>
      </c>
      <c r="H240" s="32">
        <f>9+5+47</f>
        <v>61</v>
      </c>
      <c r="I240" s="32">
        <v>0</v>
      </c>
      <c r="J240" s="32">
        <v>0</v>
      </c>
      <c r="K240" s="32"/>
      <c r="M240" s="42" t="s">
        <v>495</v>
      </c>
      <c r="N240" s="43" t="s">
        <v>877</v>
      </c>
      <c r="O240" s="43" t="s">
        <v>293</v>
      </c>
      <c r="P240" s="44">
        <v>12505</v>
      </c>
      <c r="Q240" s="44">
        <v>55</v>
      </c>
      <c r="R240" s="44">
        <v>0</v>
      </c>
      <c r="S240" s="44">
        <v>12940</v>
      </c>
      <c r="T240" s="44">
        <v>61</v>
      </c>
      <c r="U240" s="44">
        <v>0</v>
      </c>
      <c r="V240" s="44">
        <v>0</v>
      </c>
    </row>
    <row r="241" spans="1:22" x14ac:dyDescent="0.25">
      <c r="A241" s="27" t="s">
        <v>248</v>
      </c>
      <c r="B241" s="27" t="s">
        <v>877</v>
      </c>
      <c r="C241" s="27" t="s">
        <v>294</v>
      </c>
      <c r="D241" s="32">
        <v>4002</v>
      </c>
      <c r="E241" s="32">
        <v>30</v>
      </c>
      <c r="F241" s="32">
        <v>0</v>
      </c>
      <c r="G241" s="32">
        <f>17100+7+2+85</f>
        <v>17194</v>
      </c>
      <c r="H241" s="32">
        <f>47+8</f>
        <v>55</v>
      </c>
      <c r="I241" s="32">
        <v>0</v>
      </c>
      <c r="J241" s="32">
        <v>0</v>
      </c>
      <c r="K241" s="32"/>
      <c r="M241" s="42" t="s">
        <v>248</v>
      </c>
      <c r="N241" s="43" t="s">
        <v>877</v>
      </c>
      <c r="O241" s="43" t="s">
        <v>294</v>
      </c>
      <c r="P241" s="44">
        <v>4002</v>
      </c>
      <c r="Q241" s="44">
        <v>30</v>
      </c>
      <c r="R241" s="44">
        <v>0</v>
      </c>
      <c r="S241" s="44">
        <v>17194</v>
      </c>
      <c r="T241" s="44">
        <v>55</v>
      </c>
      <c r="U241" s="44">
        <v>0</v>
      </c>
      <c r="V241" s="44">
        <v>0</v>
      </c>
    </row>
    <row r="242" spans="1:22" x14ac:dyDescent="0.25">
      <c r="A242" s="27" t="s">
        <v>865</v>
      </c>
      <c r="B242" s="27" t="s">
        <v>877</v>
      </c>
      <c r="C242" s="27" t="s">
        <v>295</v>
      </c>
      <c r="D242" s="32">
        <f>1645+12+2</f>
        <v>1659</v>
      </c>
      <c r="E242" s="32">
        <v>28</v>
      </c>
      <c r="F242" s="32">
        <v>0</v>
      </c>
      <c r="G242" s="32">
        <f>26729+6+4+11+2+180</f>
        <v>26932</v>
      </c>
      <c r="H242" s="32">
        <f>74+12+6</f>
        <v>92</v>
      </c>
      <c r="I242" s="32">
        <v>0</v>
      </c>
      <c r="J242" s="32">
        <v>0</v>
      </c>
      <c r="K242" s="32"/>
      <c r="M242" s="42" t="s">
        <v>865</v>
      </c>
      <c r="N242" s="43" t="s">
        <v>877</v>
      </c>
      <c r="O242" s="43" t="s">
        <v>295</v>
      </c>
      <c r="P242" s="44">
        <v>1659</v>
      </c>
      <c r="Q242" s="45">
        <v>28</v>
      </c>
      <c r="R242" s="45">
        <v>0</v>
      </c>
      <c r="S242" s="45">
        <v>26932</v>
      </c>
      <c r="T242" s="45">
        <v>92</v>
      </c>
      <c r="U242" s="45">
        <v>0</v>
      </c>
      <c r="V242" s="46">
        <v>0</v>
      </c>
    </row>
    <row r="243" spans="1:22" x14ac:dyDescent="0.25">
      <c r="A243" s="27" t="s">
        <v>831</v>
      </c>
      <c r="B243" s="27" t="s">
        <v>877</v>
      </c>
      <c r="C243" s="27" t="s">
        <v>296</v>
      </c>
      <c r="D243" s="32"/>
      <c r="E243" s="32"/>
      <c r="F243" s="32"/>
      <c r="G243" s="32"/>
      <c r="H243" s="32"/>
      <c r="I243" s="32"/>
      <c r="J243" s="32"/>
      <c r="K243" s="32"/>
      <c r="M243" s="42" t="s">
        <v>831</v>
      </c>
      <c r="N243" s="43" t="s">
        <v>877</v>
      </c>
      <c r="O243" s="43" t="s">
        <v>296</v>
      </c>
      <c r="P243" s="44"/>
      <c r="Q243" s="45"/>
      <c r="R243" s="45"/>
      <c r="S243" s="45"/>
      <c r="T243" s="45"/>
      <c r="U243" s="45"/>
      <c r="V243" s="46"/>
    </row>
    <row r="244" spans="1:22" x14ac:dyDescent="0.25">
      <c r="A244" s="27" t="s">
        <v>818</v>
      </c>
      <c r="B244" s="27" t="s">
        <v>877</v>
      </c>
      <c r="C244" s="27" t="s">
        <v>297</v>
      </c>
      <c r="D244" s="32">
        <f>6370+47+1</f>
        <v>6418</v>
      </c>
      <c r="E244" s="32">
        <v>0</v>
      </c>
      <c r="F244" s="32">
        <v>0</v>
      </c>
      <c r="G244" s="32">
        <f>18247+10+196+1+1+30</f>
        <v>18485</v>
      </c>
      <c r="H244" s="32">
        <f>2+1+51</f>
        <v>54</v>
      </c>
      <c r="I244" s="32">
        <v>0</v>
      </c>
      <c r="J244" s="32">
        <v>0</v>
      </c>
      <c r="K244" s="32"/>
      <c r="M244" s="42" t="s">
        <v>818</v>
      </c>
      <c r="N244" s="43" t="s">
        <v>877</v>
      </c>
      <c r="O244" s="43" t="s">
        <v>297</v>
      </c>
      <c r="P244" s="44">
        <v>6418</v>
      </c>
      <c r="Q244" s="45">
        <v>0</v>
      </c>
      <c r="R244" s="45">
        <v>0</v>
      </c>
      <c r="S244" s="45">
        <v>18485</v>
      </c>
      <c r="T244" s="45">
        <v>54</v>
      </c>
      <c r="U244" s="45">
        <v>0</v>
      </c>
      <c r="V244" s="46">
        <v>0</v>
      </c>
    </row>
    <row r="245" spans="1:22" x14ac:dyDescent="0.25">
      <c r="A245" s="27" t="s">
        <v>811</v>
      </c>
      <c r="B245" s="27" t="s">
        <v>877</v>
      </c>
      <c r="C245" s="27" t="s">
        <v>298</v>
      </c>
      <c r="D245" s="32">
        <f>15128+2+47+14+1+1+1+71</f>
        <v>15265</v>
      </c>
      <c r="E245" s="32">
        <f>293+4</f>
        <v>297</v>
      </c>
      <c r="F245" s="32">
        <v>0</v>
      </c>
      <c r="G245" s="32">
        <f>14099+4+13+320+22+1+3+8+1+1+212</f>
        <v>14684</v>
      </c>
      <c r="H245" s="32">
        <f>333+8</f>
        <v>341</v>
      </c>
      <c r="I245" s="32">
        <v>0</v>
      </c>
      <c r="J245" s="32">
        <v>0</v>
      </c>
      <c r="K245" s="32"/>
      <c r="M245" s="42" t="s">
        <v>811</v>
      </c>
      <c r="N245" s="43" t="s">
        <v>877</v>
      </c>
      <c r="O245" s="43" t="s">
        <v>298</v>
      </c>
      <c r="P245" s="44">
        <v>15265</v>
      </c>
      <c r="Q245" s="45">
        <v>297</v>
      </c>
      <c r="R245" s="45">
        <v>0</v>
      </c>
      <c r="S245" s="45">
        <v>14684</v>
      </c>
      <c r="T245" s="45">
        <v>341</v>
      </c>
      <c r="U245" s="45">
        <v>0</v>
      </c>
      <c r="V245" s="46">
        <v>0</v>
      </c>
    </row>
    <row r="246" spans="1:22" x14ac:dyDescent="0.25">
      <c r="A246" s="27" t="s">
        <v>72</v>
      </c>
      <c r="B246" s="27" t="s">
        <v>877</v>
      </c>
      <c r="C246" s="27" t="s">
        <v>299</v>
      </c>
      <c r="D246" s="32">
        <f>3192+510</f>
        <v>3702</v>
      </c>
      <c r="E246" s="32">
        <v>0</v>
      </c>
      <c r="F246" s="32">
        <v>0</v>
      </c>
      <c r="G246" s="32">
        <f>15411+1+4+1037+16</f>
        <v>16469</v>
      </c>
      <c r="H246" s="32">
        <f>106+1</f>
        <v>107</v>
      </c>
      <c r="I246" s="32">
        <v>0</v>
      </c>
      <c r="J246" s="32">
        <v>0</v>
      </c>
      <c r="K246" s="32"/>
      <c r="M246" s="42" t="s">
        <v>72</v>
      </c>
      <c r="N246" s="43" t="s">
        <v>877</v>
      </c>
      <c r="O246" s="43" t="s">
        <v>299</v>
      </c>
      <c r="P246" s="44">
        <v>3702</v>
      </c>
      <c r="Q246" s="45">
        <v>0</v>
      </c>
      <c r="R246" s="45">
        <v>0</v>
      </c>
      <c r="S246" s="45">
        <v>16469</v>
      </c>
      <c r="T246" s="45">
        <v>107</v>
      </c>
      <c r="U246" s="45">
        <v>0</v>
      </c>
      <c r="V246" s="46">
        <v>0</v>
      </c>
    </row>
    <row r="247" spans="1:22" x14ac:dyDescent="0.25">
      <c r="A247" s="27" t="s">
        <v>67</v>
      </c>
      <c r="B247" s="27" t="s">
        <v>877</v>
      </c>
      <c r="C247" s="27" t="s">
        <v>300</v>
      </c>
      <c r="D247" s="32">
        <v>2824</v>
      </c>
      <c r="E247" s="32">
        <v>0</v>
      </c>
      <c r="F247" s="32">
        <v>0</v>
      </c>
      <c r="G247" s="32">
        <f>7393+5</f>
        <v>7398</v>
      </c>
      <c r="H247" s="32">
        <v>8</v>
      </c>
      <c r="I247" s="32">
        <v>0</v>
      </c>
      <c r="J247" s="32">
        <v>0</v>
      </c>
      <c r="K247" s="32"/>
      <c r="M247" s="42" t="s">
        <v>67</v>
      </c>
      <c r="N247" s="43" t="s">
        <v>877</v>
      </c>
      <c r="O247" s="43" t="s">
        <v>300</v>
      </c>
      <c r="P247" s="44">
        <v>2824</v>
      </c>
      <c r="Q247" s="45">
        <v>0</v>
      </c>
      <c r="R247" s="45">
        <v>0</v>
      </c>
      <c r="S247" s="45">
        <v>7398</v>
      </c>
      <c r="T247" s="45">
        <v>8</v>
      </c>
      <c r="U247" s="45">
        <v>0</v>
      </c>
      <c r="V247" s="46">
        <v>0</v>
      </c>
    </row>
    <row r="248" spans="1:22" x14ac:dyDescent="0.25">
      <c r="A248" s="27" t="s">
        <v>798</v>
      </c>
      <c r="B248" s="27" t="s">
        <v>877</v>
      </c>
      <c r="C248" s="27" t="s">
        <v>301</v>
      </c>
      <c r="D248" s="32">
        <v>3683</v>
      </c>
      <c r="E248" s="32">
        <v>26</v>
      </c>
      <c r="F248" s="32">
        <v>0</v>
      </c>
      <c r="G248" s="32">
        <f>23446+1</f>
        <v>23447</v>
      </c>
      <c r="H248" s="32">
        <f>152+1+1</f>
        <v>154</v>
      </c>
      <c r="I248" s="32">
        <v>0</v>
      </c>
      <c r="J248" s="32">
        <v>0</v>
      </c>
      <c r="K248" s="32"/>
      <c r="M248" s="42" t="s">
        <v>798</v>
      </c>
      <c r="N248" s="43" t="s">
        <v>877</v>
      </c>
      <c r="O248" s="43" t="s">
        <v>301</v>
      </c>
      <c r="P248" s="44">
        <v>3683</v>
      </c>
      <c r="Q248" s="45">
        <v>26</v>
      </c>
      <c r="R248" s="45">
        <v>0</v>
      </c>
      <c r="S248" s="45">
        <v>23447</v>
      </c>
      <c r="T248" s="45">
        <v>154</v>
      </c>
      <c r="U248" s="45">
        <v>0</v>
      </c>
      <c r="V248" s="46">
        <v>0</v>
      </c>
    </row>
    <row r="249" spans="1:22" x14ac:dyDescent="0.25">
      <c r="A249" s="27" t="s">
        <v>824</v>
      </c>
      <c r="B249" s="27" t="s">
        <v>877</v>
      </c>
      <c r="C249" s="27" t="s">
        <v>302</v>
      </c>
      <c r="D249" s="32">
        <f>11176+1+1126+88</f>
        <v>12391</v>
      </c>
      <c r="E249" s="32">
        <v>18</v>
      </c>
      <c r="F249" s="32">
        <v>0</v>
      </c>
      <c r="G249" s="32">
        <f>42289+3+7+15+2747+15+1+1+795</f>
        <v>45873</v>
      </c>
      <c r="H249" s="32">
        <f>52+14</f>
        <v>66</v>
      </c>
      <c r="I249" s="32">
        <v>0</v>
      </c>
      <c r="J249" s="32">
        <v>0</v>
      </c>
      <c r="K249" s="32"/>
      <c r="M249" s="42" t="s">
        <v>824</v>
      </c>
      <c r="N249" s="43" t="s">
        <v>877</v>
      </c>
      <c r="O249" s="43" t="s">
        <v>302</v>
      </c>
      <c r="P249" s="44">
        <v>12391</v>
      </c>
      <c r="Q249" s="45">
        <v>18</v>
      </c>
      <c r="R249" s="45">
        <v>0</v>
      </c>
      <c r="S249" s="45">
        <v>45873</v>
      </c>
      <c r="T249" s="45">
        <v>66</v>
      </c>
      <c r="U249" s="45">
        <v>0</v>
      </c>
      <c r="V249" s="46">
        <v>0</v>
      </c>
    </row>
    <row r="250" spans="1:22" x14ac:dyDescent="0.25">
      <c r="A250" s="27" t="s">
        <v>788</v>
      </c>
      <c r="B250" s="27" t="s">
        <v>877</v>
      </c>
      <c r="C250" s="27" t="s">
        <v>303</v>
      </c>
      <c r="D250" s="32">
        <v>3025</v>
      </c>
      <c r="E250" s="32">
        <f>4+2</f>
        <v>6</v>
      </c>
      <c r="F250" s="32">
        <v>0</v>
      </c>
      <c r="G250" s="32">
        <f>21663+11+57+37</f>
        <v>21768</v>
      </c>
      <c r="H250" s="32">
        <f>15+73+5</f>
        <v>93</v>
      </c>
      <c r="I250" s="32">
        <v>0</v>
      </c>
      <c r="J250" s="32">
        <v>0</v>
      </c>
      <c r="K250" s="32"/>
      <c r="M250" s="42" t="s">
        <v>788</v>
      </c>
      <c r="N250" s="43" t="s">
        <v>877</v>
      </c>
      <c r="O250" s="43" t="s">
        <v>303</v>
      </c>
      <c r="P250" s="44">
        <v>3025</v>
      </c>
      <c r="Q250" s="45">
        <v>6</v>
      </c>
      <c r="R250" s="45">
        <v>0</v>
      </c>
      <c r="S250" s="45">
        <v>21768</v>
      </c>
      <c r="T250" s="45">
        <v>93</v>
      </c>
      <c r="U250" s="45">
        <v>0</v>
      </c>
      <c r="V250" s="46">
        <v>0</v>
      </c>
    </row>
    <row r="251" spans="1:22" x14ac:dyDescent="0.25">
      <c r="A251" s="27" t="s">
        <v>120</v>
      </c>
      <c r="B251" s="27" t="s">
        <v>877</v>
      </c>
      <c r="C251" s="27" t="s">
        <v>304</v>
      </c>
      <c r="D251" s="32">
        <f>5904+23</f>
        <v>5927</v>
      </c>
      <c r="E251" s="32">
        <v>5</v>
      </c>
      <c r="F251" s="32">
        <v>0</v>
      </c>
      <c r="G251" s="32">
        <f>40582+4+1+52+968+1+1+1+13</f>
        <v>41623</v>
      </c>
      <c r="H251" s="32">
        <v>49</v>
      </c>
      <c r="I251" s="32">
        <v>0</v>
      </c>
      <c r="J251" s="32">
        <v>0</v>
      </c>
      <c r="K251" s="32"/>
      <c r="M251" s="42" t="s">
        <v>120</v>
      </c>
      <c r="N251" s="43" t="s">
        <v>877</v>
      </c>
      <c r="O251" s="43" t="s">
        <v>304</v>
      </c>
      <c r="P251" s="44">
        <v>5927</v>
      </c>
      <c r="Q251" s="45">
        <v>5</v>
      </c>
      <c r="R251" s="45">
        <v>0</v>
      </c>
      <c r="S251" s="45">
        <v>41623</v>
      </c>
      <c r="T251" s="45">
        <v>49</v>
      </c>
      <c r="U251" s="45">
        <v>0</v>
      </c>
      <c r="V251" s="46">
        <v>0</v>
      </c>
    </row>
    <row r="252" spans="1:22" x14ac:dyDescent="0.25">
      <c r="A252" s="27" t="s">
        <v>229</v>
      </c>
      <c r="B252" s="27" t="s">
        <v>877</v>
      </c>
      <c r="C252" s="27" t="s">
        <v>306</v>
      </c>
      <c r="D252" s="32">
        <f>5678+10+1+21+1</f>
        <v>5711</v>
      </c>
      <c r="E252" s="32">
        <v>0</v>
      </c>
      <c r="F252" s="32">
        <v>0</v>
      </c>
      <c r="G252" s="32">
        <f>13260+25+33+98+2</f>
        <v>13418</v>
      </c>
      <c r="H252" s="32">
        <v>59</v>
      </c>
      <c r="I252" s="32">
        <v>0</v>
      </c>
      <c r="J252" s="32">
        <v>0</v>
      </c>
      <c r="K252" s="32"/>
      <c r="M252" s="42" t="s">
        <v>229</v>
      </c>
      <c r="N252" s="43" t="s">
        <v>877</v>
      </c>
      <c r="O252" s="43" t="s">
        <v>306</v>
      </c>
      <c r="P252" s="44">
        <v>5711</v>
      </c>
      <c r="Q252" s="45">
        <v>0</v>
      </c>
      <c r="R252" s="45">
        <v>0</v>
      </c>
      <c r="S252" s="45">
        <v>13418</v>
      </c>
      <c r="T252" s="45">
        <v>59</v>
      </c>
      <c r="U252" s="45">
        <v>0</v>
      </c>
      <c r="V252" s="46">
        <v>0</v>
      </c>
    </row>
    <row r="253" spans="1:22" x14ac:dyDescent="0.25">
      <c r="A253" s="27" t="s">
        <v>512</v>
      </c>
      <c r="B253" s="27" t="s">
        <v>877</v>
      </c>
      <c r="C253" s="27" t="s">
        <v>307</v>
      </c>
      <c r="D253" s="32">
        <f>1117+4</f>
        <v>1121</v>
      </c>
      <c r="E253" s="32">
        <v>9</v>
      </c>
      <c r="F253" s="32">
        <v>0</v>
      </c>
      <c r="G253" s="32">
        <f>13377+13+8</f>
        <v>13398</v>
      </c>
      <c r="H253" s="32">
        <f>39+4</f>
        <v>43</v>
      </c>
      <c r="I253" s="32">
        <v>0</v>
      </c>
      <c r="J253" s="32">
        <v>0</v>
      </c>
      <c r="K253" s="32"/>
      <c r="M253" s="42" t="s">
        <v>512</v>
      </c>
      <c r="N253" s="43" t="s">
        <v>877</v>
      </c>
      <c r="O253" s="43" t="s">
        <v>307</v>
      </c>
      <c r="P253" s="44">
        <v>1121</v>
      </c>
      <c r="Q253" s="45">
        <v>9</v>
      </c>
      <c r="R253" s="45">
        <v>0</v>
      </c>
      <c r="S253" s="45">
        <v>13398</v>
      </c>
      <c r="T253" s="45">
        <v>43</v>
      </c>
      <c r="U253" s="45">
        <v>0</v>
      </c>
      <c r="V253" s="46">
        <v>0</v>
      </c>
    </row>
    <row r="254" spans="1:22" x14ac:dyDescent="0.25">
      <c r="A254" s="27" t="s">
        <v>791</v>
      </c>
      <c r="B254" s="27" t="s">
        <v>877</v>
      </c>
      <c r="C254" s="27" t="s">
        <v>308</v>
      </c>
      <c r="D254" s="32">
        <f>1560+3+6+1+22</f>
        <v>1592</v>
      </c>
      <c r="E254" s="32">
        <v>0</v>
      </c>
      <c r="F254" s="32">
        <v>0</v>
      </c>
      <c r="G254" s="32">
        <f>9517+1+1+12+2+409</f>
        <v>9942</v>
      </c>
      <c r="H254" s="32">
        <v>25</v>
      </c>
      <c r="I254" s="32">
        <v>0</v>
      </c>
      <c r="J254" s="32">
        <v>0</v>
      </c>
      <c r="K254" s="32"/>
      <c r="M254" s="42" t="s">
        <v>791</v>
      </c>
      <c r="N254" s="43" t="s">
        <v>877</v>
      </c>
      <c r="O254" s="43" t="s">
        <v>308</v>
      </c>
      <c r="P254" s="44">
        <v>1592</v>
      </c>
      <c r="Q254" s="45">
        <v>0</v>
      </c>
      <c r="R254" s="45">
        <v>0</v>
      </c>
      <c r="S254" s="45">
        <v>9942</v>
      </c>
      <c r="T254" s="45">
        <v>25</v>
      </c>
      <c r="U254" s="45">
        <v>0</v>
      </c>
      <c r="V254" s="46">
        <v>0</v>
      </c>
    </row>
    <row r="255" spans="1:22" x14ac:dyDescent="0.25">
      <c r="A255" s="27" t="s">
        <v>841</v>
      </c>
      <c r="B255" s="27" t="s">
        <v>877</v>
      </c>
      <c r="C255" s="27" t="s">
        <v>309</v>
      </c>
      <c r="D255" s="32"/>
      <c r="E255" s="32"/>
      <c r="F255" s="32"/>
      <c r="G255" s="32"/>
      <c r="H255" s="32"/>
      <c r="I255" s="32"/>
      <c r="J255" s="32"/>
      <c r="K255" s="32"/>
      <c r="M255" s="42" t="s">
        <v>841</v>
      </c>
      <c r="N255" s="43" t="s">
        <v>877</v>
      </c>
      <c r="O255" s="43" t="s">
        <v>309</v>
      </c>
      <c r="P255" s="44"/>
      <c r="Q255" s="45"/>
      <c r="R255" s="45"/>
      <c r="S255" s="45"/>
      <c r="T255" s="45"/>
      <c r="U255" s="45"/>
      <c r="V255" s="46"/>
    </row>
    <row r="256" spans="1:22" x14ac:dyDescent="0.25">
      <c r="A256" s="27" t="s">
        <v>831</v>
      </c>
      <c r="B256" s="27" t="s">
        <v>877</v>
      </c>
      <c r="C256" s="27" t="s">
        <v>310</v>
      </c>
      <c r="D256" s="32"/>
      <c r="E256" s="32"/>
      <c r="F256" s="32"/>
      <c r="G256" s="32"/>
      <c r="H256" s="32"/>
      <c r="I256" s="32"/>
      <c r="J256" s="32"/>
      <c r="K256" s="32"/>
      <c r="M256" s="42" t="s">
        <v>831</v>
      </c>
      <c r="N256" s="43" t="s">
        <v>877</v>
      </c>
      <c r="O256" s="43" t="s">
        <v>310</v>
      </c>
      <c r="P256" s="44"/>
      <c r="Q256" s="45"/>
      <c r="R256" s="45"/>
      <c r="S256" s="45"/>
      <c r="T256" s="45"/>
      <c r="U256" s="45"/>
      <c r="V256" s="46"/>
    </row>
    <row r="257" spans="1:22" x14ac:dyDescent="0.25">
      <c r="A257" s="27" t="s">
        <v>864</v>
      </c>
      <c r="B257" s="27" t="s">
        <v>877</v>
      </c>
      <c r="C257" s="27" t="s">
        <v>311</v>
      </c>
      <c r="D257" s="32">
        <f>2624+16</f>
        <v>2640</v>
      </c>
      <c r="E257" s="32">
        <v>0</v>
      </c>
      <c r="F257" s="32">
        <v>0</v>
      </c>
      <c r="G257" s="32">
        <f>14084+2+116+15+56</f>
        <v>14273</v>
      </c>
      <c r="H257" s="32">
        <f>2+1</f>
        <v>3</v>
      </c>
      <c r="I257" s="32">
        <v>0</v>
      </c>
      <c r="J257" s="32">
        <v>0</v>
      </c>
      <c r="K257" s="32"/>
      <c r="M257" s="42" t="s">
        <v>864</v>
      </c>
      <c r="N257" s="43" t="s">
        <v>877</v>
      </c>
      <c r="O257" s="43" t="s">
        <v>311</v>
      </c>
      <c r="P257" s="44">
        <v>2640</v>
      </c>
      <c r="Q257" s="45">
        <v>0</v>
      </c>
      <c r="R257" s="45">
        <v>0</v>
      </c>
      <c r="S257" s="45">
        <v>14273</v>
      </c>
      <c r="T257" s="45">
        <v>3</v>
      </c>
      <c r="U257" s="45">
        <v>0</v>
      </c>
      <c r="V257" s="46">
        <v>0</v>
      </c>
    </row>
    <row r="258" spans="1:22" x14ac:dyDescent="0.25">
      <c r="A258" s="27" t="s">
        <v>838</v>
      </c>
      <c r="B258" s="27" t="s">
        <v>877</v>
      </c>
      <c r="C258" s="27" t="s">
        <v>312</v>
      </c>
      <c r="D258" s="32"/>
      <c r="E258" s="32"/>
      <c r="F258" s="32"/>
      <c r="G258" s="32"/>
      <c r="H258" s="32"/>
      <c r="I258" s="32"/>
      <c r="J258" s="32"/>
      <c r="K258" s="32"/>
      <c r="M258" s="42" t="s">
        <v>838</v>
      </c>
      <c r="N258" s="43" t="s">
        <v>877</v>
      </c>
      <c r="O258" s="43" t="s">
        <v>312</v>
      </c>
      <c r="P258" s="44"/>
      <c r="Q258" s="45"/>
      <c r="R258" s="45"/>
      <c r="S258" s="45"/>
      <c r="T258" s="45"/>
      <c r="U258" s="45"/>
      <c r="V258" s="46"/>
    </row>
    <row r="259" spans="1:22" x14ac:dyDescent="0.25">
      <c r="A259" s="27" t="s">
        <v>794</v>
      </c>
      <c r="B259" s="27" t="s">
        <v>877</v>
      </c>
      <c r="C259" s="27" t="s">
        <v>313</v>
      </c>
      <c r="D259" s="32"/>
      <c r="E259" s="32"/>
      <c r="F259" s="32"/>
      <c r="G259" s="32"/>
      <c r="H259" s="32"/>
      <c r="I259" s="32"/>
      <c r="J259" s="32"/>
      <c r="K259" s="32"/>
      <c r="M259" s="42" t="s">
        <v>794</v>
      </c>
      <c r="N259" s="43" t="s">
        <v>877</v>
      </c>
      <c r="O259" s="43" t="s">
        <v>313</v>
      </c>
      <c r="P259" s="44"/>
      <c r="Q259" s="45"/>
      <c r="R259" s="45"/>
      <c r="S259" s="45"/>
      <c r="T259" s="45"/>
      <c r="U259" s="45"/>
      <c r="V259" s="46"/>
    </row>
    <row r="260" spans="1:22" x14ac:dyDescent="0.25">
      <c r="A260" s="27" t="s">
        <v>830</v>
      </c>
      <c r="B260" s="27" t="s">
        <v>877</v>
      </c>
      <c r="C260" s="27" t="s">
        <v>314</v>
      </c>
      <c r="D260" s="32"/>
      <c r="E260" s="32"/>
      <c r="F260" s="32"/>
      <c r="G260" s="32"/>
      <c r="H260" s="32"/>
      <c r="I260" s="32"/>
      <c r="J260" s="32"/>
      <c r="K260" s="32"/>
      <c r="M260" s="42" t="s">
        <v>830</v>
      </c>
      <c r="N260" s="43" t="s">
        <v>877</v>
      </c>
      <c r="O260" s="43" t="s">
        <v>314</v>
      </c>
      <c r="P260" s="44"/>
      <c r="Q260" s="45"/>
      <c r="R260" s="45"/>
      <c r="S260" s="45"/>
      <c r="T260" s="45"/>
      <c r="U260" s="45"/>
      <c r="V260" s="46"/>
    </row>
    <row r="261" spans="1:22" x14ac:dyDescent="0.25">
      <c r="A261" s="27" t="s">
        <v>844</v>
      </c>
      <c r="B261" s="27" t="s">
        <v>877</v>
      </c>
      <c r="C261" s="27" t="s">
        <v>315</v>
      </c>
      <c r="D261" s="32"/>
      <c r="E261" s="32"/>
      <c r="F261" s="32"/>
      <c r="G261" s="32"/>
      <c r="H261" s="32"/>
      <c r="I261" s="32"/>
      <c r="J261" s="32"/>
      <c r="K261" s="32"/>
      <c r="M261" s="42" t="s">
        <v>844</v>
      </c>
      <c r="N261" s="43" t="s">
        <v>877</v>
      </c>
      <c r="O261" s="43" t="s">
        <v>315</v>
      </c>
      <c r="P261" s="44"/>
      <c r="Q261" s="45"/>
      <c r="R261" s="45"/>
      <c r="S261" s="45"/>
      <c r="T261" s="45"/>
      <c r="U261" s="45"/>
      <c r="V261" s="46"/>
    </row>
    <row r="262" spans="1:22" x14ac:dyDescent="0.25">
      <c r="A262" s="27" t="s">
        <v>836</v>
      </c>
      <c r="B262" s="27" t="s">
        <v>877</v>
      </c>
      <c r="C262" s="27" t="s">
        <v>316</v>
      </c>
      <c r="D262" s="32"/>
      <c r="E262" s="32"/>
      <c r="F262" s="32"/>
      <c r="G262" s="32"/>
      <c r="H262" s="32"/>
      <c r="I262" s="32"/>
      <c r="J262" s="32"/>
      <c r="K262" s="32"/>
      <c r="M262" s="42" t="s">
        <v>836</v>
      </c>
      <c r="N262" s="43" t="s">
        <v>877</v>
      </c>
      <c r="O262" s="43" t="s">
        <v>316</v>
      </c>
      <c r="P262" s="44"/>
      <c r="Q262" s="45"/>
      <c r="R262" s="45"/>
      <c r="S262" s="45"/>
      <c r="T262" s="45"/>
      <c r="U262" s="45"/>
      <c r="V262" s="46"/>
    </row>
    <row r="263" spans="1:22" x14ac:dyDescent="0.25">
      <c r="A263" s="27" t="s">
        <v>845</v>
      </c>
      <c r="B263" s="27" t="s">
        <v>877</v>
      </c>
      <c r="C263" s="27" t="s">
        <v>317</v>
      </c>
      <c r="D263" s="32"/>
      <c r="E263" s="32"/>
      <c r="F263" s="32"/>
      <c r="G263" s="32"/>
      <c r="H263" s="32"/>
      <c r="I263" s="32"/>
      <c r="J263" s="32"/>
      <c r="K263" s="32"/>
      <c r="M263" s="42" t="s">
        <v>845</v>
      </c>
      <c r="N263" s="43" t="s">
        <v>877</v>
      </c>
      <c r="O263" s="43" t="s">
        <v>317</v>
      </c>
      <c r="P263" s="44"/>
      <c r="Q263" s="45"/>
      <c r="R263" s="45"/>
      <c r="S263" s="45"/>
      <c r="T263" s="45"/>
      <c r="U263" s="45"/>
      <c r="V263" s="46"/>
    </row>
    <row r="264" spans="1:22" x14ac:dyDescent="0.25">
      <c r="A264" s="27" t="s">
        <v>846</v>
      </c>
      <c r="B264" s="27" t="s">
        <v>877</v>
      </c>
      <c r="C264" s="27" t="s">
        <v>318</v>
      </c>
      <c r="D264" s="32"/>
      <c r="E264" s="32"/>
      <c r="F264" s="32"/>
      <c r="G264" s="32"/>
      <c r="H264" s="32"/>
      <c r="I264" s="32"/>
      <c r="J264" s="32"/>
      <c r="K264" s="32"/>
      <c r="M264" s="42" t="s">
        <v>846</v>
      </c>
      <c r="N264" s="43" t="s">
        <v>877</v>
      </c>
      <c r="O264" s="43" t="s">
        <v>318</v>
      </c>
      <c r="P264" s="44"/>
      <c r="Q264" s="45"/>
      <c r="R264" s="45"/>
      <c r="S264" s="45"/>
      <c r="T264" s="45"/>
      <c r="U264" s="45"/>
      <c r="V264" s="46"/>
    </row>
    <row r="265" spans="1:22" x14ac:dyDescent="0.25">
      <c r="A265" s="27" t="s">
        <v>804</v>
      </c>
      <c r="B265" s="27" t="s">
        <v>877</v>
      </c>
      <c r="C265" s="27" t="s">
        <v>319</v>
      </c>
      <c r="D265" s="32">
        <f>7725+2</f>
        <v>7727</v>
      </c>
      <c r="E265" s="32">
        <v>23</v>
      </c>
      <c r="F265" s="32">
        <v>0</v>
      </c>
      <c r="G265" s="32">
        <f>21203+2+1+4+10</f>
        <v>21220</v>
      </c>
      <c r="H265" s="32">
        <v>55</v>
      </c>
      <c r="I265" s="32">
        <v>0</v>
      </c>
      <c r="J265" s="32">
        <v>0</v>
      </c>
      <c r="K265" s="32"/>
      <c r="M265" s="42" t="s">
        <v>804</v>
      </c>
      <c r="N265" s="43" t="s">
        <v>877</v>
      </c>
      <c r="O265" s="43" t="s">
        <v>319</v>
      </c>
      <c r="P265" s="44">
        <v>7727</v>
      </c>
      <c r="Q265" s="45">
        <v>23</v>
      </c>
      <c r="R265" s="45">
        <v>0</v>
      </c>
      <c r="S265" s="45">
        <v>21220</v>
      </c>
      <c r="T265" s="45">
        <v>55</v>
      </c>
      <c r="U265" s="45">
        <v>0</v>
      </c>
      <c r="V265" s="46">
        <v>0</v>
      </c>
    </row>
    <row r="266" spans="1:22" x14ac:dyDescent="0.25">
      <c r="A266" s="27" t="s">
        <v>809</v>
      </c>
      <c r="B266" s="27" t="s">
        <v>877</v>
      </c>
      <c r="C266" s="27" t="s">
        <v>320</v>
      </c>
      <c r="D266" s="32">
        <f>12476+1+2</f>
        <v>12479</v>
      </c>
      <c r="E266" s="32">
        <v>10</v>
      </c>
      <c r="F266" s="32">
        <v>0</v>
      </c>
      <c r="G266" s="32">
        <f>13967+8+9+1+389</f>
        <v>14374</v>
      </c>
      <c r="H266" s="32">
        <f>39+14+4+2</f>
        <v>59</v>
      </c>
      <c r="I266" s="32">
        <v>0</v>
      </c>
      <c r="J266" s="32">
        <v>0</v>
      </c>
      <c r="K266" s="32"/>
      <c r="M266" s="42" t="s">
        <v>809</v>
      </c>
      <c r="N266" s="43" t="s">
        <v>877</v>
      </c>
      <c r="O266" s="43" t="s">
        <v>320</v>
      </c>
      <c r="P266" s="44">
        <v>12479</v>
      </c>
      <c r="Q266" s="45">
        <v>10</v>
      </c>
      <c r="R266" s="45">
        <v>0</v>
      </c>
      <c r="S266" s="45">
        <v>14374</v>
      </c>
      <c r="T266" s="45">
        <v>59</v>
      </c>
      <c r="U266" s="45">
        <v>0</v>
      </c>
      <c r="V266" s="46">
        <v>0</v>
      </c>
    </row>
    <row r="267" spans="1:22" x14ac:dyDescent="0.25">
      <c r="A267" s="27" t="s">
        <v>801</v>
      </c>
      <c r="B267" s="27" t="s">
        <v>877</v>
      </c>
      <c r="C267" s="27" t="s">
        <v>321</v>
      </c>
      <c r="D267" s="32"/>
      <c r="E267" s="32"/>
      <c r="F267" s="32"/>
      <c r="G267" s="32"/>
      <c r="H267" s="32"/>
      <c r="I267" s="32"/>
      <c r="J267" s="32"/>
      <c r="K267" s="32"/>
      <c r="M267" s="42" t="s">
        <v>801</v>
      </c>
      <c r="N267" s="43" t="s">
        <v>877</v>
      </c>
      <c r="O267" s="43" t="s">
        <v>321</v>
      </c>
      <c r="P267" s="44"/>
      <c r="Q267" s="45"/>
      <c r="R267" s="45"/>
      <c r="S267" s="45"/>
      <c r="T267" s="45"/>
      <c r="U267" s="45"/>
      <c r="V267" s="46"/>
    </row>
    <row r="268" spans="1:22" x14ac:dyDescent="0.25">
      <c r="A268" s="27" t="s">
        <v>138</v>
      </c>
      <c r="B268" s="27" t="s">
        <v>877</v>
      </c>
      <c r="C268" s="27" t="s">
        <v>322</v>
      </c>
      <c r="D268" s="32"/>
      <c r="E268" s="32"/>
      <c r="F268" s="32"/>
      <c r="G268" s="32"/>
      <c r="H268" s="32"/>
      <c r="I268" s="32"/>
      <c r="J268" s="32"/>
      <c r="K268" s="32"/>
      <c r="M268" s="42" t="s">
        <v>138</v>
      </c>
      <c r="N268" s="43" t="s">
        <v>877</v>
      </c>
      <c r="O268" s="43" t="s">
        <v>322</v>
      </c>
      <c r="P268" s="44"/>
      <c r="Q268" s="45"/>
      <c r="R268" s="45"/>
      <c r="S268" s="45"/>
      <c r="T268" s="45"/>
      <c r="U268" s="45"/>
      <c r="V268" s="46"/>
    </row>
    <row r="269" spans="1:22" x14ac:dyDescent="0.25">
      <c r="A269" s="27" t="s">
        <v>83</v>
      </c>
      <c r="B269" s="27" t="s">
        <v>877</v>
      </c>
      <c r="C269" s="27" t="s">
        <v>323</v>
      </c>
      <c r="D269" s="32">
        <f>16555+1+137+5</f>
        <v>16698</v>
      </c>
      <c r="E269" s="32">
        <f>39+21</f>
        <v>60</v>
      </c>
      <c r="F269" s="32">
        <v>0</v>
      </c>
      <c r="G269" s="32">
        <f>10227+147+1+201</f>
        <v>10576</v>
      </c>
      <c r="H269" s="32">
        <f>111+4+11</f>
        <v>126</v>
      </c>
      <c r="I269" s="32">
        <v>0</v>
      </c>
      <c r="J269" s="32">
        <v>0</v>
      </c>
      <c r="K269" s="32"/>
      <c r="M269" s="42" t="s">
        <v>83</v>
      </c>
      <c r="N269" s="43" t="s">
        <v>877</v>
      </c>
      <c r="O269" s="43" t="s">
        <v>323</v>
      </c>
      <c r="P269" s="44">
        <v>16698</v>
      </c>
      <c r="Q269" s="45">
        <v>60</v>
      </c>
      <c r="R269" s="45">
        <v>0</v>
      </c>
      <c r="S269" s="45">
        <v>10576</v>
      </c>
      <c r="T269" s="45">
        <v>126</v>
      </c>
      <c r="U269" s="45">
        <v>0</v>
      </c>
      <c r="V269" s="46">
        <v>0</v>
      </c>
    </row>
    <row r="270" spans="1:22" x14ac:dyDescent="0.25">
      <c r="A270" s="27" t="s">
        <v>825</v>
      </c>
      <c r="B270" s="27" t="s">
        <v>877</v>
      </c>
      <c r="C270" s="27" t="s">
        <v>324</v>
      </c>
      <c r="D270" s="32">
        <f>4051+239</f>
        <v>4290</v>
      </c>
      <c r="E270" s="32">
        <v>31</v>
      </c>
      <c r="F270" s="32">
        <v>0</v>
      </c>
      <c r="G270" s="32">
        <f>12362+3+1+2098+12</f>
        <v>14476</v>
      </c>
      <c r="H270" s="32">
        <f>194+6</f>
        <v>200</v>
      </c>
      <c r="I270" s="32">
        <v>0</v>
      </c>
      <c r="J270" s="32">
        <v>0</v>
      </c>
      <c r="K270" s="32"/>
      <c r="M270" s="42" t="s">
        <v>825</v>
      </c>
      <c r="N270" s="43" t="s">
        <v>877</v>
      </c>
      <c r="O270" s="43" t="s">
        <v>324</v>
      </c>
      <c r="P270" s="44">
        <v>4290</v>
      </c>
      <c r="Q270" s="45">
        <v>31</v>
      </c>
      <c r="R270" s="45">
        <v>0</v>
      </c>
      <c r="S270" s="45">
        <v>14476</v>
      </c>
      <c r="T270" s="45">
        <v>200</v>
      </c>
      <c r="U270" s="45">
        <v>0</v>
      </c>
      <c r="V270" s="46">
        <v>0</v>
      </c>
    </row>
    <row r="271" spans="1:22" x14ac:dyDescent="0.25">
      <c r="A271" s="27" t="s">
        <v>248</v>
      </c>
      <c r="B271" s="27" t="s">
        <v>877</v>
      </c>
      <c r="C271" s="27" t="s">
        <v>325</v>
      </c>
      <c r="D271" s="32">
        <f>1735+1+1+1+19</f>
        <v>1757</v>
      </c>
      <c r="E271" s="32">
        <v>0</v>
      </c>
      <c r="F271" s="32">
        <v>0</v>
      </c>
      <c r="G271" s="32">
        <f>8207+3+18</f>
        <v>8228</v>
      </c>
      <c r="H271" s="32">
        <v>45</v>
      </c>
      <c r="I271" s="32">
        <v>0</v>
      </c>
      <c r="J271" s="32">
        <v>0</v>
      </c>
      <c r="K271" s="32"/>
      <c r="M271" s="42" t="s">
        <v>248</v>
      </c>
      <c r="N271" s="43" t="s">
        <v>877</v>
      </c>
      <c r="O271" s="43" t="s">
        <v>325</v>
      </c>
      <c r="P271" s="44">
        <v>1757</v>
      </c>
      <c r="Q271" s="45">
        <v>0</v>
      </c>
      <c r="R271" s="45">
        <v>0</v>
      </c>
      <c r="S271" s="45">
        <v>8228</v>
      </c>
      <c r="T271" s="45">
        <v>45</v>
      </c>
      <c r="U271" s="45">
        <v>0</v>
      </c>
      <c r="V271" s="46">
        <v>0</v>
      </c>
    </row>
    <row r="272" spans="1:22" x14ac:dyDescent="0.25">
      <c r="A272" s="27" t="s">
        <v>83</v>
      </c>
      <c r="B272" s="27" t="s">
        <v>877</v>
      </c>
      <c r="C272" s="27" t="s">
        <v>326</v>
      </c>
      <c r="D272" s="32">
        <v>1441</v>
      </c>
      <c r="E272" s="32">
        <v>0</v>
      </c>
      <c r="F272" s="32">
        <v>0</v>
      </c>
      <c r="G272" s="32">
        <f>6290+135</f>
        <v>6425</v>
      </c>
      <c r="H272" s="32">
        <f>38+2</f>
        <v>40</v>
      </c>
      <c r="I272" s="32">
        <v>0</v>
      </c>
      <c r="J272" s="32">
        <v>0</v>
      </c>
      <c r="K272" s="32"/>
      <c r="M272" s="42" t="s">
        <v>83</v>
      </c>
      <c r="N272" s="43" t="s">
        <v>877</v>
      </c>
      <c r="O272" s="43" t="s">
        <v>326</v>
      </c>
      <c r="P272" s="44">
        <v>1441</v>
      </c>
      <c r="Q272" s="45">
        <v>0</v>
      </c>
      <c r="R272" s="45">
        <v>0</v>
      </c>
      <c r="S272" s="45">
        <v>6425</v>
      </c>
      <c r="T272" s="45">
        <v>40</v>
      </c>
      <c r="U272" s="45">
        <v>0</v>
      </c>
      <c r="V272" s="46">
        <v>0</v>
      </c>
    </row>
    <row r="273" spans="1:22" x14ac:dyDescent="0.25">
      <c r="A273" s="27" t="s">
        <v>795</v>
      </c>
      <c r="B273" s="27" t="s">
        <v>877</v>
      </c>
      <c r="C273" s="27" t="s">
        <v>327</v>
      </c>
      <c r="D273" s="32">
        <v>7265</v>
      </c>
      <c r="E273" s="32">
        <v>2</v>
      </c>
      <c r="F273" s="32">
        <v>0</v>
      </c>
      <c r="G273" s="32">
        <v>1777</v>
      </c>
      <c r="H273" s="32">
        <v>52</v>
      </c>
      <c r="I273" s="32">
        <v>0</v>
      </c>
      <c r="J273" s="32">
        <v>0</v>
      </c>
      <c r="K273" s="32"/>
      <c r="M273" s="42" t="s">
        <v>795</v>
      </c>
      <c r="N273" s="43" t="s">
        <v>877</v>
      </c>
      <c r="O273" s="43" t="s">
        <v>327</v>
      </c>
      <c r="P273" s="44">
        <v>7265</v>
      </c>
      <c r="Q273" s="45">
        <v>2</v>
      </c>
      <c r="R273" s="45">
        <v>0</v>
      </c>
      <c r="S273" s="45">
        <v>1777</v>
      </c>
      <c r="T273" s="45">
        <v>52</v>
      </c>
      <c r="U273" s="45">
        <v>0</v>
      </c>
      <c r="V273" s="46">
        <v>0</v>
      </c>
    </row>
    <row r="274" spans="1:22" x14ac:dyDescent="0.25">
      <c r="A274" s="27" t="s">
        <v>76</v>
      </c>
      <c r="B274" s="27" t="s">
        <v>877</v>
      </c>
      <c r="C274" s="27" t="s">
        <v>329</v>
      </c>
      <c r="D274" s="32">
        <f>5367+33+4+1</f>
        <v>5405</v>
      </c>
      <c r="E274" s="32">
        <f>21+19</f>
        <v>40</v>
      </c>
      <c r="F274" s="32">
        <v>0</v>
      </c>
      <c r="G274" s="32">
        <f>31015+28+1+2+1+2+544</f>
        <v>31593</v>
      </c>
      <c r="H274" s="32">
        <f>563+47+8</f>
        <v>618</v>
      </c>
      <c r="I274" s="32">
        <v>0</v>
      </c>
      <c r="J274" s="32">
        <v>0</v>
      </c>
      <c r="K274" s="32"/>
      <c r="M274" s="42" t="s">
        <v>76</v>
      </c>
      <c r="N274" s="43" t="s">
        <v>877</v>
      </c>
      <c r="O274" s="43" t="s">
        <v>329</v>
      </c>
      <c r="P274" s="44">
        <v>5405</v>
      </c>
      <c r="Q274" s="45">
        <v>40</v>
      </c>
      <c r="R274" s="45">
        <v>0</v>
      </c>
      <c r="S274" s="45">
        <v>31593</v>
      </c>
      <c r="T274" s="45">
        <v>618</v>
      </c>
      <c r="U274" s="45">
        <v>0</v>
      </c>
      <c r="V274" s="46">
        <v>0</v>
      </c>
    </row>
    <row r="275" spans="1:22" x14ac:dyDescent="0.25">
      <c r="A275" s="27" t="s">
        <v>809</v>
      </c>
      <c r="B275" s="27" t="s">
        <v>877</v>
      </c>
      <c r="C275" s="27" t="s">
        <v>330</v>
      </c>
      <c r="D275" s="32"/>
      <c r="E275" s="32"/>
      <c r="F275" s="32"/>
      <c r="G275" s="32"/>
      <c r="H275" s="32"/>
      <c r="I275" s="32"/>
      <c r="J275" s="32"/>
      <c r="K275" s="32"/>
      <c r="M275" s="42" t="s">
        <v>809</v>
      </c>
      <c r="N275" s="43" t="s">
        <v>877</v>
      </c>
      <c r="O275" s="43" t="s">
        <v>330</v>
      </c>
      <c r="P275" s="44"/>
      <c r="Q275" s="45"/>
      <c r="R275" s="45"/>
      <c r="S275" s="45"/>
      <c r="T275" s="45"/>
      <c r="U275" s="45"/>
      <c r="V275" s="46"/>
    </row>
    <row r="276" spans="1:22" ht="15.75" x14ac:dyDescent="0.25">
      <c r="A276" s="27" t="s">
        <v>839</v>
      </c>
      <c r="B276" s="27" t="s">
        <v>877</v>
      </c>
      <c r="C276" s="27" t="s">
        <v>331</v>
      </c>
      <c r="D276" s="32">
        <f>2519+14</f>
        <v>2533</v>
      </c>
      <c r="E276" s="32">
        <v>2</v>
      </c>
      <c r="F276" s="32">
        <v>0</v>
      </c>
      <c r="G276" s="32">
        <f>12065+6+10+79</f>
        <v>12160</v>
      </c>
      <c r="H276" s="32">
        <f>22+7</f>
        <v>29</v>
      </c>
      <c r="I276" s="32">
        <v>0</v>
      </c>
      <c r="J276" s="32">
        <v>0</v>
      </c>
      <c r="K276" s="32"/>
      <c r="M276" s="42" t="s">
        <v>839</v>
      </c>
      <c r="N276" s="43" t="s">
        <v>877</v>
      </c>
      <c r="O276" s="43" t="s">
        <v>331</v>
      </c>
      <c r="P276" s="47">
        <v>2533</v>
      </c>
      <c r="Q276" s="48">
        <v>2</v>
      </c>
      <c r="R276" s="48">
        <v>0</v>
      </c>
      <c r="S276" s="48">
        <v>12160</v>
      </c>
      <c r="T276" s="48">
        <v>29</v>
      </c>
      <c r="U276" s="48">
        <v>0</v>
      </c>
      <c r="V276" s="46">
        <v>0</v>
      </c>
    </row>
    <row r="277" spans="1:22" x14ac:dyDescent="0.25">
      <c r="A277" s="27" t="s">
        <v>248</v>
      </c>
      <c r="B277" s="27" t="s">
        <v>877</v>
      </c>
      <c r="C277" s="27" t="s">
        <v>332</v>
      </c>
      <c r="D277" s="32">
        <f>8647+3+5+9</f>
        <v>8664</v>
      </c>
      <c r="E277" s="32">
        <v>6</v>
      </c>
      <c r="F277" s="32">
        <v>0</v>
      </c>
      <c r="G277" s="32">
        <f>17113+2+287+3+236+5+37+10</f>
        <v>17693</v>
      </c>
      <c r="H277" s="32">
        <v>104</v>
      </c>
      <c r="I277" s="32">
        <v>0</v>
      </c>
      <c r="J277" s="32">
        <v>0</v>
      </c>
      <c r="K277" s="32"/>
      <c r="M277" s="42" t="s">
        <v>248</v>
      </c>
      <c r="N277" s="43" t="s">
        <v>877</v>
      </c>
      <c r="O277" s="43" t="s">
        <v>332</v>
      </c>
      <c r="P277" s="44">
        <v>8664</v>
      </c>
      <c r="Q277" s="45">
        <v>6</v>
      </c>
      <c r="R277" s="45">
        <v>0</v>
      </c>
      <c r="S277" s="45">
        <v>17693</v>
      </c>
      <c r="T277" s="45">
        <v>104</v>
      </c>
      <c r="U277" s="45">
        <v>0</v>
      </c>
      <c r="V277" s="46">
        <v>0</v>
      </c>
    </row>
    <row r="278" spans="1:22" x14ac:dyDescent="0.25">
      <c r="A278" s="27" t="s">
        <v>862</v>
      </c>
      <c r="B278" s="27" t="s">
        <v>877</v>
      </c>
      <c r="C278" s="27" t="s">
        <v>333</v>
      </c>
      <c r="D278" s="32"/>
      <c r="E278" s="32"/>
      <c r="F278" s="32"/>
      <c r="G278" s="32"/>
      <c r="H278" s="32"/>
      <c r="I278" s="32"/>
      <c r="J278" s="32"/>
      <c r="K278" s="32"/>
      <c r="M278" s="42" t="s">
        <v>862</v>
      </c>
      <c r="N278" s="43" t="s">
        <v>877</v>
      </c>
      <c r="O278" s="43" t="s">
        <v>333</v>
      </c>
      <c r="P278" s="44"/>
      <c r="Q278" s="44"/>
      <c r="R278" s="44"/>
      <c r="S278" s="44"/>
      <c r="T278" s="44"/>
      <c r="U278" s="44"/>
      <c r="V278" s="44"/>
    </row>
    <row r="279" spans="1:22" x14ac:dyDescent="0.25">
      <c r="A279" s="27" t="s">
        <v>857</v>
      </c>
      <c r="B279" s="27" t="s">
        <v>877</v>
      </c>
      <c r="C279" s="27" t="s">
        <v>334</v>
      </c>
      <c r="D279" s="32"/>
      <c r="E279" s="32"/>
      <c r="F279" s="32"/>
      <c r="G279" s="32"/>
      <c r="H279" s="32"/>
      <c r="I279" s="32"/>
      <c r="J279" s="32"/>
      <c r="K279" s="32"/>
      <c r="M279" s="42" t="s">
        <v>857</v>
      </c>
      <c r="N279" s="43" t="s">
        <v>877</v>
      </c>
      <c r="O279" s="43" t="s">
        <v>334</v>
      </c>
      <c r="P279" s="44"/>
      <c r="Q279" s="45"/>
      <c r="R279" s="45"/>
      <c r="S279" s="45"/>
      <c r="T279" s="45"/>
      <c r="U279" s="45"/>
      <c r="V279" s="46"/>
    </row>
    <row r="280" spans="1:22" x14ac:dyDescent="0.25">
      <c r="A280" s="27" t="s">
        <v>265</v>
      </c>
      <c r="B280" s="27" t="s">
        <v>877</v>
      </c>
      <c r="C280" s="27" t="s">
        <v>335</v>
      </c>
      <c r="D280" s="32">
        <f>6939+2+2</f>
        <v>6943</v>
      </c>
      <c r="E280" s="32">
        <v>0</v>
      </c>
      <c r="F280" s="32">
        <v>0</v>
      </c>
      <c r="G280" s="32">
        <f>24424+1+1+10+13+2+136</f>
        <v>24587</v>
      </c>
      <c r="H280" s="32">
        <f>39+13</f>
        <v>52</v>
      </c>
      <c r="I280" s="32">
        <v>0</v>
      </c>
      <c r="J280" s="32">
        <v>0</v>
      </c>
      <c r="K280" s="32"/>
      <c r="M280" s="42" t="s">
        <v>265</v>
      </c>
      <c r="N280" s="43" t="s">
        <v>877</v>
      </c>
      <c r="O280" s="43" t="s">
        <v>335</v>
      </c>
      <c r="P280" s="44">
        <v>6943</v>
      </c>
      <c r="Q280" s="45">
        <v>0</v>
      </c>
      <c r="R280" s="45">
        <v>0</v>
      </c>
      <c r="S280" s="45">
        <v>24587</v>
      </c>
      <c r="T280" s="45">
        <v>52</v>
      </c>
      <c r="U280" s="45">
        <v>0</v>
      </c>
      <c r="V280" s="46">
        <v>0</v>
      </c>
    </row>
    <row r="281" spans="1:22" x14ac:dyDescent="0.25">
      <c r="A281" s="27" t="s">
        <v>855</v>
      </c>
      <c r="B281" s="27" t="s">
        <v>877</v>
      </c>
      <c r="C281" s="27" t="s">
        <v>336</v>
      </c>
      <c r="D281" s="32"/>
      <c r="E281" s="32"/>
      <c r="F281" s="32"/>
      <c r="G281" s="32"/>
      <c r="H281" s="32"/>
      <c r="I281" s="32"/>
      <c r="J281" s="32"/>
      <c r="K281" s="32"/>
      <c r="M281" s="42" t="s">
        <v>855</v>
      </c>
      <c r="N281" s="43" t="s">
        <v>877</v>
      </c>
      <c r="O281" s="43" t="s">
        <v>336</v>
      </c>
      <c r="P281" s="44"/>
      <c r="Q281" s="45"/>
      <c r="R281" s="45"/>
      <c r="S281" s="45"/>
      <c r="T281" s="45"/>
      <c r="U281" s="45"/>
      <c r="V281" s="46"/>
    </row>
    <row r="282" spans="1:22" x14ac:dyDescent="0.25">
      <c r="A282" s="27" t="s">
        <v>868</v>
      </c>
      <c r="B282" s="27" t="s">
        <v>877</v>
      </c>
      <c r="C282" s="27" t="s">
        <v>337</v>
      </c>
      <c r="D282" s="32"/>
      <c r="E282" s="32"/>
      <c r="F282" s="32"/>
      <c r="G282" s="32"/>
      <c r="H282" s="32"/>
      <c r="I282" s="32"/>
      <c r="J282" s="32"/>
      <c r="K282" s="32"/>
      <c r="M282" s="42" t="s">
        <v>868</v>
      </c>
      <c r="N282" s="43" t="s">
        <v>877</v>
      </c>
      <c r="O282" s="43" t="s">
        <v>337</v>
      </c>
      <c r="P282" s="44"/>
      <c r="Q282" s="45"/>
      <c r="R282" s="45"/>
      <c r="S282" s="45"/>
      <c r="T282" s="45"/>
      <c r="U282" s="45"/>
      <c r="V282" s="46"/>
    </row>
    <row r="283" spans="1:22" x14ac:dyDescent="0.25">
      <c r="A283" s="27" t="s">
        <v>852</v>
      </c>
      <c r="B283" s="27" t="s">
        <v>877</v>
      </c>
      <c r="C283" s="27" t="s">
        <v>338</v>
      </c>
      <c r="D283" s="32"/>
      <c r="E283" s="32"/>
      <c r="F283" s="32"/>
      <c r="G283" s="32"/>
      <c r="H283" s="32"/>
      <c r="I283" s="32"/>
      <c r="J283" s="32"/>
      <c r="K283" s="32"/>
      <c r="M283" s="42" t="s">
        <v>852</v>
      </c>
      <c r="N283" s="43" t="s">
        <v>877</v>
      </c>
      <c r="O283" s="43" t="s">
        <v>338</v>
      </c>
      <c r="P283" s="44"/>
      <c r="Q283" s="45"/>
      <c r="R283" s="45"/>
      <c r="S283" s="45"/>
      <c r="T283" s="45"/>
      <c r="U283" s="45"/>
      <c r="V283" s="46"/>
    </row>
    <row r="284" spans="1:22" x14ac:dyDescent="0.25">
      <c r="A284" s="27" t="s">
        <v>860</v>
      </c>
      <c r="B284" s="27" t="s">
        <v>877</v>
      </c>
      <c r="C284" s="27" t="s">
        <v>339</v>
      </c>
      <c r="D284" s="32"/>
      <c r="E284" s="32"/>
      <c r="F284" s="32"/>
      <c r="G284" s="32"/>
      <c r="H284" s="32"/>
      <c r="I284" s="32"/>
      <c r="J284" s="32"/>
      <c r="K284" s="32"/>
      <c r="M284" s="42" t="s">
        <v>860</v>
      </c>
      <c r="N284" s="43" t="s">
        <v>877</v>
      </c>
      <c r="O284" s="43" t="s">
        <v>339</v>
      </c>
      <c r="P284" s="44"/>
      <c r="Q284" s="45"/>
      <c r="R284" s="45"/>
      <c r="S284" s="45"/>
      <c r="T284" s="45"/>
      <c r="U284" s="45"/>
      <c r="V284" s="46"/>
    </row>
    <row r="285" spans="1:22" x14ac:dyDescent="0.25">
      <c r="A285" s="27" t="s">
        <v>861</v>
      </c>
      <c r="B285" s="27" t="s">
        <v>877</v>
      </c>
      <c r="C285" s="27" t="s">
        <v>340</v>
      </c>
      <c r="D285" s="32"/>
      <c r="E285" s="32"/>
      <c r="F285" s="32"/>
      <c r="G285" s="32"/>
      <c r="H285" s="32"/>
      <c r="I285" s="32"/>
      <c r="J285" s="32"/>
      <c r="K285" s="32"/>
      <c r="M285" s="42" t="s">
        <v>861</v>
      </c>
      <c r="N285" s="43" t="s">
        <v>877</v>
      </c>
      <c r="O285" s="43" t="s">
        <v>340</v>
      </c>
      <c r="P285" s="44"/>
      <c r="Q285" s="45"/>
      <c r="R285" s="45"/>
      <c r="S285" s="45"/>
      <c r="T285" s="45"/>
      <c r="U285" s="45"/>
      <c r="V285" s="46"/>
    </row>
    <row r="286" spans="1:22" x14ac:dyDescent="0.25">
      <c r="A286" s="27" t="s">
        <v>834</v>
      </c>
      <c r="B286" s="27" t="s">
        <v>877</v>
      </c>
      <c r="C286" s="27" t="s">
        <v>341</v>
      </c>
      <c r="D286" s="32"/>
      <c r="E286" s="32"/>
      <c r="F286" s="32"/>
      <c r="G286" s="32"/>
      <c r="H286" s="32"/>
      <c r="I286" s="32"/>
      <c r="J286" s="32"/>
      <c r="K286" s="32"/>
      <c r="M286" s="42" t="s">
        <v>834</v>
      </c>
      <c r="N286" s="43" t="s">
        <v>877</v>
      </c>
      <c r="O286" s="43" t="s">
        <v>341</v>
      </c>
      <c r="P286" s="44"/>
      <c r="Q286" s="45"/>
      <c r="R286" s="45"/>
      <c r="S286" s="45"/>
      <c r="T286" s="45"/>
      <c r="U286" s="45"/>
      <c r="V286" s="46"/>
    </row>
    <row r="287" spans="1:22" x14ac:dyDescent="0.25">
      <c r="A287" s="27" t="s">
        <v>850</v>
      </c>
      <c r="B287" s="27" t="s">
        <v>877</v>
      </c>
      <c r="C287" s="27" t="s">
        <v>342</v>
      </c>
      <c r="D287" s="32"/>
      <c r="E287" s="32"/>
      <c r="F287" s="32"/>
      <c r="G287" s="32"/>
      <c r="H287" s="32"/>
      <c r="I287" s="32"/>
      <c r="J287" s="32"/>
      <c r="K287" s="32"/>
      <c r="M287" s="42" t="s">
        <v>850</v>
      </c>
      <c r="N287" s="43" t="s">
        <v>877</v>
      </c>
      <c r="O287" s="43" t="s">
        <v>342</v>
      </c>
      <c r="P287" s="44"/>
      <c r="Q287" s="45"/>
      <c r="R287" s="45"/>
      <c r="S287" s="45"/>
      <c r="T287" s="45"/>
      <c r="U287" s="45"/>
      <c r="V287" s="46"/>
    </row>
    <row r="288" spans="1:22" x14ac:dyDescent="0.25">
      <c r="A288" s="27" t="s">
        <v>801</v>
      </c>
      <c r="B288" s="27" t="s">
        <v>877</v>
      </c>
      <c r="C288" s="27" t="s">
        <v>343</v>
      </c>
      <c r="D288" s="32"/>
      <c r="E288" s="32"/>
      <c r="F288" s="32"/>
      <c r="G288" s="32"/>
      <c r="H288" s="32"/>
      <c r="I288" s="32"/>
      <c r="J288" s="32"/>
      <c r="K288" s="32"/>
      <c r="M288" s="42" t="s">
        <v>801</v>
      </c>
      <c r="N288" s="43" t="s">
        <v>877</v>
      </c>
      <c r="O288" s="43" t="s">
        <v>343</v>
      </c>
      <c r="P288" s="44"/>
      <c r="Q288" s="45"/>
      <c r="R288" s="45"/>
      <c r="S288" s="45"/>
      <c r="T288" s="45"/>
      <c r="U288" s="45"/>
      <c r="V288" s="46"/>
    </row>
    <row r="289" spans="1:22" x14ac:dyDescent="0.25">
      <c r="A289" s="27" t="s">
        <v>138</v>
      </c>
      <c r="B289" s="27" t="s">
        <v>877</v>
      </c>
      <c r="C289" s="27" t="s">
        <v>344</v>
      </c>
      <c r="D289" s="32"/>
      <c r="E289" s="32"/>
      <c r="F289" s="32"/>
      <c r="G289" s="32"/>
      <c r="H289" s="32"/>
      <c r="I289" s="32"/>
      <c r="J289" s="32"/>
      <c r="K289" s="32"/>
      <c r="M289" s="42" t="s">
        <v>138</v>
      </c>
      <c r="N289" s="43" t="s">
        <v>877</v>
      </c>
      <c r="O289" s="43" t="s">
        <v>344</v>
      </c>
      <c r="P289" s="44"/>
      <c r="Q289" s="45"/>
      <c r="R289" s="45"/>
      <c r="S289" s="45"/>
      <c r="T289" s="45"/>
      <c r="U289" s="45"/>
      <c r="V289" s="46"/>
    </row>
    <row r="290" spans="1:22" x14ac:dyDescent="0.25">
      <c r="A290" s="27" t="s">
        <v>868</v>
      </c>
      <c r="B290" s="27" t="s">
        <v>877</v>
      </c>
      <c r="C290" s="27" t="s">
        <v>345</v>
      </c>
      <c r="D290" s="32"/>
      <c r="E290" s="32"/>
      <c r="F290" s="32"/>
      <c r="G290" s="32"/>
      <c r="H290" s="32"/>
      <c r="I290" s="32"/>
      <c r="J290" s="32"/>
      <c r="K290" s="32"/>
      <c r="M290" s="42" t="s">
        <v>868</v>
      </c>
      <c r="N290" s="43" t="s">
        <v>877</v>
      </c>
      <c r="O290" s="43" t="s">
        <v>345</v>
      </c>
      <c r="P290" s="44"/>
      <c r="Q290" s="45"/>
      <c r="R290" s="45"/>
      <c r="S290" s="45"/>
      <c r="T290" s="45"/>
      <c r="U290" s="45"/>
      <c r="V290" s="46"/>
    </row>
    <row r="291" spans="1:22" x14ac:dyDescent="0.25">
      <c r="A291" s="27" t="s">
        <v>69</v>
      </c>
      <c r="B291" s="27" t="s">
        <v>877</v>
      </c>
      <c r="C291" s="27" t="s">
        <v>346</v>
      </c>
      <c r="D291" s="32">
        <f>7743+2+59+1+7</f>
        <v>7812</v>
      </c>
      <c r="E291" s="32">
        <f>4+1+4</f>
        <v>9</v>
      </c>
      <c r="F291" s="32">
        <v>0</v>
      </c>
      <c r="G291" s="32">
        <f>61343+2+4+2+2+29+63+4+6+193</f>
        <v>61648</v>
      </c>
      <c r="H291" s="32">
        <f>1041+55+17</f>
        <v>1113</v>
      </c>
      <c r="I291" s="32">
        <v>0</v>
      </c>
      <c r="J291" s="32">
        <v>0</v>
      </c>
      <c r="K291" s="32"/>
      <c r="M291" s="42" t="s">
        <v>69</v>
      </c>
      <c r="N291" s="43" t="s">
        <v>877</v>
      </c>
      <c r="O291" s="43" t="s">
        <v>346</v>
      </c>
      <c r="P291" s="44">
        <v>7812</v>
      </c>
      <c r="Q291" s="45">
        <v>9</v>
      </c>
      <c r="R291" s="45">
        <v>0</v>
      </c>
      <c r="S291" s="45">
        <v>61648</v>
      </c>
      <c r="T291" s="45">
        <v>1113</v>
      </c>
      <c r="U291" s="45">
        <v>0</v>
      </c>
      <c r="V291" s="46">
        <v>0</v>
      </c>
    </row>
    <row r="292" spans="1:22" x14ac:dyDescent="0.25">
      <c r="A292" s="27" t="s">
        <v>83</v>
      </c>
      <c r="B292" s="27" t="s">
        <v>877</v>
      </c>
      <c r="C292" s="27" t="s">
        <v>347</v>
      </c>
      <c r="D292" s="32">
        <v>32</v>
      </c>
      <c r="E292" s="32">
        <v>0</v>
      </c>
      <c r="F292" s="32">
        <v>0</v>
      </c>
      <c r="G292" s="32">
        <v>17</v>
      </c>
      <c r="H292" s="32">
        <v>0</v>
      </c>
      <c r="I292" s="32">
        <v>0</v>
      </c>
      <c r="J292" s="32">
        <v>0</v>
      </c>
      <c r="K292" s="32"/>
      <c r="M292" s="42" t="s">
        <v>83</v>
      </c>
      <c r="N292" s="43" t="s">
        <v>877</v>
      </c>
      <c r="O292" s="43" t="s">
        <v>347</v>
      </c>
      <c r="P292" s="44">
        <v>32</v>
      </c>
      <c r="Q292" s="45">
        <v>0</v>
      </c>
      <c r="R292" s="45">
        <v>0</v>
      </c>
      <c r="S292" s="45">
        <v>17</v>
      </c>
      <c r="T292" s="45">
        <v>0</v>
      </c>
      <c r="U292" s="45">
        <v>0</v>
      </c>
      <c r="V292" s="46">
        <v>0</v>
      </c>
    </row>
    <row r="293" spans="1:22" x14ac:dyDescent="0.25">
      <c r="A293" s="27" t="s">
        <v>101</v>
      </c>
      <c r="B293" s="27" t="s">
        <v>877</v>
      </c>
      <c r="C293" s="27" t="s">
        <v>348</v>
      </c>
      <c r="D293" s="32">
        <v>5026</v>
      </c>
      <c r="E293" s="32">
        <v>51</v>
      </c>
      <c r="F293" s="32">
        <v>0</v>
      </c>
      <c r="G293" s="32">
        <f>21577+1+58+9+81</f>
        <v>21726</v>
      </c>
      <c r="H293" s="32">
        <f>30+1</f>
        <v>31</v>
      </c>
      <c r="I293" s="32">
        <v>0</v>
      </c>
      <c r="J293" s="32">
        <v>0</v>
      </c>
      <c r="K293" s="32"/>
      <c r="M293" s="42" t="s">
        <v>101</v>
      </c>
      <c r="N293" s="43" t="s">
        <v>877</v>
      </c>
      <c r="O293" s="43" t="s">
        <v>348</v>
      </c>
      <c r="P293" s="44">
        <v>5026</v>
      </c>
      <c r="Q293" s="45">
        <v>51</v>
      </c>
      <c r="R293" s="45">
        <v>0</v>
      </c>
      <c r="S293" s="45">
        <v>21726</v>
      </c>
      <c r="T293" s="45">
        <v>31</v>
      </c>
      <c r="U293" s="45">
        <v>0</v>
      </c>
      <c r="V293" s="46">
        <v>0</v>
      </c>
    </row>
    <row r="294" spans="1:22" x14ac:dyDescent="0.25">
      <c r="A294" s="27" t="s">
        <v>797</v>
      </c>
      <c r="B294" s="27" t="s">
        <v>877</v>
      </c>
      <c r="C294" s="27" t="s">
        <v>349</v>
      </c>
      <c r="D294" s="32">
        <v>906</v>
      </c>
      <c r="E294" s="32">
        <v>0</v>
      </c>
      <c r="F294" s="32">
        <v>0</v>
      </c>
      <c r="G294" s="32">
        <v>9301</v>
      </c>
      <c r="H294" s="32">
        <v>16</v>
      </c>
      <c r="I294" s="32">
        <v>0</v>
      </c>
      <c r="J294" s="32">
        <v>0</v>
      </c>
      <c r="K294" s="32"/>
      <c r="M294" s="42" t="s">
        <v>797</v>
      </c>
      <c r="N294" s="43" t="s">
        <v>877</v>
      </c>
      <c r="O294" s="43" t="s">
        <v>349</v>
      </c>
      <c r="P294" s="44">
        <v>906</v>
      </c>
      <c r="Q294" s="45">
        <v>0</v>
      </c>
      <c r="R294" s="45">
        <v>0</v>
      </c>
      <c r="S294" s="45">
        <v>9301</v>
      </c>
      <c r="T294" s="45">
        <v>16</v>
      </c>
      <c r="U294" s="45">
        <v>0</v>
      </c>
      <c r="V294" s="46">
        <v>0</v>
      </c>
    </row>
    <row r="295" spans="1:22" x14ac:dyDescent="0.25">
      <c r="A295" s="27" t="s">
        <v>811</v>
      </c>
      <c r="B295" s="27" t="s">
        <v>877</v>
      </c>
      <c r="C295" s="27" t="s">
        <v>350</v>
      </c>
      <c r="D295" s="32">
        <f>8409+18</f>
        <v>8427</v>
      </c>
      <c r="E295" s="32">
        <v>199</v>
      </c>
      <c r="F295" s="32">
        <v>0</v>
      </c>
      <c r="G295" s="32">
        <f>35478+2+1+1+58+30</f>
        <v>35570</v>
      </c>
      <c r="H295" s="32">
        <f>141+1+1</f>
        <v>143</v>
      </c>
      <c r="I295" s="32">
        <v>0</v>
      </c>
      <c r="J295" s="32">
        <v>0</v>
      </c>
      <c r="K295" s="32"/>
      <c r="M295" s="42" t="s">
        <v>811</v>
      </c>
      <c r="N295" s="43" t="s">
        <v>877</v>
      </c>
      <c r="O295" s="43" t="s">
        <v>350</v>
      </c>
      <c r="P295" s="44">
        <v>8427</v>
      </c>
      <c r="Q295" s="45">
        <v>199</v>
      </c>
      <c r="R295" s="45">
        <v>0</v>
      </c>
      <c r="S295" s="45">
        <v>35570</v>
      </c>
      <c r="T295" s="45">
        <v>143</v>
      </c>
      <c r="U295" s="45">
        <v>0</v>
      </c>
      <c r="V295" s="46">
        <v>0</v>
      </c>
    </row>
    <row r="296" spans="1:22" x14ac:dyDescent="0.25">
      <c r="A296" s="27" t="s">
        <v>837</v>
      </c>
      <c r="B296" s="27" t="s">
        <v>877</v>
      </c>
      <c r="C296" s="27" t="s">
        <v>351</v>
      </c>
      <c r="D296" s="32"/>
      <c r="E296" s="32"/>
      <c r="F296" s="32"/>
      <c r="G296" s="32"/>
      <c r="H296" s="32"/>
      <c r="I296" s="32"/>
      <c r="J296" s="32"/>
      <c r="K296" s="32"/>
      <c r="M296" s="42" t="s">
        <v>837</v>
      </c>
      <c r="N296" s="43" t="s">
        <v>877</v>
      </c>
      <c r="O296" s="43" t="s">
        <v>351</v>
      </c>
      <c r="P296" s="44"/>
      <c r="Q296" s="45"/>
      <c r="R296" s="45"/>
      <c r="S296" s="45"/>
      <c r="T296" s="45"/>
      <c r="U296" s="45"/>
      <c r="V296" s="46"/>
    </row>
    <row r="297" spans="1:22" x14ac:dyDescent="0.25">
      <c r="A297" s="27" t="s">
        <v>824</v>
      </c>
      <c r="B297" s="27" t="s">
        <v>877</v>
      </c>
      <c r="C297" s="27" t="s">
        <v>352</v>
      </c>
      <c r="D297" s="32">
        <f>2457+65+6</f>
        <v>2528</v>
      </c>
      <c r="E297" s="32">
        <v>0</v>
      </c>
      <c r="F297" s="32">
        <v>0</v>
      </c>
      <c r="G297" s="32">
        <f>11608+357+107</f>
        <v>12072</v>
      </c>
      <c r="H297" s="32">
        <f>4+6</f>
        <v>10</v>
      </c>
      <c r="I297" s="32">
        <v>0</v>
      </c>
      <c r="J297" s="32">
        <v>0</v>
      </c>
      <c r="K297" s="32"/>
      <c r="M297" s="42" t="s">
        <v>824</v>
      </c>
      <c r="N297" s="43" t="s">
        <v>877</v>
      </c>
      <c r="O297" s="43" t="s">
        <v>352</v>
      </c>
      <c r="P297" s="44">
        <v>2528</v>
      </c>
      <c r="Q297" s="45">
        <v>0</v>
      </c>
      <c r="R297" s="45">
        <v>0</v>
      </c>
      <c r="S297" s="45">
        <v>12072</v>
      </c>
      <c r="T297" s="45">
        <v>10</v>
      </c>
      <c r="U297" s="45">
        <v>0</v>
      </c>
      <c r="V297" s="46">
        <v>0</v>
      </c>
    </row>
    <row r="298" spans="1:22" x14ac:dyDescent="0.25">
      <c r="A298" s="27" t="s">
        <v>829</v>
      </c>
      <c r="B298" s="27" t="s">
        <v>877</v>
      </c>
      <c r="C298" s="27" t="s">
        <v>353</v>
      </c>
      <c r="D298" s="32"/>
      <c r="E298" s="32"/>
      <c r="F298" s="32"/>
      <c r="G298" s="32"/>
      <c r="H298" s="32"/>
      <c r="I298" s="32"/>
      <c r="J298" s="32"/>
      <c r="K298" s="32"/>
      <c r="M298" s="42" t="s">
        <v>829</v>
      </c>
      <c r="N298" s="43" t="s">
        <v>877</v>
      </c>
      <c r="O298" s="43" t="s">
        <v>353</v>
      </c>
      <c r="P298" s="44"/>
      <c r="Q298" s="45"/>
      <c r="R298" s="45"/>
      <c r="S298" s="45"/>
      <c r="T298" s="45"/>
      <c r="U298" s="45"/>
      <c r="V298" s="46"/>
    </row>
    <row r="299" spans="1:22" x14ac:dyDescent="0.25">
      <c r="A299" s="27" t="s">
        <v>832</v>
      </c>
      <c r="B299" s="27" t="s">
        <v>877</v>
      </c>
      <c r="C299" s="27" t="s">
        <v>354</v>
      </c>
      <c r="D299" s="32"/>
      <c r="E299" s="32"/>
      <c r="F299" s="32"/>
      <c r="G299" s="32"/>
      <c r="H299" s="32"/>
      <c r="I299" s="32"/>
      <c r="J299" s="32"/>
      <c r="K299" s="32"/>
      <c r="M299" s="42" t="s">
        <v>832</v>
      </c>
      <c r="N299" s="43" t="s">
        <v>877</v>
      </c>
      <c r="O299" s="43" t="s">
        <v>354</v>
      </c>
      <c r="P299" s="44"/>
      <c r="Q299" s="45"/>
      <c r="R299" s="45"/>
      <c r="S299" s="45"/>
      <c r="T299" s="45"/>
      <c r="U299" s="45"/>
      <c r="V299" s="46"/>
    </row>
    <row r="300" spans="1:22" x14ac:dyDescent="0.25">
      <c r="A300" s="27" t="s">
        <v>833</v>
      </c>
      <c r="B300" s="27" t="s">
        <v>877</v>
      </c>
      <c r="C300" s="27" t="s">
        <v>355</v>
      </c>
      <c r="D300" s="32"/>
      <c r="E300" s="32"/>
      <c r="F300" s="32"/>
      <c r="G300" s="32"/>
      <c r="H300" s="32"/>
      <c r="I300" s="32"/>
      <c r="J300" s="32"/>
      <c r="K300" s="32"/>
      <c r="M300" s="42" t="s">
        <v>833</v>
      </c>
      <c r="N300" s="43" t="s">
        <v>877</v>
      </c>
      <c r="O300" s="43" t="s">
        <v>355</v>
      </c>
      <c r="P300" s="44"/>
      <c r="Q300" s="45"/>
      <c r="R300" s="45"/>
      <c r="S300" s="45"/>
      <c r="T300" s="45"/>
      <c r="U300" s="45"/>
      <c r="V300" s="46"/>
    </row>
    <row r="301" spans="1:22" x14ac:dyDescent="0.25">
      <c r="A301" s="27" t="s">
        <v>840</v>
      </c>
      <c r="B301" s="27" t="s">
        <v>877</v>
      </c>
      <c r="C301" s="27" t="s">
        <v>356</v>
      </c>
      <c r="D301" s="32"/>
      <c r="E301" s="32"/>
      <c r="F301" s="32"/>
      <c r="G301" s="32"/>
      <c r="H301" s="32"/>
      <c r="I301" s="32"/>
      <c r="J301" s="32"/>
      <c r="K301" s="32"/>
      <c r="M301" s="42" t="s">
        <v>840</v>
      </c>
      <c r="N301" s="43" t="s">
        <v>877</v>
      </c>
      <c r="O301" s="43" t="s">
        <v>356</v>
      </c>
      <c r="P301" s="44"/>
      <c r="Q301" s="45"/>
      <c r="R301" s="45"/>
      <c r="S301" s="45"/>
      <c r="T301" s="45"/>
      <c r="U301" s="45"/>
      <c r="V301" s="46"/>
    </row>
    <row r="302" spans="1:22" x14ac:dyDescent="0.25">
      <c r="A302" s="27" t="s">
        <v>843</v>
      </c>
      <c r="B302" s="27" t="s">
        <v>877</v>
      </c>
      <c r="C302" s="27" t="s">
        <v>357</v>
      </c>
      <c r="D302" s="32"/>
      <c r="E302" s="32"/>
      <c r="F302" s="32"/>
      <c r="G302" s="32"/>
      <c r="H302" s="32"/>
      <c r="I302" s="32"/>
      <c r="J302" s="32"/>
      <c r="K302" s="32"/>
      <c r="M302" s="42" t="s">
        <v>843</v>
      </c>
      <c r="N302" s="43" t="s">
        <v>877</v>
      </c>
      <c r="O302" s="43" t="s">
        <v>357</v>
      </c>
      <c r="P302" s="44"/>
      <c r="Q302" s="45"/>
      <c r="R302" s="45"/>
      <c r="S302" s="45"/>
      <c r="T302" s="45"/>
      <c r="U302" s="45"/>
      <c r="V302" s="46"/>
    </row>
    <row r="303" spans="1:22" x14ac:dyDescent="0.25">
      <c r="A303" s="27" t="s">
        <v>791</v>
      </c>
      <c r="B303" s="27" t="s">
        <v>877</v>
      </c>
      <c r="C303" s="27" t="s">
        <v>358</v>
      </c>
      <c r="D303" s="32">
        <f>16649+3+141+125+1+1+43+4+14+3+63+478</f>
        <v>17525</v>
      </c>
      <c r="E303" s="32">
        <f>13+5</f>
        <v>18</v>
      </c>
      <c r="F303" s="32">
        <v>0</v>
      </c>
      <c r="G303" s="32">
        <f>37651+2+4+174+26+2+156+79+19+3+2+1+16+1398</f>
        <v>39533</v>
      </c>
      <c r="H303" s="32">
        <f>59+50+9</f>
        <v>118</v>
      </c>
      <c r="I303" s="32">
        <v>0</v>
      </c>
      <c r="J303" s="32">
        <v>0</v>
      </c>
      <c r="K303" s="32"/>
      <c r="M303" s="42" t="s">
        <v>791</v>
      </c>
      <c r="N303" s="43" t="s">
        <v>877</v>
      </c>
      <c r="O303" s="43" t="s">
        <v>358</v>
      </c>
      <c r="P303" s="44">
        <v>17525</v>
      </c>
      <c r="Q303" s="45">
        <v>18</v>
      </c>
      <c r="R303" s="45">
        <v>0</v>
      </c>
      <c r="S303" s="45">
        <v>39533</v>
      </c>
      <c r="T303" s="45">
        <v>118</v>
      </c>
      <c r="U303" s="45">
        <v>0</v>
      </c>
      <c r="V303" s="46">
        <v>0</v>
      </c>
    </row>
    <row r="304" spans="1:22" x14ac:dyDescent="0.25">
      <c r="A304" s="27" t="s">
        <v>842</v>
      </c>
      <c r="B304" s="27" t="s">
        <v>877</v>
      </c>
      <c r="C304" s="27" t="s">
        <v>359</v>
      </c>
      <c r="D304" s="32"/>
      <c r="E304" s="32"/>
      <c r="F304" s="32"/>
      <c r="G304" s="32"/>
      <c r="H304" s="32"/>
      <c r="I304" s="32"/>
      <c r="J304" s="32"/>
      <c r="K304" s="32"/>
      <c r="M304" s="42" t="s">
        <v>842</v>
      </c>
      <c r="N304" s="43" t="s">
        <v>877</v>
      </c>
      <c r="O304" s="43" t="s">
        <v>359</v>
      </c>
      <c r="P304" s="44"/>
      <c r="Q304" s="45"/>
      <c r="R304" s="45"/>
      <c r="S304" s="45"/>
      <c r="T304" s="45"/>
      <c r="U304" s="45"/>
      <c r="V304" s="46"/>
    </row>
    <row r="305" spans="1:22" x14ac:dyDescent="0.25">
      <c r="A305" s="27" t="s">
        <v>835</v>
      </c>
      <c r="B305" s="27" t="s">
        <v>877</v>
      </c>
      <c r="C305" s="27" t="s">
        <v>360</v>
      </c>
      <c r="D305" s="32"/>
      <c r="E305" s="32"/>
      <c r="F305" s="32"/>
      <c r="G305" s="32"/>
      <c r="H305" s="32"/>
      <c r="I305" s="32"/>
      <c r="J305" s="32"/>
      <c r="K305" s="32"/>
      <c r="M305" s="42" t="s">
        <v>835</v>
      </c>
      <c r="N305" s="43" t="s">
        <v>877</v>
      </c>
      <c r="O305" s="43" t="s">
        <v>360</v>
      </c>
      <c r="P305" s="44"/>
      <c r="Q305" s="45"/>
      <c r="R305" s="45"/>
      <c r="S305" s="45"/>
      <c r="T305" s="45"/>
      <c r="U305" s="45"/>
      <c r="V305" s="46"/>
    </row>
    <row r="306" spans="1:22" x14ac:dyDescent="0.25">
      <c r="A306" s="27" t="s">
        <v>826</v>
      </c>
      <c r="B306" s="27" t="s">
        <v>877</v>
      </c>
      <c r="C306" s="27" t="s">
        <v>361</v>
      </c>
      <c r="D306" s="32"/>
      <c r="E306" s="32"/>
      <c r="F306" s="32"/>
      <c r="G306" s="32"/>
      <c r="H306" s="32"/>
      <c r="I306" s="32"/>
      <c r="J306" s="32"/>
      <c r="K306" s="32"/>
      <c r="M306" s="42" t="s">
        <v>826</v>
      </c>
      <c r="N306" s="43" t="s">
        <v>877</v>
      </c>
      <c r="O306" s="43" t="s">
        <v>361</v>
      </c>
      <c r="P306" s="44"/>
      <c r="Q306" s="45"/>
      <c r="R306" s="45"/>
      <c r="S306" s="45"/>
      <c r="T306" s="45"/>
      <c r="U306" s="45"/>
      <c r="V306" s="46"/>
    </row>
    <row r="307" spans="1:22" x14ac:dyDescent="0.25">
      <c r="A307" s="27" t="s">
        <v>67</v>
      </c>
      <c r="B307" s="27" t="s">
        <v>877</v>
      </c>
      <c r="C307" s="27" t="s">
        <v>362</v>
      </c>
      <c r="D307" s="32">
        <f>11927+2+2+4</f>
        <v>11935</v>
      </c>
      <c r="E307" s="32">
        <v>3</v>
      </c>
      <c r="F307" s="32">
        <v>0</v>
      </c>
      <c r="G307" s="32">
        <f>48575+4+1+37+30+2+3+2+161</f>
        <v>48815</v>
      </c>
      <c r="H307" s="32">
        <f>15+4+8</f>
        <v>27</v>
      </c>
      <c r="I307" s="32">
        <v>0</v>
      </c>
      <c r="J307" s="32">
        <v>0</v>
      </c>
      <c r="K307" s="32"/>
      <c r="M307" s="42" t="s">
        <v>67</v>
      </c>
      <c r="N307" s="43" t="s">
        <v>877</v>
      </c>
      <c r="O307" s="43" t="s">
        <v>362</v>
      </c>
      <c r="P307" s="44">
        <v>11935</v>
      </c>
      <c r="Q307" s="45">
        <v>3</v>
      </c>
      <c r="R307" s="45">
        <v>0</v>
      </c>
      <c r="S307" s="45">
        <v>48815</v>
      </c>
      <c r="T307" s="45">
        <v>27</v>
      </c>
      <c r="U307" s="45">
        <v>0</v>
      </c>
      <c r="V307" s="46">
        <v>0</v>
      </c>
    </row>
    <row r="308" spans="1:22" x14ac:dyDescent="0.25">
      <c r="A308" s="27" t="s">
        <v>831</v>
      </c>
      <c r="B308" s="27" t="s">
        <v>877</v>
      </c>
      <c r="C308" s="27" t="s">
        <v>363</v>
      </c>
      <c r="D308" s="32"/>
      <c r="E308" s="32"/>
      <c r="F308" s="32"/>
      <c r="G308" s="32"/>
      <c r="H308" s="32"/>
      <c r="I308" s="32"/>
      <c r="J308" s="32"/>
      <c r="K308" s="32"/>
      <c r="M308" s="42" t="s">
        <v>831</v>
      </c>
      <c r="N308" s="43" t="s">
        <v>877</v>
      </c>
      <c r="O308" s="43" t="s">
        <v>363</v>
      </c>
      <c r="P308" s="44"/>
      <c r="Q308" s="45"/>
      <c r="R308" s="45"/>
      <c r="S308" s="45"/>
      <c r="T308" s="45"/>
      <c r="U308" s="45"/>
      <c r="V308" s="46"/>
    </row>
    <row r="309" spans="1:22" x14ac:dyDescent="0.25">
      <c r="A309" s="27" t="s">
        <v>248</v>
      </c>
      <c r="B309" s="27" t="s">
        <v>877</v>
      </c>
      <c r="C309" s="27" t="s">
        <v>364</v>
      </c>
      <c r="D309" s="32">
        <v>1281</v>
      </c>
      <c r="E309" s="32">
        <v>0</v>
      </c>
      <c r="F309" s="32">
        <v>0</v>
      </c>
      <c r="G309" s="32">
        <f>10430+15+1</f>
        <v>10446</v>
      </c>
      <c r="H309" s="32">
        <v>0</v>
      </c>
      <c r="I309" s="32">
        <v>0</v>
      </c>
      <c r="J309" s="32">
        <v>0</v>
      </c>
      <c r="K309" s="32"/>
      <c r="M309" s="42" t="s">
        <v>248</v>
      </c>
      <c r="N309" s="43" t="s">
        <v>877</v>
      </c>
      <c r="O309" s="43" t="s">
        <v>364</v>
      </c>
      <c r="P309" s="44">
        <v>1281</v>
      </c>
      <c r="Q309" s="45">
        <v>0</v>
      </c>
      <c r="R309" s="45">
        <v>0</v>
      </c>
      <c r="S309" s="45">
        <v>10446</v>
      </c>
      <c r="T309" s="45">
        <v>0</v>
      </c>
      <c r="U309" s="45">
        <v>0</v>
      </c>
      <c r="V309" s="46">
        <v>0</v>
      </c>
    </row>
    <row r="310" spans="1:22" x14ac:dyDescent="0.25">
      <c r="A310" s="27" t="s">
        <v>791</v>
      </c>
      <c r="B310" s="27" t="s">
        <v>877</v>
      </c>
      <c r="C310" s="27" t="s">
        <v>365</v>
      </c>
      <c r="D310" s="32">
        <f>5758+39+34+131</f>
        <v>5962</v>
      </c>
      <c r="E310" s="32">
        <f>252+46</f>
        <v>298</v>
      </c>
      <c r="F310" s="32">
        <v>0</v>
      </c>
      <c r="G310" s="32">
        <f>16497+7+1+31+1+1+18+1+106</f>
        <v>16663</v>
      </c>
      <c r="H310" s="32">
        <f>613+150</f>
        <v>763</v>
      </c>
      <c r="I310" s="32">
        <v>0</v>
      </c>
      <c r="J310" s="32">
        <v>0</v>
      </c>
      <c r="K310" s="32"/>
      <c r="M310" s="42" t="s">
        <v>791</v>
      </c>
      <c r="N310" s="43" t="s">
        <v>877</v>
      </c>
      <c r="O310" s="43" t="s">
        <v>365</v>
      </c>
      <c r="P310" s="44">
        <v>5962</v>
      </c>
      <c r="Q310" s="45">
        <v>298</v>
      </c>
      <c r="R310" s="45">
        <v>0</v>
      </c>
      <c r="S310" s="45">
        <v>16663</v>
      </c>
      <c r="T310" s="45">
        <v>763</v>
      </c>
      <c r="U310" s="45">
        <v>0</v>
      </c>
      <c r="V310" s="46">
        <v>0</v>
      </c>
    </row>
    <row r="311" spans="1:22" x14ac:dyDescent="0.25">
      <c r="A311" s="27" t="s">
        <v>797</v>
      </c>
      <c r="B311" s="27" t="s">
        <v>877</v>
      </c>
      <c r="C311" s="27" t="s">
        <v>366</v>
      </c>
      <c r="D311" s="32">
        <f>4820+11+3</f>
        <v>4834</v>
      </c>
      <c r="E311" s="32">
        <v>12</v>
      </c>
      <c r="F311" s="32">
        <v>0</v>
      </c>
      <c r="G311" s="32">
        <f>10666+8+3+4+2+140</f>
        <v>10823</v>
      </c>
      <c r="H311" s="32">
        <f>52+4+2</f>
        <v>58</v>
      </c>
      <c r="I311" s="32">
        <v>0</v>
      </c>
      <c r="J311" s="32">
        <v>0</v>
      </c>
      <c r="K311" s="32"/>
      <c r="M311" s="42" t="s">
        <v>797</v>
      </c>
      <c r="N311" s="43" t="s">
        <v>877</v>
      </c>
      <c r="O311" s="43" t="s">
        <v>366</v>
      </c>
      <c r="P311" s="44">
        <v>4834</v>
      </c>
      <c r="Q311" s="45">
        <v>12</v>
      </c>
      <c r="R311" s="45">
        <v>0</v>
      </c>
      <c r="S311" s="45">
        <v>10823</v>
      </c>
      <c r="T311" s="45">
        <v>58</v>
      </c>
      <c r="U311" s="45">
        <v>0</v>
      </c>
      <c r="V311" s="46">
        <v>0</v>
      </c>
    </row>
    <row r="312" spans="1:22" x14ac:dyDescent="0.25">
      <c r="A312" s="27" t="s">
        <v>120</v>
      </c>
      <c r="B312" s="27" t="s">
        <v>877</v>
      </c>
      <c r="C312" s="27" t="s">
        <v>367</v>
      </c>
      <c r="D312" s="32">
        <f>5864+17+4</f>
        <v>5885</v>
      </c>
      <c r="E312" s="32">
        <v>26</v>
      </c>
      <c r="F312" s="32">
        <v>0</v>
      </c>
      <c r="G312" s="32">
        <f>23531+3+2+1</f>
        <v>23537</v>
      </c>
      <c r="H312" s="32">
        <f>179+111+11+4</f>
        <v>305</v>
      </c>
      <c r="I312" s="32">
        <v>0</v>
      </c>
      <c r="J312" s="32">
        <v>0</v>
      </c>
      <c r="K312" s="32"/>
      <c r="M312" s="42" t="s">
        <v>120</v>
      </c>
      <c r="N312" s="43" t="s">
        <v>877</v>
      </c>
      <c r="O312" s="43" t="s">
        <v>367</v>
      </c>
      <c r="P312" s="44">
        <v>5885</v>
      </c>
      <c r="Q312" s="45">
        <v>26</v>
      </c>
      <c r="R312" s="45">
        <v>0</v>
      </c>
      <c r="S312" s="45">
        <v>23537</v>
      </c>
      <c r="T312" s="45">
        <v>305</v>
      </c>
      <c r="U312" s="45">
        <v>0</v>
      </c>
      <c r="V312" s="46">
        <v>0</v>
      </c>
    </row>
    <row r="313" spans="1:22" x14ac:dyDescent="0.25">
      <c r="A313" s="27" t="s">
        <v>231</v>
      </c>
      <c r="B313" s="27" t="s">
        <v>877</v>
      </c>
      <c r="C313" s="27" t="s">
        <v>368</v>
      </c>
      <c r="D313" s="32">
        <f>3906+66+557+1+55+10</f>
        <v>4595</v>
      </c>
      <c r="E313" s="32">
        <v>35</v>
      </c>
      <c r="F313" s="32">
        <v>0</v>
      </c>
      <c r="G313" s="32">
        <f>21481+27+2+2+4818+54+1+30+2+4+216</f>
        <v>26637</v>
      </c>
      <c r="H313" s="32">
        <f>33+9</f>
        <v>42</v>
      </c>
      <c r="I313" s="32">
        <v>0</v>
      </c>
      <c r="J313" s="32">
        <v>0</v>
      </c>
      <c r="K313" s="32"/>
      <c r="M313" s="42" t="s">
        <v>231</v>
      </c>
      <c r="N313" s="43" t="s">
        <v>877</v>
      </c>
      <c r="O313" s="43" t="s">
        <v>368</v>
      </c>
      <c r="P313" s="44">
        <v>4595</v>
      </c>
      <c r="Q313" s="45">
        <v>35</v>
      </c>
      <c r="R313" s="45">
        <v>0</v>
      </c>
      <c r="S313" s="45">
        <v>26637</v>
      </c>
      <c r="T313" s="45">
        <v>42</v>
      </c>
      <c r="U313" s="45">
        <v>0</v>
      </c>
      <c r="V313" s="46">
        <v>0</v>
      </c>
    </row>
    <row r="314" spans="1:22" x14ac:dyDescent="0.25">
      <c r="A314" s="27" t="s">
        <v>809</v>
      </c>
      <c r="B314" s="27" t="s">
        <v>877</v>
      </c>
      <c r="C314" s="27" t="s">
        <v>369</v>
      </c>
      <c r="D314" s="32">
        <f>10194+4+2+7+1+3+369</f>
        <v>10580</v>
      </c>
      <c r="E314" s="32">
        <f>284+2</f>
        <v>286</v>
      </c>
      <c r="F314" s="32">
        <v>0</v>
      </c>
      <c r="G314" s="32">
        <f>67260+2+59+2+1+61+2+88</f>
        <v>67475</v>
      </c>
      <c r="H314" s="32">
        <f>800+3+12</f>
        <v>815</v>
      </c>
      <c r="I314" s="32">
        <v>0</v>
      </c>
      <c r="J314" s="32">
        <v>0</v>
      </c>
      <c r="K314" s="32"/>
      <c r="M314" s="42" t="s">
        <v>809</v>
      </c>
      <c r="N314" s="43" t="s">
        <v>877</v>
      </c>
      <c r="O314" s="43" t="s">
        <v>369</v>
      </c>
      <c r="P314" s="44">
        <v>10580</v>
      </c>
      <c r="Q314" s="45">
        <v>286</v>
      </c>
      <c r="R314" s="45">
        <v>0</v>
      </c>
      <c r="S314" s="45">
        <v>67475</v>
      </c>
      <c r="T314" s="45">
        <v>815</v>
      </c>
      <c r="U314" s="45">
        <v>0</v>
      </c>
      <c r="V314" s="46">
        <v>0</v>
      </c>
    </row>
    <row r="315" spans="1:22" x14ac:dyDescent="0.25">
      <c r="A315" s="27" t="s">
        <v>848</v>
      </c>
      <c r="B315" s="27" t="s">
        <v>877</v>
      </c>
      <c r="C315" s="27" t="s">
        <v>370</v>
      </c>
      <c r="D315" s="32">
        <f>2981+41+1+2+9</f>
        <v>3034</v>
      </c>
      <c r="E315" s="32">
        <v>47</v>
      </c>
      <c r="F315" s="32">
        <v>0</v>
      </c>
      <c r="G315" s="32">
        <f>13388+1+317+13+1+74+358</f>
        <v>14152</v>
      </c>
      <c r="H315" s="32">
        <f>38+6</f>
        <v>44</v>
      </c>
      <c r="I315" s="32">
        <v>0</v>
      </c>
      <c r="J315" s="32">
        <v>0</v>
      </c>
      <c r="K315" s="32"/>
      <c r="M315" s="42" t="s">
        <v>848</v>
      </c>
      <c r="N315" s="43" t="s">
        <v>877</v>
      </c>
      <c r="O315" s="43" t="s">
        <v>370</v>
      </c>
      <c r="P315" s="44">
        <v>3034</v>
      </c>
      <c r="Q315" s="45">
        <v>47</v>
      </c>
      <c r="R315" s="45">
        <v>0</v>
      </c>
      <c r="S315" s="45">
        <v>14152</v>
      </c>
      <c r="T315" s="45">
        <v>44</v>
      </c>
      <c r="U315" s="45">
        <v>0</v>
      </c>
      <c r="V315" s="46">
        <v>0</v>
      </c>
    </row>
    <row r="316" spans="1:22" x14ac:dyDescent="0.25">
      <c r="A316" s="27" t="s">
        <v>226</v>
      </c>
      <c r="B316" s="27" t="s">
        <v>877</v>
      </c>
      <c r="C316" s="27" t="s">
        <v>371</v>
      </c>
      <c r="D316" s="32">
        <f>3960+9+2+95+2+1+1</f>
        <v>4070</v>
      </c>
      <c r="E316" s="32">
        <f>214+8</f>
        <v>222</v>
      </c>
      <c r="F316" s="32">
        <v>0</v>
      </c>
      <c r="G316" s="32">
        <f>33251+18+36+67+2525+37+8+4+6+381</f>
        <v>36333</v>
      </c>
      <c r="H316" s="32">
        <f>190+153</f>
        <v>343</v>
      </c>
      <c r="I316" s="32">
        <v>0</v>
      </c>
      <c r="J316" s="32">
        <v>0</v>
      </c>
      <c r="K316" s="32"/>
      <c r="M316" s="42" t="s">
        <v>226</v>
      </c>
      <c r="N316" s="43" t="s">
        <v>877</v>
      </c>
      <c r="O316" s="43" t="s">
        <v>371</v>
      </c>
      <c r="P316" s="44">
        <v>4070</v>
      </c>
      <c r="Q316" s="45">
        <v>222</v>
      </c>
      <c r="R316" s="45">
        <v>0</v>
      </c>
      <c r="S316" s="45">
        <v>36333</v>
      </c>
      <c r="T316" s="45">
        <v>343</v>
      </c>
      <c r="U316" s="45">
        <v>0</v>
      </c>
      <c r="V316" s="46">
        <v>0</v>
      </c>
    </row>
    <row r="317" spans="1:22" x14ac:dyDescent="0.25">
      <c r="A317" s="27" t="s">
        <v>797</v>
      </c>
      <c r="B317" s="27" t="s">
        <v>877</v>
      </c>
      <c r="C317" s="27" t="s">
        <v>372</v>
      </c>
      <c r="D317" s="32">
        <f>1138+5+36+1+23</f>
        <v>1203</v>
      </c>
      <c r="E317" s="32">
        <v>10</v>
      </c>
      <c r="F317" s="32">
        <v>0</v>
      </c>
      <c r="G317" s="32">
        <f>7310+8+13+2+258</f>
        <v>7591</v>
      </c>
      <c r="H317" s="32">
        <v>174</v>
      </c>
      <c r="I317" s="32">
        <v>0</v>
      </c>
      <c r="J317" s="32">
        <v>0</v>
      </c>
      <c r="K317" s="32"/>
      <c r="M317" s="42" t="s">
        <v>797</v>
      </c>
      <c r="N317" s="43" t="s">
        <v>877</v>
      </c>
      <c r="O317" s="43" t="s">
        <v>372</v>
      </c>
      <c r="P317" s="44">
        <v>1203</v>
      </c>
      <c r="Q317" s="45">
        <v>10</v>
      </c>
      <c r="R317" s="45">
        <v>0</v>
      </c>
      <c r="S317" s="45">
        <v>7591</v>
      </c>
      <c r="T317" s="45">
        <v>174</v>
      </c>
      <c r="U317" s="45">
        <v>0</v>
      </c>
      <c r="V317" s="46">
        <v>0</v>
      </c>
    </row>
    <row r="318" spans="1:22" x14ac:dyDescent="0.25">
      <c r="A318" s="27" t="s">
        <v>791</v>
      </c>
      <c r="B318" s="27" t="s">
        <v>877</v>
      </c>
      <c r="C318" s="27" t="s">
        <v>373</v>
      </c>
      <c r="D318" s="32">
        <f>3051+80+6+27+112+20</f>
        <v>3296</v>
      </c>
      <c r="E318" s="32">
        <v>1</v>
      </c>
      <c r="F318" s="32">
        <v>0</v>
      </c>
      <c r="G318" s="32">
        <f>14164+30+636+1+444+1694</f>
        <v>16969</v>
      </c>
      <c r="H318" s="32">
        <f>40+2+1</f>
        <v>43</v>
      </c>
      <c r="I318" s="32">
        <v>0</v>
      </c>
      <c r="J318" s="32">
        <v>0</v>
      </c>
      <c r="K318" s="32"/>
      <c r="M318" s="42" t="s">
        <v>791</v>
      </c>
      <c r="N318" s="43" t="s">
        <v>877</v>
      </c>
      <c r="O318" s="43" t="s">
        <v>373</v>
      </c>
      <c r="P318" s="44">
        <v>3296</v>
      </c>
      <c r="Q318" s="45">
        <v>1</v>
      </c>
      <c r="R318" s="45">
        <v>0</v>
      </c>
      <c r="S318" s="45">
        <v>16969</v>
      </c>
      <c r="T318" s="45">
        <v>43</v>
      </c>
      <c r="U318" s="45">
        <v>0</v>
      </c>
      <c r="V318" s="46">
        <v>0</v>
      </c>
    </row>
    <row r="319" spans="1:22" x14ac:dyDescent="0.25">
      <c r="A319" s="27" t="s">
        <v>826</v>
      </c>
      <c r="B319" s="27" t="s">
        <v>877</v>
      </c>
      <c r="C319" s="27" t="s">
        <v>374</v>
      </c>
      <c r="D319" s="32"/>
      <c r="E319" s="32"/>
      <c r="F319" s="32"/>
      <c r="G319" s="32"/>
      <c r="H319" s="32"/>
      <c r="I319" s="32"/>
      <c r="J319" s="32"/>
      <c r="K319" s="32"/>
      <c r="M319" s="42" t="s">
        <v>826</v>
      </c>
      <c r="N319" s="43" t="s">
        <v>877</v>
      </c>
      <c r="O319" s="43" t="s">
        <v>374</v>
      </c>
      <c r="P319" s="44"/>
      <c r="Q319" s="45"/>
      <c r="R319" s="45"/>
      <c r="S319" s="45"/>
      <c r="T319" s="45"/>
      <c r="U319" s="45"/>
      <c r="V319" s="46"/>
    </row>
    <row r="320" spans="1:22" x14ac:dyDescent="0.25">
      <c r="A320" s="27" t="s">
        <v>512</v>
      </c>
      <c r="B320" s="27" t="s">
        <v>877</v>
      </c>
      <c r="C320" s="27" t="s">
        <v>375</v>
      </c>
      <c r="D320" s="32">
        <f>4819+4</f>
        <v>4823</v>
      </c>
      <c r="E320" s="32">
        <v>0</v>
      </c>
      <c r="F320" s="32">
        <v>0</v>
      </c>
      <c r="G320" s="32">
        <f>30333+95+84</f>
        <v>30512</v>
      </c>
      <c r="H320" s="32">
        <f>79+2+37</f>
        <v>118</v>
      </c>
      <c r="I320" s="32">
        <v>0</v>
      </c>
      <c r="J320" s="32">
        <v>0</v>
      </c>
      <c r="K320" s="32"/>
      <c r="M320" s="42" t="s">
        <v>512</v>
      </c>
      <c r="N320" s="43" t="s">
        <v>877</v>
      </c>
      <c r="O320" s="43" t="s">
        <v>375</v>
      </c>
      <c r="P320" s="44">
        <v>4823</v>
      </c>
      <c r="Q320" s="45">
        <v>0</v>
      </c>
      <c r="R320" s="45">
        <v>0</v>
      </c>
      <c r="S320" s="45">
        <v>30512</v>
      </c>
      <c r="T320" s="45">
        <v>118</v>
      </c>
      <c r="U320" s="45">
        <v>0</v>
      </c>
      <c r="V320" s="46">
        <v>0</v>
      </c>
    </row>
    <row r="321" spans="1:22" x14ac:dyDescent="0.25">
      <c r="A321" s="27" t="s">
        <v>817</v>
      </c>
      <c r="B321" s="27" t="s">
        <v>877</v>
      </c>
      <c r="C321" s="27" t="s">
        <v>376</v>
      </c>
      <c r="D321" s="32">
        <f>8351+31</f>
        <v>8382</v>
      </c>
      <c r="E321" s="32">
        <v>20</v>
      </c>
      <c r="F321" s="32">
        <v>0</v>
      </c>
      <c r="G321" s="32">
        <f>8302+1+5+177+7</f>
        <v>8492</v>
      </c>
      <c r="H321" s="32">
        <f>106+8</f>
        <v>114</v>
      </c>
      <c r="I321" s="32">
        <v>0</v>
      </c>
      <c r="J321" s="32">
        <v>0</v>
      </c>
      <c r="K321" s="32"/>
      <c r="M321" s="42" t="s">
        <v>817</v>
      </c>
      <c r="N321" s="43" t="s">
        <v>877</v>
      </c>
      <c r="O321" s="43" t="s">
        <v>376</v>
      </c>
      <c r="P321" s="44">
        <v>8382</v>
      </c>
      <c r="Q321" s="45">
        <v>20</v>
      </c>
      <c r="R321" s="45">
        <v>0</v>
      </c>
      <c r="S321" s="45">
        <v>8492</v>
      </c>
      <c r="T321" s="45">
        <v>114</v>
      </c>
      <c r="U321" s="45">
        <v>0</v>
      </c>
      <c r="V321" s="46">
        <v>0</v>
      </c>
    </row>
    <row r="322" spans="1:22" x14ac:dyDescent="0.25">
      <c r="A322" s="27" t="s">
        <v>83</v>
      </c>
      <c r="B322" s="27" t="s">
        <v>877</v>
      </c>
      <c r="C322" s="27" t="s">
        <v>377</v>
      </c>
      <c r="D322" s="32">
        <f>5179+1+32+3+51</f>
        <v>5266</v>
      </c>
      <c r="E322" s="32">
        <f>299+5</f>
        <v>304</v>
      </c>
      <c r="F322" s="32">
        <v>0</v>
      </c>
      <c r="G322" s="32">
        <f>24571+6+27+5+5+1211</f>
        <v>25825</v>
      </c>
      <c r="H322" s="32">
        <f>199+15</f>
        <v>214</v>
      </c>
      <c r="I322" s="32">
        <v>0</v>
      </c>
      <c r="J322" s="32">
        <v>0</v>
      </c>
      <c r="K322" s="32"/>
      <c r="M322" s="42" t="s">
        <v>83</v>
      </c>
      <c r="N322" s="43" t="s">
        <v>877</v>
      </c>
      <c r="O322" s="43" t="s">
        <v>377</v>
      </c>
      <c r="P322" s="44">
        <v>5266</v>
      </c>
      <c r="Q322" s="45">
        <v>304</v>
      </c>
      <c r="R322" s="45">
        <v>0</v>
      </c>
      <c r="S322" s="45">
        <v>25825</v>
      </c>
      <c r="T322" s="45">
        <v>214</v>
      </c>
      <c r="U322" s="45">
        <v>0</v>
      </c>
      <c r="V322" s="46">
        <v>0</v>
      </c>
    </row>
    <row r="323" spans="1:22" x14ac:dyDescent="0.25">
      <c r="A323" s="27" t="s">
        <v>795</v>
      </c>
      <c r="B323" s="27" t="s">
        <v>877</v>
      </c>
      <c r="C323" s="27" t="s">
        <v>378</v>
      </c>
      <c r="D323" s="32">
        <v>24085</v>
      </c>
      <c r="E323" s="32">
        <f>62+21+28</f>
        <v>111</v>
      </c>
      <c r="F323" s="32">
        <v>0</v>
      </c>
      <c r="G323" s="32">
        <f>22585+2+17+5+1</f>
        <v>22610</v>
      </c>
      <c r="H323" s="32">
        <f>60+1+19</f>
        <v>80</v>
      </c>
      <c r="I323" s="32">
        <v>0</v>
      </c>
      <c r="J323" s="32">
        <v>0</v>
      </c>
      <c r="K323" s="32"/>
      <c r="M323" s="42" t="s">
        <v>795</v>
      </c>
      <c r="N323" s="43" t="s">
        <v>877</v>
      </c>
      <c r="O323" s="43" t="s">
        <v>378</v>
      </c>
      <c r="P323" s="44">
        <v>24085</v>
      </c>
      <c r="Q323" s="45">
        <v>111</v>
      </c>
      <c r="R323" s="45">
        <v>0</v>
      </c>
      <c r="S323" s="45">
        <v>22610</v>
      </c>
      <c r="T323" s="45">
        <v>80</v>
      </c>
      <c r="U323" s="45">
        <v>0</v>
      </c>
      <c r="V323" s="46">
        <v>0</v>
      </c>
    </row>
    <row r="324" spans="1:22" x14ac:dyDescent="0.25">
      <c r="A324" s="27" t="s">
        <v>858</v>
      </c>
      <c r="B324" s="27" t="s">
        <v>877</v>
      </c>
      <c r="C324" s="27" t="s">
        <v>379</v>
      </c>
      <c r="D324" s="32"/>
      <c r="E324" s="32"/>
      <c r="F324" s="32"/>
      <c r="G324" s="32"/>
      <c r="H324" s="32"/>
      <c r="I324" s="32"/>
      <c r="J324" s="32"/>
      <c r="K324" s="32"/>
      <c r="M324" s="42" t="s">
        <v>858</v>
      </c>
      <c r="N324" s="43" t="s">
        <v>877</v>
      </c>
      <c r="O324" s="43" t="s">
        <v>379</v>
      </c>
      <c r="P324" s="44"/>
      <c r="Q324" s="45"/>
      <c r="R324" s="45"/>
      <c r="S324" s="45"/>
      <c r="T324" s="45"/>
      <c r="U324" s="45"/>
      <c r="V324" s="46"/>
    </row>
    <row r="325" spans="1:22" x14ac:dyDescent="0.25">
      <c r="A325" s="27" t="s">
        <v>848</v>
      </c>
      <c r="B325" s="27" t="s">
        <v>877</v>
      </c>
      <c r="C325" s="27" t="s">
        <v>380</v>
      </c>
      <c r="D325" s="32">
        <f>3660+1</f>
        <v>3661</v>
      </c>
      <c r="E325" s="32">
        <v>1</v>
      </c>
      <c r="F325" s="32">
        <v>0</v>
      </c>
      <c r="G325" s="32">
        <f>24237+82</f>
        <v>24319</v>
      </c>
      <c r="H325" s="32">
        <f>35+18</f>
        <v>53</v>
      </c>
      <c r="I325" s="32">
        <v>0</v>
      </c>
      <c r="J325" s="32">
        <v>0</v>
      </c>
      <c r="K325" s="32"/>
      <c r="M325" s="42" t="s">
        <v>848</v>
      </c>
      <c r="N325" s="43" t="s">
        <v>877</v>
      </c>
      <c r="O325" s="43" t="s">
        <v>380</v>
      </c>
      <c r="P325" s="44">
        <v>3661</v>
      </c>
      <c r="Q325" s="45">
        <v>1</v>
      </c>
      <c r="R325" s="45">
        <v>0</v>
      </c>
      <c r="S325" s="45">
        <v>24319</v>
      </c>
      <c r="T325" s="45">
        <v>53</v>
      </c>
      <c r="U325" s="45">
        <v>0</v>
      </c>
      <c r="V325" s="46">
        <v>0</v>
      </c>
    </row>
    <row r="326" spans="1:22" x14ac:dyDescent="0.25">
      <c r="A326" s="27" t="s">
        <v>863</v>
      </c>
      <c r="B326" s="27" t="s">
        <v>877</v>
      </c>
      <c r="C326" s="27" t="s">
        <v>381</v>
      </c>
      <c r="D326" s="32"/>
      <c r="E326" s="32"/>
      <c r="F326" s="32"/>
      <c r="G326" s="32"/>
      <c r="H326" s="32"/>
      <c r="I326" s="32"/>
      <c r="J326" s="32"/>
      <c r="K326" s="32"/>
      <c r="M326" s="42" t="s">
        <v>863</v>
      </c>
      <c r="N326" s="43" t="s">
        <v>877</v>
      </c>
      <c r="O326" s="43" t="s">
        <v>381</v>
      </c>
      <c r="P326" s="44"/>
      <c r="Q326" s="45"/>
      <c r="R326" s="45"/>
      <c r="S326" s="45"/>
      <c r="T326" s="45"/>
      <c r="U326" s="45"/>
      <c r="V326" s="46"/>
    </row>
    <row r="327" spans="1:22" x14ac:dyDescent="0.25">
      <c r="A327" s="27" t="s">
        <v>854</v>
      </c>
      <c r="B327" s="27" t="s">
        <v>877</v>
      </c>
      <c r="C327" s="27" t="s">
        <v>382</v>
      </c>
      <c r="D327" s="32"/>
      <c r="E327" s="32"/>
      <c r="F327" s="32"/>
      <c r="G327" s="32"/>
      <c r="H327" s="32"/>
      <c r="I327" s="32"/>
      <c r="J327" s="32"/>
      <c r="K327" s="32"/>
      <c r="M327" s="42" t="s">
        <v>854</v>
      </c>
      <c r="N327" s="43" t="s">
        <v>877</v>
      </c>
      <c r="O327" s="43" t="s">
        <v>382</v>
      </c>
      <c r="P327" s="44"/>
      <c r="Q327" s="45"/>
      <c r="R327" s="45"/>
      <c r="S327" s="45"/>
      <c r="T327" s="45"/>
      <c r="U327" s="45"/>
      <c r="V327" s="46"/>
    </row>
    <row r="328" spans="1:22" x14ac:dyDescent="0.25">
      <c r="A328" s="27" t="s">
        <v>853</v>
      </c>
      <c r="B328" s="27" t="s">
        <v>877</v>
      </c>
      <c r="C328" s="27" t="s">
        <v>383</v>
      </c>
      <c r="D328" s="32"/>
      <c r="E328" s="32"/>
      <c r="F328" s="32"/>
      <c r="G328" s="32"/>
      <c r="H328" s="32"/>
      <c r="I328" s="32"/>
      <c r="J328" s="32"/>
      <c r="K328" s="32"/>
      <c r="M328" s="42" t="s">
        <v>853</v>
      </c>
      <c r="N328" s="43" t="s">
        <v>877</v>
      </c>
      <c r="O328" s="43" t="s">
        <v>383</v>
      </c>
      <c r="P328" s="44"/>
      <c r="Q328" s="45"/>
      <c r="R328" s="45"/>
      <c r="S328" s="45"/>
      <c r="T328" s="45"/>
      <c r="U328" s="45"/>
      <c r="V328" s="46"/>
    </row>
    <row r="329" spans="1:22" x14ac:dyDescent="0.25">
      <c r="A329" s="27" t="s">
        <v>851</v>
      </c>
      <c r="B329" s="27" t="s">
        <v>877</v>
      </c>
      <c r="C329" s="27" t="s">
        <v>384</v>
      </c>
      <c r="D329" s="32"/>
      <c r="E329" s="32"/>
      <c r="F329" s="32"/>
      <c r="G329" s="32"/>
      <c r="H329" s="32"/>
      <c r="I329" s="32"/>
      <c r="J329" s="32"/>
      <c r="K329" s="32"/>
      <c r="M329" s="42" t="s">
        <v>851</v>
      </c>
      <c r="N329" s="43" t="s">
        <v>877</v>
      </c>
      <c r="O329" s="43" t="s">
        <v>384</v>
      </c>
      <c r="P329" s="44"/>
      <c r="Q329" s="45"/>
      <c r="R329" s="45"/>
      <c r="S329" s="45"/>
      <c r="T329" s="45"/>
      <c r="U329" s="45"/>
      <c r="V329" s="46"/>
    </row>
    <row r="330" spans="1:22" x14ac:dyDescent="0.25">
      <c r="A330" s="27" t="s">
        <v>856</v>
      </c>
      <c r="B330" s="27" t="s">
        <v>877</v>
      </c>
      <c r="C330" s="27" t="s">
        <v>385</v>
      </c>
      <c r="D330" s="32"/>
      <c r="E330" s="32"/>
      <c r="F330" s="32"/>
      <c r="G330" s="32"/>
      <c r="H330" s="32"/>
      <c r="I330" s="32"/>
      <c r="J330" s="32"/>
      <c r="K330" s="32"/>
      <c r="M330" s="42" t="s">
        <v>856</v>
      </c>
      <c r="N330" s="43" t="s">
        <v>877</v>
      </c>
      <c r="O330" s="43" t="s">
        <v>385</v>
      </c>
      <c r="P330" s="44"/>
      <c r="Q330" s="45"/>
      <c r="R330" s="45"/>
      <c r="S330" s="45"/>
      <c r="T330" s="45"/>
      <c r="U330" s="45"/>
      <c r="V330" s="46"/>
    </row>
    <row r="331" spans="1:22" x14ac:dyDescent="0.25">
      <c r="A331" s="27" t="s">
        <v>847</v>
      </c>
      <c r="B331" s="27" t="s">
        <v>877</v>
      </c>
      <c r="C331" s="27" t="s">
        <v>386</v>
      </c>
      <c r="D331" s="32"/>
      <c r="E331" s="32"/>
      <c r="F331" s="32"/>
      <c r="G331" s="32"/>
      <c r="H331" s="32"/>
      <c r="I331" s="32"/>
      <c r="J331" s="32"/>
      <c r="K331" s="32"/>
      <c r="M331" s="42" t="s">
        <v>847</v>
      </c>
      <c r="N331" s="43" t="s">
        <v>877</v>
      </c>
      <c r="O331" s="43" t="s">
        <v>386</v>
      </c>
      <c r="P331" s="44"/>
      <c r="Q331" s="45"/>
      <c r="R331" s="45"/>
      <c r="S331" s="45"/>
      <c r="T331" s="45"/>
      <c r="U331" s="45"/>
      <c r="V331" s="46"/>
    </row>
    <row r="332" spans="1:22" x14ac:dyDescent="0.25">
      <c r="A332" s="27" t="s">
        <v>849</v>
      </c>
      <c r="B332" s="27" t="s">
        <v>877</v>
      </c>
      <c r="C332" s="27" t="s">
        <v>387</v>
      </c>
      <c r="D332" s="32"/>
      <c r="E332" s="32"/>
      <c r="F332" s="32"/>
      <c r="G332" s="32"/>
      <c r="H332" s="32"/>
      <c r="I332" s="32"/>
      <c r="J332" s="32"/>
      <c r="K332" s="32"/>
      <c r="M332" s="42" t="s">
        <v>849</v>
      </c>
      <c r="N332" s="43" t="s">
        <v>877</v>
      </c>
      <c r="O332" s="43" t="s">
        <v>387</v>
      </c>
      <c r="P332" s="44"/>
      <c r="Q332" s="45"/>
      <c r="R332" s="45"/>
      <c r="S332" s="45"/>
      <c r="T332" s="45"/>
      <c r="U332" s="45"/>
      <c r="V332" s="46"/>
    </row>
    <row r="333" spans="1:22" x14ac:dyDescent="0.25">
      <c r="A333" s="27" t="s">
        <v>794</v>
      </c>
      <c r="B333" s="27" t="s">
        <v>874</v>
      </c>
      <c r="C333" s="27" t="s">
        <v>388</v>
      </c>
      <c r="D333" s="32"/>
      <c r="E333" s="32"/>
      <c r="F333" s="32"/>
      <c r="G333" s="32"/>
      <c r="H333" s="32"/>
      <c r="I333" s="32"/>
      <c r="J333" s="32"/>
      <c r="K333" s="32"/>
      <c r="M333" s="42" t="s">
        <v>794</v>
      </c>
      <c r="N333" s="43" t="s">
        <v>874</v>
      </c>
      <c r="O333" s="43" t="s">
        <v>388</v>
      </c>
      <c r="P333" s="44"/>
      <c r="Q333" s="45"/>
      <c r="R333" s="45"/>
      <c r="S333" s="45"/>
      <c r="T333" s="45"/>
      <c r="U333" s="45"/>
      <c r="V333" s="46"/>
    </row>
    <row r="334" spans="1:22" x14ac:dyDescent="0.25">
      <c r="A334" s="27" t="s">
        <v>231</v>
      </c>
      <c r="B334" s="27" t="s">
        <v>874</v>
      </c>
      <c r="C334" s="27" t="s">
        <v>389</v>
      </c>
      <c r="D334" s="32">
        <f>72953+5+291+4+3+3+1+59+102264</f>
        <v>175583</v>
      </c>
      <c r="E334" s="32">
        <f>602+1+921+81+99</f>
        <v>1704</v>
      </c>
      <c r="F334" s="32">
        <v>0</v>
      </c>
      <c r="G334" s="32">
        <v>0</v>
      </c>
      <c r="H334" s="32">
        <v>0</v>
      </c>
      <c r="I334" s="32">
        <v>33177</v>
      </c>
      <c r="J334" s="32">
        <v>86860</v>
      </c>
      <c r="K334" s="32"/>
      <c r="M334" s="42" t="s">
        <v>231</v>
      </c>
      <c r="N334" s="43" t="s">
        <v>874</v>
      </c>
      <c r="O334" s="43" t="s">
        <v>389</v>
      </c>
      <c r="P334" s="44">
        <v>175583</v>
      </c>
      <c r="Q334" s="45">
        <v>1704</v>
      </c>
      <c r="R334" s="45">
        <v>0</v>
      </c>
      <c r="S334" s="45">
        <v>0</v>
      </c>
      <c r="T334" s="45">
        <v>0</v>
      </c>
      <c r="U334" s="45">
        <v>33177</v>
      </c>
      <c r="V334" s="46">
        <v>86860</v>
      </c>
    </row>
    <row r="335" spans="1:22" x14ac:dyDescent="0.25">
      <c r="A335" s="27" t="s">
        <v>824</v>
      </c>
      <c r="B335" s="27" t="s">
        <v>874</v>
      </c>
      <c r="C335" s="27" t="s">
        <v>390</v>
      </c>
      <c r="D335" s="32">
        <f>11947+27874</f>
        <v>39821</v>
      </c>
      <c r="E335" s="32">
        <f>77+179</f>
        <v>256</v>
      </c>
      <c r="F335" s="32">
        <v>0</v>
      </c>
      <c r="G335" s="32">
        <v>0</v>
      </c>
      <c r="H335" s="32">
        <v>0</v>
      </c>
      <c r="I335" s="32">
        <v>7826</v>
      </c>
      <c r="J335" s="32">
        <v>5478</v>
      </c>
      <c r="K335" s="32"/>
      <c r="M335" s="42" t="s">
        <v>824</v>
      </c>
      <c r="N335" s="43" t="s">
        <v>874</v>
      </c>
      <c r="O335" s="43" t="s">
        <v>390</v>
      </c>
      <c r="P335" s="44">
        <v>39821</v>
      </c>
      <c r="Q335" s="45">
        <v>256</v>
      </c>
      <c r="R335" s="45">
        <v>0</v>
      </c>
      <c r="S335" s="45">
        <v>0</v>
      </c>
      <c r="T335" s="45">
        <v>0</v>
      </c>
      <c r="U335" s="45">
        <v>7826</v>
      </c>
      <c r="V335" s="46">
        <v>5478</v>
      </c>
    </row>
    <row r="336" spans="1:22" x14ac:dyDescent="0.25">
      <c r="A336" s="27" t="s">
        <v>226</v>
      </c>
      <c r="B336" s="27" t="s">
        <v>874</v>
      </c>
      <c r="C336" s="27" t="s">
        <v>391</v>
      </c>
      <c r="D336" s="32">
        <f>111678+1069+3+30196</f>
        <v>142946</v>
      </c>
      <c r="E336" s="32">
        <f>836+5+12+173+12</f>
        <v>1038</v>
      </c>
      <c r="F336" s="32">
        <v>0</v>
      </c>
      <c r="G336" s="32">
        <v>0</v>
      </c>
      <c r="H336" s="32">
        <v>0</v>
      </c>
      <c r="I336" s="32">
        <v>40768</v>
      </c>
      <c r="J336" s="32">
        <v>24005</v>
      </c>
      <c r="K336" s="32"/>
      <c r="M336" s="42" t="s">
        <v>226</v>
      </c>
      <c r="N336" s="43" t="s">
        <v>874</v>
      </c>
      <c r="O336" s="43" t="s">
        <v>391</v>
      </c>
      <c r="P336" s="44">
        <v>142946</v>
      </c>
      <c r="Q336" s="45">
        <v>1038</v>
      </c>
      <c r="R336" s="45">
        <v>0</v>
      </c>
      <c r="S336" s="45">
        <v>0</v>
      </c>
      <c r="T336" s="45">
        <v>0</v>
      </c>
      <c r="U336" s="45">
        <v>40768</v>
      </c>
      <c r="V336" s="46">
        <v>24005</v>
      </c>
    </row>
    <row r="337" spans="1:22" x14ac:dyDescent="0.25">
      <c r="A337" s="27" t="s">
        <v>798</v>
      </c>
      <c r="B337" s="27" t="s">
        <v>874</v>
      </c>
      <c r="C337" s="27" t="s">
        <v>392</v>
      </c>
      <c r="D337" s="32">
        <f>91109+199+40+88934</f>
        <v>180282</v>
      </c>
      <c r="E337" s="32">
        <f>391+1+219+829+179</f>
        <v>1619</v>
      </c>
      <c r="F337" s="32">
        <v>0</v>
      </c>
      <c r="G337" s="32">
        <v>0</v>
      </c>
      <c r="H337" s="32">
        <v>0</v>
      </c>
      <c r="I337" s="32">
        <v>95023</v>
      </c>
      <c r="J337" s="32">
        <v>71217</v>
      </c>
      <c r="K337" s="32"/>
      <c r="M337" s="42" t="s">
        <v>798</v>
      </c>
      <c r="N337" s="43" t="s">
        <v>874</v>
      </c>
      <c r="O337" s="43" t="s">
        <v>392</v>
      </c>
      <c r="P337" s="44">
        <v>180282</v>
      </c>
      <c r="Q337" s="45">
        <v>1619</v>
      </c>
      <c r="R337" s="45">
        <v>0</v>
      </c>
      <c r="S337" s="45">
        <v>0</v>
      </c>
      <c r="T337" s="45">
        <v>0</v>
      </c>
      <c r="U337" s="45">
        <v>95023</v>
      </c>
      <c r="V337" s="46">
        <v>71217</v>
      </c>
    </row>
    <row r="338" spans="1:22" x14ac:dyDescent="0.25">
      <c r="A338" s="27" t="s">
        <v>231</v>
      </c>
      <c r="B338" s="27" t="s">
        <v>874</v>
      </c>
      <c r="C338" s="27" t="s">
        <v>393</v>
      </c>
      <c r="D338" s="32"/>
      <c r="E338" s="32"/>
      <c r="F338" s="32"/>
      <c r="G338" s="32"/>
      <c r="H338" s="32"/>
      <c r="I338" s="32"/>
      <c r="J338" s="32"/>
      <c r="K338" s="32"/>
      <c r="M338" s="42" t="s">
        <v>231</v>
      </c>
      <c r="N338" s="43" t="s">
        <v>874</v>
      </c>
      <c r="O338" s="43" t="s">
        <v>393</v>
      </c>
      <c r="P338" s="44"/>
      <c r="Q338" s="45"/>
      <c r="R338" s="45"/>
      <c r="S338" s="45"/>
      <c r="T338" s="45"/>
      <c r="U338" s="45"/>
      <c r="V338" s="46"/>
    </row>
    <row r="339" spans="1:22" x14ac:dyDescent="0.25">
      <c r="A339" s="27" t="s">
        <v>806</v>
      </c>
      <c r="B339" s="27" t="s">
        <v>874</v>
      </c>
      <c r="C339" s="27" t="s">
        <v>394</v>
      </c>
      <c r="D339" s="32"/>
      <c r="E339" s="32"/>
      <c r="F339" s="32"/>
      <c r="G339" s="32"/>
      <c r="H339" s="32"/>
      <c r="I339" s="32"/>
      <c r="J339" s="32"/>
      <c r="K339" s="32"/>
      <c r="M339" s="42" t="s">
        <v>806</v>
      </c>
      <c r="N339" s="43" t="s">
        <v>874</v>
      </c>
      <c r="O339" s="43" t="s">
        <v>394</v>
      </c>
      <c r="P339" s="44"/>
      <c r="Q339" s="45"/>
      <c r="R339" s="45"/>
      <c r="S339" s="45"/>
      <c r="T339" s="45"/>
      <c r="U339" s="45"/>
      <c r="V339" s="46"/>
    </row>
    <row r="340" spans="1:22" x14ac:dyDescent="0.25">
      <c r="A340" s="27" t="s">
        <v>10</v>
      </c>
      <c r="B340" s="27" t="s">
        <v>874</v>
      </c>
      <c r="C340" s="27" t="s">
        <v>778</v>
      </c>
      <c r="D340" s="32"/>
      <c r="E340" s="32"/>
      <c r="F340" s="32"/>
      <c r="G340" s="32"/>
      <c r="H340" s="32"/>
      <c r="I340" s="32"/>
      <c r="J340" s="32"/>
      <c r="K340" s="32"/>
      <c r="M340" s="42" t="s">
        <v>10</v>
      </c>
      <c r="N340" s="43" t="s">
        <v>874</v>
      </c>
      <c r="O340" s="43" t="s">
        <v>778</v>
      </c>
      <c r="P340" s="44"/>
      <c r="Q340" s="45"/>
      <c r="R340" s="45"/>
      <c r="S340" s="45"/>
      <c r="T340" s="45"/>
      <c r="U340" s="45"/>
      <c r="V340" s="46"/>
    </row>
    <row r="341" spans="1:22" x14ac:dyDescent="0.25">
      <c r="A341" s="27" t="s">
        <v>69</v>
      </c>
      <c r="B341" s="27" t="s">
        <v>874</v>
      </c>
      <c r="C341" s="27" t="s">
        <v>395</v>
      </c>
      <c r="D341" s="32">
        <f>205636+36+1+2+138+11+1+114+49975+10</f>
        <v>255924</v>
      </c>
      <c r="E341" s="32">
        <f>607+3+4+37+117+1+1</f>
        <v>770</v>
      </c>
      <c r="F341" s="32">
        <v>0</v>
      </c>
      <c r="G341" s="32">
        <v>0</v>
      </c>
      <c r="H341" s="32">
        <v>0</v>
      </c>
      <c r="I341" s="32">
        <v>119687</v>
      </c>
      <c r="J341" s="32">
        <v>38340</v>
      </c>
      <c r="K341" s="32"/>
      <c r="M341" s="42" t="s">
        <v>69</v>
      </c>
      <c r="N341" s="43" t="s">
        <v>874</v>
      </c>
      <c r="O341" s="43" t="s">
        <v>395</v>
      </c>
      <c r="P341" s="44">
        <v>255924</v>
      </c>
      <c r="Q341" s="45">
        <v>770</v>
      </c>
      <c r="R341" s="45">
        <v>0</v>
      </c>
      <c r="S341" s="45">
        <v>0</v>
      </c>
      <c r="T341" s="45">
        <v>0</v>
      </c>
      <c r="U341" s="45">
        <v>119687</v>
      </c>
      <c r="V341" s="46">
        <v>38340</v>
      </c>
    </row>
    <row r="342" spans="1:22" x14ac:dyDescent="0.25">
      <c r="A342" s="27" t="s">
        <v>796</v>
      </c>
      <c r="B342" s="27" t="s">
        <v>874</v>
      </c>
      <c r="C342" s="27" t="s">
        <v>396</v>
      </c>
      <c r="D342" s="32">
        <f>105204+8319+12+55+37725+5</f>
        <v>151320</v>
      </c>
      <c r="E342" s="32">
        <f>718+1+2+666+110+3</f>
        <v>1500</v>
      </c>
      <c r="F342" s="32">
        <v>0</v>
      </c>
      <c r="G342" s="32">
        <v>0</v>
      </c>
      <c r="H342" s="32">
        <v>0</v>
      </c>
      <c r="I342" s="32">
        <v>56119</v>
      </c>
      <c r="J342" s="32">
        <v>35230</v>
      </c>
      <c r="K342" s="32"/>
      <c r="M342" s="42" t="s">
        <v>796</v>
      </c>
      <c r="N342" s="43" t="s">
        <v>874</v>
      </c>
      <c r="O342" s="43" t="s">
        <v>396</v>
      </c>
      <c r="P342" s="44">
        <v>151320</v>
      </c>
      <c r="Q342" s="45">
        <v>1500</v>
      </c>
      <c r="R342" s="45">
        <v>0</v>
      </c>
      <c r="S342" s="45">
        <v>0</v>
      </c>
      <c r="T342" s="45">
        <v>0</v>
      </c>
      <c r="U342" s="45">
        <v>56119</v>
      </c>
      <c r="V342" s="46">
        <v>35230</v>
      </c>
    </row>
    <row r="343" spans="1:22" x14ac:dyDescent="0.25">
      <c r="A343" s="27" t="s">
        <v>512</v>
      </c>
      <c r="B343" s="27" t="s">
        <v>874</v>
      </c>
      <c r="C343" s="27" t="s">
        <v>397</v>
      </c>
      <c r="D343" s="32">
        <f>90239+1633+2+358+21800</f>
        <v>114032</v>
      </c>
      <c r="E343" s="32">
        <f>60+322+177</f>
        <v>559</v>
      </c>
      <c r="F343" s="32">
        <v>0</v>
      </c>
      <c r="G343" s="32">
        <v>0</v>
      </c>
      <c r="H343" s="32">
        <v>0</v>
      </c>
      <c r="I343" s="32">
        <v>36189</v>
      </c>
      <c r="J343" s="32">
        <v>19884</v>
      </c>
      <c r="K343" s="32"/>
      <c r="M343" s="42" t="s">
        <v>512</v>
      </c>
      <c r="N343" s="43" t="s">
        <v>874</v>
      </c>
      <c r="O343" s="43" t="s">
        <v>397</v>
      </c>
      <c r="P343" s="44">
        <v>114032</v>
      </c>
      <c r="Q343" s="45">
        <v>559</v>
      </c>
      <c r="R343" s="45">
        <v>0</v>
      </c>
      <c r="S343" s="45">
        <v>0</v>
      </c>
      <c r="T343" s="45">
        <v>0</v>
      </c>
      <c r="U343" s="45">
        <v>36189</v>
      </c>
      <c r="V343" s="46">
        <v>19884</v>
      </c>
    </row>
    <row r="344" spans="1:22" x14ac:dyDescent="0.25">
      <c r="A344" s="27" t="s">
        <v>811</v>
      </c>
      <c r="B344" s="27" t="s">
        <v>874</v>
      </c>
      <c r="C344" s="27" t="s">
        <v>398</v>
      </c>
      <c r="D344" s="32">
        <f>22249+5+191+2+44+2+4+17478+9+4</f>
        <v>39988</v>
      </c>
      <c r="E344" s="32">
        <f>2552+131+371+1768+5209</f>
        <v>10031</v>
      </c>
      <c r="F344" s="32">
        <v>0</v>
      </c>
      <c r="G344" s="32">
        <v>0</v>
      </c>
      <c r="H344" s="32">
        <v>0</v>
      </c>
      <c r="I344" s="32">
        <v>10692</v>
      </c>
      <c r="J344" s="32">
        <v>18194</v>
      </c>
      <c r="K344" s="32"/>
      <c r="M344" s="42" t="s">
        <v>811</v>
      </c>
      <c r="N344" s="43" t="s">
        <v>874</v>
      </c>
      <c r="O344" s="43" t="s">
        <v>398</v>
      </c>
      <c r="P344" s="44">
        <v>39988</v>
      </c>
      <c r="Q344" s="45">
        <v>10031</v>
      </c>
      <c r="R344" s="45">
        <v>0</v>
      </c>
      <c r="S344" s="45">
        <v>0</v>
      </c>
      <c r="T344" s="45">
        <v>0</v>
      </c>
      <c r="U344" s="45">
        <v>10692</v>
      </c>
      <c r="V344" s="46">
        <v>18194</v>
      </c>
    </row>
    <row r="345" spans="1:22" x14ac:dyDescent="0.25">
      <c r="A345" s="27" t="s">
        <v>811</v>
      </c>
      <c r="B345" s="27" t="s">
        <v>874</v>
      </c>
      <c r="C345" s="27" t="s">
        <v>399</v>
      </c>
      <c r="D345" s="32">
        <f>12381+28888</f>
        <v>41269</v>
      </c>
      <c r="E345" s="32">
        <f>204+475</f>
        <v>679</v>
      </c>
      <c r="F345" s="32">
        <v>0</v>
      </c>
      <c r="G345" s="32">
        <v>0</v>
      </c>
      <c r="H345" s="32">
        <v>0</v>
      </c>
      <c r="I345" s="32">
        <v>14953</v>
      </c>
      <c r="J345" s="32">
        <v>10467</v>
      </c>
      <c r="K345" s="32"/>
      <c r="M345" s="42" t="s">
        <v>811</v>
      </c>
      <c r="N345" s="43" t="s">
        <v>874</v>
      </c>
      <c r="O345" s="43" t="s">
        <v>399</v>
      </c>
      <c r="P345" s="44">
        <v>41269</v>
      </c>
      <c r="Q345" s="45">
        <v>679</v>
      </c>
      <c r="R345" s="45">
        <v>0</v>
      </c>
      <c r="S345" s="45">
        <v>0</v>
      </c>
      <c r="T345" s="45">
        <v>0</v>
      </c>
      <c r="U345" s="45">
        <v>14953</v>
      </c>
      <c r="V345" s="46">
        <v>10467</v>
      </c>
    </row>
    <row r="346" spans="1:22" x14ac:dyDescent="0.25">
      <c r="A346" s="27" t="s">
        <v>811</v>
      </c>
      <c r="B346" s="27" t="s">
        <v>874</v>
      </c>
      <c r="C346" s="27" t="s">
        <v>400</v>
      </c>
      <c r="D346" s="32">
        <f>68000+6+10+77197+1</f>
        <v>145214</v>
      </c>
      <c r="E346" s="32">
        <f>1161+812+2520+86+2</f>
        <v>4581</v>
      </c>
      <c r="F346" s="32">
        <v>0</v>
      </c>
      <c r="G346" s="32">
        <v>0</v>
      </c>
      <c r="H346" s="32">
        <v>0</v>
      </c>
      <c r="I346" s="32">
        <v>40714</v>
      </c>
      <c r="J346" s="32">
        <v>57865</v>
      </c>
      <c r="K346" s="32"/>
      <c r="M346" s="42" t="s">
        <v>811</v>
      </c>
      <c r="N346" s="43" t="s">
        <v>874</v>
      </c>
      <c r="O346" s="43" t="s">
        <v>400</v>
      </c>
      <c r="P346" s="44">
        <v>145214</v>
      </c>
      <c r="Q346" s="44">
        <v>4581</v>
      </c>
      <c r="R346" s="44">
        <v>0</v>
      </c>
      <c r="S346" s="44">
        <v>0</v>
      </c>
      <c r="T346" s="44">
        <v>0</v>
      </c>
      <c r="U346" s="44">
        <v>40714</v>
      </c>
      <c r="V346" s="44">
        <v>57865</v>
      </c>
    </row>
    <row r="347" spans="1:22" x14ac:dyDescent="0.25">
      <c r="A347" s="27" t="s">
        <v>796</v>
      </c>
      <c r="B347" s="27" t="s">
        <v>874</v>
      </c>
      <c r="C347" s="27" t="s">
        <v>401</v>
      </c>
      <c r="D347" s="32">
        <f>15697+36624</f>
        <v>52321</v>
      </c>
      <c r="E347" s="32">
        <f>98+228</f>
        <v>326</v>
      </c>
      <c r="F347" s="32">
        <v>0</v>
      </c>
      <c r="G347" s="32">
        <v>0</v>
      </c>
      <c r="H347" s="32">
        <v>0</v>
      </c>
      <c r="I347" s="32">
        <v>11236</v>
      </c>
      <c r="J347" s="32">
        <v>7865</v>
      </c>
      <c r="K347" s="32"/>
      <c r="M347" s="42" t="s">
        <v>796</v>
      </c>
      <c r="N347" s="43" t="s">
        <v>874</v>
      </c>
      <c r="O347" s="43" t="s">
        <v>401</v>
      </c>
      <c r="P347" s="44">
        <v>52321</v>
      </c>
      <c r="Q347" s="45">
        <v>326</v>
      </c>
      <c r="R347" s="45">
        <v>0</v>
      </c>
      <c r="S347" s="45">
        <v>0</v>
      </c>
      <c r="T347" s="45">
        <v>0</v>
      </c>
      <c r="U347" s="45">
        <v>11236</v>
      </c>
      <c r="V347" s="46">
        <v>7865</v>
      </c>
    </row>
    <row r="348" spans="1:22" x14ac:dyDescent="0.25">
      <c r="A348" s="27" t="s">
        <v>795</v>
      </c>
      <c r="B348" s="27" t="s">
        <v>874</v>
      </c>
      <c r="C348" s="27" t="s">
        <v>402</v>
      </c>
      <c r="D348" s="32">
        <f>27884+2+2+8+35346+2+35</f>
        <v>63279</v>
      </c>
      <c r="E348" s="32">
        <f>537+851+43+911+764</f>
        <v>3106</v>
      </c>
      <c r="F348" s="32">
        <v>0</v>
      </c>
      <c r="G348" s="32">
        <v>0</v>
      </c>
      <c r="H348" s="32">
        <v>0</v>
      </c>
      <c r="I348" s="32">
        <v>11800</v>
      </c>
      <c r="J348" s="32">
        <v>31851</v>
      </c>
      <c r="K348" s="32"/>
      <c r="M348" s="42" t="s">
        <v>795</v>
      </c>
      <c r="N348" s="43" t="s">
        <v>874</v>
      </c>
      <c r="O348" s="43" t="s">
        <v>402</v>
      </c>
      <c r="P348" s="44">
        <v>63279</v>
      </c>
      <c r="Q348" s="45">
        <v>3106</v>
      </c>
      <c r="R348" s="45">
        <v>0</v>
      </c>
      <c r="S348" s="45">
        <v>0</v>
      </c>
      <c r="T348" s="45">
        <v>0</v>
      </c>
      <c r="U348" s="45">
        <v>11800</v>
      </c>
      <c r="V348" s="46">
        <v>31851</v>
      </c>
    </row>
    <row r="349" spans="1:22" x14ac:dyDescent="0.25">
      <c r="A349" s="27" t="s">
        <v>248</v>
      </c>
      <c r="B349" s="27" t="s">
        <v>874</v>
      </c>
      <c r="C349" s="27" t="s">
        <v>403</v>
      </c>
      <c r="D349" s="32">
        <f>18857+43999</f>
        <v>62856</v>
      </c>
      <c r="E349" s="32">
        <f>557+1297</f>
        <v>1854</v>
      </c>
      <c r="F349" s="32">
        <v>0</v>
      </c>
      <c r="G349" s="32">
        <v>0</v>
      </c>
      <c r="H349" s="32">
        <v>0</v>
      </c>
      <c r="I349" s="32">
        <v>679</v>
      </c>
      <c r="J349" s="32">
        <v>475</v>
      </c>
      <c r="K349" s="32"/>
      <c r="M349" s="42" t="s">
        <v>248</v>
      </c>
      <c r="N349" s="43" t="s">
        <v>874</v>
      </c>
      <c r="O349" s="43" t="s">
        <v>403</v>
      </c>
      <c r="P349" s="44">
        <v>62856</v>
      </c>
      <c r="Q349" s="45">
        <v>1854</v>
      </c>
      <c r="R349" s="45">
        <v>0</v>
      </c>
      <c r="S349" s="45">
        <v>0</v>
      </c>
      <c r="T349" s="45">
        <v>0</v>
      </c>
      <c r="U349" s="45">
        <v>679</v>
      </c>
      <c r="V349" s="46">
        <v>475</v>
      </c>
    </row>
    <row r="350" spans="1:22" x14ac:dyDescent="0.25">
      <c r="A350" s="27" t="s">
        <v>797</v>
      </c>
      <c r="B350" s="27" t="s">
        <v>874</v>
      </c>
      <c r="C350" s="27" t="s">
        <v>404</v>
      </c>
      <c r="D350" s="32">
        <f>62639+2+43+2+6+1+31+29886+4</f>
        <v>92614</v>
      </c>
      <c r="E350" s="32">
        <f>865+42+8+676+22+4</f>
        <v>1617</v>
      </c>
      <c r="F350" s="32">
        <v>0</v>
      </c>
      <c r="G350" s="32">
        <v>0</v>
      </c>
      <c r="H350" s="32">
        <v>0</v>
      </c>
      <c r="I350" s="32">
        <v>60277</v>
      </c>
      <c r="J350" s="32">
        <v>25976</v>
      </c>
      <c r="K350" s="32"/>
      <c r="M350" s="42" t="s">
        <v>797</v>
      </c>
      <c r="N350" s="43" t="s">
        <v>874</v>
      </c>
      <c r="O350" s="43" t="s">
        <v>404</v>
      </c>
      <c r="P350" s="44">
        <v>92614</v>
      </c>
      <c r="Q350" s="45">
        <v>1617</v>
      </c>
      <c r="R350" s="45">
        <v>0</v>
      </c>
      <c r="S350" s="45">
        <v>0</v>
      </c>
      <c r="T350" s="45">
        <v>0</v>
      </c>
      <c r="U350" s="45">
        <v>60277</v>
      </c>
      <c r="V350" s="46">
        <v>25976</v>
      </c>
    </row>
    <row r="351" spans="1:22" x14ac:dyDescent="0.25">
      <c r="A351" s="27" t="s">
        <v>83</v>
      </c>
      <c r="B351" s="27" t="s">
        <v>874</v>
      </c>
      <c r="C351" s="27" t="s">
        <v>405</v>
      </c>
      <c r="D351" s="32">
        <f>8146+39+111+4807</f>
        <v>13103</v>
      </c>
      <c r="E351" s="32">
        <f>2+25</f>
        <v>27</v>
      </c>
      <c r="F351" s="32">
        <v>0</v>
      </c>
      <c r="G351" s="32">
        <v>0</v>
      </c>
      <c r="H351" s="32">
        <v>0</v>
      </c>
      <c r="I351" s="32">
        <v>8112</v>
      </c>
      <c r="J351" s="32">
        <v>3288</v>
      </c>
      <c r="K351" s="32"/>
      <c r="M351" s="42" t="s">
        <v>83</v>
      </c>
      <c r="N351" s="43" t="s">
        <v>874</v>
      </c>
      <c r="O351" s="43" t="s">
        <v>405</v>
      </c>
      <c r="P351" s="44">
        <v>13103</v>
      </c>
      <c r="Q351" s="45">
        <v>27</v>
      </c>
      <c r="R351" s="45">
        <v>0</v>
      </c>
      <c r="S351" s="45">
        <v>0</v>
      </c>
      <c r="T351" s="45">
        <v>0</v>
      </c>
      <c r="U351" s="45">
        <v>8112</v>
      </c>
      <c r="V351" s="46">
        <v>3288</v>
      </c>
    </row>
    <row r="352" spans="1:22" x14ac:dyDescent="0.25">
      <c r="A352" s="27" t="s">
        <v>248</v>
      </c>
      <c r="B352" s="27" t="s">
        <v>874</v>
      </c>
      <c r="C352" s="27" t="s">
        <v>406</v>
      </c>
      <c r="D352" s="32">
        <f>53171+22+90+126+8+7+1+111+14769+1</f>
        <v>68306</v>
      </c>
      <c r="E352" s="32">
        <f>746+83+19+91+68+18</f>
        <v>1025</v>
      </c>
      <c r="F352" s="32">
        <v>0</v>
      </c>
      <c r="G352" s="32">
        <v>0</v>
      </c>
      <c r="H352" s="32">
        <v>0</v>
      </c>
      <c r="I352" s="32">
        <v>115275</v>
      </c>
      <c r="J352" s="32">
        <v>9640</v>
      </c>
      <c r="K352" s="32"/>
      <c r="M352" s="42" t="s">
        <v>248</v>
      </c>
      <c r="N352" s="43" t="s">
        <v>874</v>
      </c>
      <c r="O352" s="43" t="s">
        <v>406</v>
      </c>
      <c r="P352" s="44">
        <v>68306</v>
      </c>
      <c r="Q352" s="45">
        <v>1025</v>
      </c>
      <c r="R352" s="45">
        <v>0</v>
      </c>
      <c r="S352" s="45">
        <v>0</v>
      </c>
      <c r="T352" s="45">
        <v>0</v>
      </c>
      <c r="U352" s="45">
        <v>115275</v>
      </c>
      <c r="V352" s="46">
        <v>9640</v>
      </c>
    </row>
    <row r="353" spans="1:22" x14ac:dyDescent="0.25">
      <c r="A353" s="27" t="s">
        <v>10</v>
      </c>
      <c r="B353" s="27" t="s">
        <v>874</v>
      </c>
      <c r="C353" s="27" t="s">
        <v>779</v>
      </c>
      <c r="D353" s="32"/>
      <c r="E353" s="32"/>
      <c r="F353" s="32"/>
      <c r="G353" s="32"/>
      <c r="H353" s="32"/>
      <c r="I353" s="32"/>
      <c r="J353" s="32"/>
      <c r="K353" s="32"/>
      <c r="M353" s="42" t="s">
        <v>10</v>
      </c>
      <c r="N353" s="43" t="s">
        <v>874</v>
      </c>
      <c r="O353" s="43" t="s">
        <v>779</v>
      </c>
      <c r="P353" s="44"/>
      <c r="Q353" s="45"/>
      <c r="R353" s="45"/>
      <c r="S353" s="45"/>
      <c r="T353" s="45"/>
      <c r="U353" s="45"/>
      <c r="V353" s="46"/>
    </row>
    <row r="354" spans="1:22" x14ac:dyDescent="0.25">
      <c r="A354" s="27" t="s">
        <v>848</v>
      </c>
      <c r="B354" s="27" t="s">
        <v>874</v>
      </c>
      <c r="C354" s="27" t="s">
        <v>407</v>
      </c>
      <c r="D354" s="32">
        <f>36663+2+4+31+52+10+204+5670+409</f>
        <v>43045</v>
      </c>
      <c r="E354" s="32">
        <f>106+16+4+130</f>
        <v>256</v>
      </c>
      <c r="F354" s="32">
        <v>0</v>
      </c>
      <c r="G354" s="32">
        <v>0</v>
      </c>
      <c r="H354" s="32">
        <v>0</v>
      </c>
      <c r="I354" s="32">
        <v>6859</v>
      </c>
      <c r="J354" s="32">
        <v>6303</v>
      </c>
      <c r="K354" s="32"/>
      <c r="M354" s="42" t="s">
        <v>848</v>
      </c>
      <c r="N354" s="43" t="s">
        <v>874</v>
      </c>
      <c r="O354" s="43" t="s">
        <v>407</v>
      </c>
      <c r="P354" s="44">
        <v>43045</v>
      </c>
      <c r="Q354" s="45">
        <v>256</v>
      </c>
      <c r="R354" s="45">
        <v>0</v>
      </c>
      <c r="S354" s="45">
        <v>0</v>
      </c>
      <c r="T354" s="45">
        <v>0</v>
      </c>
      <c r="U354" s="45">
        <v>6859</v>
      </c>
      <c r="V354" s="46">
        <v>6303</v>
      </c>
    </row>
    <row r="355" spans="1:22" x14ac:dyDescent="0.25">
      <c r="A355" s="27" t="s">
        <v>801</v>
      </c>
      <c r="B355" s="27" t="s">
        <v>874</v>
      </c>
      <c r="C355" s="27" t="s">
        <v>408</v>
      </c>
      <c r="D355" s="32"/>
      <c r="E355" s="32"/>
      <c r="F355" s="32"/>
      <c r="G355" s="32"/>
      <c r="H355" s="32"/>
      <c r="I355" s="32"/>
      <c r="J355" s="32"/>
      <c r="K355" s="32"/>
      <c r="M355" s="42" t="s">
        <v>801</v>
      </c>
      <c r="N355" s="43" t="s">
        <v>874</v>
      </c>
      <c r="O355" s="43" t="s">
        <v>408</v>
      </c>
      <c r="P355" s="44"/>
      <c r="Q355" s="45"/>
      <c r="R355" s="45"/>
      <c r="S355" s="45"/>
      <c r="T355" s="45"/>
      <c r="U355" s="45"/>
      <c r="V355" s="46"/>
    </row>
    <row r="356" spans="1:22" x14ac:dyDescent="0.25">
      <c r="A356" s="27" t="s">
        <v>811</v>
      </c>
      <c r="B356" s="27" t="s">
        <v>874</v>
      </c>
      <c r="C356" s="27" t="s">
        <v>409</v>
      </c>
      <c r="D356" s="32">
        <f>81567+5+618+19+8+84441+2</f>
        <v>166660</v>
      </c>
      <c r="E356" s="32">
        <f>182+223+6+111+450</f>
        <v>972</v>
      </c>
      <c r="F356" s="32">
        <v>0</v>
      </c>
      <c r="G356" s="32">
        <v>0</v>
      </c>
      <c r="H356" s="32">
        <v>0</v>
      </c>
      <c r="I356" s="32">
        <v>106019</v>
      </c>
      <c r="J356" s="32">
        <v>69567</v>
      </c>
      <c r="K356" s="32"/>
      <c r="M356" s="42" t="s">
        <v>811</v>
      </c>
      <c r="N356" s="43" t="s">
        <v>874</v>
      </c>
      <c r="O356" s="43" t="s">
        <v>409</v>
      </c>
      <c r="P356" s="44">
        <v>166660</v>
      </c>
      <c r="Q356" s="45">
        <v>972</v>
      </c>
      <c r="R356" s="45">
        <v>0</v>
      </c>
      <c r="S356" s="45">
        <v>0</v>
      </c>
      <c r="T356" s="45">
        <v>0</v>
      </c>
      <c r="U356" s="45">
        <v>106019</v>
      </c>
      <c r="V356" s="46">
        <v>69567</v>
      </c>
    </row>
    <row r="357" spans="1:22" x14ac:dyDescent="0.25">
      <c r="A357" s="27" t="s">
        <v>83</v>
      </c>
      <c r="B357" s="27" t="s">
        <v>874</v>
      </c>
      <c r="C357" s="27" t="s">
        <v>410</v>
      </c>
      <c r="D357" s="32">
        <f>7315+2+2352</f>
        <v>9669</v>
      </c>
      <c r="E357" s="32">
        <f>5+61+16</f>
        <v>82</v>
      </c>
      <c r="F357" s="32">
        <v>0</v>
      </c>
      <c r="G357" s="32">
        <v>0</v>
      </c>
      <c r="H357" s="32">
        <v>0</v>
      </c>
      <c r="I357" s="32">
        <v>31555</v>
      </c>
      <c r="J357" s="32">
        <v>2115</v>
      </c>
      <c r="K357" s="32"/>
      <c r="M357" s="42" t="s">
        <v>83</v>
      </c>
      <c r="N357" s="43" t="s">
        <v>874</v>
      </c>
      <c r="O357" s="43" t="s">
        <v>410</v>
      </c>
      <c r="P357" s="44">
        <v>9669</v>
      </c>
      <c r="Q357" s="45">
        <v>82</v>
      </c>
      <c r="R357" s="45">
        <v>0</v>
      </c>
      <c r="S357" s="45">
        <v>0</v>
      </c>
      <c r="T357" s="45">
        <v>0</v>
      </c>
      <c r="U357" s="45">
        <v>31555</v>
      </c>
      <c r="V357" s="46">
        <v>2115</v>
      </c>
    </row>
    <row r="358" spans="1:22" x14ac:dyDescent="0.25">
      <c r="A358" s="27" t="s">
        <v>120</v>
      </c>
      <c r="B358" s="27" t="s">
        <v>874</v>
      </c>
      <c r="C358" s="27" t="s">
        <v>411</v>
      </c>
      <c r="D358" s="32">
        <f>54137+11+36845</f>
        <v>90993</v>
      </c>
      <c r="E358" s="32">
        <f>4+46+1+2</f>
        <v>53</v>
      </c>
      <c r="F358" s="32">
        <v>0</v>
      </c>
      <c r="G358" s="32">
        <v>0</v>
      </c>
      <c r="H358" s="32">
        <v>0</v>
      </c>
      <c r="I358" s="32">
        <v>85120</v>
      </c>
      <c r="J358" s="32">
        <v>31923</v>
      </c>
      <c r="K358" s="32"/>
      <c r="M358" s="42" t="s">
        <v>120</v>
      </c>
      <c r="N358" s="43" t="s">
        <v>874</v>
      </c>
      <c r="O358" s="43" t="s">
        <v>411</v>
      </c>
      <c r="P358" s="44">
        <v>90993</v>
      </c>
      <c r="Q358" s="45">
        <v>53</v>
      </c>
      <c r="R358" s="45">
        <v>0</v>
      </c>
      <c r="S358" s="45">
        <v>0</v>
      </c>
      <c r="T358" s="45">
        <v>0</v>
      </c>
      <c r="U358" s="45">
        <v>85120</v>
      </c>
      <c r="V358" s="46">
        <v>31923</v>
      </c>
    </row>
    <row r="359" spans="1:22" x14ac:dyDescent="0.25">
      <c r="A359" s="27" t="s">
        <v>134</v>
      </c>
      <c r="B359" s="27" t="s">
        <v>874</v>
      </c>
      <c r="C359" s="27" t="s">
        <v>412</v>
      </c>
      <c r="D359" s="32">
        <f>19263+12+6225+4</f>
        <v>25504</v>
      </c>
      <c r="E359" s="32">
        <f>14+33+50</f>
        <v>97</v>
      </c>
      <c r="F359" s="32">
        <v>0</v>
      </c>
      <c r="G359" s="32">
        <v>0</v>
      </c>
      <c r="H359" s="32">
        <v>0</v>
      </c>
      <c r="I359" s="32">
        <v>20668</v>
      </c>
      <c r="J359" s="32">
        <v>5188</v>
      </c>
      <c r="K359" s="32"/>
      <c r="M359" s="42" t="s">
        <v>134</v>
      </c>
      <c r="N359" s="43" t="s">
        <v>874</v>
      </c>
      <c r="O359" s="43" t="s">
        <v>412</v>
      </c>
      <c r="P359" s="44">
        <v>25504</v>
      </c>
      <c r="Q359" s="45">
        <v>97</v>
      </c>
      <c r="R359" s="45">
        <v>0</v>
      </c>
      <c r="S359" s="45">
        <v>0</v>
      </c>
      <c r="T359" s="45">
        <v>0</v>
      </c>
      <c r="U359" s="45">
        <v>20668</v>
      </c>
      <c r="V359" s="46">
        <v>5188</v>
      </c>
    </row>
    <row r="360" spans="1:22" x14ac:dyDescent="0.25">
      <c r="A360" s="27" t="s">
        <v>120</v>
      </c>
      <c r="B360" s="27" t="s">
        <v>874</v>
      </c>
      <c r="C360" s="27" t="s">
        <v>413</v>
      </c>
      <c r="D360" s="32">
        <f>50638+9+2+1095+2+17+15636</f>
        <v>67399</v>
      </c>
      <c r="E360" s="32">
        <f>115+5+8+67+2</f>
        <v>197</v>
      </c>
      <c r="F360" s="32">
        <v>0</v>
      </c>
      <c r="G360" s="32">
        <v>0</v>
      </c>
      <c r="H360" s="32">
        <v>0</v>
      </c>
      <c r="I360" s="32">
        <v>21545</v>
      </c>
      <c r="J360" s="32">
        <v>9543</v>
      </c>
      <c r="K360" s="32"/>
      <c r="M360" s="42" t="s">
        <v>120</v>
      </c>
      <c r="N360" s="43" t="s">
        <v>874</v>
      </c>
      <c r="O360" s="43" t="s">
        <v>413</v>
      </c>
      <c r="P360" s="44">
        <v>67399</v>
      </c>
      <c r="Q360" s="45">
        <v>197</v>
      </c>
      <c r="R360" s="45">
        <v>0</v>
      </c>
      <c r="S360" s="45">
        <v>0</v>
      </c>
      <c r="T360" s="45">
        <v>0</v>
      </c>
      <c r="U360" s="45">
        <v>21545</v>
      </c>
      <c r="V360" s="46">
        <v>9543</v>
      </c>
    </row>
    <row r="361" spans="1:22" x14ac:dyDescent="0.25">
      <c r="A361" s="27" t="s">
        <v>138</v>
      </c>
      <c r="B361" s="27" t="s">
        <v>874</v>
      </c>
      <c r="C361" s="27" t="s">
        <v>414</v>
      </c>
      <c r="D361" s="32"/>
      <c r="E361" s="32"/>
      <c r="F361" s="32"/>
      <c r="G361" s="32"/>
      <c r="H361" s="32"/>
      <c r="I361" s="32"/>
      <c r="J361" s="32"/>
      <c r="K361" s="32"/>
      <c r="M361" s="42" t="s">
        <v>138</v>
      </c>
      <c r="N361" s="43" t="s">
        <v>874</v>
      </c>
      <c r="O361" s="43" t="s">
        <v>414</v>
      </c>
      <c r="P361" s="44"/>
      <c r="Q361" s="45"/>
      <c r="R361" s="45"/>
      <c r="S361" s="45"/>
      <c r="T361" s="45"/>
      <c r="U361" s="45"/>
      <c r="V361" s="46"/>
    </row>
    <row r="362" spans="1:22" x14ac:dyDescent="0.25">
      <c r="A362" s="27" t="s">
        <v>796</v>
      </c>
      <c r="B362" s="27" t="s">
        <v>874</v>
      </c>
      <c r="C362" s="27" t="s">
        <v>415</v>
      </c>
      <c r="D362" s="32">
        <f>51097+1+1281+4+23943+6</f>
        <v>76332</v>
      </c>
      <c r="E362" s="32">
        <f>256+7+96+416+69+1</f>
        <v>845</v>
      </c>
      <c r="F362" s="32">
        <v>0</v>
      </c>
      <c r="G362" s="32">
        <v>0</v>
      </c>
      <c r="H362" s="32">
        <v>0</v>
      </c>
      <c r="I362" s="32">
        <v>100297</v>
      </c>
      <c r="J362" s="32">
        <v>21702</v>
      </c>
      <c r="K362" s="32"/>
      <c r="M362" s="42" t="s">
        <v>796</v>
      </c>
      <c r="N362" s="43" t="s">
        <v>874</v>
      </c>
      <c r="O362" s="43" t="s">
        <v>415</v>
      </c>
      <c r="P362" s="44">
        <v>76332</v>
      </c>
      <c r="Q362" s="45">
        <v>845</v>
      </c>
      <c r="R362" s="45">
        <v>0</v>
      </c>
      <c r="S362" s="45">
        <v>0</v>
      </c>
      <c r="T362" s="45">
        <v>0</v>
      </c>
      <c r="U362" s="45">
        <v>100297</v>
      </c>
      <c r="V362" s="46">
        <v>21702</v>
      </c>
    </row>
    <row r="363" spans="1:22" x14ac:dyDescent="0.25">
      <c r="A363" s="27" t="s">
        <v>226</v>
      </c>
      <c r="B363" s="27" t="s">
        <v>874</v>
      </c>
      <c r="C363" s="27" t="s">
        <v>416</v>
      </c>
      <c r="D363" s="32">
        <f>14661+14+766+5+28+4834+1</f>
        <v>20309</v>
      </c>
      <c r="E363" s="32">
        <f>1+13+8+21+50</f>
        <v>93</v>
      </c>
      <c r="F363" s="32">
        <v>0</v>
      </c>
      <c r="G363" s="32">
        <v>0</v>
      </c>
      <c r="H363" s="32">
        <v>0</v>
      </c>
      <c r="I363" s="32">
        <v>72901</v>
      </c>
      <c r="J363" s="32">
        <v>4473</v>
      </c>
      <c r="K363" s="32"/>
      <c r="M363" s="42" t="s">
        <v>226</v>
      </c>
      <c r="N363" s="43" t="s">
        <v>874</v>
      </c>
      <c r="O363" s="43" t="s">
        <v>416</v>
      </c>
      <c r="P363" s="44">
        <v>20309</v>
      </c>
      <c r="Q363" s="45">
        <v>93</v>
      </c>
      <c r="R363" s="45">
        <v>0</v>
      </c>
      <c r="S363" s="45">
        <v>0</v>
      </c>
      <c r="T363" s="45">
        <v>0</v>
      </c>
      <c r="U363" s="45">
        <v>72901</v>
      </c>
      <c r="V363" s="46">
        <v>4473</v>
      </c>
    </row>
    <row r="364" spans="1:22" x14ac:dyDescent="0.25">
      <c r="A364" s="27" t="s">
        <v>138</v>
      </c>
      <c r="B364" s="27" t="s">
        <v>874</v>
      </c>
      <c r="C364" s="27" t="s">
        <v>417</v>
      </c>
      <c r="D364" s="32"/>
      <c r="E364" s="32"/>
      <c r="F364" s="32"/>
      <c r="G364" s="32"/>
      <c r="H364" s="32"/>
      <c r="I364" s="32"/>
      <c r="J364" s="32"/>
      <c r="K364" s="32"/>
      <c r="M364" s="42" t="s">
        <v>138</v>
      </c>
      <c r="N364" s="43" t="s">
        <v>874</v>
      </c>
      <c r="O364" s="43" t="s">
        <v>417</v>
      </c>
      <c r="P364" s="44"/>
      <c r="Q364" s="45"/>
      <c r="R364" s="45"/>
      <c r="S364" s="45"/>
      <c r="T364" s="45"/>
      <c r="U364" s="45"/>
      <c r="V364" s="46"/>
    </row>
    <row r="365" spans="1:22" x14ac:dyDescent="0.25">
      <c r="A365" s="27" t="s">
        <v>138</v>
      </c>
      <c r="B365" s="27" t="s">
        <v>874</v>
      </c>
      <c r="C365" s="27" t="s">
        <v>418</v>
      </c>
      <c r="D365" s="32"/>
      <c r="E365" s="32"/>
      <c r="F365" s="32"/>
      <c r="G365" s="32"/>
      <c r="H365" s="32"/>
      <c r="I365" s="32"/>
      <c r="J365" s="32"/>
      <c r="K365" s="32"/>
      <c r="M365" s="42" t="s">
        <v>138</v>
      </c>
      <c r="N365" s="43" t="s">
        <v>874</v>
      </c>
      <c r="O365" s="43" t="s">
        <v>418</v>
      </c>
      <c r="P365" s="44"/>
      <c r="Q365" s="45"/>
      <c r="R365" s="45"/>
      <c r="S365" s="45"/>
      <c r="T365" s="45"/>
      <c r="U365" s="45"/>
      <c r="V365" s="46"/>
    </row>
    <row r="366" spans="1:22" x14ac:dyDescent="0.25">
      <c r="A366" s="27" t="s">
        <v>796</v>
      </c>
      <c r="B366" s="27" t="s">
        <v>874</v>
      </c>
      <c r="C366" s="27" t="s">
        <v>419</v>
      </c>
      <c r="D366" s="32">
        <f>76621+16+8+1+1154+4+133+58+1+91+36336+1+1+1+1+20</f>
        <v>114447</v>
      </c>
      <c r="E366" s="32">
        <f>682+46+14+35+31+7</f>
        <v>815</v>
      </c>
      <c r="F366" s="32">
        <v>0</v>
      </c>
      <c r="G366" s="32">
        <v>0</v>
      </c>
      <c r="H366" s="32">
        <v>0</v>
      </c>
      <c r="I366" s="32">
        <v>258068</v>
      </c>
      <c r="J366" s="32">
        <v>33480</v>
      </c>
      <c r="K366" s="32"/>
      <c r="M366" s="42" t="s">
        <v>796</v>
      </c>
      <c r="N366" s="43" t="s">
        <v>874</v>
      </c>
      <c r="O366" s="43" t="s">
        <v>419</v>
      </c>
      <c r="P366" s="44">
        <v>114447</v>
      </c>
      <c r="Q366" s="45">
        <v>815</v>
      </c>
      <c r="R366" s="45">
        <v>0</v>
      </c>
      <c r="S366" s="45">
        <v>0</v>
      </c>
      <c r="T366" s="45">
        <v>0</v>
      </c>
      <c r="U366" s="45">
        <v>258068</v>
      </c>
      <c r="V366" s="46">
        <v>33480</v>
      </c>
    </row>
    <row r="367" spans="1:22" x14ac:dyDescent="0.25">
      <c r="A367" s="27" t="s">
        <v>831</v>
      </c>
      <c r="B367" s="27" t="s">
        <v>874</v>
      </c>
      <c r="C367" s="27" t="s">
        <v>420</v>
      </c>
      <c r="D367" s="32"/>
      <c r="E367" s="32"/>
      <c r="F367" s="32"/>
      <c r="G367" s="32"/>
      <c r="H367" s="32"/>
      <c r="I367" s="32"/>
      <c r="J367" s="32"/>
      <c r="K367" s="32"/>
      <c r="M367" s="42" t="s">
        <v>831</v>
      </c>
      <c r="N367" s="43" t="s">
        <v>874</v>
      </c>
      <c r="O367" s="43" t="s">
        <v>420</v>
      </c>
      <c r="P367" s="44"/>
      <c r="Q367" s="45"/>
      <c r="R367" s="45"/>
      <c r="S367" s="45"/>
      <c r="T367" s="45"/>
      <c r="U367" s="45"/>
      <c r="V367" s="46"/>
    </row>
    <row r="368" spans="1:22" x14ac:dyDescent="0.25">
      <c r="A368" s="27" t="s">
        <v>69</v>
      </c>
      <c r="B368" s="27" t="s">
        <v>874</v>
      </c>
      <c r="C368" s="27" t="s">
        <v>421</v>
      </c>
      <c r="D368" s="32">
        <f>107538+56+1958+5+34+31776+8</f>
        <v>141375</v>
      </c>
      <c r="E368" s="32">
        <f>15+2+4+161+120+13</f>
        <v>315</v>
      </c>
      <c r="F368" s="32">
        <v>0</v>
      </c>
      <c r="G368" s="32">
        <v>0</v>
      </c>
      <c r="H368" s="32">
        <v>0</v>
      </c>
      <c r="I368" s="32">
        <v>80076</v>
      </c>
      <c r="J368" s="32">
        <v>25897</v>
      </c>
      <c r="K368" s="32"/>
      <c r="M368" s="42" t="s">
        <v>69</v>
      </c>
      <c r="N368" s="43" t="s">
        <v>874</v>
      </c>
      <c r="O368" s="43" t="s">
        <v>421</v>
      </c>
      <c r="P368" s="44">
        <v>141375</v>
      </c>
      <c r="Q368" s="45">
        <v>315</v>
      </c>
      <c r="R368" s="45">
        <v>0</v>
      </c>
      <c r="S368" s="45">
        <v>0</v>
      </c>
      <c r="T368" s="45">
        <v>0</v>
      </c>
      <c r="U368" s="45">
        <v>80076</v>
      </c>
      <c r="V368" s="46">
        <v>25897</v>
      </c>
    </row>
    <row r="369" spans="1:22" x14ac:dyDescent="0.25">
      <c r="A369" s="27" t="s">
        <v>146</v>
      </c>
      <c r="B369" s="27" t="s">
        <v>874</v>
      </c>
      <c r="C369" s="27" t="s">
        <v>422</v>
      </c>
      <c r="D369" s="32">
        <f>66670+6+3+114+487+42704+174</f>
        <v>110158</v>
      </c>
      <c r="E369" s="32">
        <f>189+13+129+128+286</f>
        <v>745</v>
      </c>
      <c r="F369" s="32">
        <v>0</v>
      </c>
      <c r="G369" s="32">
        <v>0</v>
      </c>
      <c r="H369" s="32">
        <v>0</v>
      </c>
      <c r="I369" s="32">
        <v>60597</v>
      </c>
      <c r="J369" s="32">
        <v>31637</v>
      </c>
      <c r="K369" s="32"/>
      <c r="M369" s="42" t="s">
        <v>146</v>
      </c>
      <c r="N369" s="43" t="s">
        <v>874</v>
      </c>
      <c r="O369" s="43" t="s">
        <v>422</v>
      </c>
      <c r="P369" s="44">
        <v>110158</v>
      </c>
      <c r="Q369" s="45">
        <v>745</v>
      </c>
      <c r="R369" s="45">
        <v>0</v>
      </c>
      <c r="S369" s="45">
        <v>0</v>
      </c>
      <c r="T369" s="45">
        <v>0</v>
      </c>
      <c r="U369" s="45">
        <v>60597</v>
      </c>
      <c r="V369" s="46">
        <v>31637</v>
      </c>
    </row>
    <row r="370" spans="1:22" x14ac:dyDescent="0.25">
      <c r="A370" s="27" t="s">
        <v>146</v>
      </c>
      <c r="B370" s="27" t="s">
        <v>874</v>
      </c>
      <c r="C370" s="27" t="s">
        <v>423</v>
      </c>
      <c r="D370" s="32">
        <f>41671+31+92+185+42995+8</f>
        <v>84982</v>
      </c>
      <c r="E370" s="32">
        <f>2+1+25+106</f>
        <v>134</v>
      </c>
      <c r="F370" s="32">
        <v>0</v>
      </c>
      <c r="G370" s="32">
        <v>0</v>
      </c>
      <c r="H370" s="32">
        <v>0</v>
      </c>
      <c r="I370" s="32">
        <v>42290</v>
      </c>
      <c r="J370" s="32">
        <v>32073</v>
      </c>
      <c r="K370" s="32"/>
      <c r="M370" s="42" t="s">
        <v>146</v>
      </c>
      <c r="N370" s="43" t="s">
        <v>874</v>
      </c>
      <c r="O370" s="43" t="s">
        <v>423</v>
      </c>
      <c r="P370" s="44">
        <v>84982</v>
      </c>
      <c r="Q370" s="45">
        <v>134</v>
      </c>
      <c r="R370" s="45">
        <v>0</v>
      </c>
      <c r="S370" s="45">
        <v>0</v>
      </c>
      <c r="T370" s="45">
        <v>0</v>
      </c>
      <c r="U370" s="45">
        <v>42290</v>
      </c>
      <c r="V370" s="46">
        <v>32073</v>
      </c>
    </row>
    <row r="371" spans="1:22" x14ac:dyDescent="0.25">
      <c r="A371" s="27" t="s">
        <v>76</v>
      </c>
      <c r="B371" s="27" t="s">
        <v>874</v>
      </c>
      <c r="C371" s="27" t="s">
        <v>424</v>
      </c>
      <c r="D371" s="32">
        <f>95419+1+1+1+603+4+7+33988+27+1+4</f>
        <v>130056</v>
      </c>
      <c r="E371" s="32">
        <f>9+50</f>
        <v>59</v>
      </c>
      <c r="F371" s="32">
        <v>0</v>
      </c>
      <c r="G371" s="32">
        <v>0</v>
      </c>
      <c r="H371" s="32">
        <v>0</v>
      </c>
      <c r="I371" s="32">
        <v>161529</v>
      </c>
      <c r="J371" s="32">
        <v>27831</v>
      </c>
      <c r="K371" s="32"/>
      <c r="M371" s="42" t="s">
        <v>76</v>
      </c>
      <c r="N371" s="43" t="s">
        <v>874</v>
      </c>
      <c r="O371" s="43" t="s">
        <v>424</v>
      </c>
      <c r="P371" s="44">
        <v>130056</v>
      </c>
      <c r="Q371" s="45">
        <v>59</v>
      </c>
      <c r="R371" s="45">
        <v>0</v>
      </c>
      <c r="S371" s="45">
        <v>0</v>
      </c>
      <c r="T371" s="45">
        <v>0</v>
      </c>
      <c r="U371" s="45">
        <v>161529</v>
      </c>
      <c r="V371" s="46">
        <v>27831</v>
      </c>
    </row>
    <row r="372" spans="1:22" x14ac:dyDescent="0.25">
      <c r="A372" s="27" t="s">
        <v>795</v>
      </c>
      <c r="B372" s="27" t="s">
        <v>874</v>
      </c>
      <c r="C372" s="27" t="s">
        <v>425</v>
      </c>
      <c r="D372" s="32">
        <f>156259+1+1+4+75322+370+2+2</f>
        <v>231961</v>
      </c>
      <c r="E372" s="32">
        <f>20+26+49+7</f>
        <v>102</v>
      </c>
      <c r="F372" s="32">
        <v>0</v>
      </c>
      <c r="G372" s="32">
        <v>0</v>
      </c>
      <c r="H372" s="32">
        <v>0</v>
      </c>
      <c r="I372" s="32">
        <v>134227</v>
      </c>
      <c r="J372" s="32">
        <v>65453</v>
      </c>
      <c r="K372" s="32"/>
      <c r="M372" s="42" t="s">
        <v>795</v>
      </c>
      <c r="N372" s="43" t="s">
        <v>874</v>
      </c>
      <c r="O372" s="43" t="s">
        <v>425</v>
      </c>
      <c r="P372" s="44">
        <v>231961</v>
      </c>
      <c r="Q372" s="45">
        <v>102</v>
      </c>
      <c r="R372" s="45">
        <v>0</v>
      </c>
      <c r="S372" s="45">
        <v>0</v>
      </c>
      <c r="T372" s="45">
        <v>0</v>
      </c>
      <c r="U372" s="45">
        <v>134227</v>
      </c>
      <c r="V372" s="46">
        <v>65453</v>
      </c>
    </row>
    <row r="373" spans="1:22" x14ac:dyDescent="0.25">
      <c r="A373" s="27" t="s">
        <v>824</v>
      </c>
      <c r="B373" s="27" t="s">
        <v>874</v>
      </c>
      <c r="C373" s="27" t="s">
        <v>426</v>
      </c>
      <c r="D373" s="32">
        <f>29917+1+60+87+4+34549</f>
        <v>64618</v>
      </c>
      <c r="E373" s="32">
        <f>73+45+20+4</f>
        <v>142</v>
      </c>
      <c r="F373" s="32">
        <v>0</v>
      </c>
      <c r="G373" s="32">
        <v>0</v>
      </c>
      <c r="H373" s="32">
        <v>0</v>
      </c>
      <c r="I373" s="32">
        <v>71294</v>
      </c>
      <c r="J373" s="32">
        <v>30852</v>
      </c>
      <c r="K373" s="32"/>
      <c r="M373" s="42" t="s">
        <v>824</v>
      </c>
      <c r="N373" s="43" t="s">
        <v>874</v>
      </c>
      <c r="O373" s="43" t="s">
        <v>426</v>
      </c>
      <c r="P373" s="44">
        <v>64618</v>
      </c>
      <c r="Q373" s="45">
        <v>142</v>
      </c>
      <c r="R373" s="45">
        <v>0</v>
      </c>
      <c r="S373" s="45">
        <v>0</v>
      </c>
      <c r="T373" s="45">
        <v>0</v>
      </c>
      <c r="U373" s="45">
        <v>71294</v>
      </c>
      <c r="V373" s="46">
        <v>30852</v>
      </c>
    </row>
    <row r="374" spans="1:22" x14ac:dyDescent="0.25">
      <c r="A374" s="27" t="s">
        <v>788</v>
      </c>
      <c r="B374" s="27" t="s">
        <v>874</v>
      </c>
      <c r="C374" s="27" t="s">
        <v>427</v>
      </c>
      <c r="D374" s="32">
        <f>159605+62+1582+43468+1+2</f>
        <v>204720</v>
      </c>
      <c r="E374" s="32">
        <f>189+78+3+207+11</f>
        <v>488</v>
      </c>
      <c r="F374" s="32">
        <v>0</v>
      </c>
      <c r="G374" s="32">
        <v>0</v>
      </c>
      <c r="H374" s="32">
        <v>0</v>
      </c>
      <c r="I374" s="32">
        <v>155730</v>
      </c>
      <c r="J374" s="32">
        <v>41095</v>
      </c>
      <c r="K374" s="32"/>
      <c r="M374" s="42" t="s">
        <v>788</v>
      </c>
      <c r="N374" s="43" t="s">
        <v>874</v>
      </c>
      <c r="O374" s="43" t="s">
        <v>427</v>
      </c>
      <c r="P374" s="44">
        <v>204720</v>
      </c>
      <c r="Q374" s="45">
        <v>488</v>
      </c>
      <c r="R374" s="45">
        <v>0</v>
      </c>
      <c r="S374" s="45">
        <v>0</v>
      </c>
      <c r="T374" s="45">
        <v>0</v>
      </c>
      <c r="U374" s="45">
        <v>155730</v>
      </c>
      <c r="V374" s="46">
        <v>41095</v>
      </c>
    </row>
    <row r="375" spans="1:22" x14ac:dyDescent="0.25">
      <c r="A375" s="27" t="s">
        <v>226</v>
      </c>
      <c r="B375" s="27" t="s">
        <v>874</v>
      </c>
      <c r="C375" s="27" t="s">
        <v>428</v>
      </c>
      <c r="D375" s="32">
        <f>17228+47+9+65+6820+7</f>
        <v>24176</v>
      </c>
      <c r="E375" s="32">
        <v>5</v>
      </c>
      <c r="F375" s="32">
        <v>0</v>
      </c>
      <c r="G375" s="32">
        <v>0</v>
      </c>
      <c r="H375" s="32">
        <v>0</v>
      </c>
      <c r="I375" s="32">
        <v>30772</v>
      </c>
      <c r="J375" s="32">
        <v>4624</v>
      </c>
      <c r="K375" s="32"/>
      <c r="M375" s="42" t="s">
        <v>226</v>
      </c>
      <c r="N375" s="43" t="s">
        <v>874</v>
      </c>
      <c r="O375" s="43" t="s">
        <v>428</v>
      </c>
      <c r="P375" s="44">
        <v>24176</v>
      </c>
      <c r="Q375" s="45">
        <v>5</v>
      </c>
      <c r="R375" s="45">
        <v>0</v>
      </c>
      <c r="S375" s="45">
        <v>0</v>
      </c>
      <c r="T375" s="45">
        <v>0</v>
      </c>
      <c r="U375" s="45">
        <v>30772</v>
      </c>
      <c r="V375" s="46">
        <v>4624</v>
      </c>
    </row>
    <row r="376" spans="1:22" x14ac:dyDescent="0.25">
      <c r="A376" s="27" t="s">
        <v>791</v>
      </c>
      <c r="B376" s="27" t="s">
        <v>874</v>
      </c>
      <c r="C376" s="27" t="s">
        <v>429</v>
      </c>
      <c r="D376" s="32">
        <f>10147+5+4+35+151+3961</f>
        <v>14303</v>
      </c>
      <c r="E376" s="32">
        <f>31+4+18+1+2</f>
        <v>56</v>
      </c>
      <c r="F376" s="32">
        <v>0</v>
      </c>
      <c r="G376" s="32">
        <v>0</v>
      </c>
      <c r="H376" s="32">
        <v>0</v>
      </c>
      <c r="I376" s="32">
        <v>10908</v>
      </c>
      <c r="J376" s="32">
        <v>2855</v>
      </c>
      <c r="K376" s="32"/>
      <c r="M376" s="42" t="s">
        <v>791</v>
      </c>
      <c r="N376" s="43" t="s">
        <v>874</v>
      </c>
      <c r="O376" s="43" t="s">
        <v>429</v>
      </c>
      <c r="P376" s="44">
        <v>14303</v>
      </c>
      <c r="Q376" s="45">
        <v>56</v>
      </c>
      <c r="R376" s="45">
        <v>0</v>
      </c>
      <c r="S376" s="45">
        <v>0</v>
      </c>
      <c r="T376" s="45">
        <v>0</v>
      </c>
      <c r="U376" s="45">
        <v>10908</v>
      </c>
      <c r="V376" s="46">
        <v>2855</v>
      </c>
    </row>
    <row r="377" spans="1:22" x14ac:dyDescent="0.25">
      <c r="A377" s="27" t="s">
        <v>788</v>
      </c>
      <c r="B377" s="27" t="s">
        <v>874</v>
      </c>
      <c r="C377" s="27" t="s">
        <v>430</v>
      </c>
      <c r="D377" s="32">
        <f>27315+1+2+3+21522</f>
        <v>48843</v>
      </c>
      <c r="E377" s="32">
        <f>26+55+5</f>
        <v>86</v>
      </c>
      <c r="F377" s="32">
        <v>0</v>
      </c>
      <c r="G377" s="32">
        <v>0</v>
      </c>
      <c r="H377" s="32">
        <v>0</v>
      </c>
      <c r="I377" s="32">
        <v>36378</v>
      </c>
      <c r="J377" s="32">
        <v>13505</v>
      </c>
      <c r="K377" s="32"/>
      <c r="M377" s="42" t="s">
        <v>788</v>
      </c>
      <c r="N377" s="43" t="s">
        <v>874</v>
      </c>
      <c r="O377" s="43" t="s">
        <v>430</v>
      </c>
      <c r="P377" s="44">
        <v>48843</v>
      </c>
      <c r="Q377" s="45">
        <v>86</v>
      </c>
      <c r="R377" s="45">
        <v>0</v>
      </c>
      <c r="S377" s="45">
        <v>0</v>
      </c>
      <c r="T377" s="45">
        <v>0</v>
      </c>
      <c r="U377" s="45">
        <v>36378</v>
      </c>
      <c r="V377" s="46">
        <v>13505</v>
      </c>
    </row>
    <row r="378" spans="1:22" x14ac:dyDescent="0.25">
      <c r="A378" s="27" t="s">
        <v>10</v>
      </c>
      <c r="B378" s="27" t="s">
        <v>874</v>
      </c>
      <c r="C378" s="27" t="s">
        <v>431</v>
      </c>
      <c r="D378" s="32"/>
      <c r="E378" s="32"/>
      <c r="F378" s="32"/>
      <c r="G378" s="32"/>
      <c r="H378" s="32"/>
      <c r="I378" s="32"/>
      <c r="J378" s="32"/>
      <c r="K378" s="32"/>
      <c r="M378" s="42" t="s">
        <v>10</v>
      </c>
      <c r="N378" s="43" t="s">
        <v>874</v>
      </c>
      <c r="O378" s="43" t="s">
        <v>431</v>
      </c>
      <c r="P378" s="44"/>
      <c r="Q378" s="45"/>
      <c r="R378" s="45"/>
      <c r="S378" s="45"/>
      <c r="T378" s="45"/>
      <c r="U378" s="45"/>
      <c r="V378" s="46"/>
    </row>
    <row r="379" spans="1:22" x14ac:dyDescent="0.25">
      <c r="A379" s="27" t="s">
        <v>69</v>
      </c>
      <c r="B379" s="27" t="s">
        <v>874</v>
      </c>
      <c r="C379" s="27" t="s">
        <v>432</v>
      </c>
      <c r="D379" s="32">
        <f>52516+4+1302+4+57+41222</f>
        <v>95105</v>
      </c>
      <c r="E379" s="32">
        <f>6+15+38+3+1</f>
        <v>63</v>
      </c>
      <c r="F379" s="32">
        <v>0</v>
      </c>
      <c r="G379" s="32">
        <v>0</v>
      </c>
      <c r="H379" s="32">
        <v>0</v>
      </c>
      <c r="I379" s="32">
        <v>133246</v>
      </c>
      <c r="J379" s="32">
        <v>31508</v>
      </c>
      <c r="K379" s="32"/>
      <c r="M379" s="42" t="s">
        <v>69</v>
      </c>
      <c r="N379" s="43" t="s">
        <v>874</v>
      </c>
      <c r="O379" s="43" t="s">
        <v>432</v>
      </c>
      <c r="P379" s="44">
        <v>95105</v>
      </c>
      <c r="Q379" s="45">
        <v>63</v>
      </c>
      <c r="R379" s="45">
        <v>0</v>
      </c>
      <c r="S379" s="45">
        <v>0</v>
      </c>
      <c r="T379" s="45">
        <v>0</v>
      </c>
      <c r="U379" s="45">
        <v>133246</v>
      </c>
      <c r="V379" s="46">
        <v>31508</v>
      </c>
    </row>
    <row r="380" spans="1:22" x14ac:dyDescent="0.25">
      <c r="A380" s="27" t="s">
        <v>226</v>
      </c>
      <c r="B380" s="27" t="s">
        <v>874</v>
      </c>
      <c r="C380" s="27" t="s">
        <v>433</v>
      </c>
      <c r="D380" s="32">
        <f>63202+143+40+1+46+31272+7+8</f>
        <v>94719</v>
      </c>
      <c r="E380" s="32">
        <f>42+6+6+210+7</f>
        <v>271</v>
      </c>
      <c r="F380" s="32">
        <v>0</v>
      </c>
      <c r="G380" s="32">
        <v>0</v>
      </c>
      <c r="H380" s="32">
        <v>0</v>
      </c>
      <c r="I380" s="32">
        <v>105819</v>
      </c>
      <c r="J380" s="32">
        <v>23122</v>
      </c>
      <c r="K380" s="32"/>
      <c r="M380" s="42" t="s">
        <v>226</v>
      </c>
      <c r="N380" s="43" t="s">
        <v>874</v>
      </c>
      <c r="O380" s="43" t="s">
        <v>433</v>
      </c>
      <c r="P380" s="44">
        <v>94719</v>
      </c>
      <c r="Q380" s="44">
        <v>271</v>
      </c>
      <c r="R380" s="44">
        <v>0</v>
      </c>
      <c r="S380" s="44">
        <v>0</v>
      </c>
      <c r="T380" s="44">
        <v>0</v>
      </c>
      <c r="U380" s="44">
        <v>105819</v>
      </c>
      <c r="V380" s="44">
        <v>23122</v>
      </c>
    </row>
    <row r="381" spans="1:22" x14ac:dyDescent="0.25">
      <c r="A381" s="27" t="s">
        <v>864</v>
      </c>
      <c r="B381" s="27" t="s">
        <v>874</v>
      </c>
      <c r="C381" s="27" t="s">
        <v>434</v>
      </c>
      <c r="D381" s="32">
        <f>30452+142+233+7+26167+6+1+9+6</f>
        <v>57023</v>
      </c>
      <c r="E381" s="32">
        <f>353+2+185+105+19</f>
        <v>664</v>
      </c>
      <c r="F381" s="32">
        <v>0</v>
      </c>
      <c r="G381" s="32">
        <v>0</v>
      </c>
      <c r="H381" s="32">
        <v>0</v>
      </c>
      <c r="I381" s="32">
        <v>0</v>
      </c>
      <c r="J381" s="32">
        <v>0</v>
      </c>
      <c r="K381" s="32" t="s">
        <v>866</v>
      </c>
      <c r="M381" s="42" t="s">
        <v>864</v>
      </c>
      <c r="N381" s="43" t="s">
        <v>874</v>
      </c>
      <c r="O381" s="43" t="s">
        <v>434</v>
      </c>
      <c r="P381" s="44">
        <v>57023</v>
      </c>
      <c r="Q381" s="45">
        <v>664</v>
      </c>
      <c r="R381" s="45">
        <v>0</v>
      </c>
      <c r="S381" s="45">
        <v>0</v>
      </c>
      <c r="T381" s="45">
        <v>0</v>
      </c>
      <c r="U381" s="45">
        <v>0</v>
      </c>
      <c r="V381" s="46">
        <v>0</v>
      </c>
    </row>
    <row r="382" spans="1:22" x14ac:dyDescent="0.25">
      <c r="A382" s="27" t="s">
        <v>809</v>
      </c>
      <c r="B382" s="27" t="s">
        <v>874</v>
      </c>
      <c r="C382" s="27" t="s">
        <v>435</v>
      </c>
      <c r="D382" s="32">
        <f>97937+2+41+4138+3+4+9+1+30+24198+1+100</f>
        <v>126464</v>
      </c>
      <c r="E382" s="32">
        <f>173+56+180+29</f>
        <v>438</v>
      </c>
      <c r="F382" s="32">
        <v>0</v>
      </c>
      <c r="G382" s="32">
        <v>0</v>
      </c>
      <c r="H382" s="32">
        <v>0</v>
      </c>
      <c r="I382" s="32">
        <v>149737</v>
      </c>
      <c r="J382" s="32">
        <v>20343</v>
      </c>
      <c r="K382" s="32"/>
      <c r="M382" s="42" t="s">
        <v>809</v>
      </c>
      <c r="N382" s="43" t="s">
        <v>874</v>
      </c>
      <c r="O382" s="43" t="s">
        <v>435</v>
      </c>
      <c r="P382" s="44">
        <v>126464</v>
      </c>
      <c r="Q382" s="45">
        <v>438</v>
      </c>
      <c r="R382" s="45">
        <v>0</v>
      </c>
      <c r="S382" s="45">
        <v>0</v>
      </c>
      <c r="T382" s="45">
        <v>0</v>
      </c>
      <c r="U382" s="45">
        <v>149737</v>
      </c>
      <c r="V382" s="46">
        <v>20343</v>
      </c>
    </row>
    <row r="383" spans="1:22" x14ac:dyDescent="0.25">
      <c r="A383" s="27" t="s">
        <v>138</v>
      </c>
      <c r="B383" s="27" t="s">
        <v>874</v>
      </c>
      <c r="C383" s="27" t="s">
        <v>436</v>
      </c>
      <c r="D383" s="32"/>
      <c r="E383" s="32"/>
      <c r="F383" s="32"/>
      <c r="G383" s="32"/>
      <c r="H383" s="32"/>
      <c r="I383" s="32"/>
      <c r="J383" s="32"/>
      <c r="K383" s="32"/>
      <c r="M383" s="42" t="s">
        <v>138</v>
      </c>
      <c r="N383" s="43" t="s">
        <v>874</v>
      </c>
      <c r="O383" s="43" t="s">
        <v>436</v>
      </c>
      <c r="P383" s="44"/>
      <c r="Q383" s="45"/>
      <c r="R383" s="45"/>
      <c r="S383" s="45"/>
      <c r="T383" s="45"/>
      <c r="U383" s="45"/>
      <c r="V383" s="46"/>
    </row>
    <row r="384" spans="1:22" x14ac:dyDescent="0.25">
      <c r="A384" s="27" t="s">
        <v>229</v>
      </c>
      <c r="B384" s="27" t="s">
        <v>874</v>
      </c>
      <c r="C384" s="27" t="s">
        <v>437</v>
      </c>
      <c r="D384" s="32">
        <f>69477+1+19+2+9+969+26+4+1+5+32+34+122+27040+3</f>
        <v>97744</v>
      </c>
      <c r="E384" s="32">
        <f>167+22+312+17</f>
        <v>518</v>
      </c>
      <c r="F384" s="32">
        <v>0</v>
      </c>
      <c r="G384" s="32">
        <v>0</v>
      </c>
      <c r="H384" s="32">
        <v>0</v>
      </c>
      <c r="I384" s="32">
        <v>165004</v>
      </c>
      <c r="J384" s="32">
        <v>21488</v>
      </c>
      <c r="K384" s="32"/>
      <c r="M384" s="42" t="s">
        <v>229</v>
      </c>
      <c r="N384" s="43" t="s">
        <v>874</v>
      </c>
      <c r="O384" s="43" t="s">
        <v>437</v>
      </c>
      <c r="P384" s="44">
        <v>97744</v>
      </c>
      <c r="Q384" s="45">
        <v>518</v>
      </c>
      <c r="R384" s="45">
        <v>0</v>
      </c>
      <c r="S384" s="45">
        <v>0</v>
      </c>
      <c r="T384" s="45">
        <v>0</v>
      </c>
      <c r="U384" s="45">
        <v>165004</v>
      </c>
      <c r="V384" s="46">
        <v>21488</v>
      </c>
    </row>
    <row r="385" spans="1:22" x14ac:dyDescent="0.25">
      <c r="A385" s="27" t="s">
        <v>801</v>
      </c>
      <c r="B385" s="27" t="s">
        <v>874</v>
      </c>
      <c r="C385" s="27" t="s">
        <v>438</v>
      </c>
      <c r="D385" s="32">
        <f>84268+22+8+19+124+47204+3+259+34+178</f>
        <v>132119</v>
      </c>
      <c r="E385" s="32">
        <f>8+1+34+18</f>
        <v>61</v>
      </c>
      <c r="F385" s="32">
        <v>0</v>
      </c>
      <c r="G385" s="32">
        <v>0</v>
      </c>
      <c r="H385" s="32">
        <v>0</v>
      </c>
      <c r="I385" s="32">
        <v>319703</v>
      </c>
      <c r="J385" s="32">
        <v>43788</v>
      </c>
      <c r="K385" s="32"/>
      <c r="M385" s="42" t="s">
        <v>801</v>
      </c>
      <c r="N385" s="43" t="s">
        <v>874</v>
      </c>
      <c r="O385" s="43" t="s">
        <v>438</v>
      </c>
      <c r="P385" s="44">
        <v>132119</v>
      </c>
      <c r="Q385" s="45">
        <v>61</v>
      </c>
      <c r="R385" s="45">
        <v>0</v>
      </c>
      <c r="S385" s="45">
        <v>0</v>
      </c>
      <c r="T385" s="45">
        <v>0</v>
      </c>
      <c r="U385" s="45">
        <v>319703</v>
      </c>
      <c r="V385" s="46">
        <v>43788</v>
      </c>
    </row>
    <row r="386" spans="1:22" x14ac:dyDescent="0.25">
      <c r="A386" s="27" t="s">
        <v>10</v>
      </c>
      <c r="B386" s="27" t="s">
        <v>874</v>
      </c>
      <c r="C386" s="27" t="s">
        <v>780</v>
      </c>
      <c r="D386" s="32"/>
      <c r="E386" s="32"/>
      <c r="F386" s="32"/>
      <c r="G386" s="32"/>
      <c r="H386" s="32"/>
      <c r="I386" s="32"/>
      <c r="J386" s="32"/>
      <c r="K386" s="32"/>
      <c r="M386" s="42" t="s">
        <v>10</v>
      </c>
      <c r="N386" s="43" t="s">
        <v>874</v>
      </c>
      <c r="O386" s="43" t="s">
        <v>780</v>
      </c>
      <c r="P386" s="44"/>
      <c r="Q386" s="45"/>
      <c r="R386" s="45"/>
      <c r="S386" s="45"/>
      <c r="T386" s="45"/>
      <c r="U386" s="45"/>
      <c r="V386" s="46"/>
    </row>
    <row r="387" spans="1:22" x14ac:dyDescent="0.25">
      <c r="A387" s="27" t="s">
        <v>69</v>
      </c>
      <c r="B387" s="27" t="s">
        <v>874</v>
      </c>
      <c r="C387" s="27" t="s">
        <v>439</v>
      </c>
      <c r="D387" s="32">
        <f>131514+1+1282+2+59974+5+292</f>
        <v>193070</v>
      </c>
      <c r="E387" s="32">
        <f>1463+377+2+246+2463</f>
        <v>4551</v>
      </c>
      <c r="F387" s="32">
        <v>0</v>
      </c>
      <c r="G387" s="32">
        <v>0</v>
      </c>
      <c r="H387" s="32">
        <v>0</v>
      </c>
      <c r="I387" s="32">
        <v>213530</v>
      </c>
      <c r="J387" s="32">
        <v>53548</v>
      </c>
      <c r="K387" s="32"/>
      <c r="M387" s="42" t="s">
        <v>69</v>
      </c>
      <c r="N387" s="43" t="s">
        <v>874</v>
      </c>
      <c r="O387" s="43" t="s">
        <v>439</v>
      </c>
      <c r="P387" s="44">
        <v>193070</v>
      </c>
      <c r="Q387" s="45">
        <v>4551</v>
      </c>
      <c r="R387" s="45">
        <v>0</v>
      </c>
      <c r="S387" s="45">
        <v>0</v>
      </c>
      <c r="T387" s="45">
        <v>0</v>
      </c>
      <c r="U387" s="45">
        <v>213530</v>
      </c>
      <c r="V387" s="46">
        <v>53548</v>
      </c>
    </row>
    <row r="388" spans="1:22" x14ac:dyDescent="0.25">
      <c r="A388" s="27" t="s">
        <v>83</v>
      </c>
      <c r="B388" s="27" t="s">
        <v>874</v>
      </c>
      <c r="C388" s="27" t="s">
        <v>440</v>
      </c>
      <c r="D388" s="32">
        <f>9870+48+2355+1</f>
        <v>12274</v>
      </c>
      <c r="E388" s="32">
        <f>2+23</f>
        <v>25</v>
      </c>
      <c r="F388" s="32">
        <v>0</v>
      </c>
      <c r="G388" s="32">
        <v>0</v>
      </c>
      <c r="H388" s="32">
        <v>0</v>
      </c>
      <c r="I388" s="32">
        <v>24327</v>
      </c>
      <c r="J388" s="32">
        <v>2219</v>
      </c>
      <c r="K388" s="32"/>
      <c r="M388" s="42" t="s">
        <v>83</v>
      </c>
      <c r="N388" s="43" t="s">
        <v>874</v>
      </c>
      <c r="O388" s="43" t="s">
        <v>440</v>
      </c>
      <c r="P388" s="44">
        <v>12274</v>
      </c>
      <c r="Q388" s="45">
        <v>25</v>
      </c>
      <c r="R388" s="45">
        <v>0</v>
      </c>
      <c r="S388" s="45">
        <v>0</v>
      </c>
      <c r="T388" s="45">
        <v>0</v>
      </c>
      <c r="U388" s="45">
        <v>24327</v>
      </c>
      <c r="V388" s="46">
        <v>2219</v>
      </c>
    </row>
    <row r="389" spans="1:22" x14ac:dyDescent="0.25">
      <c r="A389" s="27" t="s">
        <v>809</v>
      </c>
      <c r="B389" s="27" t="s">
        <v>874</v>
      </c>
      <c r="C389" s="27" t="s">
        <v>441</v>
      </c>
      <c r="D389" s="32">
        <f>59063+21+966+250+13444+1</f>
        <v>73745</v>
      </c>
      <c r="E389" s="32">
        <f>463+9+13+605+112</f>
        <v>1202</v>
      </c>
      <c r="F389" s="32">
        <v>0</v>
      </c>
      <c r="G389" s="32">
        <v>0</v>
      </c>
      <c r="H389" s="32">
        <v>0</v>
      </c>
      <c r="I389" s="32">
        <v>44562</v>
      </c>
      <c r="J389" s="32">
        <v>10912</v>
      </c>
      <c r="K389" s="32"/>
      <c r="M389" s="42" t="s">
        <v>809</v>
      </c>
      <c r="N389" s="43" t="s">
        <v>874</v>
      </c>
      <c r="O389" s="43" t="s">
        <v>441</v>
      </c>
      <c r="P389" s="44">
        <v>73745</v>
      </c>
      <c r="Q389" s="45">
        <v>1202</v>
      </c>
      <c r="R389" s="45">
        <v>0</v>
      </c>
      <c r="S389" s="45">
        <v>0</v>
      </c>
      <c r="T389" s="45">
        <v>0</v>
      </c>
      <c r="U389" s="45">
        <v>44562</v>
      </c>
      <c r="V389" s="46">
        <v>10912</v>
      </c>
    </row>
    <row r="390" spans="1:22" x14ac:dyDescent="0.25">
      <c r="A390" s="27" t="s">
        <v>794</v>
      </c>
      <c r="B390" s="27" t="s">
        <v>874</v>
      </c>
      <c r="C390" s="27" t="s">
        <v>442</v>
      </c>
      <c r="D390" s="32"/>
      <c r="E390" s="32"/>
      <c r="F390" s="32"/>
      <c r="G390" s="32"/>
      <c r="H390" s="32"/>
      <c r="I390" s="32"/>
      <c r="J390" s="32"/>
      <c r="K390" s="32"/>
      <c r="M390" s="42" t="s">
        <v>794</v>
      </c>
      <c r="N390" s="43" t="s">
        <v>874</v>
      </c>
      <c r="O390" s="43" t="s">
        <v>442</v>
      </c>
      <c r="P390" s="44"/>
      <c r="Q390" s="45"/>
      <c r="R390" s="45"/>
      <c r="S390" s="45"/>
      <c r="T390" s="45"/>
      <c r="U390" s="45"/>
      <c r="V390" s="46"/>
    </row>
    <row r="391" spans="1:22" x14ac:dyDescent="0.25">
      <c r="A391" s="27" t="s">
        <v>796</v>
      </c>
      <c r="B391" s="27" t="s">
        <v>874</v>
      </c>
      <c r="C391" s="27" t="s">
        <v>443</v>
      </c>
      <c r="D391" s="32">
        <f>125382+10+15882+3+12+210+48943+5+14</f>
        <v>190461</v>
      </c>
      <c r="E391" s="32">
        <f>106+21+3+22+258+2</f>
        <v>412</v>
      </c>
      <c r="F391" s="32">
        <v>0</v>
      </c>
      <c r="G391" s="32">
        <v>0</v>
      </c>
      <c r="H391" s="32">
        <v>0</v>
      </c>
      <c r="I391" s="32">
        <v>188850</v>
      </c>
      <c r="J391" s="32">
        <v>37756</v>
      </c>
      <c r="K391" s="32"/>
      <c r="M391" s="42" t="s">
        <v>796</v>
      </c>
      <c r="N391" s="43" t="s">
        <v>874</v>
      </c>
      <c r="O391" s="43" t="s">
        <v>443</v>
      </c>
      <c r="P391" s="44">
        <v>190461</v>
      </c>
      <c r="Q391" s="45">
        <v>412</v>
      </c>
      <c r="R391" s="45">
        <v>0</v>
      </c>
      <c r="S391" s="45">
        <v>0</v>
      </c>
      <c r="T391" s="45">
        <v>0</v>
      </c>
      <c r="U391" s="45">
        <v>188850</v>
      </c>
      <c r="V391" s="46">
        <v>37756</v>
      </c>
    </row>
    <row r="392" spans="1:22" x14ac:dyDescent="0.25">
      <c r="A392" s="27" t="s">
        <v>794</v>
      </c>
      <c r="B392" s="27" t="s">
        <v>874</v>
      </c>
      <c r="C392" s="27" t="s">
        <v>444</v>
      </c>
      <c r="D392" s="32"/>
      <c r="E392" s="32"/>
      <c r="F392" s="32"/>
      <c r="G392" s="32"/>
      <c r="H392" s="32"/>
      <c r="I392" s="32"/>
      <c r="J392" s="32"/>
      <c r="K392" s="32"/>
      <c r="M392" s="42" t="s">
        <v>794</v>
      </c>
      <c r="N392" s="43" t="s">
        <v>874</v>
      </c>
      <c r="O392" s="43" t="s">
        <v>444</v>
      </c>
      <c r="P392" s="44"/>
      <c r="Q392" s="45"/>
      <c r="R392" s="45"/>
      <c r="S392" s="45"/>
      <c r="T392" s="45"/>
      <c r="U392" s="45"/>
      <c r="V392" s="46"/>
    </row>
    <row r="393" spans="1:22" x14ac:dyDescent="0.25">
      <c r="A393" s="27" t="s">
        <v>811</v>
      </c>
      <c r="B393" s="27" t="s">
        <v>874</v>
      </c>
      <c r="C393" s="27" t="s">
        <v>445</v>
      </c>
      <c r="D393" s="32">
        <f>96276+12+14+34+37+53843+25</f>
        <v>150241</v>
      </c>
      <c r="E393" s="32">
        <f>3820+213+22494+7004+7616+1454</f>
        <v>42601</v>
      </c>
      <c r="F393" s="32">
        <v>0</v>
      </c>
      <c r="G393" s="32">
        <v>0</v>
      </c>
      <c r="H393" s="32">
        <v>0</v>
      </c>
      <c r="I393" s="32">
        <v>302656</v>
      </c>
      <c r="J393" s="32">
        <v>60007</v>
      </c>
      <c r="K393" s="32"/>
      <c r="M393" s="42" t="s">
        <v>811</v>
      </c>
      <c r="N393" s="43" t="s">
        <v>874</v>
      </c>
      <c r="O393" s="43" t="s">
        <v>445</v>
      </c>
      <c r="P393" s="44">
        <v>150241</v>
      </c>
      <c r="Q393" s="45">
        <v>42601</v>
      </c>
      <c r="R393" s="45">
        <v>0</v>
      </c>
      <c r="S393" s="45">
        <v>0</v>
      </c>
      <c r="T393" s="45">
        <v>0</v>
      </c>
      <c r="U393" s="45">
        <v>302656</v>
      </c>
      <c r="V393" s="46">
        <v>60007</v>
      </c>
    </row>
    <row r="394" spans="1:22" x14ac:dyDescent="0.25">
      <c r="A394" s="27" t="s">
        <v>848</v>
      </c>
      <c r="B394" s="27" t="s">
        <v>874</v>
      </c>
      <c r="C394" s="27" t="s">
        <v>446</v>
      </c>
      <c r="D394" s="32">
        <f>36309+1+5+1+5+9402</f>
        <v>45723</v>
      </c>
      <c r="E394" s="32">
        <f>34+81+18</f>
        <v>133</v>
      </c>
      <c r="F394" s="32">
        <v>0</v>
      </c>
      <c r="G394" s="32">
        <v>0</v>
      </c>
      <c r="H394" s="32">
        <v>0</v>
      </c>
      <c r="I394" s="32">
        <v>14931</v>
      </c>
      <c r="J394" s="32">
        <v>8243</v>
      </c>
      <c r="K394" s="32"/>
      <c r="M394" s="42" t="s">
        <v>848</v>
      </c>
      <c r="N394" s="43" t="s">
        <v>874</v>
      </c>
      <c r="O394" s="43" t="s">
        <v>446</v>
      </c>
      <c r="P394" s="44">
        <v>45723</v>
      </c>
      <c r="Q394" s="45">
        <v>133</v>
      </c>
      <c r="R394" s="45">
        <v>0</v>
      </c>
      <c r="S394" s="45">
        <v>0</v>
      </c>
      <c r="T394" s="45">
        <v>0</v>
      </c>
      <c r="U394" s="45">
        <v>14931</v>
      </c>
      <c r="V394" s="46">
        <v>8243</v>
      </c>
    </row>
    <row r="395" spans="1:22" x14ac:dyDescent="0.25">
      <c r="A395" s="27" t="s">
        <v>134</v>
      </c>
      <c r="B395" s="27" t="s">
        <v>874</v>
      </c>
      <c r="C395" s="27" t="s">
        <v>447</v>
      </c>
      <c r="D395" s="32">
        <f>156306+3+1571+2+6+4+2+1+13+39573+24+2</f>
        <v>197507</v>
      </c>
      <c r="E395" s="32">
        <f>48+6+85+104+4</f>
        <v>247</v>
      </c>
      <c r="F395" s="32">
        <v>0</v>
      </c>
      <c r="G395" s="32">
        <v>0</v>
      </c>
      <c r="H395" s="32">
        <v>0</v>
      </c>
      <c r="I395" s="32">
        <v>83752</v>
      </c>
      <c r="J395" s="32">
        <v>34767</v>
      </c>
      <c r="K395" s="32"/>
      <c r="M395" s="42" t="s">
        <v>134</v>
      </c>
      <c r="N395" s="43" t="s">
        <v>874</v>
      </c>
      <c r="O395" s="43" t="s">
        <v>447</v>
      </c>
      <c r="P395" s="44">
        <v>197507</v>
      </c>
      <c r="Q395" s="45">
        <v>247</v>
      </c>
      <c r="R395" s="45">
        <v>0</v>
      </c>
      <c r="S395" s="45">
        <v>0</v>
      </c>
      <c r="T395" s="45">
        <v>0</v>
      </c>
      <c r="U395" s="45">
        <v>83752</v>
      </c>
      <c r="V395" s="46">
        <v>34767</v>
      </c>
    </row>
    <row r="396" spans="1:22" x14ac:dyDescent="0.25">
      <c r="A396" s="27" t="s">
        <v>76</v>
      </c>
      <c r="B396" s="27" t="s">
        <v>874</v>
      </c>
      <c r="C396" s="27" t="s">
        <v>448</v>
      </c>
      <c r="D396" s="32">
        <f>194071+519+77+34+27649+1</f>
        <v>222351</v>
      </c>
      <c r="E396" s="32">
        <f>62+1+550+6</f>
        <v>619</v>
      </c>
      <c r="F396" s="32">
        <v>0</v>
      </c>
      <c r="G396" s="32">
        <v>0</v>
      </c>
      <c r="H396" s="32">
        <v>0</v>
      </c>
      <c r="I396" s="32">
        <v>174131</v>
      </c>
      <c r="J396" s="32">
        <v>23570</v>
      </c>
      <c r="K396" s="32"/>
      <c r="M396" s="42" t="s">
        <v>76</v>
      </c>
      <c r="N396" s="43" t="s">
        <v>874</v>
      </c>
      <c r="O396" s="43" t="s">
        <v>448</v>
      </c>
      <c r="P396" s="44">
        <v>222351</v>
      </c>
      <c r="Q396" s="45">
        <v>619</v>
      </c>
      <c r="R396" s="45">
        <v>0</v>
      </c>
      <c r="S396" s="45">
        <v>0</v>
      </c>
      <c r="T396" s="45">
        <v>0</v>
      </c>
      <c r="U396" s="45">
        <v>174131</v>
      </c>
      <c r="V396" s="46">
        <v>23570</v>
      </c>
    </row>
    <row r="397" spans="1:22" x14ac:dyDescent="0.25">
      <c r="A397" s="27" t="s">
        <v>801</v>
      </c>
      <c r="B397" s="27" t="s">
        <v>874</v>
      </c>
      <c r="C397" s="27" t="s">
        <v>449</v>
      </c>
      <c r="D397" s="32">
        <f>111542+3+1+2+9298+1+21+40441+5+3+1+5539+1+1</f>
        <v>166859</v>
      </c>
      <c r="E397" s="32">
        <f>69+7+27+17+107</f>
        <v>227</v>
      </c>
      <c r="F397" s="32">
        <v>0</v>
      </c>
      <c r="G397" s="32">
        <v>0</v>
      </c>
      <c r="H397" s="32">
        <v>0</v>
      </c>
      <c r="I397" s="32">
        <v>289035</v>
      </c>
      <c r="J397" s="32">
        <v>40682</v>
      </c>
      <c r="K397" s="32"/>
      <c r="M397" s="42" t="s">
        <v>801</v>
      </c>
      <c r="N397" s="43" t="s">
        <v>874</v>
      </c>
      <c r="O397" s="43" t="s">
        <v>449</v>
      </c>
      <c r="P397" s="44">
        <v>166859</v>
      </c>
      <c r="Q397" s="45">
        <v>227</v>
      </c>
      <c r="R397" s="45">
        <v>0</v>
      </c>
      <c r="S397" s="45">
        <v>0</v>
      </c>
      <c r="T397" s="45">
        <v>0</v>
      </c>
      <c r="U397" s="45">
        <v>289035</v>
      </c>
      <c r="V397" s="46">
        <v>40682</v>
      </c>
    </row>
    <row r="398" spans="1:22" x14ac:dyDescent="0.25">
      <c r="A398" s="27" t="s">
        <v>788</v>
      </c>
      <c r="B398" s="27" t="s">
        <v>874</v>
      </c>
      <c r="C398" s="27" t="s">
        <v>450</v>
      </c>
      <c r="D398" s="32">
        <f>30211+9+4+23+20450</f>
        <v>50697</v>
      </c>
      <c r="E398" s="32">
        <f>142+3+257+232+10</f>
        <v>644</v>
      </c>
      <c r="F398" s="32">
        <v>0</v>
      </c>
      <c r="G398" s="32">
        <v>0</v>
      </c>
      <c r="H398" s="32">
        <v>0</v>
      </c>
      <c r="I398" s="32">
        <v>41458</v>
      </c>
      <c r="J398" s="32">
        <v>13558</v>
      </c>
      <c r="K398" s="32"/>
      <c r="M398" s="42" t="s">
        <v>788</v>
      </c>
      <c r="N398" s="43" t="s">
        <v>874</v>
      </c>
      <c r="O398" s="43" t="s">
        <v>450</v>
      </c>
      <c r="P398" s="44">
        <v>50697</v>
      </c>
      <c r="Q398" s="45">
        <v>644</v>
      </c>
      <c r="R398" s="45">
        <v>0</v>
      </c>
      <c r="S398" s="45">
        <v>0</v>
      </c>
      <c r="T398" s="45">
        <v>0</v>
      </c>
      <c r="U398" s="45">
        <v>41458</v>
      </c>
      <c r="V398" s="46">
        <v>13558</v>
      </c>
    </row>
    <row r="399" spans="1:22" x14ac:dyDescent="0.25">
      <c r="A399" s="27" t="s">
        <v>803</v>
      </c>
      <c r="B399" s="27" t="s">
        <v>874</v>
      </c>
      <c r="C399" s="27" t="s">
        <v>451</v>
      </c>
      <c r="D399" s="32"/>
      <c r="E399" s="32"/>
      <c r="F399" s="32"/>
      <c r="G399" s="32"/>
      <c r="H399" s="32"/>
      <c r="I399" s="32"/>
      <c r="J399" s="32"/>
      <c r="K399" s="32"/>
      <c r="M399" s="42" t="s">
        <v>803</v>
      </c>
      <c r="N399" s="43" t="s">
        <v>874</v>
      </c>
      <c r="O399" s="43" t="s">
        <v>451</v>
      </c>
      <c r="P399" s="44"/>
      <c r="Q399" s="45"/>
      <c r="R399" s="45"/>
      <c r="S399" s="45"/>
      <c r="T399" s="45"/>
      <c r="U399" s="45"/>
      <c r="V399" s="46"/>
    </row>
    <row r="400" spans="1:22" x14ac:dyDescent="0.25">
      <c r="A400" s="27" t="s">
        <v>825</v>
      </c>
      <c r="B400" s="27" t="s">
        <v>874</v>
      </c>
      <c r="C400" s="27" t="s">
        <v>452</v>
      </c>
      <c r="D400" s="32">
        <f>16108+1+123+9+1+5912</f>
        <v>22154</v>
      </c>
      <c r="E400" s="32">
        <f>38+18+2+1</f>
        <v>59</v>
      </c>
      <c r="F400" s="32">
        <v>0</v>
      </c>
      <c r="G400" s="32">
        <v>0</v>
      </c>
      <c r="H400" s="32">
        <v>0</v>
      </c>
      <c r="I400" s="32">
        <v>25413</v>
      </c>
      <c r="J400" s="32">
        <v>4985</v>
      </c>
      <c r="K400" s="32"/>
      <c r="M400" s="42" t="s">
        <v>825</v>
      </c>
      <c r="N400" s="43" t="s">
        <v>874</v>
      </c>
      <c r="O400" s="43" t="s">
        <v>452</v>
      </c>
      <c r="P400" s="44">
        <v>22154</v>
      </c>
      <c r="Q400" s="45">
        <v>59</v>
      </c>
      <c r="R400" s="45">
        <v>0</v>
      </c>
      <c r="S400" s="45">
        <v>0</v>
      </c>
      <c r="T400" s="45">
        <v>0</v>
      </c>
      <c r="U400" s="45">
        <v>25413</v>
      </c>
      <c r="V400" s="46">
        <v>4985</v>
      </c>
    </row>
    <row r="401" spans="1:22" x14ac:dyDescent="0.25">
      <c r="A401" s="27" t="s">
        <v>101</v>
      </c>
      <c r="B401" s="27" t="s">
        <v>874</v>
      </c>
      <c r="C401" s="27" t="s">
        <v>453</v>
      </c>
      <c r="D401" s="32">
        <f>71632+1+63+1+35+23889+1</f>
        <v>95622</v>
      </c>
      <c r="E401" s="32">
        <f>54+5+30+135+20</f>
        <v>244</v>
      </c>
      <c r="F401" s="32">
        <v>0</v>
      </c>
      <c r="G401" s="32">
        <v>0</v>
      </c>
      <c r="H401" s="32">
        <v>0</v>
      </c>
      <c r="I401" s="32">
        <v>59554</v>
      </c>
      <c r="J401" s="32">
        <v>20326</v>
      </c>
      <c r="K401" s="32"/>
      <c r="M401" s="42" t="s">
        <v>101</v>
      </c>
      <c r="N401" s="43" t="s">
        <v>874</v>
      </c>
      <c r="O401" s="43" t="s">
        <v>453</v>
      </c>
      <c r="P401" s="44">
        <v>95622</v>
      </c>
      <c r="Q401" s="45">
        <v>244</v>
      </c>
      <c r="R401" s="45">
        <v>0</v>
      </c>
      <c r="S401" s="45">
        <v>0</v>
      </c>
      <c r="T401" s="45">
        <v>0</v>
      </c>
      <c r="U401" s="45">
        <v>59554</v>
      </c>
      <c r="V401" s="46">
        <v>20326</v>
      </c>
    </row>
    <row r="402" spans="1:22" x14ac:dyDescent="0.25">
      <c r="A402" s="27" t="s">
        <v>265</v>
      </c>
      <c r="B402" s="27" t="s">
        <v>874</v>
      </c>
      <c r="C402" s="27" t="s">
        <v>454</v>
      </c>
      <c r="D402" s="32">
        <f>84842+2+41+39+30041+375</f>
        <v>115340</v>
      </c>
      <c r="E402" s="32">
        <f>49+2+11</f>
        <v>62</v>
      </c>
      <c r="F402" s="32">
        <v>0</v>
      </c>
      <c r="G402" s="32">
        <v>0</v>
      </c>
      <c r="H402" s="32">
        <v>0</v>
      </c>
      <c r="I402" s="32">
        <v>166274</v>
      </c>
      <c r="J402" s="32">
        <v>18933</v>
      </c>
      <c r="K402" s="32"/>
      <c r="M402" s="42" t="s">
        <v>265</v>
      </c>
      <c r="N402" s="43" t="s">
        <v>874</v>
      </c>
      <c r="O402" s="43" t="s">
        <v>454</v>
      </c>
      <c r="P402" s="44">
        <v>115340</v>
      </c>
      <c r="Q402" s="45">
        <v>62</v>
      </c>
      <c r="R402" s="45">
        <v>0</v>
      </c>
      <c r="S402" s="45">
        <v>0</v>
      </c>
      <c r="T402" s="45">
        <v>0</v>
      </c>
      <c r="U402" s="45">
        <v>166274</v>
      </c>
      <c r="V402" s="46">
        <v>18933</v>
      </c>
    </row>
    <row r="403" spans="1:22" x14ac:dyDescent="0.25">
      <c r="A403" s="27" t="s">
        <v>248</v>
      </c>
      <c r="B403" s="27" t="s">
        <v>874</v>
      </c>
      <c r="C403" s="27" t="s">
        <v>455</v>
      </c>
      <c r="D403" s="32">
        <f>28277+1+48+3+9039</f>
        <v>37368</v>
      </c>
      <c r="E403" s="32">
        <f>10+8+437+6</f>
        <v>461</v>
      </c>
      <c r="F403" s="32">
        <v>0</v>
      </c>
      <c r="G403" s="32">
        <v>0</v>
      </c>
      <c r="H403" s="32">
        <v>0</v>
      </c>
      <c r="I403" s="32">
        <v>138015</v>
      </c>
      <c r="J403" s="32">
        <v>7953</v>
      </c>
      <c r="K403" s="32"/>
      <c r="M403" s="42" t="s">
        <v>248</v>
      </c>
      <c r="N403" s="43" t="s">
        <v>874</v>
      </c>
      <c r="O403" s="43" t="s">
        <v>455</v>
      </c>
      <c r="P403" s="44">
        <v>37368</v>
      </c>
      <c r="Q403" s="45">
        <v>461</v>
      </c>
      <c r="R403" s="45">
        <v>0</v>
      </c>
      <c r="S403" s="45">
        <v>0</v>
      </c>
      <c r="T403" s="45">
        <v>0</v>
      </c>
      <c r="U403" s="45">
        <v>138015</v>
      </c>
      <c r="V403" s="46">
        <v>7953</v>
      </c>
    </row>
    <row r="404" spans="1:22" x14ac:dyDescent="0.25">
      <c r="A404" s="27" t="s">
        <v>76</v>
      </c>
      <c r="B404" s="27" t="s">
        <v>874</v>
      </c>
      <c r="C404" s="27" t="s">
        <v>456</v>
      </c>
      <c r="D404" s="32">
        <f>117793+4652+1+10095+29051</f>
        <v>161592</v>
      </c>
      <c r="E404" s="32">
        <f>104+4+190+29</f>
        <v>327</v>
      </c>
      <c r="F404" s="32">
        <v>0</v>
      </c>
      <c r="G404" s="32">
        <v>0</v>
      </c>
      <c r="H404" s="32">
        <v>0</v>
      </c>
      <c r="I404" s="32">
        <v>394121</v>
      </c>
      <c r="J404" s="32">
        <v>24560</v>
      </c>
      <c r="K404" s="32"/>
      <c r="M404" s="42" t="s">
        <v>76</v>
      </c>
      <c r="N404" s="43" t="s">
        <v>874</v>
      </c>
      <c r="O404" s="43" t="s">
        <v>456</v>
      </c>
      <c r="P404" s="44">
        <v>161592</v>
      </c>
      <c r="Q404" s="45">
        <v>327</v>
      </c>
      <c r="R404" s="45">
        <v>0</v>
      </c>
      <c r="S404" s="45">
        <v>0</v>
      </c>
      <c r="T404" s="45">
        <v>0</v>
      </c>
      <c r="U404" s="45">
        <v>394121</v>
      </c>
      <c r="V404" s="46">
        <v>24560</v>
      </c>
    </row>
    <row r="405" spans="1:22" x14ac:dyDescent="0.25">
      <c r="A405" s="27" t="s">
        <v>76</v>
      </c>
      <c r="B405" s="27" t="s">
        <v>874</v>
      </c>
      <c r="C405" s="27" t="s">
        <v>457</v>
      </c>
      <c r="D405" s="32">
        <f>56913+2+2+1860+9+9+35386+1+2</f>
        <v>94184</v>
      </c>
      <c r="E405" s="32">
        <f>291+63+33+163+536+24</f>
        <v>1110</v>
      </c>
      <c r="F405" s="32">
        <v>0</v>
      </c>
      <c r="G405" s="32">
        <v>0</v>
      </c>
      <c r="H405" s="32">
        <v>0</v>
      </c>
      <c r="I405" s="32">
        <v>55485</v>
      </c>
      <c r="J405" s="32">
        <v>27372</v>
      </c>
      <c r="K405" s="32"/>
      <c r="M405" s="42" t="s">
        <v>76</v>
      </c>
      <c r="N405" s="43" t="s">
        <v>874</v>
      </c>
      <c r="O405" s="43" t="s">
        <v>457</v>
      </c>
      <c r="P405" s="44">
        <v>94184</v>
      </c>
      <c r="Q405" s="45">
        <v>1110</v>
      </c>
      <c r="R405" s="45">
        <v>0</v>
      </c>
      <c r="S405" s="45">
        <v>0</v>
      </c>
      <c r="T405" s="45">
        <v>0</v>
      </c>
      <c r="U405" s="45">
        <v>55485</v>
      </c>
      <c r="V405" s="46">
        <v>27372</v>
      </c>
    </row>
    <row r="406" spans="1:22" x14ac:dyDescent="0.25">
      <c r="A406" s="27" t="s">
        <v>146</v>
      </c>
      <c r="B406" s="27" t="s">
        <v>874</v>
      </c>
      <c r="C406" s="27" t="s">
        <v>458</v>
      </c>
      <c r="D406" s="32">
        <f>51068+4+3104+194+99+23144+5+1+4+3</f>
        <v>77626</v>
      </c>
      <c r="E406" s="32">
        <f>1752+2+8+802+217+1+140</f>
        <v>2922</v>
      </c>
      <c r="F406" s="32">
        <v>0</v>
      </c>
      <c r="G406" s="32">
        <v>0</v>
      </c>
      <c r="H406" s="32">
        <v>0</v>
      </c>
      <c r="I406" s="32">
        <v>77108</v>
      </c>
      <c r="J406" s="32">
        <v>21351</v>
      </c>
      <c r="K406" s="32"/>
      <c r="M406" s="42" t="s">
        <v>146</v>
      </c>
      <c r="N406" s="43" t="s">
        <v>874</v>
      </c>
      <c r="O406" s="43" t="s">
        <v>458</v>
      </c>
      <c r="P406" s="44">
        <v>77626</v>
      </c>
      <c r="Q406" s="45">
        <v>2922</v>
      </c>
      <c r="R406" s="45">
        <v>0</v>
      </c>
      <c r="S406" s="45">
        <v>0</v>
      </c>
      <c r="T406" s="45">
        <v>0</v>
      </c>
      <c r="U406" s="45">
        <v>77108</v>
      </c>
      <c r="V406" s="46">
        <v>21351</v>
      </c>
    </row>
    <row r="407" spans="1:22" x14ac:dyDescent="0.25">
      <c r="A407" s="27" t="s">
        <v>83</v>
      </c>
      <c r="B407" s="27" t="s">
        <v>874</v>
      </c>
      <c r="C407" s="27" t="s">
        <v>459</v>
      </c>
      <c r="D407" s="32">
        <f>11463+2+52+4380</f>
        <v>15897</v>
      </c>
      <c r="E407" s="32">
        <f>64+179</f>
        <v>243</v>
      </c>
      <c r="F407" s="32">
        <v>0</v>
      </c>
      <c r="G407" s="32">
        <v>0</v>
      </c>
      <c r="H407" s="32">
        <v>0</v>
      </c>
      <c r="I407" s="32">
        <v>15341</v>
      </c>
      <c r="J407" s="32">
        <v>3825</v>
      </c>
      <c r="K407" s="32"/>
      <c r="M407" s="42" t="s">
        <v>83</v>
      </c>
      <c r="N407" s="43" t="s">
        <v>874</v>
      </c>
      <c r="O407" s="43" t="s">
        <v>459</v>
      </c>
      <c r="P407" s="44">
        <v>15897</v>
      </c>
      <c r="Q407" s="45">
        <v>243</v>
      </c>
      <c r="R407" s="45">
        <v>0</v>
      </c>
      <c r="S407" s="45">
        <v>0</v>
      </c>
      <c r="T407" s="45">
        <v>0</v>
      </c>
      <c r="U407" s="45">
        <v>15341</v>
      </c>
      <c r="V407" s="46">
        <v>3825</v>
      </c>
    </row>
    <row r="408" spans="1:22" x14ac:dyDescent="0.25">
      <c r="A408" s="27" t="s">
        <v>248</v>
      </c>
      <c r="B408" s="27" t="s">
        <v>874</v>
      </c>
      <c r="C408" s="27" t="s">
        <v>460</v>
      </c>
      <c r="D408" s="32">
        <f>75982+9+1130+1+50+2+2+89+75021+2+1+3+2</f>
        <v>152294</v>
      </c>
      <c r="E408" s="32">
        <f>537+26+47+723+339</f>
        <v>1672</v>
      </c>
      <c r="F408" s="32">
        <v>0</v>
      </c>
      <c r="G408" s="32">
        <v>0</v>
      </c>
      <c r="H408" s="32">
        <v>0</v>
      </c>
      <c r="I408" s="32">
        <v>454297</v>
      </c>
      <c r="J408" s="32">
        <v>60811</v>
      </c>
      <c r="K408" s="32"/>
      <c r="M408" s="42" t="s">
        <v>248</v>
      </c>
      <c r="N408" s="43" t="s">
        <v>874</v>
      </c>
      <c r="O408" s="43" t="s">
        <v>460</v>
      </c>
      <c r="P408" s="44">
        <v>152294</v>
      </c>
      <c r="Q408" s="45">
        <v>1672</v>
      </c>
      <c r="R408" s="45">
        <v>0</v>
      </c>
      <c r="S408" s="45">
        <v>0</v>
      </c>
      <c r="T408" s="45">
        <v>0</v>
      </c>
      <c r="U408" s="45">
        <v>454297</v>
      </c>
      <c r="V408" s="46">
        <v>60811</v>
      </c>
    </row>
    <row r="409" spans="1:22" x14ac:dyDescent="0.25">
      <c r="A409" s="27" t="s">
        <v>248</v>
      </c>
      <c r="B409" s="27" t="s">
        <v>874</v>
      </c>
      <c r="C409" s="27" t="s">
        <v>461</v>
      </c>
      <c r="D409" s="32">
        <f>102902+138+19+35562+9</f>
        <v>138630</v>
      </c>
      <c r="E409" s="32">
        <f>54+7+38+196+2</f>
        <v>297</v>
      </c>
      <c r="F409" s="32">
        <v>0</v>
      </c>
      <c r="G409" s="32">
        <v>0</v>
      </c>
      <c r="H409" s="32">
        <v>0</v>
      </c>
      <c r="I409" s="32">
        <v>191511</v>
      </c>
      <c r="J409" s="32">
        <v>24600</v>
      </c>
      <c r="K409" s="32"/>
      <c r="M409" s="42" t="s">
        <v>248</v>
      </c>
      <c r="N409" s="43" t="s">
        <v>874</v>
      </c>
      <c r="O409" s="43" t="s">
        <v>461</v>
      </c>
      <c r="P409" s="44">
        <v>138630</v>
      </c>
      <c r="Q409" s="45">
        <v>297</v>
      </c>
      <c r="R409" s="45">
        <v>0</v>
      </c>
      <c r="S409" s="45">
        <v>0</v>
      </c>
      <c r="T409" s="45">
        <v>0</v>
      </c>
      <c r="U409" s="45">
        <v>191511</v>
      </c>
      <c r="V409" s="46">
        <v>24600</v>
      </c>
    </row>
    <row r="410" spans="1:22" x14ac:dyDescent="0.25">
      <c r="A410" s="27" t="s">
        <v>226</v>
      </c>
      <c r="B410" s="27" t="s">
        <v>874</v>
      </c>
      <c r="C410" s="27" t="s">
        <v>462</v>
      </c>
      <c r="D410" s="32">
        <f>26841+24+3309+94+27+2661+515+2</f>
        <v>33473</v>
      </c>
      <c r="E410" s="32">
        <f>23+3+45</f>
        <v>71</v>
      </c>
      <c r="F410" s="32">
        <v>0</v>
      </c>
      <c r="G410" s="32">
        <v>0</v>
      </c>
      <c r="H410" s="32">
        <v>0</v>
      </c>
      <c r="I410" s="32">
        <v>4484</v>
      </c>
      <c r="J410" s="32">
        <v>2739</v>
      </c>
      <c r="K410" s="32"/>
      <c r="M410" s="42" t="s">
        <v>226</v>
      </c>
      <c r="N410" s="43" t="s">
        <v>874</v>
      </c>
      <c r="O410" s="43" t="s">
        <v>462</v>
      </c>
      <c r="P410" s="44">
        <v>33473</v>
      </c>
      <c r="Q410" s="45">
        <v>71</v>
      </c>
      <c r="R410" s="45">
        <v>0</v>
      </c>
      <c r="S410" s="45">
        <v>0</v>
      </c>
      <c r="T410" s="45">
        <v>0</v>
      </c>
      <c r="U410" s="45">
        <v>4484</v>
      </c>
      <c r="V410" s="46">
        <v>2739</v>
      </c>
    </row>
    <row r="411" spans="1:22" x14ac:dyDescent="0.25">
      <c r="A411" s="27" t="s">
        <v>826</v>
      </c>
      <c r="B411" s="27" t="s">
        <v>874</v>
      </c>
      <c r="C411" s="27" t="s">
        <v>463</v>
      </c>
      <c r="D411" s="32"/>
      <c r="E411" s="32"/>
      <c r="F411" s="32"/>
      <c r="G411" s="32"/>
      <c r="H411" s="32"/>
      <c r="I411" s="32"/>
      <c r="J411" s="32"/>
      <c r="K411" s="32"/>
      <c r="M411" s="42" t="s">
        <v>826</v>
      </c>
      <c r="N411" s="43" t="s">
        <v>874</v>
      </c>
      <c r="O411" s="43" t="s">
        <v>463</v>
      </c>
      <c r="P411" s="44"/>
      <c r="Q411" s="45"/>
      <c r="R411" s="45"/>
      <c r="S411" s="45"/>
      <c r="T411" s="45"/>
      <c r="U411" s="45"/>
      <c r="V411" s="46"/>
    </row>
    <row r="412" spans="1:22" x14ac:dyDescent="0.25">
      <c r="A412" s="27" t="s">
        <v>248</v>
      </c>
      <c r="B412" s="27" t="s">
        <v>874</v>
      </c>
      <c r="C412" s="27" t="s">
        <v>464</v>
      </c>
      <c r="D412" s="32">
        <f>38457+465+5+13452</f>
        <v>52379</v>
      </c>
      <c r="E412" s="32">
        <f>44+55+68</f>
        <v>167</v>
      </c>
      <c r="F412" s="32">
        <v>0</v>
      </c>
      <c r="G412" s="32">
        <v>0</v>
      </c>
      <c r="H412" s="32">
        <v>0</v>
      </c>
      <c r="I412" s="32">
        <v>93570</v>
      </c>
      <c r="J412" s="32">
        <v>12014</v>
      </c>
      <c r="K412" s="32"/>
      <c r="M412" s="42" t="s">
        <v>248</v>
      </c>
      <c r="N412" s="43" t="s">
        <v>874</v>
      </c>
      <c r="O412" s="43" t="s">
        <v>464</v>
      </c>
      <c r="P412" s="44">
        <v>52379</v>
      </c>
      <c r="Q412" s="45">
        <v>167</v>
      </c>
      <c r="R412" s="45">
        <v>0</v>
      </c>
      <c r="S412" s="45">
        <v>0</v>
      </c>
      <c r="T412" s="45">
        <v>0</v>
      </c>
      <c r="U412" s="45">
        <v>93570</v>
      </c>
      <c r="V412" s="46">
        <v>12014</v>
      </c>
    </row>
    <row r="413" spans="1:22" x14ac:dyDescent="0.25">
      <c r="A413" s="27" t="s">
        <v>101</v>
      </c>
      <c r="B413" s="27" t="s">
        <v>874</v>
      </c>
      <c r="C413" s="27" t="s">
        <v>465</v>
      </c>
      <c r="D413" s="32">
        <f>33591+23+11+19279+2</f>
        <v>52906</v>
      </c>
      <c r="E413" s="32">
        <f>7+2</f>
        <v>9</v>
      </c>
      <c r="F413" s="32">
        <v>0</v>
      </c>
      <c r="G413" s="32">
        <v>0</v>
      </c>
      <c r="H413" s="32">
        <v>0</v>
      </c>
      <c r="I413" s="32">
        <v>112733</v>
      </c>
      <c r="J413" s="32">
        <v>19160</v>
      </c>
      <c r="K413" s="32"/>
      <c r="M413" s="42" t="s">
        <v>101</v>
      </c>
      <c r="N413" s="43" t="s">
        <v>874</v>
      </c>
      <c r="O413" s="43" t="s">
        <v>465</v>
      </c>
      <c r="P413" s="44">
        <v>52906</v>
      </c>
      <c r="Q413" s="45">
        <v>9</v>
      </c>
      <c r="R413" s="45">
        <v>0</v>
      </c>
      <c r="S413" s="45">
        <v>0</v>
      </c>
      <c r="T413" s="45">
        <v>0</v>
      </c>
      <c r="U413" s="45">
        <v>112733</v>
      </c>
      <c r="V413" s="46">
        <v>19160</v>
      </c>
    </row>
    <row r="414" spans="1:22" x14ac:dyDescent="0.25">
      <c r="A414" s="27" t="s">
        <v>865</v>
      </c>
      <c r="B414" s="27" t="s">
        <v>874</v>
      </c>
      <c r="C414" s="27" t="s">
        <v>466</v>
      </c>
      <c r="D414" s="32">
        <f>135630+20+11+1+3+1720+14+2+18+27+4+4+57+214+83+32709+38+1</f>
        <v>170556</v>
      </c>
      <c r="E414" s="32">
        <f>67+75+40+7+70</f>
        <v>259</v>
      </c>
      <c r="F414" s="32">
        <v>0</v>
      </c>
      <c r="G414" s="32">
        <v>0</v>
      </c>
      <c r="H414" s="32">
        <v>0</v>
      </c>
      <c r="I414" s="32">
        <v>157070</v>
      </c>
      <c r="J414" s="32">
        <v>28520</v>
      </c>
      <c r="K414" s="32"/>
      <c r="M414" s="42" t="s">
        <v>865</v>
      </c>
      <c r="N414" s="43" t="s">
        <v>874</v>
      </c>
      <c r="O414" s="43" t="s">
        <v>466</v>
      </c>
      <c r="P414" s="44">
        <v>170556</v>
      </c>
      <c r="Q414" s="45">
        <v>259</v>
      </c>
      <c r="R414" s="45">
        <v>0</v>
      </c>
      <c r="S414" s="45">
        <v>0</v>
      </c>
      <c r="T414" s="45">
        <v>0</v>
      </c>
      <c r="U414" s="45">
        <v>157070</v>
      </c>
      <c r="V414" s="46">
        <v>28520</v>
      </c>
    </row>
    <row r="415" spans="1:22" x14ac:dyDescent="0.25">
      <c r="A415" s="27" t="s">
        <v>512</v>
      </c>
      <c r="B415" s="27" t="s">
        <v>874</v>
      </c>
      <c r="C415" s="27" t="s">
        <v>467</v>
      </c>
      <c r="D415" s="32">
        <f>40501+16+2+3+26848+1</f>
        <v>67371</v>
      </c>
      <c r="E415" s="32">
        <f>8+22+226</f>
        <v>256</v>
      </c>
      <c r="F415" s="32">
        <v>0</v>
      </c>
      <c r="G415" s="32">
        <v>0</v>
      </c>
      <c r="H415" s="32">
        <v>0</v>
      </c>
      <c r="I415" s="32">
        <v>34648</v>
      </c>
      <c r="J415" s="32">
        <v>22668</v>
      </c>
      <c r="K415" s="32"/>
      <c r="M415" s="42" t="s">
        <v>512</v>
      </c>
      <c r="N415" s="43" t="s">
        <v>874</v>
      </c>
      <c r="O415" s="43" t="s">
        <v>467</v>
      </c>
      <c r="P415" s="44">
        <v>67371</v>
      </c>
      <c r="Q415" s="45">
        <v>256</v>
      </c>
      <c r="R415" s="45">
        <v>0</v>
      </c>
      <c r="S415" s="45">
        <v>0</v>
      </c>
      <c r="T415" s="45">
        <v>0</v>
      </c>
      <c r="U415" s="45">
        <v>34648</v>
      </c>
      <c r="V415" s="46">
        <v>22668</v>
      </c>
    </row>
    <row r="416" spans="1:22" x14ac:dyDescent="0.25">
      <c r="A416" s="27" t="s">
        <v>10</v>
      </c>
      <c r="B416" s="27" t="s">
        <v>874</v>
      </c>
      <c r="C416" s="27" t="s">
        <v>781</v>
      </c>
      <c r="D416" s="32"/>
      <c r="E416" s="32"/>
      <c r="F416" s="32"/>
      <c r="G416" s="32"/>
      <c r="H416" s="32"/>
      <c r="I416" s="32"/>
      <c r="J416" s="32"/>
      <c r="K416" s="32"/>
      <c r="M416" s="42" t="s">
        <v>10</v>
      </c>
      <c r="N416" s="43" t="s">
        <v>874</v>
      </c>
      <c r="O416" s="43" t="s">
        <v>781</v>
      </c>
      <c r="P416" s="44"/>
      <c r="Q416" s="45"/>
      <c r="R416" s="45"/>
      <c r="S416" s="45"/>
      <c r="T416" s="45"/>
      <c r="U416" s="45"/>
      <c r="V416" s="46"/>
    </row>
    <row r="417" spans="1:22" x14ac:dyDescent="0.25">
      <c r="A417" s="27" t="s">
        <v>826</v>
      </c>
      <c r="B417" s="27" t="s">
        <v>874</v>
      </c>
      <c r="C417" s="27" t="s">
        <v>468</v>
      </c>
      <c r="D417" s="32"/>
      <c r="E417" s="32"/>
      <c r="F417" s="32"/>
      <c r="G417" s="32"/>
      <c r="H417" s="32"/>
      <c r="I417" s="32"/>
      <c r="J417" s="32"/>
      <c r="K417" s="32"/>
      <c r="M417" s="42" t="s">
        <v>826</v>
      </c>
      <c r="N417" s="43" t="s">
        <v>874</v>
      </c>
      <c r="O417" s="43" t="s">
        <v>468</v>
      </c>
      <c r="P417" s="44"/>
      <c r="Q417" s="45"/>
      <c r="R417" s="45"/>
      <c r="S417" s="45"/>
      <c r="T417" s="45"/>
      <c r="U417" s="45"/>
      <c r="V417" s="46"/>
    </row>
    <row r="418" spans="1:22" x14ac:dyDescent="0.25">
      <c r="A418" s="27" t="s">
        <v>817</v>
      </c>
      <c r="B418" s="27" t="s">
        <v>874</v>
      </c>
      <c r="C418" s="27" t="s">
        <v>469</v>
      </c>
      <c r="D418" s="32">
        <f>414573+22+6257+2</f>
        <v>420854</v>
      </c>
      <c r="E418" s="32">
        <f>95+203+1+37</f>
        <v>336</v>
      </c>
      <c r="F418" s="32">
        <v>0</v>
      </c>
      <c r="G418" s="32">
        <v>0</v>
      </c>
      <c r="H418" s="32">
        <v>0</v>
      </c>
      <c r="I418" s="32">
        <v>94542</v>
      </c>
      <c r="J418" s="32">
        <v>4842</v>
      </c>
      <c r="K418" s="32"/>
      <c r="M418" s="42" t="s">
        <v>817</v>
      </c>
      <c r="N418" s="43" t="s">
        <v>874</v>
      </c>
      <c r="O418" s="43" t="s">
        <v>469</v>
      </c>
      <c r="P418" s="44">
        <v>420854</v>
      </c>
      <c r="Q418" s="45">
        <v>336</v>
      </c>
      <c r="R418" s="45">
        <v>0</v>
      </c>
      <c r="S418" s="45">
        <v>0</v>
      </c>
      <c r="T418" s="45">
        <v>0</v>
      </c>
      <c r="U418" s="45">
        <v>94542</v>
      </c>
      <c r="V418" s="46">
        <v>4842</v>
      </c>
    </row>
    <row r="419" spans="1:22" x14ac:dyDescent="0.25">
      <c r="A419" s="27" t="s">
        <v>791</v>
      </c>
      <c r="B419" s="27" t="s">
        <v>874</v>
      </c>
      <c r="C419" s="27" t="s">
        <v>470</v>
      </c>
      <c r="D419" s="32">
        <f>20813+1+4+6+30621+4</f>
        <v>51449</v>
      </c>
      <c r="E419" s="32">
        <f>93+951+181+1</f>
        <v>1226</v>
      </c>
      <c r="F419" s="32">
        <v>0</v>
      </c>
      <c r="G419" s="32">
        <v>0</v>
      </c>
      <c r="H419" s="32">
        <v>0</v>
      </c>
      <c r="I419" s="32">
        <v>15411</v>
      </c>
      <c r="J419" s="32">
        <v>31347</v>
      </c>
      <c r="K419" s="32"/>
      <c r="M419" s="42" t="s">
        <v>791</v>
      </c>
      <c r="N419" s="43" t="s">
        <v>874</v>
      </c>
      <c r="O419" s="43" t="s">
        <v>470</v>
      </c>
      <c r="P419" s="44">
        <v>51449</v>
      </c>
      <c r="Q419" s="45">
        <v>1226</v>
      </c>
      <c r="R419" s="45">
        <v>0</v>
      </c>
      <c r="S419" s="45">
        <v>0</v>
      </c>
      <c r="T419" s="45">
        <v>0</v>
      </c>
      <c r="U419" s="45">
        <v>15411</v>
      </c>
      <c r="V419" s="46">
        <v>31347</v>
      </c>
    </row>
    <row r="420" spans="1:22" x14ac:dyDescent="0.25">
      <c r="A420" s="27" t="s">
        <v>788</v>
      </c>
      <c r="B420" s="27" t="s">
        <v>874</v>
      </c>
      <c r="C420" s="27" t="s">
        <v>471</v>
      </c>
      <c r="D420" s="32">
        <f>79309+1329+7+75+36925+2+13</f>
        <v>117660</v>
      </c>
      <c r="E420" s="32">
        <f>456+17+120+309+161</f>
        <v>1063</v>
      </c>
      <c r="F420" s="32">
        <v>0</v>
      </c>
      <c r="G420" s="32">
        <v>0</v>
      </c>
      <c r="H420" s="32">
        <v>0</v>
      </c>
      <c r="I420" s="32">
        <v>54799</v>
      </c>
      <c r="J420" s="32">
        <v>30525</v>
      </c>
      <c r="K420" s="32"/>
      <c r="M420" s="42" t="s">
        <v>788</v>
      </c>
      <c r="N420" s="43" t="s">
        <v>874</v>
      </c>
      <c r="O420" s="43" t="s">
        <v>471</v>
      </c>
      <c r="P420" s="44">
        <v>117660</v>
      </c>
      <c r="Q420" s="45">
        <v>1063</v>
      </c>
      <c r="R420" s="45">
        <v>0</v>
      </c>
      <c r="S420" s="45">
        <v>0</v>
      </c>
      <c r="T420" s="45">
        <v>0</v>
      </c>
      <c r="U420" s="45">
        <v>54799</v>
      </c>
      <c r="V420" s="46">
        <v>30525</v>
      </c>
    </row>
    <row r="421" spans="1:22" x14ac:dyDescent="0.25">
      <c r="A421" s="27" t="s">
        <v>795</v>
      </c>
      <c r="B421" s="27" t="s">
        <v>874</v>
      </c>
      <c r="C421" s="27" t="s">
        <v>472</v>
      </c>
      <c r="D421" s="32">
        <f>57563+10+2+414+22+33654+324</f>
        <v>91989</v>
      </c>
      <c r="E421" s="32">
        <f>1086+29+4+243+650</f>
        <v>2012</v>
      </c>
      <c r="F421" s="32">
        <v>0</v>
      </c>
      <c r="G421" s="32">
        <v>0</v>
      </c>
      <c r="H421" s="32">
        <v>0</v>
      </c>
      <c r="I421" s="32">
        <v>55369</v>
      </c>
      <c r="J421" s="32">
        <v>29740</v>
      </c>
      <c r="K421" s="32"/>
      <c r="M421" s="42" t="s">
        <v>795</v>
      </c>
      <c r="N421" s="43" t="s">
        <v>874</v>
      </c>
      <c r="O421" s="43" t="s">
        <v>472</v>
      </c>
      <c r="P421" s="44">
        <v>91989</v>
      </c>
      <c r="Q421" s="45">
        <v>2012</v>
      </c>
      <c r="R421" s="45">
        <v>0</v>
      </c>
      <c r="S421" s="45">
        <v>0</v>
      </c>
      <c r="T421" s="45">
        <v>0</v>
      </c>
      <c r="U421" s="45">
        <v>55369</v>
      </c>
      <c r="V421" s="46">
        <v>29740</v>
      </c>
    </row>
    <row r="422" spans="1:22" x14ac:dyDescent="0.25">
      <c r="A422" s="27" t="s">
        <v>788</v>
      </c>
      <c r="B422" s="27" t="s">
        <v>874</v>
      </c>
      <c r="C422" s="27" t="s">
        <v>473</v>
      </c>
      <c r="D422" s="32">
        <f>88251+1+441+113+5+1+2+7+41060</f>
        <v>129881</v>
      </c>
      <c r="E422" s="32">
        <f>1391+37+416+1272+1+3</f>
        <v>3120</v>
      </c>
      <c r="F422" s="32">
        <v>0</v>
      </c>
      <c r="G422" s="32">
        <v>0</v>
      </c>
      <c r="H422" s="32">
        <v>0</v>
      </c>
      <c r="I422" s="32">
        <v>56703</v>
      </c>
      <c r="J422" s="32">
        <v>36930</v>
      </c>
      <c r="K422" s="32"/>
      <c r="M422" s="42" t="s">
        <v>788</v>
      </c>
      <c r="N422" s="43" t="s">
        <v>874</v>
      </c>
      <c r="O422" s="43" t="s">
        <v>473</v>
      </c>
      <c r="P422" s="44">
        <v>129881</v>
      </c>
      <c r="Q422" s="45">
        <v>3120</v>
      </c>
      <c r="R422" s="45">
        <v>0</v>
      </c>
      <c r="S422" s="45">
        <v>0</v>
      </c>
      <c r="T422" s="45">
        <v>0</v>
      </c>
      <c r="U422" s="45">
        <v>56703</v>
      </c>
      <c r="V422" s="46">
        <v>36930</v>
      </c>
    </row>
    <row r="423" spans="1:22" x14ac:dyDescent="0.25">
      <c r="A423" s="27" t="s">
        <v>817</v>
      </c>
      <c r="B423" s="27" t="s">
        <v>874</v>
      </c>
      <c r="C423" s="27" t="s">
        <v>474</v>
      </c>
      <c r="D423" s="32">
        <f>36304+2+563+3+3+73133+45</f>
        <v>110053</v>
      </c>
      <c r="E423" s="32">
        <f>110+1+295+23</f>
        <v>429</v>
      </c>
      <c r="F423" s="32">
        <v>0</v>
      </c>
      <c r="G423" s="32">
        <v>0</v>
      </c>
      <c r="H423" s="32">
        <v>0</v>
      </c>
      <c r="I423" s="32">
        <v>565623</v>
      </c>
      <c r="J423" s="32">
        <v>57335</v>
      </c>
      <c r="K423" s="32"/>
      <c r="M423" s="42" t="s">
        <v>817</v>
      </c>
      <c r="N423" s="43" t="s">
        <v>874</v>
      </c>
      <c r="O423" s="43" t="s">
        <v>474</v>
      </c>
      <c r="P423" s="44">
        <v>110053</v>
      </c>
      <c r="Q423" s="45">
        <v>429</v>
      </c>
      <c r="R423" s="45">
        <v>0</v>
      </c>
      <c r="S423" s="45">
        <v>0</v>
      </c>
      <c r="T423" s="45">
        <v>0</v>
      </c>
      <c r="U423" s="45">
        <v>565623</v>
      </c>
      <c r="V423" s="46">
        <v>57335</v>
      </c>
    </row>
    <row r="424" spans="1:22" x14ac:dyDescent="0.25">
      <c r="A424" s="27" t="s">
        <v>512</v>
      </c>
      <c r="B424" s="27" t="s">
        <v>874</v>
      </c>
      <c r="C424" s="27" t="s">
        <v>475</v>
      </c>
      <c r="D424" s="32">
        <f>18277+2098+2+1+1+4+11+6090</f>
        <v>26484</v>
      </c>
      <c r="E424" s="32">
        <f>122+14+25+36</f>
        <v>197</v>
      </c>
      <c r="F424" s="32">
        <v>0</v>
      </c>
      <c r="G424" s="32">
        <v>0</v>
      </c>
      <c r="H424" s="32">
        <v>0</v>
      </c>
      <c r="I424" s="32">
        <v>27654</v>
      </c>
      <c r="J424" s="32">
        <v>5017</v>
      </c>
      <c r="K424" s="32"/>
      <c r="M424" s="42" t="s">
        <v>512</v>
      </c>
      <c r="N424" s="43" t="s">
        <v>874</v>
      </c>
      <c r="O424" s="43" t="s">
        <v>475</v>
      </c>
      <c r="P424" s="44">
        <v>26484</v>
      </c>
      <c r="Q424" s="45">
        <v>197</v>
      </c>
      <c r="R424" s="45">
        <v>0</v>
      </c>
      <c r="S424" s="45">
        <v>0</v>
      </c>
      <c r="T424" s="45">
        <v>0</v>
      </c>
      <c r="U424" s="45">
        <v>27654</v>
      </c>
      <c r="V424" s="46">
        <v>5017</v>
      </c>
    </row>
    <row r="425" spans="1:22" x14ac:dyDescent="0.25">
      <c r="A425" s="27" t="s">
        <v>146</v>
      </c>
      <c r="B425" s="27" t="s">
        <v>874</v>
      </c>
      <c r="C425" s="27" t="s">
        <v>476</v>
      </c>
      <c r="D425" s="32">
        <f>99203+1+6+6+156+1+1+2+1+3+31023+1+1+1191</f>
        <v>131596</v>
      </c>
      <c r="E425" s="32">
        <f>15+82+17</f>
        <v>114</v>
      </c>
      <c r="F425" s="32">
        <v>0</v>
      </c>
      <c r="G425" s="32">
        <v>0</v>
      </c>
      <c r="H425" s="32">
        <v>0</v>
      </c>
      <c r="I425" s="32">
        <v>51860</v>
      </c>
      <c r="J425" s="32">
        <v>30027</v>
      </c>
      <c r="K425" s="32"/>
      <c r="M425" s="42" t="s">
        <v>146</v>
      </c>
      <c r="N425" s="43" t="s">
        <v>874</v>
      </c>
      <c r="O425" s="43" t="s">
        <v>476</v>
      </c>
      <c r="P425" s="44">
        <v>131596</v>
      </c>
      <c r="Q425" s="45">
        <v>114</v>
      </c>
      <c r="R425" s="45">
        <v>0</v>
      </c>
      <c r="S425" s="45">
        <v>0</v>
      </c>
      <c r="T425" s="45">
        <v>0</v>
      </c>
      <c r="U425" s="45">
        <v>51860</v>
      </c>
      <c r="V425" s="46">
        <v>30027</v>
      </c>
    </row>
    <row r="426" spans="1:22" x14ac:dyDescent="0.25">
      <c r="A426" s="27" t="s">
        <v>76</v>
      </c>
      <c r="B426" s="27" t="s">
        <v>874</v>
      </c>
      <c r="C426" s="27" t="s">
        <v>477</v>
      </c>
      <c r="D426" s="32">
        <f>96382+7+1+555+3+58827+2+76</f>
        <v>155853</v>
      </c>
      <c r="E426" s="32">
        <f>166+2+44+1027+12</f>
        <v>1251</v>
      </c>
      <c r="F426" s="32">
        <v>0</v>
      </c>
      <c r="G426" s="32">
        <v>0</v>
      </c>
      <c r="H426" s="32">
        <v>0</v>
      </c>
      <c r="I426" s="32">
        <v>138108</v>
      </c>
      <c r="J426" s="32">
        <v>50238</v>
      </c>
      <c r="K426" s="32"/>
      <c r="M426" s="42" t="s">
        <v>76</v>
      </c>
      <c r="N426" s="43" t="s">
        <v>874</v>
      </c>
      <c r="O426" s="43" t="s">
        <v>477</v>
      </c>
      <c r="P426" s="44">
        <v>155853</v>
      </c>
      <c r="Q426" s="45">
        <v>1251</v>
      </c>
      <c r="R426" s="45">
        <v>0</v>
      </c>
      <c r="S426" s="45">
        <v>0</v>
      </c>
      <c r="T426" s="45">
        <v>0</v>
      </c>
      <c r="U426" s="45">
        <v>138108</v>
      </c>
      <c r="V426" s="46">
        <v>50238</v>
      </c>
    </row>
    <row r="427" spans="1:22" x14ac:dyDescent="0.25">
      <c r="A427" s="27" t="s">
        <v>76</v>
      </c>
      <c r="B427" s="27" t="s">
        <v>874</v>
      </c>
      <c r="C427" s="27" t="s">
        <v>478</v>
      </c>
      <c r="D427" s="32">
        <f>107912+265+12+2+13+1+9+53528+412</f>
        <v>162154</v>
      </c>
      <c r="E427" s="32">
        <f>545+28+178+69+1</f>
        <v>821</v>
      </c>
      <c r="F427" s="32">
        <v>0</v>
      </c>
      <c r="G427" s="32">
        <v>0</v>
      </c>
      <c r="H427" s="32">
        <v>0</v>
      </c>
      <c r="I427" s="32">
        <v>78285</v>
      </c>
      <c r="J427" s="32">
        <v>47287</v>
      </c>
      <c r="K427" s="32"/>
      <c r="M427" s="42" t="s">
        <v>76</v>
      </c>
      <c r="N427" s="43" t="s">
        <v>874</v>
      </c>
      <c r="O427" s="43" t="s">
        <v>478</v>
      </c>
      <c r="P427" s="44">
        <v>162154</v>
      </c>
      <c r="Q427" s="45">
        <v>821</v>
      </c>
      <c r="R427" s="45">
        <v>0</v>
      </c>
      <c r="S427" s="45">
        <v>0</v>
      </c>
      <c r="T427" s="45">
        <v>0</v>
      </c>
      <c r="U427" s="45">
        <v>78285</v>
      </c>
      <c r="V427" s="46">
        <v>47287</v>
      </c>
    </row>
    <row r="428" spans="1:22" x14ac:dyDescent="0.25">
      <c r="A428" s="27" t="s">
        <v>823</v>
      </c>
      <c r="B428" s="27" t="s">
        <v>874</v>
      </c>
      <c r="C428" s="27" t="s">
        <v>479</v>
      </c>
      <c r="D428" s="32"/>
      <c r="E428" s="32"/>
      <c r="F428" s="32"/>
      <c r="G428" s="32"/>
      <c r="H428" s="32"/>
      <c r="I428" s="32"/>
      <c r="J428" s="32"/>
      <c r="K428" s="32"/>
      <c r="M428" s="42" t="s">
        <v>823</v>
      </c>
      <c r="N428" s="43" t="s">
        <v>874</v>
      </c>
      <c r="O428" s="43" t="s">
        <v>479</v>
      </c>
      <c r="P428" s="44"/>
      <c r="Q428" s="45"/>
      <c r="R428" s="45"/>
      <c r="S428" s="45"/>
      <c r="T428" s="45"/>
      <c r="U428" s="45"/>
      <c r="V428" s="46"/>
    </row>
    <row r="429" spans="1:22" x14ac:dyDescent="0.25">
      <c r="A429" s="27" t="s">
        <v>83</v>
      </c>
      <c r="B429" s="27" t="s">
        <v>874</v>
      </c>
      <c r="C429" s="27" t="s">
        <v>480</v>
      </c>
      <c r="D429" s="32">
        <f>22389+2+8+33+15331+2+1</f>
        <v>37766</v>
      </c>
      <c r="E429" s="32">
        <f>33+29+1+32+5</f>
        <v>100</v>
      </c>
      <c r="F429" s="32">
        <v>0</v>
      </c>
      <c r="G429" s="32">
        <v>0</v>
      </c>
      <c r="H429" s="32">
        <v>0</v>
      </c>
      <c r="I429" s="32">
        <v>33102</v>
      </c>
      <c r="J429" s="32">
        <v>14334</v>
      </c>
      <c r="K429" s="32"/>
      <c r="M429" s="42" t="s">
        <v>83</v>
      </c>
      <c r="N429" s="43" t="s">
        <v>874</v>
      </c>
      <c r="O429" s="43" t="s">
        <v>480</v>
      </c>
      <c r="P429" s="44">
        <v>37766</v>
      </c>
      <c r="Q429" s="45">
        <v>100</v>
      </c>
      <c r="R429" s="45">
        <v>0</v>
      </c>
      <c r="S429" s="45">
        <v>0</v>
      </c>
      <c r="T429" s="45">
        <v>0</v>
      </c>
      <c r="U429" s="45">
        <v>33102</v>
      </c>
      <c r="V429" s="46">
        <v>14334</v>
      </c>
    </row>
    <row r="430" spans="1:22" x14ac:dyDescent="0.25">
      <c r="A430" s="27" t="s">
        <v>512</v>
      </c>
      <c r="B430" s="27" t="s">
        <v>874</v>
      </c>
      <c r="C430" s="27" t="s">
        <v>481</v>
      </c>
      <c r="D430" s="32">
        <f>38244+44+7+95+14953</f>
        <v>53343</v>
      </c>
      <c r="E430" s="32">
        <f>65+103+130+123+10</f>
        <v>431</v>
      </c>
      <c r="F430" s="32">
        <v>0</v>
      </c>
      <c r="G430" s="32">
        <v>0</v>
      </c>
      <c r="H430" s="32">
        <v>0</v>
      </c>
      <c r="I430" s="32">
        <v>6815</v>
      </c>
      <c r="J430" s="32">
        <v>11622</v>
      </c>
      <c r="K430" s="32"/>
      <c r="M430" s="42" t="s">
        <v>512</v>
      </c>
      <c r="N430" s="43" t="s">
        <v>874</v>
      </c>
      <c r="O430" s="43" t="s">
        <v>481</v>
      </c>
      <c r="P430" s="44">
        <v>53343</v>
      </c>
      <c r="Q430" s="45">
        <v>431</v>
      </c>
      <c r="R430" s="45">
        <v>0</v>
      </c>
      <c r="S430" s="45">
        <v>0</v>
      </c>
      <c r="T430" s="45">
        <v>0</v>
      </c>
      <c r="U430" s="45">
        <v>6815</v>
      </c>
      <c r="V430" s="46">
        <v>11622</v>
      </c>
    </row>
    <row r="431" spans="1:22" x14ac:dyDescent="0.25">
      <c r="A431" s="27" t="s">
        <v>824</v>
      </c>
      <c r="B431" s="27" t="s">
        <v>874</v>
      </c>
      <c r="C431" s="27" t="s">
        <v>482</v>
      </c>
      <c r="D431" s="32">
        <f>15870+14148+2+2</f>
        <v>30022</v>
      </c>
      <c r="E431" s="32">
        <f>377+11+76+12</f>
        <v>476</v>
      </c>
      <c r="F431" s="32">
        <v>0</v>
      </c>
      <c r="G431" s="32">
        <v>0</v>
      </c>
      <c r="H431" s="32">
        <v>0</v>
      </c>
      <c r="I431" s="32">
        <v>21564</v>
      </c>
      <c r="J431" s="32">
        <v>8799</v>
      </c>
      <c r="K431" s="32"/>
      <c r="M431" s="42" t="s">
        <v>824</v>
      </c>
      <c r="N431" s="43" t="s">
        <v>874</v>
      </c>
      <c r="O431" s="43" t="s">
        <v>482</v>
      </c>
      <c r="P431" s="44">
        <v>30022</v>
      </c>
      <c r="Q431" s="45">
        <v>476</v>
      </c>
      <c r="R431" s="45">
        <v>0</v>
      </c>
      <c r="S431" s="45">
        <v>0</v>
      </c>
      <c r="T431" s="45">
        <v>0</v>
      </c>
      <c r="U431" s="45">
        <v>21564</v>
      </c>
      <c r="V431" s="46">
        <v>8799</v>
      </c>
    </row>
    <row r="432" spans="1:22" x14ac:dyDescent="0.25">
      <c r="A432" s="27" t="s">
        <v>248</v>
      </c>
      <c r="B432" s="27" t="s">
        <v>874</v>
      </c>
      <c r="C432" s="27" t="s">
        <v>483</v>
      </c>
      <c r="D432" s="32">
        <f>65838+4+225+8+14452+4</f>
        <v>80531</v>
      </c>
      <c r="E432" s="32">
        <f>316+8+1+36+63</f>
        <v>424</v>
      </c>
      <c r="F432" s="32">
        <v>0</v>
      </c>
      <c r="G432" s="32">
        <v>0</v>
      </c>
      <c r="H432" s="32">
        <v>0</v>
      </c>
      <c r="I432" s="32">
        <v>205378</v>
      </c>
      <c r="J432" s="32">
        <v>12957</v>
      </c>
      <c r="K432" s="32"/>
      <c r="M432" s="42" t="s">
        <v>248</v>
      </c>
      <c r="N432" s="43" t="s">
        <v>874</v>
      </c>
      <c r="O432" s="43" t="s">
        <v>483</v>
      </c>
      <c r="P432" s="44">
        <v>80531</v>
      </c>
      <c r="Q432" s="45">
        <v>424</v>
      </c>
      <c r="R432" s="45">
        <v>0</v>
      </c>
      <c r="S432" s="45">
        <v>0</v>
      </c>
      <c r="T432" s="45">
        <v>0</v>
      </c>
      <c r="U432" s="45">
        <v>205378</v>
      </c>
      <c r="V432" s="46">
        <v>12957</v>
      </c>
    </row>
    <row r="433" spans="1:22" x14ac:dyDescent="0.25">
      <c r="A433" s="27" t="s">
        <v>801</v>
      </c>
      <c r="B433" s="27" t="s">
        <v>874</v>
      </c>
      <c r="C433" s="27" t="s">
        <v>484</v>
      </c>
      <c r="D433" s="32"/>
      <c r="E433" s="32"/>
      <c r="F433" s="32"/>
      <c r="G433" s="32"/>
      <c r="H433" s="32"/>
      <c r="I433" s="32"/>
      <c r="J433" s="32"/>
      <c r="K433" s="32"/>
      <c r="M433" s="42" t="s">
        <v>801</v>
      </c>
      <c r="N433" s="43" t="s">
        <v>874</v>
      </c>
      <c r="O433" s="43" t="s">
        <v>484</v>
      </c>
      <c r="P433" s="44"/>
      <c r="Q433" s="45"/>
      <c r="R433" s="45"/>
      <c r="S433" s="45"/>
      <c r="T433" s="45"/>
      <c r="U433" s="45"/>
      <c r="V433" s="46"/>
    </row>
    <row r="434" spans="1:22" x14ac:dyDescent="0.25">
      <c r="A434" s="27" t="s">
        <v>818</v>
      </c>
      <c r="B434" s="27" t="s">
        <v>874</v>
      </c>
      <c r="C434" s="27" t="s">
        <v>485</v>
      </c>
      <c r="D434" s="32">
        <f>39902+2+29+177+26211</f>
        <v>66321</v>
      </c>
      <c r="E434" s="32">
        <f>9+50+1</f>
        <v>60</v>
      </c>
      <c r="F434" s="32">
        <v>0</v>
      </c>
      <c r="G434" s="32">
        <v>0</v>
      </c>
      <c r="H434" s="32">
        <v>0</v>
      </c>
      <c r="I434" s="32">
        <v>39455</v>
      </c>
      <c r="J434" s="32">
        <v>14700</v>
      </c>
      <c r="K434" s="32"/>
      <c r="M434" s="42" t="s">
        <v>818</v>
      </c>
      <c r="N434" s="43" t="s">
        <v>874</v>
      </c>
      <c r="O434" s="43" t="s">
        <v>485</v>
      </c>
      <c r="P434" s="44">
        <v>66321</v>
      </c>
      <c r="Q434" s="45">
        <v>60</v>
      </c>
      <c r="R434" s="45">
        <v>0</v>
      </c>
      <c r="S434" s="45">
        <v>0</v>
      </c>
      <c r="T434" s="45">
        <v>0</v>
      </c>
      <c r="U434" s="45">
        <v>39455</v>
      </c>
      <c r="V434" s="46">
        <v>14700</v>
      </c>
    </row>
    <row r="435" spans="1:22" x14ac:dyDescent="0.25">
      <c r="A435" s="27" t="s">
        <v>797</v>
      </c>
      <c r="B435" s="27" t="s">
        <v>874</v>
      </c>
      <c r="C435" s="27" t="s">
        <v>486</v>
      </c>
      <c r="D435" s="32">
        <f>105067+2+2+1+153+1+1+3+4+16986+5</f>
        <v>122225</v>
      </c>
      <c r="E435" s="32">
        <f>68+10+4</f>
        <v>82</v>
      </c>
      <c r="F435" s="32">
        <v>0</v>
      </c>
      <c r="G435" s="32">
        <v>0</v>
      </c>
      <c r="H435" s="32">
        <v>0</v>
      </c>
      <c r="I435" s="32">
        <v>25073</v>
      </c>
      <c r="J435" s="32">
        <v>11752</v>
      </c>
      <c r="K435" s="32"/>
      <c r="M435" s="42" t="s">
        <v>797</v>
      </c>
      <c r="N435" s="43" t="s">
        <v>874</v>
      </c>
      <c r="O435" s="43" t="s">
        <v>486</v>
      </c>
      <c r="P435" s="44">
        <v>122225</v>
      </c>
      <c r="Q435" s="45">
        <v>82</v>
      </c>
      <c r="R435" s="45">
        <v>0</v>
      </c>
      <c r="S435" s="45">
        <v>0</v>
      </c>
      <c r="T435" s="45">
        <v>0</v>
      </c>
      <c r="U435" s="45">
        <v>25073</v>
      </c>
      <c r="V435" s="46">
        <v>11752</v>
      </c>
    </row>
    <row r="436" spans="1:22" x14ac:dyDescent="0.25">
      <c r="A436" s="27" t="s">
        <v>804</v>
      </c>
      <c r="B436" s="27" t="s">
        <v>874</v>
      </c>
      <c r="C436" s="27" t="s">
        <v>487</v>
      </c>
      <c r="D436" s="32">
        <f>65347+1+7+13+3+36929+698+14</f>
        <v>103012</v>
      </c>
      <c r="E436" s="32">
        <f>5+3+14+214</f>
        <v>236</v>
      </c>
      <c r="F436" s="32">
        <v>0</v>
      </c>
      <c r="G436" s="32">
        <v>0</v>
      </c>
      <c r="H436" s="32">
        <v>0</v>
      </c>
      <c r="I436" s="32">
        <v>54287</v>
      </c>
      <c r="J436" s="32">
        <v>31481</v>
      </c>
      <c r="K436" s="32"/>
      <c r="M436" s="42" t="s">
        <v>804</v>
      </c>
      <c r="N436" s="43" t="s">
        <v>874</v>
      </c>
      <c r="O436" s="43" t="s">
        <v>487</v>
      </c>
      <c r="P436" s="44">
        <v>103012</v>
      </c>
      <c r="Q436" s="45">
        <v>236</v>
      </c>
      <c r="R436" s="45">
        <v>0</v>
      </c>
      <c r="S436" s="45">
        <v>0</v>
      </c>
      <c r="T436" s="45">
        <v>0</v>
      </c>
      <c r="U436" s="45">
        <v>54287</v>
      </c>
      <c r="V436" s="46">
        <v>31481</v>
      </c>
    </row>
    <row r="437" spans="1:22" x14ac:dyDescent="0.25">
      <c r="A437" s="27" t="s">
        <v>226</v>
      </c>
      <c r="B437" s="27" t="s">
        <v>874</v>
      </c>
      <c r="C437" s="27" t="s">
        <v>488</v>
      </c>
      <c r="D437" s="32">
        <f>67837+1+127+3326+3+1+14+8+30+1+17+24050</f>
        <v>95415</v>
      </c>
      <c r="E437" s="32">
        <f>93+113+42+74+20</f>
        <v>342</v>
      </c>
      <c r="F437" s="32">
        <v>0</v>
      </c>
      <c r="G437" s="32">
        <v>0</v>
      </c>
      <c r="H437" s="32">
        <v>0</v>
      </c>
      <c r="I437" s="32">
        <v>46914</v>
      </c>
      <c r="J437" s="32">
        <v>22150</v>
      </c>
      <c r="K437" s="32"/>
      <c r="M437" s="42" t="s">
        <v>226</v>
      </c>
      <c r="N437" s="43" t="s">
        <v>874</v>
      </c>
      <c r="O437" s="43" t="s">
        <v>488</v>
      </c>
      <c r="P437" s="44">
        <v>95415</v>
      </c>
      <c r="Q437" s="45">
        <v>342</v>
      </c>
      <c r="R437" s="45">
        <v>0</v>
      </c>
      <c r="S437" s="45">
        <v>0</v>
      </c>
      <c r="T437" s="45">
        <v>0</v>
      </c>
      <c r="U437" s="45">
        <v>46914</v>
      </c>
      <c r="V437" s="46">
        <v>22150</v>
      </c>
    </row>
    <row r="438" spans="1:22" x14ac:dyDescent="0.25">
      <c r="A438" s="27" t="s">
        <v>795</v>
      </c>
      <c r="B438" s="27" t="s">
        <v>874</v>
      </c>
      <c r="C438" s="27" t="s">
        <v>489</v>
      </c>
      <c r="D438" s="32">
        <f>44479+7+22+317+1+5+24+1+8+39963</f>
        <v>84827</v>
      </c>
      <c r="E438" s="32">
        <f>61+1+2+1381+764</f>
        <v>2209</v>
      </c>
      <c r="F438" s="32">
        <v>0</v>
      </c>
      <c r="G438" s="32">
        <v>0</v>
      </c>
      <c r="H438" s="32">
        <v>0</v>
      </c>
      <c r="I438" s="32">
        <v>69952</v>
      </c>
      <c r="J438" s="32">
        <v>32375</v>
      </c>
      <c r="K438" s="32"/>
      <c r="M438" s="42" t="s">
        <v>795</v>
      </c>
      <c r="N438" s="43" t="s">
        <v>874</v>
      </c>
      <c r="O438" s="43" t="s">
        <v>489</v>
      </c>
      <c r="P438" s="44">
        <v>84827</v>
      </c>
      <c r="Q438" s="45">
        <v>2209</v>
      </c>
      <c r="R438" s="45">
        <v>0</v>
      </c>
      <c r="S438" s="45">
        <v>0</v>
      </c>
      <c r="T438" s="45">
        <v>0</v>
      </c>
      <c r="U438" s="45">
        <v>69952</v>
      </c>
      <c r="V438" s="46">
        <v>32375</v>
      </c>
    </row>
    <row r="439" spans="1:22" x14ac:dyDescent="0.25">
      <c r="A439" s="27" t="s">
        <v>248</v>
      </c>
      <c r="B439" s="27" t="s">
        <v>874</v>
      </c>
      <c r="C439" s="27" t="s">
        <v>490</v>
      </c>
      <c r="D439" s="32">
        <f>12204+31+137+1+79189+7531+36</f>
        <v>99129</v>
      </c>
      <c r="E439" s="32">
        <f>14734+95030+246+13442+2910+5</f>
        <v>126367</v>
      </c>
      <c r="F439" s="32">
        <v>0</v>
      </c>
      <c r="G439" s="32">
        <v>0</v>
      </c>
      <c r="H439" s="32">
        <v>0</v>
      </c>
      <c r="I439" s="32">
        <v>4964</v>
      </c>
      <c r="J439" s="32">
        <v>16803</v>
      </c>
      <c r="K439" s="32"/>
      <c r="M439" s="42" t="s">
        <v>248</v>
      </c>
      <c r="N439" s="43" t="s">
        <v>874</v>
      </c>
      <c r="O439" s="43" t="s">
        <v>490</v>
      </c>
      <c r="P439" s="44">
        <v>99129</v>
      </c>
      <c r="Q439" s="45">
        <v>126367</v>
      </c>
      <c r="R439" s="45">
        <v>0</v>
      </c>
      <c r="S439" s="45">
        <v>0</v>
      </c>
      <c r="T439" s="45">
        <v>0</v>
      </c>
      <c r="U439" s="45">
        <v>4964</v>
      </c>
      <c r="V439" s="46">
        <v>16803</v>
      </c>
    </row>
    <row r="440" spans="1:22" x14ac:dyDescent="0.25">
      <c r="A440" s="27" t="s">
        <v>801</v>
      </c>
      <c r="B440" s="27" t="s">
        <v>874</v>
      </c>
      <c r="C440" s="27" t="s">
        <v>491</v>
      </c>
      <c r="D440" s="32">
        <f>29200+9+74+7+46383+3+13+1+1+35</f>
        <v>75726</v>
      </c>
      <c r="E440" s="32">
        <f>133+80+1117+455+2</f>
        <v>1787</v>
      </c>
      <c r="F440" s="32">
        <v>0</v>
      </c>
      <c r="G440" s="32">
        <v>0</v>
      </c>
      <c r="H440" s="32">
        <v>0</v>
      </c>
      <c r="I440" s="32">
        <v>153893</v>
      </c>
      <c r="J440" s="32">
        <v>35104</v>
      </c>
      <c r="K440" s="32"/>
      <c r="M440" s="42" t="s">
        <v>801</v>
      </c>
      <c r="N440" s="43" t="s">
        <v>874</v>
      </c>
      <c r="O440" s="43" t="s">
        <v>491</v>
      </c>
      <c r="P440" s="44">
        <v>75726</v>
      </c>
      <c r="Q440" s="45">
        <v>1787</v>
      </c>
      <c r="R440" s="45">
        <v>0</v>
      </c>
      <c r="S440" s="45">
        <v>0</v>
      </c>
      <c r="T440" s="45">
        <v>0</v>
      </c>
      <c r="U440" s="45">
        <v>153893</v>
      </c>
      <c r="V440" s="46">
        <v>35104</v>
      </c>
    </row>
    <row r="441" spans="1:22" x14ac:dyDescent="0.25">
      <c r="A441" s="27" t="s">
        <v>818</v>
      </c>
      <c r="B441" s="27" t="s">
        <v>874</v>
      </c>
      <c r="C441" s="27" t="s">
        <v>492</v>
      </c>
      <c r="D441" s="32">
        <f>27837+345+6+5+48+9219</f>
        <v>37460</v>
      </c>
      <c r="E441" s="32">
        <f>27+42+3+52+10</f>
        <v>134</v>
      </c>
      <c r="F441" s="32">
        <v>0</v>
      </c>
      <c r="G441" s="32">
        <v>0</v>
      </c>
      <c r="H441" s="32">
        <v>0</v>
      </c>
      <c r="I441" s="32">
        <v>62197</v>
      </c>
      <c r="J441" s="32">
        <v>8653</v>
      </c>
      <c r="K441" s="32"/>
      <c r="M441" s="42" t="s">
        <v>818</v>
      </c>
      <c r="N441" s="43" t="s">
        <v>874</v>
      </c>
      <c r="O441" s="43" t="s">
        <v>492</v>
      </c>
      <c r="P441" s="44">
        <v>37460</v>
      </c>
      <c r="Q441" s="45">
        <v>134</v>
      </c>
      <c r="R441" s="45">
        <v>0</v>
      </c>
      <c r="S441" s="45">
        <v>0</v>
      </c>
      <c r="T441" s="45">
        <v>0</v>
      </c>
      <c r="U441" s="45">
        <v>62197</v>
      </c>
      <c r="V441" s="46">
        <v>8653</v>
      </c>
    </row>
    <row r="442" spans="1:22" x14ac:dyDescent="0.25">
      <c r="A442" s="27" t="s">
        <v>791</v>
      </c>
      <c r="B442" s="27" t="s">
        <v>874</v>
      </c>
      <c r="C442" s="27" t="s">
        <v>493</v>
      </c>
      <c r="D442" s="32">
        <f>34877+1+9+1+25+5253</f>
        <v>40166</v>
      </c>
      <c r="E442" s="32">
        <f>296+1+433+33</f>
        <v>763</v>
      </c>
      <c r="F442" s="32">
        <v>0</v>
      </c>
      <c r="G442" s="32">
        <v>0</v>
      </c>
      <c r="H442" s="32">
        <v>0</v>
      </c>
      <c r="I442" s="32">
        <v>68646</v>
      </c>
      <c r="J442" s="32">
        <v>5510</v>
      </c>
      <c r="K442" s="32"/>
      <c r="M442" s="42" t="s">
        <v>791</v>
      </c>
      <c r="N442" s="43" t="s">
        <v>874</v>
      </c>
      <c r="O442" s="43" t="s">
        <v>493</v>
      </c>
      <c r="P442" s="44">
        <v>40166</v>
      </c>
      <c r="Q442" s="45">
        <v>763</v>
      </c>
      <c r="R442" s="45">
        <v>0</v>
      </c>
      <c r="S442" s="45">
        <v>0</v>
      </c>
      <c r="T442" s="45">
        <v>0</v>
      </c>
      <c r="U442" s="45">
        <v>68646</v>
      </c>
      <c r="V442" s="46">
        <v>5510</v>
      </c>
    </row>
    <row r="443" spans="1:22" x14ac:dyDescent="0.25">
      <c r="A443" s="27" t="s">
        <v>138</v>
      </c>
      <c r="B443" s="27" t="s">
        <v>874</v>
      </c>
      <c r="C443" s="27" t="s">
        <v>494</v>
      </c>
      <c r="D443" s="32"/>
      <c r="E443" s="32"/>
      <c r="F443" s="32"/>
      <c r="G443" s="32"/>
      <c r="H443" s="32"/>
      <c r="I443" s="32"/>
      <c r="J443" s="32"/>
      <c r="K443" s="32"/>
      <c r="M443" s="42" t="s">
        <v>138</v>
      </c>
      <c r="N443" s="43" t="s">
        <v>874</v>
      </c>
      <c r="O443" s="43" t="s">
        <v>494</v>
      </c>
      <c r="P443" s="44"/>
      <c r="Q443" s="45"/>
      <c r="R443" s="45"/>
      <c r="S443" s="45"/>
      <c r="T443" s="45"/>
      <c r="U443" s="45"/>
      <c r="V443" s="46"/>
    </row>
    <row r="444" spans="1:22" x14ac:dyDescent="0.25">
      <c r="A444" s="27" t="s">
        <v>495</v>
      </c>
      <c r="B444" s="27" t="s">
        <v>874</v>
      </c>
      <c r="C444" s="27" t="s">
        <v>496</v>
      </c>
      <c r="D444" s="32">
        <f>208603+6+1+5384+10+63+1+3+590+106012+11+1+3+1+4</f>
        <v>320693</v>
      </c>
      <c r="E444" s="32">
        <f>395+45+44+554+28+8</f>
        <v>1074</v>
      </c>
      <c r="F444" s="32">
        <v>0</v>
      </c>
      <c r="G444" s="32">
        <v>0</v>
      </c>
      <c r="H444" s="32">
        <v>0</v>
      </c>
      <c r="I444" s="32">
        <v>89725</v>
      </c>
      <c r="J444" s="32">
        <v>83591</v>
      </c>
      <c r="K444" s="32"/>
      <c r="M444" s="42" t="s">
        <v>495</v>
      </c>
      <c r="N444" s="43" t="s">
        <v>874</v>
      </c>
      <c r="O444" s="43" t="s">
        <v>496</v>
      </c>
      <c r="P444" s="44">
        <v>320693</v>
      </c>
      <c r="Q444" s="45">
        <v>1074</v>
      </c>
      <c r="R444" s="45">
        <v>0</v>
      </c>
      <c r="S444" s="45">
        <v>0</v>
      </c>
      <c r="T444" s="45">
        <v>0</v>
      </c>
      <c r="U444" s="45">
        <v>89725</v>
      </c>
      <c r="V444" s="46">
        <v>83591</v>
      </c>
    </row>
    <row r="445" spans="1:22" x14ac:dyDescent="0.25">
      <c r="A445" s="27" t="s">
        <v>791</v>
      </c>
      <c r="B445" s="27" t="s">
        <v>874</v>
      </c>
      <c r="C445" s="27" t="s">
        <v>497</v>
      </c>
      <c r="D445" s="32">
        <f>15330+1+15+176+91+2+9+94+13701</f>
        <v>29419</v>
      </c>
      <c r="E445" s="32">
        <f>73+1+2+79</f>
        <v>155</v>
      </c>
      <c r="F445" s="32">
        <v>0</v>
      </c>
      <c r="G445" s="32">
        <v>0</v>
      </c>
      <c r="H445" s="32">
        <v>0</v>
      </c>
      <c r="I445" s="32">
        <v>26703</v>
      </c>
      <c r="J445" s="32">
        <v>11799</v>
      </c>
      <c r="K445" s="32"/>
      <c r="M445" s="42" t="s">
        <v>791</v>
      </c>
      <c r="N445" s="43" t="s">
        <v>874</v>
      </c>
      <c r="O445" s="43" t="s">
        <v>497</v>
      </c>
      <c r="P445" s="44">
        <v>29419</v>
      </c>
      <c r="Q445" s="45">
        <v>155</v>
      </c>
      <c r="R445" s="45">
        <v>0</v>
      </c>
      <c r="S445" s="45">
        <v>0</v>
      </c>
      <c r="T445" s="45">
        <v>0</v>
      </c>
      <c r="U445" s="45">
        <v>26703</v>
      </c>
      <c r="V445" s="46">
        <v>11799</v>
      </c>
    </row>
    <row r="446" spans="1:22" x14ac:dyDescent="0.25">
      <c r="A446" s="27" t="s">
        <v>10</v>
      </c>
      <c r="B446" s="27" t="s">
        <v>874</v>
      </c>
      <c r="C446" s="27" t="s">
        <v>782</v>
      </c>
      <c r="D446" s="32"/>
      <c r="E446" s="32"/>
      <c r="F446" s="32"/>
      <c r="G446" s="32"/>
      <c r="H446" s="32"/>
      <c r="I446" s="32"/>
      <c r="J446" s="32"/>
      <c r="K446" s="32"/>
      <c r="M446" s="42" t="s">
        <v>10</v>
      </c>
      <c r="N446" s="43" t="s">
        <v>874</v>
      </c>
      <c r="O446" s="43" t="s">
        <v>782</v>
      </c>
      <c r="P446" s="44"/>
      <c r="Q446" s="45"/>
      <c r="R446" s="45"/>
      <c r="S446" s="45"/>
      <c r="T446" s="45"/>
      <c r="U446" s="45"/>
      <c r="V446" s="46"/>
    </row>
    <row r="447" spans="1:22" x14ac:dyDescent="0.25">
      <c r="A447" s="27" t="s">
        <v>10</v>
      </c>
      <c r="B447" s="27" t="s">
        <v>874</v>
      </c>
      <c r="C447" s="27" t="s">
        <v>783</v>
      </c>
      <c r="D447" s="32"/>
      <c r="E447" s="32"/>
      <c r="F447" s="32"/>
      <c r="G447" s="32"/>
      <c r="H447" s="32"/>
      <c r="I447" s="32"/>
      <c r="J447" s="32"/>
      <c r="K447" s="32"/>
      <c r="M447" s="42" t="s">
        <v>10</v>
      </c>
      <c r="N447" s="43" t="s">
        <v>874</v>
      </c>
      <c r="O447" s="43" t="s">
        <v>783</v>
      </c>
      <c r="P447" s="44"/>
      <c r="Q447" s="45"/>
      <c r="R447" s="45"/>
      <c r="S447" s="45"/>
      <c r="T447" s="45"/>
      <c r="U447" s="45"/>
      <c r="V447" s="46"/>
    </row>
    <row r="448" spans="1:22" x14ac:dyDescent="0.25">
      <c r="A448" s="27" t="s">
        <v>10</v>
      </c>
      <c r="B448" s="27" t="s">
        <v>874</v>
      </c>
      <c r="C448" s="27" t="s">
        <v>784</v>
      </c>
      <c r="D448" s="32"/>
      <c r="E448" s="32"/>
      <c r="F448" s="32"/>
      <c r="G448" s="32"/>
      <c r="H448" s="32"/>
      <c r="I448" s="32"/>
      <c r="J448" s="32"/>
      <c r="K448" s="32"/>
      <c r="M448" s="42" t="s">
        <v>10</v>
      </c>
      <c r="N448" s="43" t="s">
        <v>874</v>
      </c>
      <c r="O448" s="43" t="s">
        <v>784</v>
      </c>
      <c r="P448" s="44"/>
      <c r="Q448" s="45"/>
      <c r="R448" s="45"/>
      <c r="S448" s="45"/>
      <c r="T448" s="45"/>
      <c r="U448" s="45"/>
      <c r="V448" s="46"/>
    </row>
    <row r="449" spans="1:22" x14ac:dyDescent="0.25">
      <c r="A449" s="27" t="s">
        <v>10</v>
      </c>
      <c r="B449" s="27" t="s">
        <v>874</v>
      </c>
      <c r="C449" s="27" t="s">
        <v>785</v>
      </c>
      <c r="D449" s="32"/>
      <c r="E449" s="32"/>
      <c r="F449" s="32"/>
      <c r="G449" s="32"/>
      <c r="H449" s="32"/>
      <c r="I449" s="32"/>
      <c r="J449" s="32"/>
      <c r="K449" s="32"/>
      <c r="M449" s="42" t="s">
        <v>10</v>
      </c>
      <c r="N449" s="43" t="s">
        <v>874</v>
      </c>
      <c r="O449" s="43" t="s">
        <v>785</v>
      </c>
      <c r="P449" s="44"/>
      <c r="Q449" s="45"/>
      <c r="R449" s="45"/>
      <c r="S449" s="45"/>
      <c r="T449" s="45"/>
      <c r="U449" s="45"/>
      <c r="V449" s="46"/>
    </row>
    <row r="450" spans="1:22" x14ac:dyDescent="0.25">
      <c r="A450" s="27" t="s">
        <v>791</v>
      </c>
      <c r="B450" s="27" t="s">
        <v>874</v>
      </c>
      <c r="C450" s="27" t="s">
        <v>498</v>
      </c>
      <c r="D450" s="32">
        <f>21378+49881</f>
        <v>71259</v>
      </c>
      <c r="E450" s="32">
        <f>36+84</f>
        <v>120</v>
      </c>
      <c r="F450" s="32">
        <v>0</v>
      </c>
      <c r="G450" s="32">
        <v>0</v>
      </c>
      <c r="H450" s="32">
        <v>0</v>
      </c>
      <c r="I450" s="32">
        <v>10985</v>
      </c>
      <c r="J450" s="32">
        <v>7689</v>
      </c>
      <c r="K450" s="32"/>
      <c r="M450" s="42" t="s">
        <v>791</v>
      </c>
      <c r="N450" s="43" t="s">
        <v>874</v>
      </c>
      <c r="O450" s="43" t="s">
        <v>498</v>
      </c>
      <c r="P450" s="44">
        <v>71259</v>
      </c>
      <c r="Q450" s="45">
        <v>120</v>
      </c>
      <c r="R450" s="45">
        <v>0</v>
      </c>
      <c r="S450" s="45">
        <v>0</v>
      </c>
      <c r="T450" s="45">
        <v>0</v>
      </c>
      <c r="U450" s="45">
        <v>10985</v>
      </c>
      <c r="V450" s="46">
        <v>7689</v>
      </c>
    </row>
    <row r="451" spans="1:22" x14ac:dyDescent="0.25">
      <c r="A451" s="27" t="s">
        <v>10</v>
      </c>
      <c r="B451" s="27" t="s">
        <v>874</v>
      </c>
      <c r="C451" s="27" t="s">
        <v>786</v>
      </c>
      <c r="D451" s="32"/>
      <c r="E451" s="32"/>
      <c r="F451" s="32"/>
      <c r="G451" s="32"/>
      <c r="H451" s="32"/>
      <c r="I451" s="32"/>
      <c r="J451" s="32"/>
      <c r="K451" s="32"/>
      <c r="M451" s="42" t="s">
        <v>10</v>
      </c>
      <c r="N451" s="43" t="s">
        <v>874</v>
      </c>
      <c r="O451" s="43" t="s">
        <v>786</v>
      </c>
      <c r="P451" s="44"/>
      <c r="Q451" s="45"/>
      <c r="R451" s="45"/>
      <c r="S451" s="45"/>
      <c r="T451" s="45"/>
      <c r="U451" s="45"/>
      <c r="V451" s="46"/>
    </row>
    <row r="452" spans="1:22" x14ac:dyDescent="0.25">
      <c r="A452" s="27" t="s">
        <v>796</v>
      </c>
      <c r="B452" s="27" t="s">
        <v>874</v>
      </c>
      <c r="C452" s="27" t="s">
        <v>499</v>
      </c>
      <c r="D452" s="32">
        <f>21844+50968</f>
        <v>72812</v>
      </c>
      <c r="E452" s="32">
        <f>141+328</f>
        <v>469</v>
      </c>
      <c r="F452" s="32">
        <v>0</v>
      </c>
      <c r="G452" s="32">
        <v>0</v>
      </c>
      <c r="H452" s="32">
        <v>0</v>
      </c>
      <c r="I452" s="32">
        <v>7268</v>
      </c>
      <c r="J452" s="32">
        <v>5087</v>
      </c>
      <c r="K452" s="32"/>
      <c r="M452" s="42" t="s">
        <v>796</v>
      </c>
      <c r="N452" s="43" t="s">
        <v>874</v>
      </c>
      <c r="O452" s="43" t="s">
        <v>499</v>
      </c>
      <c r="P452" s="44">
        <v>72812</v>
      </c>
      <c r="Q452" s="45">
        <v>469</v>
      </c>
      <c r="R452" s="45">
        <v>0</v>
      </c>
      <c r="S452" s="45">
        <v>0</v>
      </c>
      <c r="T452" s="45">
        <v>0</v>
      </c>
      <c r="U452" s="45">
        <v>7268</v>
      </c>
      <c r="V452" s="46">
        <v>5087</v>
      </c>
    </row>
    <row r="453" spans="1:22" x14ac:dyDescent="0.25">
      <c r="A453" s="27" t="s">
        <v>10</v>
      </c>
      <c r="B453" s="27" t="s">
        <v>874</v>
      </c>
      <c r="C453" s="27" t="s">
        <v>500</v>
      </c>
      <c r="D453" s="32"/>
      <c r="E453" s="32"/>
      <c r="F453" s="32"/>
      <c r="G453" s="32"/>
      <c r="H453" s="32"/>
      <c r="I453" s="32"/>
      <c r="J453" s="32"/>
      <c r="K453" s="32"/>
      <c r="M453" s="42" t="s">
        <v>10</v>
      </c>
      <c r="N453" s="43" t="s">
        <v>874</v>
      </c>
      <c r="O453" s="43" t="s">
        <v>500</v>
      </c>
      <c r="P453" s="44"/>
      <c r="Q453" s="45"/>
      <c r="R453" s="45"/>
      <c r="S453" s="45"/>
      <c r="T453" s="45"/>
      <c r="U453" s="45"/>
      <c r="V453" s="46"/>
    </row>
    <row r="454" spans="1:22" x14ac:dyDescent="0.25">
      <c r="A454" s="27" t="s">
        <v>76</v>
      </c>
      <c r="B454" s="27" t="s">
        <v>878</v>
      </c>
      <c r="C454" s="27" t="s">
        <v>501</v>
      </c>
      <c r="D454" s="32">
        <v>19617</v>
      </c>
      <c r="E454" s="32">
        <v>0</v>
      </c>
      <c r="F454" s="32">
        <v>0</v>
      </c>
      <c r="G454" s="32">
        <v>0</v>
      </c>
      <c r="H454" s="32">
        <v>0</v>
      </c>
      <c r="I454" s="32">
        <v>0</v>
      </c>
      <c r="J454" s="32">
        <v>0</v>
      </c>
      <c r="K454" s="32"/>
      <c r="M454" s="42" t="s">
        <v>76</v>
      </c>
      <c r="N454" s="43" t="s">
        <v>878</v>
      </c>
      <c r="O454" s="43" t="s">
        <v>501</v>
      </c>
      <c r="P454" s="44">
        <v>19617</v>
      </c>
      <c r="Q454" s="45">
        <v>0</v>
      </c>
      <c r="R454" s="45">
        <v>0</v>
      </c>
      <c r="S454" s="45">
        <v>0</v>
      </c>
      <c r="T454" s="45">
        <v>0</v>
      </c>
      <c r="U454" s="45">
        <v>0</v>
      </c>
      <c r="V454" s="46">
        <v>0</v>
      </c>
    </row>
    <row r="455" spans="1:22" x14ac:dyDescent="0.25">
      <c r="A455" s="27" t="s">
        <v>231</v>
      </c>
      <c r="B455" s="27" t="s">
        <v>878</v>
      </c>
      <c r="C455" s="27" t="s">
        <v>502</v>
      </c>
      <c r="D455" s="32">
        <v>4863</v>
      </c>
      <c r="E455" s="32">
        <v>0</v>
      </c>
      <c r="F455" s="32">
        <v>0</v>
      </c>
      <c r="G455" s="32">
        <v>0</v>
      </c>
      <c r="H455" s="32">
        <v>0</v>
      </c>
      <c r="I455" s="32">
        <v>0</v>
      </c>
      <c r="J455" s="32">
        <v>0</v>
      </c>
      <c r="K455" s="32"/>
      <c r="M455" s="42" t="s">
        <v>231</v>
      </c>
      <c r="N455" s="43" t="s">
        <v>878</v>
      </c>
      <c r="O455" s="43" t="s">
        <v>502</v>
      </c>
      <c r="P455" s="44">
        <v>4863</v>
      </c>
      <c r="Q455" s="45">
        <v>0</v>
      </c>
      <c r="R455" s="45">
        <v>0</v>
      </c>
      <c r="S455" s="45">
        <v>0</v>
      </c>
      <c r="T455" s="45">
        <v>0</v>
      </c>
      <c r="U455" s="45">
        <v>0</v>
      </c>
      <c r="V455" s="46">
        <v>0</v>
      </c>
    </row>
    <row r="456" spans="1:22" x14ac:dyDescent="0.25">
      <c r="A456" s="27" t="s">
        <v>831</v>
      </c>
      <c r="B456" s="27" t="s">
        <v>878</v>
      </c>
      <c r="C456" s="27" t="s">
        <v>503</v>
      </c>
      <c r="D456" s="32"/>
      <c r="E456" s="32"/>
      <c r="F456" s="32"/>
      <c r="G456" s="32"/>
      <c r="H456" s="32"/>
      <c r="I456" s="32"/>
      <c r="J456" s="32"/>
      <c r="K456" s="32"/>
      <c r="M456" s="42" t="s">
        <v>831</v>
      </c>
      <c r="N456" s="43" t="s">
        <v>878</v>
      </c>
      <c r="O456" s="43" t="s">
        <v>503</v>
      </c>
      <c r="P456" s="44"/>
      <c r="Q456" s="45"/>
      <c r="R456" s="45"/>
      <c r="S456" s="45"/>
      <c r="T456" s="45"/>
      <c r="U456" s="45"/>
      <c r="V456" s="46"/>
    </row>
    <row r="457" spans="1:22" x14ac:dyDescent="0.25">
      <c r="A457" s="27" t="s">
        <v>76</v>
      </c>
      <c r="B457" s="27" t="s">
        <v>878</v>
      </c>
      <c r="C457" s="27" t="s">
        <v>504</v>
      </c>
      <c r="D457" s="32">
        <v>44711</v>
      </c>
      <c r="E457" s="32">
        <v>0</v>
      </c>
      <c r="F457" s="32">
        <v>0</v>
      </c>
      <c r="G457" s="32">
        <v>0</v>
      </c>
      <c r="H457" s="32">
        <v>0</v>
      </c>
      <c r="I457" s="32">
        <v>0</v>
      </c>
      <c r="J457" s="32">
        <v>0</v>
      </c>
      <c r="K457" s="32"/>
      <c r="M457" s="42" t="s">
        <v>76</v>
      </c>
      <c r="N457" s="43" t="s">
        <v>878</v>
      </c>
      <c r="O457" s="43" t="s">
        <v>504</v>
      </c>
      <c r="P457" s="44">
        <v>44711</v>
      </c>
      <c r="Q457" s="45">
        <v>0</v>
      </c>
      <c r="R457" s="45">
        <v>0</v>
      </c>
      <c r="S457" s="45">
        <v>0</v>
      </c>
      <c r="T457" s="45">
        <v>0</v>
      </c>
      <c r="U457" s="45">
        <v>0</v>
      </c>
      <c r="V457" s="46">
        <v>0</v>
      </c>
    </row>
    <row r="458" spans="1:22" x14ac:dyDescent="0.25">
      <c r="A458" s="27" t="s">
        <v>817</v>
      </c>
      <c r="B458" s="27" t="s">
        <v>878</v>
      </c>
      <c r="C458" s="27" t="s">
        <v>505</v>
      </c>
      <c r="D458" s="32"/>
      <c r="E458" s="32"/>
      <c r="F458" s="32"/>
      <c r="G458" s="32"/>
      <c r="H458" s="32"/>
      <c r="I458" s="32"/>
      <c r="J458" s="32"/>
      <c r="K458" s="32"/>
      <c r="M458" s="42" t="s">
        <v>817</v>
      </c>
      <c r="N458" s="43" t="s">
        <v>878</v>
      </c>
      <c r="O458" s="43" t="s">
        <v>505</v>
      </c>
      <c r="P458" s="44"/>
      <c r="Q458" s="45"/>
      <c r="R458" s="45"/>
      <c r="S458" s="45"/>
      <c r="T458" s="45"/>
      <c r="U458" s="45"/>
      <c r="V458" s="46"/>
    </row>
    <row r="459" spans="1:22" x14ac:dyDescent="0.25">
      <c r="A459" s="27" t="s">
        <v>824</v>
      </c>
      <c r="B459" s="27" t="s">
        <v>878</v>
      </c>
      <c r="C459" s="27" t="s">
        <v>506</v>
      </c>
      <c r="D459" s="32">
        <v>10572</v>
      </c>
      <c r="E459" s="32">
        <v>0</v>
      </c>
      <c r="F459" s="32">
        <v>0</v>
      </c>
      <c r="G459" s="32">
        <v>0</v>
      </c>
      <c r="H459" s="32">
        <v>0</v>
      </c>
      <c r="I459" s="32">
        <v>0</v>
      </c>
      <c r="J459" s="32">
        <v>0</v>
      </c>
      <c r="K459" s="32"/>
      <c r="M459" s="42" t="s">
        <v>824</v>
      </c>
      <c r="N459" s="43" t="s">
        <v>878</v>
      </c>
      <c r="O459" s="43" t="s">
        <v>506</v>
      </c>
      <c r="P459" s="44">
        <v>10572</v>
      </c>
      <c r="Q459" s="45">
        <v>0</v>
      </c>
      <c r="R459" s="45">
        <v>0</v>
      </c>
      <c r="S459" s="45">
        <v>0</v>
      </c>
      <c r="T459" s="45">
        <v>0</v>
      </c>
      <c r="U459" s="45">
        <v>0</v>
      </c>
      <c r="V459" s="46">
        <v>0</v>
      </c>
    </row>
    <row r="460" spans="1:22" x14ac:dyDescent="0.25">
      <c r="A460" s="27" t="s">
        <v>817</v>
      </c>
      <c r="B460" s="27" t="s">
        <v>878</v>
      </c>
      <c r="C460" s="27" t="s">
        <v>507</v>
      </c>
      <c r="D460" s="32"/>
      <c r="E460" s="32"/>
      <c r="F460" s="32"/>
      <c r="G460" s="32"/>
      <c r="H460" s="32"/>
      <c r="I460" s="32"/>
      <c r="J460" s="32"/>
      <c r="K460" s="32"/>
      <c r="M460" s="42" t="s">
        <v>817</v>
      </c>
      <c r="N460" s="43" t="s">
        <v>878</v>
      </c>
      <c r="O460" s="43" t="s">
        <v>507</v>
      </c>
      <c r="P460" s="44"/>
      <c r="Q460" s="45"/>
      <c r="R460" s="45"/>
      <c r="S460" s="45"/>
      <c r="T460" s="45"/>
      <c r="U460" s="45"/>
      <c r="V460" s="46"/>
    </row>
    <row r="461" spans="1:22" x14ac:dyDescent="0.25">
      <c r="A461" s="27" t="s">
        <v>859</v>
      </c>
      <c r="B461" s="27" t="s">
        <v>878</v>
      </c>
      <c r="C461" s="27" t="s">
        <v>508</v>
      </c>
      <c r="D461" s="32"/>
      <c r="E461" s="32"/>
      <c r="F461" s="32"/>
      <c r="G461" s="32"/>
      <c r="H461" s="32"/>
      <c r="I461" s="32"/>
      <c r="J461" s="32"/>
      <c r="K461" s="32"/>
      <c r="M461" s="42" t="s">
        <v>859</v>
      </c>
      <c r="N461" s="43" t="s">
        <v>878</v>
      </c>
      <c r="O461" s="43" t="s">
        <v>508</v>
      </c>
      <c r="P461" s="44"/>
      <c r="Q461" s="45"/>
      <c r="R461" s="45"/>
      <c r="S461" s="45"/>
      <c r="T461" s="45"/>
      <c r="U461" s="45"/>
      <c r="V461" s="46"/>
    </row>
    <row r="462" spans="1:22" x14ac:dyDescent="0.25">
      <c r="A462" s="27" t="s">
        <v>801</v>
      </c>
      <c r="B462" s="27" t="s">
        <v>878</v>
      </c>
      <c r="C462" s="27" t="s">
        <v>509</v>
      </c>
      <c r="D462" s="32"/>
      <c r="E462" s="32"/>
      <c r="F462" s="32"/>
      <c r="G462" s="32"/>
      <c r="H462" s="32"/>
      <c r="I462" s="32"/>
      <c r="J462" s="32"/>
      <c r="K462" s="32"/>
      <c r="M462" s="42" t="s">
        <v>801</v>
      </c>
      <c r="N462" s="43" t="s">
        <v>878</v>
      </c>
      <c r="O462" s="43" t="s">
        <v>509</v>
      </c>
      <c r="P462" s="44"/>
      <c r="Q462" s="45"/>
      <c r="R462" s="45"/>
      <c r="S462" s="45"/>
      <c r="T462" s="45"/>
      <c r="U462" s="45"/>
      <c r="V462" s="46"/>
    </row>
    <row r="463" spans="1:22" x14ac:dyDescent="0.25">
      <c r="A463" s="27" t="s">
        <v>801</v>
      </c>
      <c r="B463" s="27" t="s">
        <v>878</v>
      </c>
      <c r="C463" s="27" t="s">
        <v>510</v>
      </c>
      <c r="D463" s="32"/>
      <c r="E463" s="32"/>
      <c r="F463" s="32"/>
      <c r="G463" s="32"/>
      <c r="H463" s="32"/>
      <c r="I463" s="32"/>
      <c r="J463" s="32"/>
      <c r="K463" s="32"/>
      <c r="M463" s="42" t="s">
        <v>801</v>
      </c>
      <c r="N463" s="43" t="s">
        <v>878</v>
      </c>
      <c r="O463" s="43" t="s">
        <v>510</v>
      </c>
      <c r="P463" s="44"/>
      <c r="Q463" s="45"/>
      <c r="R463" s="45"/>
      <c r="S463" s="45"/>
      <c r="T463" s="45"/>
      <c r="U463" s="45"/>
      <c r="V463" s="46"/>
    </row>
    <row r="464" spans="1:22" x14ac:dyDescent="0.25">
      <c r="A464" s="27" t="s">
        <v>831</v>
      </c>
      <c r="B464" s="27" t="s">
        <v>878</v>
      </c>
      <c r="C464" s="27" t="s">
        <v>511</v>
      </c>
      <c r="D464" s="32"/>
      <c r="E464" s="32"/>
      <c r="F464" s="32"/>
      <c r="G464" s="32"/>
      <c r="H464" s="32"/>
      <c r="I464" s="32"/>
      <c r="J464" s="32"/>
      <c r="K464" s="32"/>
      <c r="M464" s="42" t="s">
        <v>831</v>
      </c>
      <c r="N464" s="43" t="s">
        <v>878</v>
      </c>
      <c r="O464" s="43" t="s">
        <v>511</v>
      </c>
      <c r="P464" s="44"/>
      <c r="Q464" s="45"/>
      <c r="R464" s="45"/>
      <c r="S464" s="45"/>
      <c r="T464" s="45"/>
      <c r="U464" s="45"/>
      <c r="V464" s="46"/>
    </row>
    <row r="465" spans="1:22" x14ac:dyDescent="0.25">
      <c r="A465" s="27" t="s">
        <v>816</v>
      </c>
      <c r="B465" s="27" t="s">
        <v>878</v>
      </c>
      <c r="C465" s="27" t="s">
        <v>513</v>
      </c>
      <c r="D465" s="32">
        <v>5574</v>
      </c>
      <c r="E465" s="32">
        <v>0</v>
      </c>
      <c r="F465" s="32">
        <v>0</v>
      </c>
      <c r="G465" s="32">
        <v>0</v>
      </c>
      <c r="H465" s="32">
        <v>0</v>
      </c>
      <c r="I465" s="32">
        <v>0</v>
      </c>
      <c r="J465" s="32">
        <v>0</v>
      </c>
      <c r="K465" s="32"/>
      <c r="M465" s="42" t="s">
        <v>816</v>
      </c>
      <c r="N465" s="43" t="s">
        <v>878</v>
      </c>
      <c r="O465" s="43" t="s">
        <v>513</v>
      </c>
      <c r="P465" s="44">
        <v>5574</v>
      </c>
      <c r="Q465" s="45">
        <v>0</v>
      </c>
      <c r="R465" s="45">
        <v>0</v>
      </c>
      <c r="S465" s="45">
        <v>0</v>
      </c>
      <c r="T465" s="45">
        <v>0</v>
      </c>
      <c r="U465" s="45">
        <v>0</v>
      </c>
      <c r="V465" s="46">
        <v>0</v>
      </c>
    </row>
    <row r="466" spans="1:22" x14ac:dyDescent="0.25">
      <c r="A466" s="27" t="s">
        <v>817</v>
      </c>
      <c r="B466" s="27" t="s">
        <v>878</v>
      </c>
      <c r="C466" s="27" t="s">
        <v>514</v>
      </c>
      <c r="D466" s="32">
        <v>13912</v>
      </c>
      <c r="E466" s="32">
        <v>0</v>
      </c>
      <c r="F466" s="32">
        <v>0</v>
      </c>
      <c r="G466" s="32">
        <v>0</v>
      </c>
      <c r="H466" s="32">
        <v>0</v>
      </c>
      <c r="I466" s="32">
        <v>0</v>
      </c>
      <c r="J466" s="32">
        <v>0</v>
      </c>
      <c r="K466" s="32"/>
      <c r="M466" s="42" t="s">
        <v>817</v>
      </c>
      <c r="N466" s="43" t="s">
        <v>878</v>
      </c>
      <c r="O466" s="43" t="s">
        <v>514</v>
      </c>
      <c r="P466" s="44">
        <v>13912</v>
      </c>
      <c r="Q466" s="45">
        <v>0</v>
      </c>
      <c r="R466" s="45">
        <v>0</v>
      </c>
      <c r="S466" s="45">
        <v>0</v>
      </c>
      <c r="T466" s="45">
        <v>0</v>
      </c>
      <c r="U466" s="45">
        <v>0</v>
      </c>
      <c r="V466" s="46">
        <v>0</v>
      </c>
    </row>
    <row r="467" spans="1:22" x14ac:dyDescent="0.25">
      <c r="A467" s="27" t="s">
        <v>801</v>
      </c>
      <c r="B467" s="27" t="s">
        <v>878</v>
      </c>
      <c r="C467" s="27" t="s">
        <v>515</v>
      </c>
      <c r="D467" s="32"/>
      <c r="E467" s="32"/>
      <c r="F467" s="32"/>
      <c r="G467" s="32"/>
      <c r="H467" s="32"/>
      <c r="I467" s="32"/>
      <c r="J467" s="32"/>
      <c r="K467" s="32"/>
      <c r="M467" s="42" t="s">
        <v>801</v>
      </c>
      <c r="N467" s="43" t="s">
        <v>878</v>
      </c>
      <c r="O467" s="43" t="s">
        <v>515</v>
      </c>
      <c r="P467" s="44"/>
      <c r="Q467" s="45"/>
      <c r="R467" s="45"/>
      <c r="S467" s="45"/>
      <c r="T467" s="45"/>
      <c r="U467" s="45"/>
      <c r="V467" s="46"/>
    </row>
    <row r="468" spans="1:22" x14ac:dyDescent="0.25">
      <c r="A468" s="27" t="s">
        <v>848</v>
      </c>
      <c r="B468" s="27" t="s">
        <v>878</v>
      </c>
      <c r="C468" s="27" t="s">
        <v>516</v>
      </c>
      <c r="D468" s="32">
        <v>7172</v>
      </c>
      <c r="E468" s="32">
        <v>0</v>
      </c>
      <c r="F468" s="32">
        <v>0</v>
      </c>
      <c r="G468" s="32">
        <v>0</v>
      </c>
      <c r="H468" s="32">
        <v>0</v>
      </c>
      <c r="I468" s="32">
        <v>0</v>
      </c>
      <c r="J468" s="32">
        <v>0</v>
      </c>
      <c r="K468" s="32"/>
      <c r="M468" s="42" t="s">
        <v>848</v>
      </c>
      <c r="N468" s="43" t="s">
        <v>878</v>
      </c>
      <c r="O468" s="43" t="s">
        <v>516</v>
      </c>
      <c r="P468" s="44">
        <v>7172</v>
      </c>
      <c r="Q468" s="45">
        <v>0</v>
      </c>
      <c r="R468" s="45">
        <v>0</v>
      </c>
      <c r="S468" s="45">
        <v>0</v>
      </c>
      <c r="T468" s="45">
        <v>0</v>
      </c>
      <c r="U468" s="45">
        <v>0</v>
      </c>
      <c r="V468" s="46">
        <v>0</v>
      </c>
    </row>
    <row r="469" spans="1:22" x14ac:dyDescent="0.25">
      <c r="A469" s="27" t="s">
        <v>797</v>
      </c>
      <c r="B469" s="27" t="s">
        <v>878</v>
      </c>
      <c r="C469" s="27" t="s">
        <v>517</v>
      </c>
      <c r="D469" s="32">
        <v>10155</v>
      </c>
      <c r="E469" s="32">
        <v>0</v>
      </c>
      <c r="F469" s="32">
        <v>0</v>
      </c>
      <c r="G469" s="32">
        <v>0</v>
      </c>
      <c r="H469" s="32">
        <v>0</v>
      </c>
      <c r="I469" s="32">
        <v>0</v>
      </c>
      <c r="J469" s="32">
        <v>0</v>
      </c>
      <c r="K469" s="32"/>
      <c r="M469" s="42" t="s">
        <v>797</v>
      </c>
      <c r="N469" s="43" t="s">
        <v>878</v>
      </c>
      <c r="O469" s="43" t="s">
        <v>517</v>
      </c>
      <c r="P469" s="44">
        <v>10155</v>
      </c>
      <c r="Q469" s="45">
        <v>0</v>
      </c>
      <c r="R469" s="45">
        <v>0</v>
      </c>
      <c r="S469" s="45">
        <v>0</v>
      </c>
      <c r="T469" s="45">
        <v>0</v>
      </c>
      <c r="U469" s="45">
        <v>0</v>
      </c>
      <c r="V469" s="46">
        <v>0</v>
      </c>
    </row>
    <row r="470" spans="1:22" x14ac:dyDescent="0.25">
      <c r="A470" s="27" t="s">
        <v>811</v>
      </c>
      <c r="B470" s="27" t="s">
        <v>878</v>
      </c>
      <c r="C470" s="27" t="s">
        <v>518</v>
      </c>
      <c r="D470" s="32">
        <v>38758</v>
      </c>
      <c r="E470" s="32">
        <v>0</v>
      </c>
      <c r="F470" s="32">
        <v>0</v>
      </c>
      <c r="G470" s="32">
        <v>0</v>
      </c>
      <c r="H470" s="32">
        <v>0</v>
      </c>
      <c r="I470" s="32">
        <v>0</v>
      </c>
      <c r="J470" s="32">
        <v>0</v>
      </c>
      <c r="K470" s="32"/>
      <c r="M470" s="42" t="s">
        <v>811</v>
      </c>
      <c r="N470" s="43" t="s">
        <v>878</v>
      </c>
      <c r="O470" s="43" t="s">
        <v>518</v>
      </c>
      <c r="P470" s="44">
        <v>38758</v>
      </c>
      <c r="Q470" s="45">
        <v>0</v>
      </c>
      <c r="R470" s="45">
        <v>0</v>
      </c>
      <c r="S470" s="45">
        <v>0</v>
      </c>
      <c r="T470" s="45">
        <v>0</v>
      </c>
      <c r="U470" s="45">
        <v>0</v>
      </c>
      <c r="V470" s="46">
        <v>0</v>
      </c>
    </row>
    <row r="471" spans="1:22" x14ac:dyDescent="0.25">
      <c r="A471" s="27" t="s">
        <v>226</v>
      </c>
      <c r="B471" s="27" t="s">
        <v>878</v>
      </c>
      <c r="C471" s="27" t="s">
        <v>519</v>
      </c>
      <c r="D471" s="32">
        <v>2197</v>
      </c>
      <c r="E471" s="32">
        <v>0</v>
      </c>
      <c r="F471" s="32">
        <v>0</v>
      </c>
      <c r="G471" s="32">
        <v>0</v>
      </c>
      <c r="H471" s="32">
        <v>0</v>
      </c>
      <c r="I471" s="32">
        <v>0</v>
      </c>
      <c r="J471" s="32">
        <v>0</v>
      </c>
      <c r="K471" s="32"/>
      <c r="M471" s="42" t="s">
        <v>226</v>
      </c>
      <c r="N471" s="43" t="s">
        <v>878</v>
      </c>
      <c r="O471" s="43" t="s">
        <v>519</v>
      </c>
      <c r="P471" s="44">
        <v>2197</v>
      </c>
      <c r="Q471" s="45">
        <v>0</v>
      </c>
      <c r="R471" s="45">
        <v>0</v>
      </c>
      <c r="S471" s="45">
        <v>0</v>
      </c>
      <c r="T471" s="45">
        <v>0</v>
      </c>
      <c r="U471" s="45">
        <v>0</v>
      </c>
      <c r="V471" s="46">
        <v>0</v>
      </c>
    </row>
    <row r="472" spans="1:22" x14ac:dyDescent="0.25">
      <c r="A472" s="27" t="s">
        <v>76</v>
      </c>
      <c r="B472" s="27" t="s">
        <v>878</v>
      </c>
      <c r="C472" s="27" t="s">
        <v>520</v>
      </c>
      <c r="D472" s="32">
        <v>20308</v>
      </c>
      <c r="E472" s="32">
        <v>0</v>
      </c>
      <c r="F472" s="32">
        <v>0</v>
      </c>
      <c r="G472" s="32">
        <v>0</v>
      </c>
      <c r="H472" s="32">
        <v>0</v>
      </c>
      <c r="I472" s="32">
        <v>0</v>
      </c>
      <c r="J472" s="32">
        <v>0</v>
      </c>
      <c r="K472" s="32"/>
      <c r="M472" s="42" t="s">
        <v>76</v>
      </c>
      <c r="N472" s="43" t="s">
        <v>878</v>
      </c>
      <c r="O472" s="43" t="s">
        <v>520</v>
      </c>
      <c r="P472" s="44">
        <v>20308</v>
      </c>
      <c r="Q472" s="45">
        <v>0</v>
      </c>
      <c r="R472" s="45">
        <v>0</v>
      </c>
      <c r="S472" s="45">
        <v>0</v>
      </c>
      <c r="T472" s="45">
        <v>0</v>
      </c>
      <c r="U472" s="45">
        <v>0</v>
      </c>
      <c r="V472" s="46">
        <v>0</v>
      </c>
    </row>
    <row r="473" spans="1:22" x14ac:dyDescent="0.25">
      <c r="A473" s="27" t="s">
        <v>831</v>
      </c>
      <c r="B473" s="27" t="s">
        <v>878</v>
      </c>
      <c r="C473" s="27" t="s">
        <v>521</v>
      </c>
      <c r="D473" s="32"/>
      <c r="E473" s="32"/>
      <c r="F473" s="32"/>
      <c r="G473" s="32"/>
      <c r="H473" s="32"/>
      <c r="I473" s="32"/>
      <c r="J473" s="32"/>
      <c r="K473" s="32"/>
      <c r="M473" s="42" t="s">
        <v>831</v>
      </c>
      <c r="N473" s="43" t="s">
        <v>878</v>
      </c>
      <c r="O473" s="43" t="s">
        <v>521</v>
      </c>
      <c r="P473" s="44"/>
      <c r="Q473" s="45"/>
      <c r="R473" s="45"/>
      <c r="S473" s="45"/>
      <c r="T473" s="45"/>
      <c r="U473" s="45"/>
      <c r="V473" s="46"/>
    </row>
    <row r="474" spans="1:22" x14ac:dyDescent="0.25">
      <c r="A474" s="27" t="s">
        <v>806</v>
      </c>
      <c r="B474" s="27" t="s">
        <v>878</v>
      </c>
      <c r="C474" s="27" t="s">
        <v>522</v>
      </c>
      <c r="D474" s="32">
        <v>8722</v>
      </c>
      <c r="E474" s="32">
        <v>0</v>
      </c>
      <c r="F474" s="32">
        <v>0</v>
      </c>
      <c r="G474" s="32">
        <v>0</v>
      </c>
      <c r="H474" s="32">
        <v>0</v>
      </c>
      <c r="I474" s="32">
        <v>0</v>
      </c>
      <c r="J474" s="32">
        <v>0</v>
      </c>
      <c r="K474" s="32"/>
      <c r="M474" s="42" t="s">
        <v>806</v>
      </c>
      <c r="N474" s="43" t="s">
        <v>878</v>
      </c>
      <c r="O474" s="43" t="s">
        <v>522</v>
      </c>
      <c r="P474" s="44">
        <v>8722</v>
      </c>
      <c r="Q474" s="45">
        <v>0</v>
      </c>
      <c r="R474" s="45">
        <v>0</v>
      </c>
      <c r="S474" s="45">
        <v>0</v>
      </c>
      <c r="T474" s="45">
        <v>0</v>
      </c>
      <c r="U474" s="45">
        <v>0</v>
      </c>
      <c r="V474" s="46">
        <v>0</v>
      </c>
    </row>
    <row r="475" spans="1:22" x14ac:dyDescent="0.25">
      <c r="A475" s="27" t="s">
        <v>823</v>
      </c>
      <c r="B475" s="27" t="s">
        <v>878</v>
      </c>
      <c r="C475" s="27" t="s">
        <v>523</v>
      </c>
      <c r="D475" s="32"/>
      <c r="E475" s="32"/>
      <c r="F475" s="32"/>
      <c r="G475" s="32"/>
      <c r="H475" s="32"/>
      <c r="I475" s="32"/>
      <c r="J475" s="32"/>
      <c r="K475" s="32"/>
      <c r="M475" s="42" t="s">
        <v>823</v>
      </c>
      <c r="N475" s="43" t="s">
        <v>878</v>
      </c>
      <c r="O475" s="43" t="s">
        <v>523</v>
      </c>
      <c r="P475" s="44"/>
      <c r="Q475" s="45"/>
      <c r="R475" s="45"/>
      <c r="S475" s="45"/>
      <c r="T475" s="45"/>
      <c r="U475" s="45"/>
      <c r="V475" s="46"/>
    </row>
    <row r="476" spans="1:22" x14ac:dyDescent="0.25">
      <c r="A476" s="27" t="s">
        <v>248</v>
      </c>
      <c r="B476" s="27" t="s">
        <v>878</v>
      </c>
      <c r="C476" s="27" t="s">
        <v>524</v>
      </c>
      <c r="D476" s="32">
        <v>8028</v>
      </c>
      <c r="E476" s="32">
        <v>0</v>
      </c>
      <c r="F476" s="32">
        <v>0</v>
      </c>
      <c r="G476" s="32">
        <v>0</v>
      </c>
      <c r="H476" s="32">
        <v>0</v>
      </c>
      <c r="I476" s="32">
        <v>0</v>
      </c>
      <c r="J476" s="32">
        <v>0</v>
      </c>
      <c r="K476" s="32"/>
      <c r="M476" s="42" t="s">
        <v>248</v>
      </c>
      <c r="N476" s="43" t="s">
        <v>878</v>
      </c>
      <c r="O476" s="43" t="s">
        <v>524</v>
      </c>
      <c r="P476" s="44">
        <v>8028</v>
      </c>
      <c r="Q476" s="45">
        <v>0</v>
      </c>
      <c r="R476" s="45">
        <v>0</v>
      </c>
      <c r="S476" s="45">
        <v>0</v>
      </c>
      <c r="T476" s="45">
        <v>0</v>
      </c>
      <c r="U476" s="45">
        <v>0</v>
      </c>
      <c r="V476" s="46">
        <v>0</v>
      </c>
    </row>
    <row r="477" spans="1:22" x14ac:dyDescent="0.25">
      <c r="A477" s="27" t="s">
        <v>231</v>
      </c>
      <c r="B477" s="27" t="s">
        <v>878</v>
      </c>
      <c r="C477" s="27" t="s">
        <v>525</v>
      </c>
      <c r="D477" s="32">
        <v>8401</v>
      </c>
      <c r="E477" s="32">
        <v>0</v>
      </c>
      <c r="F477" s="32">
        <v>0</v>
      </c>
      <c r="G477" s="32">
        <v>0</v>
      </c>
      <c r="H477" s="32">
        <v>0</v>
      </c>
      <c r="I477" s="32">
        <v>0</v>
      </c>
      <c r="J477" s="32">
        <v>0</v>
      </c>
      <c r="K477" s="32"/>
      <c r="M477" s="42" t="s">
        <v>231</v>
      </c>
      <c r="N477" s="43" t="s">
        <v>878</v>
      </c>
      <c r="O477" s="43" t="s">
        <v>525</v>
      </c>
      <c r="P477" s="44">
        <v>8401</v>
      </c>
      <c r="Q477" s="45">
        <v>0</v>
      </c>
      <c r="R477" s="45">
        <v>0</v>
      </c>
      <c r="S477" s="45">
        <v>0</v>
      </c>
      <c r="T477" s="45">
        <v>0</v>
      </c>
      <c r="U477" s="45">
        <v>0</v>
      </c>
      <c r="V477" s="46">
        <v>0</v>
      </c>
    </row>
    <row r="478" spans="1:22" x14ac:dyDescent="0.25">
      <c r="A478" s="27" t="s">
        <v>76</v>
      </c>
      <c r="B478" s="27" t="s">
        <v>878</v>
      </c>
      <c r="C478" s="27" t="s">
        <v>526</v>
      </c>
      <c r="D478" s="32">
        <v>3689</v>
      </c>
      <c r="E478" s="32">
        <v>0</v>
      </c>
      <c r="F478" s="32">
        <v>0</v>
      </c>
      <c r="G478" s="32">
        <v>0</v>
      </c>
      <c r="H478" s="32">
        <v>0</v>
      </c>
      <c r="I478" s="32">
        <v>0</v>
      </c>
      <c r="J478" s="32">
        <v>0</v>
      </c>
      <c r="K478" s="32"/>
      <c r="M478" s="42" t="s">
        <v>76</v>
      </c>
      <c r="N478" s="43" t="s">
        <v>878</v>
      </c>
      <c r="O478" s="43" t="s">
        <v>526</v>
      </c>
      <c r="P478" s="44">
        <v>3689</v>
      </c>
      <c r="Q478" s="45">
        <v>0</v>
      </c>
      <c r="R478" s="45">
        <v>0</v>
      </c>
      <c r="S478" s="45">
        <v>0</v>
      </c>
      <c r="T478" s="45">
        <v>0</v>
      </c>
      <c r="U478" s="45">
        <v>0</v>
      </c>
      <c r="V478" s="46">
        <v>0</v>
      </c>
    </row>
    <row r="479" spans="1:22" x14ac:dyDescent="0.25">
      <c r="A479" s="27" t="s">
        <v>804</v>
      </c>
      <c r="B479" s="27" t="s">
        <v>878</v>
      </c>
      <c r="C479" s="27" t="s">
        <v>527</v>
      </c>
      <c r="D479" s="32">
        <v>41521</v>
      </c>
      <c r="E479" s="32">
        <v>0</v>
      </c>
      <c r="F479" s="32">
        <v>0</v>
      </c>
      <c r="G479" s="32">
        <v>0</v>
      </c>
      <c r="H479" s="32">
        <v>0</v>
      </c>
      <c r="I479" s="32">
        <v>0</v>
      </c>
      <c r="J479" s="32">
        <v>0</v>
      </c>
      <c r="K479" s="32"/>
      <c r="M479" s="42" t="s">
        <v>804</v>
      </c>
      <c r="N479" s="43" t="s">
        <v>878</v>
      </c>
      <c r="O479" s="43" t="s">
        <v>527</v>
      </c>
      <c r="P479" s="44">
        <v>41521</v>
      </c>
      <c r="Q479" s="45">
        <v>0</v>
      </c>
      <c r="R479" s="45">
        <v>0</v>
      </c>
      <c r="S479" s="45">
        <v>0</v>
      </c>
      <c r="T479" s="45">
        <v>0</v>
      </c>
      <c r="U479" s="45">
        <v>0</v>
      </c>
      <c r="V479" s="46">
        <v>0</v>
      </c>
    </row>
    <row r="480" spans="1:22" x14ac:dyDescent="0.25">
      <c r="A480" s="27" t="s">
        <v>76</v>
      </c>
      <c r="B480" s="27" t="s">
        <v>878</v>
      </c>
      <c r="C480" s="27" t="s">
        <v>528</v>
      </c>
      <c r="D480" s="32">
        <v>1437</v>
      </c>
      <c r="E480" s="32">
        <v>0</v>
      </c>
      <c r="F480" s="32">
        <v>0</v>
      </c>
      <c r="G480" s="32">
        <v>0</v>
      </c>
      <c r="H480" s="32">
        <v>0</v>
      </c>
      <c r="I480" s="32">
        <v>0</v>
      </c>
      <c r="J480" s="32">
        <v>0</v>
      </c>
      <c r="K480" s="32"/>
      <c r="M480" s="42" t="s">
        <v>76</v>
      </c>
      <c r="N480" s="43" t="s">
        <v>878</v>
      </c>
      <c r="O480" s="43" t="s">
        <v>528</v>
      </c>
      <c r="P480" s="44">
        <v>1437</v>
      </c>
      <c r="Q480" s="45">
        <v>0</v>
      </c>
      <c r="R480" s="45">
        <v>0</v>
      </c>
      <c r="S480" s="45">
        <v>0</v>
      </c>
      <c r="T480" s="45">
        <v>0</v>
      </c>
      <c r="U480" s="45">
        <v>0</v>
      </c>
      <c r="V480" s="46">
        <v>0</v>
      </c>
    </row>
    <row r="481" spans="1:22" x14ac:dyDescent="0.25">
      <c r="A481" s="27" t="s">
        <v>801</v>
      </c>
      <c r="B481" s="27" t="s">
        <v>878</v>
      </c>
      <c r="C481" s="27" t="s">
        <v>529</v>
      </c>
      <c r="D481" s="32"/>
      <c r="E481" s="32"/>
      <c r="F481" s="32"/>
      <c r="G481" s="32"/>
      <c r="H481" s="32"/>
      <c r="I481" s="32"/>
      <c r="J481" s="32"/>
      <c r="K481" s="32"/>
      <c r="M481" s="42" t="s">
        <v>801</v>
      </c>
      <c r="N481" s="43" t="s">
        <v>878</v>
      </c>
      <c r="O481" s="43" t="s">
        <v>529</v>
      </c>
      <c r="P481" s="44"/>
      <c r="Q481" s="45"/>
      <c r="R481" s="45"/>
      <c r="S481" s="45"/>
      <c r="T481" s="45"/>
      <c r="U481" s="45"/>
      <c r="V481" s="46"/>
    </row>
    <row r="482" spans="1:22" x14ac:dyDescent="0.25">
      <c r="A482" s="27" t="s">
        <v>795</v>
      </c>
      <c r="B482" s="27" t="s">
        <v>878</v>
      </c>
      <c r="C482" s="27" t="s">
        <v>530</v>
      </c>
      <c r="D482" s="32">
        <v>150187</v>
      </c>
      <c r="E482" s="32">
        <v>0</v>
      </c>
      <c r="F482" s="32">
        <v>0</v>
      </c>
      <c r="G482" s="32">
        <v>0</v>
      </c>
      <c r="H482" s="32">
        <v>0</v>
      </c>
      <c r="I482" s="32">
        <v>0</v>
      </c>
      <c r="J482" s="32">
        <v>0</v>
      </c>
      <c r="K482" s="32"/>
      <c r="M482" s="42" t="s">
        <v>795</v>
      </c>
      <c r="N482" s="43" t="s">
        <v>878</v>
      </c>
      <c r="O482" s="43" t="s">
        <v>530</v>
      </c>
      <c r="P482" s="44">
        <v>150187</v>
      </c>
      <c r="Q482" s="45">
        <v>0</v>
      </c>
      <c r="R482" s="45">
        <v>0</v>
      </c>
      <c r="S482" s="45">
        <v>0</v>
      </c>
      <c r="T482" s="45">
        <v>0</v>
      </c>
      <c r="U482" s="45">
        <v>0</v>
      </c>
      <c r="V482" s="46">
        <v>0</v>
      </c>
    </row>
    <row r="483" spans="1:22" x14ac:dyDescent="0.25">
      <c r="A483" s="27" t="s">
        <v>848</v>
      </c>
      <c r="B483" s="27" t="s">
        <v>878</v>
      </c>
      <c r="C483" s="27" t="s">
        <v>531</v>
      </c>
      <c r="D483" s="32">
        <v>11334</v>
      </c>
      <c r="E483" s="32">
        <v>0</v>
      </c>
      <c r="F483" s="32">
        <v>0</v>
      </c>
      <c r="G483" s="32">
        <v>0</v>
      </c>
      <c r="H483" s="32">
        <v>0</v>
      </c>
      <c r="I483" s="32">
        <v>0</v>
      </c>
      <c r="J483" s="32">
        <v>0</v>
      </c>
      <c r="K483" s="32"/>
      <c r="M483" s="42" t="s">
        <v>848</v>
      </c>
      <c r="N483" s="43" t="s">
        <v>878</v>
      </c>
      <c r="O483" s="43" t="s">
        <v>531</v>
      </c>
      <c r="P483" s="44">
        <v>11334</v>
      </c>
      <c r="Q483" s="45">
        <v>0</v>
      </c>
      <c r="R483" s="45">
        <v>0</v>
      </c>
      <c r="S483" s="45">
        <v>0</v>
      </c>
      <c r="T483" s="45">
        <v>0</v>
      </c>
      <c r="U483" s="45">
        <v>0</v>
      </c>
      <c r="V483" s="46">
        <v>0</v>
      </c>
    </row>
    <row r="484" spans="1:22" x14ac:dyDescent="0.25">
      <c r="A484" s="27" t="s">
        <v>824</v>
      </c>
      <c r="B484" s="27" t="s">
        <v>878</v>
      </c>
      <c r="C484" s="27" t="s">
        <v>532</v>
      </c>
      <c r="D484" s="32">
        <v>16952</v>
      </c>
      <c r="E484" s="32">
        <v>0</v>
      </c>
      <c r="F484" s="32">
        <v>0</v>
      </c>
      <c r="G484" s="32">
        <v>0</v>
      </c>
      <c r="H484" s="32">
        <v>0</v>
      </c>
      <c r="I484" s="32">
        <v>0</v>
      </c>
      <c r="J484" s="32">
        <v>0</v>
      </c>
      <c r="K484" s="32"/>
      <c r="M484" s="42" t="s">
        <v>824</v>
      </c>
      <c r="N484" s="43" t="s">
        <v>878</v>
      </c>
      <c r="O484" s="43" t="s">
        <v>532</v>
      </c>
      <c r="P484" s="44">
        <v>16952</v>
      </c>
      <c r="Q484" s="45">
        <v>0</v>
      </c>
      <c r="R484" s="45">
        <v>0</v>
      </c>
      <c r="S484" s="45">
        <v>0</v>
      </c>
      <c r="T484" s="45">
        <v>0</v>
      </c>
      <c r="U484" s="45">
        <v>0</v>
      </c>
      <c r="V484" s="46">
        <v>0</v>
      </c>
    </row>
    <row r="485" spans="1:22" x14ac:dyDescent="0.25">
      <c r="A485" s="27" t="s">
        <v>76</v>
      </c>
      <c r="B485" s="27" t="s">
        <v>878</v>
      </c>
      <c r="C485" s="27" t="s">
        <v>533</v>
      </c>
      <c r="D485" s="32">
        <v>2139</v>
      </c>
      <c r="E485" s="32">
        <v>0</v>
      </c>
      <c r="F485" s="32">
        <v>0</v>
      </c>
      <c r="G485" s="32">
        <v>0</v>
      </c>
      <c r="H485" s="32">
        <v>0</v>
      </c>
      <c r="I485" s="32">
        <v>0</v>
      </c>
      <c r="J485" s="32">
        <v>0</v>
      </c>
      <c r="K485" s="32"/>
      <c r="M485" s="42" t="s">
        <v>76</v>
      </c>
      <c r="N485" s="43" t="s">
        <v>878</v>
      </c>
      <c r="O485" s="43" t="s">
        <v>533</v>
      </c>
      <c r="P485" s="44">
        <v>2139</v>
      </c>
      <c r="Q485" s="45">
        <v>0</v>
      </c>
      <c r="R485" s="45">
        <v>0</v>
      </c>
      <c r="S485" s="45">
        <v>0</v>
      </c>
      <c r="T485" s="45">
        <v>0</v>
      </c>
      <c r="U485" s="45">
        <v>0</v>
      </c>
      <c r="V485" s="46">
        <v>0</v>
      </c>
    </row>
    <row r="486" spans="1:22" x14ac:dyDescent="0.25">
      <c r="A486" s="27" t="s">
        <v>101</v>
      </c>
      <c r="B486" s="27" t="s">
        <v>878</v>
      </c>
      <c r="C486" s="27" t="s">
        <v>534</v>
      </c>
      <c r="D486" s="32">
        <v>18356</v>
      </c>
      <c r="E486" s="32">
        <v>0</v>
      </c>
      <c r="F486" s="32">
        <v>0</v>
      </c>
      <c r="G486" s="32">
        <v>0</v>
      </c>
      <c r="H486" s="32">
        <v>0</v>
      </c>
      <c r="I486" s="32">
        <v>0</v>
      </c>
      <c r="J486" s="32">
        <v>0</v>
      </c>
      <c r="K486" s="32"/>
      <c r="M486" s="42" t="s">
        <v>101</v>
      </c>
      <c r="N486" s="43" t="s">
        <v>878</v>
      </c>
      <c r="O486" s="43" t="s">
        <v>534</v>
      </c>
      <c r="P486" s="44">
        <v>18356</v>
      </c>
      <c r="Q486" s="45">
        <v>0</v>
      </c>
      <c r="R486" s="45">
        <v>0</v>
      </c>
      <c r="S486" s="45">
        <v>0</v>
      </c>
      <c r="T486" s="45">
        <v>0</v>
      </c>
      <c r="U486" s="45">
        <v>0</v>
      </c>
      <c r="V486" s="46">
        <v>0</v>
      </c>
    </row>
    <row r="487" spans="1:22" x14ac:dyDescent="0.25">
      <c r="A487" s="27" t="s">
        <v>803</v>
      </c>
      <c r="B487" s="27" t="s">
        <v>878</v>
      </c>
      <c r="C487" s="27" t="s">
        <v>535</v>
      </c>
      <c r="D487" s="32"/>
      <c r="E487" s="32"/>
      <c r="F487" s="32"/>
      <c r="G487" s="32"/>
      <c r="H487" s="32"/>
      <c r="I487" s="32"/>
      <c r="J487" s="32"/>
      <c r="K487" s="32"/>
      <c r="M487" s="42" t="s">
        <v>803</v>
      </c>
      <c r="N487" s="43" t="s">
        <v>878</v>
      </c>
      <c r="O487" s="43" t="s">
        <v>535</v>
      </c>
      <c r="P487" s="44"/>
      <c r="Q487" s="45"/>
      <c r="R487" s="45"/>
      <c r="S487" s="45"/>
      <c r="T487" s="45"/>
      <c r="U487" s="45"/>
      <c r="V487" s="46"/>
    </row>
    <row r="488" spans="1:22" ht="15.75" x14ac:dyDescent="0.25">
      <c r="A488" s="27" t="s">
        <v>120</v>
      </c>
      <c r="B488" s="27" t="s">
        <v>878</v>
      </c>
      <c r="C488" s="27" t="s">
        <v>536</v>
      </c>
      <c r="D488" s="32">
        <v>7865</v>
      </c>
      <c r="E488" s="32">
        <v>0</v>
      </c>
      <c r="F488" s="32">
        <v>0</v>
      </c>
      <c r="G488" s="32">
        <v>0</v>
      </c>
      <c r="H488" s="32">
        <v>0</v>
      </c>
      <c r="I488" s="32">
        <v>0</v>
      </c>
      <c r="J488" s="32">
        <v>0</v>
      </c>
      <c r="K488" s="32"/>
      <c r="M488" s="42" t="s">
        <v>120</v>
      </c>
      <c r="N488" s="43" t="s">
        <v>878</v>
      </c>
      <c r="O488" s="43" t="s">
        <v>536</v>
      </c>
      <c r="P488" s="47">
        <v>7865</v>
      </c>
      <c r="Q488" s="48">
        <v>0</v>
      </c>
      <c r="R488" s="48">
        <v>0</v>
      </c>
      <c r="S488" s="48">
        <v>0</v>
      </c>
      <c r="T488" s="48">
        <v>0</v>
      </c>
      <c r="U488" s="48">
        <v>0</v>
      </c>
      <c r="V488" s="49">
        <v>0</v>
      </c>
    </row>
    <row r="489" spans="1:22" x14ac:dyDescent="0.25">
      <c r="A489" s="27" t="s">
        <v>817</v>
      </c>
      <c r="B489" s="27" t="s">
        <v>878</v>
      </c>
      <c r="C489" s="27" t="s">
        <v>537</v>
      </c>
      <c r="D489" s="32">
        <v>50033</v>
      </c>
      <c r="E489" s="32">
        <v>0</v>
      </c>
      <c r="F489" s="32">
        <v>0</v>
      </c>
      <c r="G489" s="32">
        <v>0</v>
      </c>
      <c r="H489" s="32">
        <v>0</v>
      </c>
      <c r="I489" s="32">
        <v>0</v>
      </c>
      <c r="J489" s="32">
        <v>0</v>
      </c>
      <c r="K489" s="32"/>
      <c r="M489" s="42" t="s">
        <v>817</v>
      </c>
      <c r="N489" s="43" t="s">
        <v>878</v>
      </c>
      <c r="O489" s="43" t="s">
        <v>537</v>
      </c>
      <c r="P489" s="44">
        <v>50033</v>
      </c>
      <c r="Q489" s="45">
        <v>0</v>
      </c>
      <c r="R489" s="45">
        <v>0</v>
      </c>
      <c r="S489" s="45">
        <v>0</v>
      </c>
      <c r="T489" s="45">
        <v>0</v>
      </c>
      <c r="U489" s="45">
        <v>0</v>
      </c>
      <c r="V489" s="46">
        <v>0</v>
      </c>
    </row>
    <row r="490" spans="1:22" x14ac:dyDescent="0.25">
      <c r="A490" s="27" t="s">
        <v>811</v>
      </c>
      <c r="B490" s="27" t="s">
        <v>878</v>
      </c>
      <c r="C490" s="27" t="s">
        <v>538</v>
      </c>
      <c r="D490" s="32">
        <v>188014</v>
      </c>
      <c r="E490" s="32">
        <v>0</v>
      </c>
      <c r="F490" s="32">
        <v>0</v>
      </c>
      <c r="G490" s="32">
        <v>0</v>
      </c>
      <c r="H490" s="32">
        <v>0</v>
      </c>
      <c r="I490" s="32">
        <v>0</v>
      </c>
      <c r="J490" s="32">
        <v>0</v>
      </c>
      <c r="K490" s="32"/>
      <c r="M490" s="42" t="s">
        <v>811</v>
      </c>
      <c r="N490" s="43" t="s">
        <v>878</v>
      </c>
      <c r="O490" s="43" t="s">
        <v>538</v>
      </c>
      <c r="P490" s="44">
        <v>188014</v>
      </c>
      <c r="Q490" s="45">
        <v>0</v>
      </c>
      <c r="R490" s="45">
        <v>0</v>
      </c>
      <c r="S490" s="45">
        <v>0</v>
      </c>
      <c r="T490" s="45">
        <v>0</v>
      </c>
      <c r="U490" s="45">
        <v>0</v>
      </c>
      <c r="V490" s="46">
        <v>0</v>
      </c>
    </row>
    <row r="491" spans="1:22" x14ac:dyDescent="0.25">
      <c r="A491" s="27" t="s">
        <v>817</v>
      </c>
      <c r="B491" s="27" t="s">
        <v>878</v>
      </c>
      <c r="C491" s="27" t="s">
        <v>539</v>
      </c>
      <c r="D491" s="32">
        <v>15238</v>
      </c>
      <c r="E491" s="32">
        <v>0</v>
      </c>
      <c r="F491" s="32">
        <v>0</v>
      </c>
      <c r="G491" s="32">
        <v>0</v>
      </c>
      <c r="H491" s="32">
        <v>0</v>
      </c>
      <c r="I491" s="32">
        <v>0</v>
      </c>
      <c r="J491" s="32">
        <v>0</v>
      </c>
      <c r="K491" s="32"/>
      <c r="M491" s="42" t="s">
        <v>817</v>
      </c>
      <c r="N491" s="43" t="s">
        <v>878</v>
      </c>
      <c r="O491" s="43" t="s">
        <v>539</v>
      </c>
      <c r="P491" s="44">
        <v>15238</v>
      </c>
      <c r="Q491" s="45">
        <v>0</v>
      </c>
      <c r="R491" s="45">
        <v>0</v>
      </c>
      <c r="S491" s="45">
        <v>0</v>
      </c>
      <c r="T491" s="45">
        <v>0</v>
      </c>
      <c r="U491" s="45">
        <v>0</v>
      </c>
      <c r="V491" s="46">
        <v>0</v>
      </c>
    </row>
    <row r="492" spans="1:22" x14ac:dyDescent="0.25">
      <c r="A492" s="27" t="s">
        <v>146</v>
      </c>
      <c r="B492" s="27" t="s">
        <v>878</v>
      </c>
      <c r="C492" s="27" t="s">
        <v>540</v>
      </c>
      <c r="D492" s="32">
        <v>27781</v>
      </c>
      <c r="E492" s="32">
        <v>0</v>
      </c>
      <c r="F492" s="32">
        <v>0</v>
      </c>
      <c r="G492" s="32">
        <v>0</v>
      </c>
      <c r="H492" s="32">
        <v>0</v>
      </c>
      <c r="I492" s="32">
        <v>0</v>
      </c>
      <c r="J492" s="32">
        <v>0</v>
      </c>
      <c r="K492" s="32"/>
      <c r="M492" s="42" t="s">
        <v>146</v>
      </c>
      <c r="N492" s="43" t="s">
        <v>878</v>
      </c>
      <c r="O492" s="43" t="s">
        <v>540</v>
      </c>
      <c r="P492" s="44">
        <v>27781</v>
      </c>
      <c r="Q492" s="45">
        <v>0</v>
      </c>
      <c r="R492" s="45">
        <v>0</v>
      </c>
      <c r="S492" s="45">
        <v>0</v>
      </c>
      <c r="T492" s="45">
        <v>0</v>
      </c>
      <c r="U492" s="45">
        <v>0</v>
      </c>
      <c r="V492" s="46">
        <v>0</v>
      </c>
    </row>
    <row r="493" spans="1:22" x14ac:dyDescent="0.25">
      <c r="A493" s="27" t="s">
        <v>817</v>
      </c>
      <c r="B493" s="27" t="s">
        <v>878</v>
      </c>
      <c r="C493" s="27" t="s">
        <v>541</v>
      </c>
      <c r="D493" s="32">
        <v>28051</v>
      </c>
      <c r="E493" s="32">
        <v>0</v>
      </c>
      <c r="F493" s="32">
        <v>0</v>
      </c>
      <c r="G493" s="32">
        <v>0</v>
      </c>
      <c r="H493" s="32">
        <v>0</v>
      </c>
      <c r="I493" s="32">
        <v>0</v>
      </c>
      <c r="J493" s="32">
        <v>0</v>
      </c>
      <c r="K493" s="32"/>
      <c r="M493" s="42" t="s">
        <v>817</v>
      </c>
      <c r="N493" s="43" t="s">
        <v>878</v>
      </c>
      <c r="O493" s="43" t="s">
        <v>541</v>
      </c>
      <c r="P493" s="44">
        <v>28051</v>
      </c>
      <c r="Q493" s="45">
        <v>0</v>
      </c>
      <c r="R493" s="45">
        <v>0</v>
      </c>
      <c r="S493" s="45">
        <v>0</v>
      </c>
      <c r="T493" s="45">
        <v>0</v>
      </c>
      <c r="U493" s="45">
        <v>0</v>
      </c>
      <c r="V493" s="46">
        <v>0</v>
      </c>
    </row>
    <row r="494" spans="1:22" x14ac:dyDescent="0.25">
      <c r="A494" s="27" t="s">
        <v>72</v>
      </c>
      <c r="B494" s="27" t="s">
        <v>878</v>
      </c>
      <c r="C494" s="27" t="s">
        <v>542</v>
      </c>
      <c r="D494" s="32">
        <v>33393</v>
      </c>
      <c r="E494" s="32">
        <v>0</v>
      </c>
      <c r="F494" s="32">
        <v>0</v>
      </c>
      <c r="G494" s="32">
        <v>0</v>
      </c>
      <c r="H494" s="32">
        <v>0</v>
      </c>
      <c r="I494" s="32">
        <v>0</v>
      </c>
      <c r="J494" s="32">
        <v>0</v>
      </c>
      <c r="K494" s="32"/>
      <c r="M494" s="42" t="s">
        <v>72</v>
      </c>
      <c r="N494" s="43" t="s">
        <v>878</v>
      </c>
      <c r="O494" s="43" t="s">
        <v>542</v>
      </c>
      <c r="P494" s="44">
        <v>33393</v>
      </c>
      <c r="Q494" s="45">
        <v>0</v>
      </c>
      <c r="R494" s="45">
        <v>0</v>
      </c>
      <c r="S494" s="45">
        <v>0</v>
      </c>
      <c r="T494" s="45">
        <v>0</v>
      </c>
      <c r="U494" s="45">
        <v>0</v>
      </c>
      <c r="V494" s="46">
        <v>0</v>
      </c>
    </row>
    <row r="495" spans="1:22" ht="15.75" x14ac:dyDescent="0.25">
      <c r="A495" s="27" t="s">
        <v>848</v>
      </c>
      <c r="B495" s="27" t="s">
        <v>878</v>
      </c>
      <c r="C495" s="27" t="s">
        <v>543</v>
      </c>
      <c r="D495" s="32">
        <v>17683</v>
      </c>
      <c r="E495" s="32">
        <v>0</v>
      </c>
      <c r="F495" s="32">
        <v>0</v>
      </c>
      <c r="G495" s="32">
        <v>0</v>
      </c>
      <c r="H495" s="32">
        <v>0</v>
      </c>
      <c r="I495" s="32">
        <v>0</v>
      </c>
      <c r="J495" s="32">
        <v>0</v>
      </c>
      <c r="K495" s="32"/>
      <c r="M495" s="42" t="s">
        <v>848</v>
      </c>
      <c r="N495" s="43" t="s">
        <v>878</v>
      </c>
      <c r="O495" s="43" t="s">
        <v>543</v>
      </c>
      <c r="P495" s="44">
        <v>17683</v>
      </c>
      <c r="Q495" s="45">
        <v>0</v>
      </c>
      <c r="R495" s="45">
        <v>0</v>
      </c>
      <c r="S495" s="45">
        <v>0</v>
      </c>
      <c r="T495" s="45">
        <v>0</v>
      </c>
      <c r="U495" s="48">
        <v>0</v>
      </c>
      <c r="V495" s="46">
        <v>0</v>
      </c>
    </row>
    <row r="496" spans="1:22" x14ac:dyDescent="0.25">
      <c r="A496" s="27" t="s">
        <v>83</v>
      </c>
      <c r="B496" s="27" t="s">
        <v>878</v>
      </c>
      <c r="C496" s="27" t="s">
        <v>544</v>
      </c>
      <c r="D496" s="32">
        <v>1987</v>
      </c>
      <c r="E496" s="32">
        <v>0</v>
      </c>
      <c r="F496" s="32">
        <v>0</v>
      </c>
      <c r="G496" s="32">
        <v>0</v>
      </c>
      <c r="H496" s="32">
        <v>0</v>
      </c>
      <c r="I496" s="32">
        <v>0</v>
      </c>
      <c r="J496" s="32">
        <v>0</v>
      </c>
      <c r="K496" s="32"/>
      <c r="M496" s="42" t="s">
        <v>83</v>
      </c>
      <c r="N496" s="43" t="s">
        <v>878</v>
      </c>
      <c r="O496" s="43" t="s">
        <v>544</v>
      </c>
      <c r="P496" s="44">
        <v>1987</v>
      </c>
      <c r="Q496" s="45">
        <v>0</v>
      </c>
      <c r="R496" s="45">
        <v>0</v>
      </c>
      <c r="S496" s="45">
        <v>0</v>
      </c>
      <c r="T496" s="45">
        <v>0</v>
      </c>
      <c r="U496" s="45">
        <v>0</v>
      </c>
      <c r="V496" s="46">
        <v>0</v>
      </c>
    </row>
    <row r="497" spans="1:22" x14ac:dyDescent="0.25">
      <c r="A497" s="27" t="s">
        <v>248</v>
      </c>
      <c r="B497" s="27" t="s">
        <v>878</v>
      </c>
      <c r="C497" s="27" t="s">
        <v>545</v>
      </c>
      <c r="D497" s="32">
        <v>14500</v>
      </c>
      <c r="E497" s="32">
        <v>0</v>
      </c>
      <c r="F497" s="32">
        <v>0</v>
      </c>
      <c r="G497" s="32">
        <v>0</v>
      </c>
      <c r="H497" s="32">
        <v>0</v>
      </c>
      <c r="I497" s="32">
        <v>0</v>
      </c>
      <c r="J497" s="32">
        <v>0</v>
      </c>
      <c r="K497" s="32"/>
      <c r="M497" s="42" t="s">
        <v>248</v>
      </c>
      <c r="N497" s="43" t="s">
        <v>878</v>
      </c>
      <c r="O497" s="43" t="s">
        <v>545</v>
      </c>
      <c r="P497" s="44">
        <v>14500</v>
      </c>
      <c r="Q497" s="45">
        <v>0</v>
      </c>
      <c r="R497" s="45">
        <v>0</v>
      </c>
      <c r="S497" s="45">
        <v>0</v>
      </c>
      <c r="T497" s="45">
        <v>0</v>
      </c>
      <c r="U497" s="45">
        <v>0</v>
      </c>
      <c r="V497" s="46">
        <v>0</v>
      </c>
    </row>
    <row r="498" spans="1:22" x14ac:dyDescent="0.25">
      <c r="A498" s="27" t="s">
        <v>76</v>
      </c>
      <c r="B498" s="27" t="s">
        <v>878</v>
      </c>
      <c r="C498" s="27" t="s">
        <v>546</v>
      </c>
      <c r="D498" s="32">
        <v>7812</v>
      </c>
      <c r="E498" s="32">
        <v>0</v>
      </c>
      <c r="F498" s="32">
        <v>0</v>
      </c>
      <c r="G498" s="32">
        <v>0</v>
      </c>
      <c r="H498" s="32">
        <v>0</v>
      </c>
      <c r="I498" s="32">
        <v>0</v>
      </c>
      <c r="J498" s="32">
        <v>0</v>
      </c>
      <c r="K498" s="32"/>
      <c r="M498" s="42" t="s">
        <v>76</v>
      </c>
      <c r="N498" s="43" t="s">
        <v>878</v>
      </c>
      <c r="O498" s="43" t="s">
        <v>546</v>
      </c>
      <c r="P498" s="44">
        <v>7812</v>
      </c>
      <c r="Q498" s="45">
        <v>0</v>
      </c>
      <c r="R498" s="45">
        <v>0</v>
      </c>
      <c r="S498" s="45">
        <v>0</v>
      </c>
      <c r="T498" s="45">
        <v>0</v>
      </c>
      <c r="U498" s="45">
        <v>0</v>
      </c>
      <c r="V498" s="46">
        <v>0</v>
      </c>
    </row>
    <row r="499" spans="1:22" x14ac:dyDescent="0.25">
      <c r="A499" s="27" t="s">
        <v>495</v>
      </c>
      <c r="B499" s="27" t="s">
        <v>878</v>
      </c>
      <c r="C499" s="27" t="s">
        <v>547</v>
      </c>
      <c r="D499" s="32">
        <v>30995</v>
      </c>
      <c r="E499" s="32">
        <v>0</v>
      </c>
      <c r="F499" s="32">
        <v>0</v>
      </c>
      <c r="G499" s="32">
        <v>0</v>
      </c>
      <c r="H499" s="32">
        <v>0</v>
      </c>
      <c r="I499" s="32">
        <v>0</v>
      </c>
      <c r="J499" s="32">
        <v>0</v>
      </c>
      <c r="K499" s="32"/>
      <c r="M499" s="42" t="s">
        <v>495</v>
      </c>
      <c r="N499" s="43" t="s">
        <v>878</v>
      </c>
      <c r="O499" s="43" t="s">
        <v>547</v>
      </c>
      <c r="P499" s="44">
        <v>30995</v>
      </c>
      <c r="Q499" s="45">
        <v>0</v>
      </c>
      <c r="R499" s="45">
        <v>0</v>
      </c>
      <c r="S499" s="45">
        <v>0</v>
      </c>
      <c r="T499" s="45">
        <v>0</v>
      </c>
      <c r="U499" s="45">
        <v>0</v>
      </c>
      <c r="V499" s="46">
        <v>0</v>
      </c>
    </row>
    <row r="500" spans="1:22" x14ac:dyDescent="0.25">
      <c r="A500" s="27" t="s">
        <v>825</v>
      </c>
      <c r="B500" s="27" t="s">
        <v>878</v>
      </c>
      <c r="C500" s="27" t="s">
        <v>548</v>
      </c>
      <c r="D500" s="32">
        <v>16580</v>
      </c>
      <c r="E500" s="32">
        <v>0</v>
      </c>
      <c r="F500" s="32">
        <v>0</v>
      </c>
      <c r="G500" s="32">
        <v>0</v>
      </c>
      <c r="H500" s="32">
        <v>0</v>
      </c>
      <c r="I500" s="32">
        <v>0</v>
      </c>
      <c r="J500" s="32">
        <v>0</v>
      </c>
      <c r="K500" s="32"/>
      <c r="M500" s="42" t="s">
        <v>825</v>
      </c>
      <c r="N500" s="43" t="s">
        <v>878</v>
      </c>
      <c r="O500" s="43" t="s">
        <v>548</v>
      </c>
      <c r="P500" s="44">
        <v>16580</v>
      </c>
      <c r="Q500" s="45">
        <v>0</v>
      </c>
      <c r="R500" s="45">
        <v>0</v>
      </c>
      <c r="S500" s="45">
        <v>0</v>
      </c>
      <c r="T500" s="45">
        <v>0</v>
      </c>
      <c r="U500" s="45">
        <v>0</v>
      </c>
      <c r="V500" s="46">
        <v>0</v>
      </c>
    </row>
    <row r="501" spans="1:22" x14ac:dyDescent="0.25">
      <c r="A501" s="27" t="s">
        <v>72</v>
      </c>
      <c r="B501" s="27" t="s">
        <v>878</v>
      </c>
      <c r="C501" s="27" t="s">
        <v>549</v>
      </c>
      <c r="D501" s="32">
        <v>41861</v>
      </c>
      <c r="E501" s="32">
        <v>0</v>
      </c>
      <c r="F501" s="32">
        <v>0</v>
      </c>
      <c r="G501" s="32">
        <v>0</v>
      </c>
      <c r="H501" s="32">
        <v>0</v>
      </c>
      <c r="I501" s="32">
        <v>0</v>
      </c>
      <c r="J501" s="32">
        <v>0</v>
      </c>
      <c r="K501" s="32"/>
      <c r="M501" s="42" t="s">
        <v>72</v>
      </c>
      <c r="N501" s="43" t="s">
        <v>878</v>
      </c>
      <c r="O501" s="43" t="s">
        <v>549</v>
      </c>
      <c r="P501" s="44">
        <v>41861</v>
      </c>
      <c r="Q501" s="45">
        <v>0</v>
      </c>
      <c r="R501" s="45">
        <v>0</v>
      </c>
      <c r="S501" s="45">
        <v>0</v>
      </c>
      <c r="T501" s="45">
        <v>0</v>
      </c>
      <c r="U501" s="45">
        <v>0</v>
      </c>
      <c r="V501" s="46">
        <v>0</v>
      </c>
    </row>
    <row r="502" spans="1:22" x14ac:dyDescent="0.25">
      <c r="A502" s="27" t="s">
        <v>134</v>
      </c>
      <c r="B502" s="27" t="s">
        <v>878</v>
      </c>
      <c r="C502" s="27" t="s">
        <v>550</v>
      </c>
      <c r="D502" s="32">
        <v>34338</v>
      </c>
      <c r="E502" s="32">
        <v>0</v>
      </c>
      <c r="F502" s="32">
        <v>0</v>
      </c>
      <c r="G502" s="32">
        <v>0</v>
      </c>
      <c r="H502" s="32">
        <v>0</v>
      </c>
      <c r="I502" s="32">
        <v>0</v>
      </c>
      <c r="J502" s="32">
        <v>0</v>
      </c>
      <c r="K502" s="32"/>
      <c r="M502" s="42" t="s">
        <v>134</v>
      </c>
      <c r="N502" s="43" t="s">
        <v>878</v>
      </c>
      <c r="O502" s="43" t="s">
        <v>550</v>
      </c>
      <c r="P502" s="44">
        <v>34338</v>
      </c>
      <c r="Q502" s="45">
        <v>0</v>
      </c>
      <c r="R502" s="45">
        <v>0</v>
      </c>
      <c r="S502" s="45">
        <v>0</v>
      </c>
      <c r="T502" s="45">
        <v>0</v>
      </c>
      <c r="U502" s="45">
        <v>0</v>
      </c>
      <c r="V502" s="46">
        <v>0</v>
      </c>
    </row>
    <row r="503" spans="1:22" x14ac:dyDescent="0.25">
      <c r="A503" s="27" t="s">
        <v>795</v>
      </c>
      <c r="B503" s="27" t="s">
        <v>878</v>
      </c>
      <c r="C503" s="27" t="s">
        <v>551</v>
      </c>
      <c r="D503" s="32">
        <v>16825</v>
      </c>
      <c r="E503" s="32">
        <v>0</v>
      </c>
      <c r="F503" s="32">
        <v>0</v>
      </c>
      <c r="G503" s="32">
        <v>0</v>
      </c>
      <c r="H503" s="32">
        <v>0</v>
      </c>
      <c r="I503" s="32">
        <v>0</v>
      </c>
      <c r="J503" s="32">
        <v>0</v>
      </c>
      <c r="K503" s="32"/>
      <c r="M503" s="42" t="s">
        <v>795</v>
      </c>
      <c r="N503" s="43" t="s">
        <v>878</v>
      </c>
      <c r="O503" s="43" t="s">
        <v>551</v>
      </c>
      <c r="P503" s="44">
        <v>16825</v>
      </c>
      <c r="Q503" s="45">
        <v>0</v>
      </c>
      <c r="R503" s="45">
        <v>0</v>
      </c>
      <c r="S503" s="45">
        <v>0</v>
      </c>
      <c r="T503" s="45">
        <v>0</v>
      </c>
      <c r="U503" s="45">
        <v>0</v>
      </c>
      <c r="V503" s="46">
        <v>0</v>
      </c>
    </row>
    <row r="504" spans="1:22" x14ac:dyDescent="0.25">
      <c r="A504" s="27" t="s">
        <v>76</v>
      </c>
      <c r="B504" s="27" t="s">
        <v>878</v>
      </c>
      <c r="C504" s="27" t="s">
        <v>552</v>
      </c>
      <c r="D504" s="32">
        <v>3897</v>
      </c>
      <c r="E504" s="32">
        <v>0</v>
      </c>
      <c r="F504" s="32">
        <v>0</v>
      </c>
      <c r="G504" s="32">
        <v>0</v>
      </c>
      <c r="H504" s="32">
        <v>0</v>
      </c>
      <c r="I504" s="32">
        <v>0</v>
      </c>
      <c r="J504" s="32">
        <v>0</v>
      </c>
      <c r="K504" s="32"/>
      <c r="M504" s="42" t="s">
        <v>76</v>
      </c>
      <c r="N504" s="43" t="s">
        <v>878</v>
      </c>
      <c r="O504" s="43" t="s">
        <v>552</v>
      </c>
      <c r="P504" s="44">
        <v>3897</v>
      </c>
      <c r="Q504" s="45">
        <v>0</v>
      </c>
      <c r="R504" s="45">
        <v>0</v>
      </c>
      <c r="S504" s="45">
        <v>0</v>
      </c>
      <c r="T504" s="45">
        <v>0</v>
      </c>
      <c r="U504" s="45">
        <v>0</v>
      </c>
      <c r="V504" s="46">
        <v>0</v>
      </c>
    </row>
    <row r="505" spans="1:22" x14ac:dyDescent="0.25">
      <c r="A505" s="27" t="s">
        <v>824</v>
      </c>
      <c r="B505" s="27" t="s">
        <v>878</v>
      </c>
      <c r="C505" s="27" t="s">
        <v>553</v>
      </c>
      <c r="D505" s="32">
        <v>3213</v>
      </c>
      <c r="E505" s="32">
        <v>0</v>
      </c>
      <c r="F505" s="32">
        <v>0</v>
      </c>
      <c r="G505" s="32">
        <v>0</v>
      </c>
      <c r="H505" s="32">
        <v>0</v>
      </c>
      <c r="I505" s="32">
        <v>0</v>
      </c>
      <c r="J505" s="32">
        <v>0</v>
      </c>
      <c r="K505" s="32"/>
      <c r="M505" s="42" t="s">
        <v>824</v>
      </c>
      <c r="N505" s="43" t="s">
        <v>878</v>
      </c>
      <c r="O505" s="43" t="s">
        <v>553</v>
      </c>
      <c r="P505" s="44">
        <v>3213</v>
      </c>
      <c r="Q505" s="45">
        <v>0</v>
      </c>
      <c r="R505" s="45">
        <v>0</v>
      </c>
      <c r="S505" s="45">
        <v>0</v>
      </c>
      <c r="T505" s="45">
        <v>0</v>
      </c>
      <c r="U505" s="45">
        <v>0</v>
      </c>
      <c r="V505" s="46">
        <v>0</v>
      </c>
    </row>
    <row r="506" spans="1:22" x14ac:dyDescent="0.25">
      <c r="A506" s="27" t="s">
        <v>512</v>
      </c>
      <c r="B506" s="27" t="s">
        <v>878</v>
      </c>
      <c r="C506" s="27" t="s">
        <v>554</v>
      </c>
      <c r="D506" s="32">
        <v>20722</v>
      </c>
      <c r="E506" s="32">
        <v>0</v>
      </c>
      <c r="F506" s="32">
        <v>0</v>
      </c>
      <c r="G506" s="32">
        <v>0</v>
      </c>
      <c r="H506" s="32">
        <v>0</v>
      </c>
      <c r="I506" s="32">
        <v>0</v>
      </c>
      <c r="J506" s="32">
        <v>0</v>
      </c>
      <c r="K506" s="32"/>
      <c r="M506" s="42" t="s">
        <v>512</v>
      </c>
      <c r="N506" s="43" t="s">
        <v>878</v>
      </c>
      <c r="O506" s="43" t="s">
        <v>554</v>
      </c>
      <c r="P506" s="44">
        <v>20722</v>
      </c>
      <c r="Q506" s="45">
        <v>0</v>
      </c>
      <c r="R506" s="45">
        <v>0</v>
      </c>
      <c r="S506" s="45">
        <v>0</v>
      </c>
      <c r="T506" s="45">
        <v>0</v>
      </c>
      <c r="U506" s="45">
        <v>0</v>
      </c>
      <c r="V506" s="46">
        <v>0</v>
      </c>
    </row>
    <row r="507" spans="1:22" x14ac:dyDescent="0.25">
      <c r="A507" s="27" t="s">
        <v>788</v>
      </c>
      <c r="B507" s="27" t="s">
        <v>878</v>
      </c>
      <c r="C507" s="27" t="s">
        <v>555</v>
      </c>
      <c r="D507" s="32">
        <v>92108</v>
      </c>
      <c r="E507" s="32">
        <v>0</v>
      </c>
      <c r="F507" s="32">
        <v>0</v>
      </c>
      <c r="G507" s="32">
        <v>0</v>
      </c>
      <c r="H507" s="32">
        <v>0</v>
      </c>
      <c r="I507" s="32">
        <v>0</v>
      </c>
      <c r="J507" s="32">
        <v>0</v>
      </c>
      <c r="K507" s="32"/>
      <c r="M507" s="42" t="s">
        <v>788</v>
      </c>
      <c r="N507" s="43" t="s">
        <v>878</v>
      </c>
      <c r="O507" s="43" t="s">
        <v>555</v>
      </c>
      <c r="P507" s="44">
        <v>92108</v>
      </c>
      <c r="Q507" s="45">
        <v>0</v>
      </c>
      <c r="R507" s="45">
        <v>0</v>
      </c>
      <c r="S507" s="45">
        <v>0</v>
      </c>
      <c r="T507" s="45">
        <v>0</v>
      </c>
      <c r="U507" s="45">
        <v>0</v>
      </c>
      <c r="V507" s="46">
        <v>0</v>
      </c>
    </row>
    <row r="508" spans="1:22" x14ac:dyDescent="0.25">
      <c r="A508" s="27" t="s">
        <v>101</v>
      </c>
      <c r="B508" s="27" t="s">
        <v>878</v>
      </c>
      <c r="C508" s="27" t="s">
        <v>556</v>
      </c>
      <c r="D508" s="32">
        <v>37566</v>
      </c>
      <c r="E508" s="32">
        <v>0</v>
      </c>
      <c r="F508" s="32">
        <v>0</v>
      </c>
      <c r="G508" s="32">
        <v>0</v>
      </c>
      <c r="H508" s="32">
        <v>0</v>
      </c>
      <c r="I508" s="32">
        <v>0</v>
      </c>
      <c r="J508" s="32">
        <v>0</v>
      </c>
      <c r="K508" s="32"/>
      <c r="M508" s="42" t="s">
        <v>101</v>
      </c>
      <c r="N508" s="43" t="s">
        <v>878</v>
      </c>
      <c r="O508" s="43" t="s">
        <v>556</v>
      </c>
      <c r="P508" s="44">
        <v>37566</v>
      </c>
      <c r="Q508" s="45">
        <v>0</v>
      </c>
      <c r="R508" s="45">
        <v>0</v>
      </c>
      <c r="S508" s="45">
        <v>0</v>
      </c>
      <c r="T508" s="45">
        <v>0</v>
      </c>
      <c r="U508" s="45">
        <v>0</v>
      </c>
      <c r="V508" s="46">
        <v>0</v>
      </c>
    </row>
    <row r="509" spans="1:22" x14ac:dyDescent="0.25">
      <c r="A509" s="27" t="s">
        <v>231</v>
      </c>
      <c r="B509" s="27" t="s">
        <v>878</v>
      </c>
      <c r="C509" s="27" t="s">
        <v>557</v>
      </c>
      <c r="D509" s="32">
        <v>19051</v>
      </c>
      <c r="E509" s="32">
        <v>0</v>
      </c>
      <c r="F509" s="32">
        <v>0</v>
      </c>
      <c r="G509" s="32">
        <v>0</v>
      </c>
      <c r="H509" s="32">
        <v>0</v>
      </c>
      <c r="I509" s="32">
        <v>0</v>
      </c>
      <c r="J509" s="32">
        <v>0</v>
      </c>
      <c r="K509" s="32"/>
      <c r="M509" s="42" t="s">
        <v>231</v>
      </c>
      <c r="N509" s="43" t="s">
        <v>878</v>
      </c>
      <c r="O509" s="43" t="s">
        <v>557</v>
      </c>
      <c r="P509" s="44">
        <v>19051</v>
      </c>
      <c r="Q509" s="45">
        <v>0</v>
      </c>
      <c r="R509" s="45">
        <v>0</v>
      </c>
      <c r="S509" s="45">
        <v>0</v>
      </c>
      <c r="T509" s="45">
        <v>0</v>
      </c>
      <c r="U509" s="45">
        <v>0</v>
      </c>
      <c r="V509" s="46">
        <v>0</v>
      </c>
    </row>
    <row r="510" spans="1:22" x14ac:dyDescent="0.25">
      <c r="A510" s="27" t="s">
        <v>817</v>
      </c>
      <c r="B510" s="27" t="s">
        <v>878</v>
      </c>
      <c r="C510" s="27" t="s">
        <v>558</v>
      </c>
      <c r="D510" s="32"/>
      <c r="E510" s="32"/>
      <c r="F510" s="32"/>
      <c r="G510" s="32"/>
      <c r="H510" s="32"/>
      <c r="I510" s="32"/>
      <c r="J510" s="32"/>
      <c r="K510" s="32"/>
      <c r="M510" s="42" t="s">
        <v>817</v>
      </c>
      <c r="N510" s="43" t="s">
        <v>878</v>
      </c>
      <c r="O510" s="43" t="s">
        <v>558</v>
      </c>
      <c r="P510" s="44"/>
      <c r="Q510" s="45"/>
      <c r="R510" s="45"/>
      <c r="S510" s="45"/>
      <c r="T510" s="45"/>
      <c r="U510" s="45"/>
      <c r="V510" s="46"/>
    </row>
    <row r="511" spans="1:22" x14ac:dyDescent="0.25">
      <c r="A511" s="27" t="s">
        <v>76</v>
      </c>
      <c r="B511" s="27" t="s">
        <v>878</v>
      </c>
      <c r="C511" s="27" t="s">
        <v>559</v>
      </c>
      <c r="D511" s="32">
        <v>12009</v>
      </c>
      <c r="E511" s="32">
        <v>0</v>
      </c>
      <c r="F511" s="32">
        <v>0</v>
      </c>
      <c r="G511" s="32">
        <v>0</v>
      </c>
      <c r="H511" s="32">
        <v>0</v>
      </c>
      <c r="I511" s="32">
        <v>0</v>
      </c>
      <c r="J511" s="32">
        <v>0</v>
      </c>
      <c r="K511" s="32"/>
      <c r="M511" s="42" t="s">
        <v>76</v>
      </c>
      <c r="N511" s="43" t="s">
        <v>878</v>
      </c>
      <c r="O511" s="43" t="s">
        <v>559</v>
      </c>
      <c r="P511" s="44">
        <v>12009</v>
      </c>
      <c r="Q511" s="45">
        <v>0</v>
      </c>
      <c r="R511" s="45">
        <v>0</v>
      </c>
      <c r="S511" s="45">
        <v>0</v>
      </c>
      <c r="T511" s="45">
        <v>0</v>
      </c>
      <c r="U511" s="45">
        <v>0</v>
      </c>
      <c r="V511" s="46">
        <v>0</v>
      </c>
    </row>
    <row r="512" spans="1:22" x14ac:dyDescent="0.25">
      <c r="A512" s="27" t="s">
        <v>801</v>
      </c>
      <c r="B512" s="27" t="s">
        <v>878</v>
      </c>
      <c r="C512" s="27" t="s">
        <v>560</v>
      </c>
      <c r="D512" s="32"/>
      <c r="E512" s="32"/>
      <c r="F512" s="32"/>
      <c r="G512" s="32"/>
      <c r="H512" s="32"/>
      <c r="I512" s="32"/>
      <c r="J512" s="32"/>
      <c r="K512" s="32"/>
      <c r="M512" s="42" t="s">
        <v>801</v>
      </c>
      <c r="N512" s="43" t="s">
        <v>878</v>
      </c>
      <c r="O512" s="43" t="s">
        <v>560</v>
      </c>
      <c r="P512" s="44"/>
      <c r="Q512" s="45"/>
      <c r="R512" s="45"/>
      <c r="S512" s="45"/>
      <c r="T512" s="45"/>
      <c r="U512" s="45"/>
      <c r="V512" s="46"/>
    </row>
    <row r="513" spans="1:22" x14ac:dyDescent="0.25">
      <c r="A513" s="27" t="s">
        <v>83</v>
      </c>
      <c r="B513" s="27" t="s">
        <v>878</v>
      </c>
      <c r="C513" s="27" t="s">
        <v>561</v>
      </c>
      <c r="D513" s="32">
        <v>14956</v>
      </c>
      <c r="E513" s="32">
        <v>0</v>
      </c>
      <c r="F513" s="32">
        <v>0</v>
      </c>
      <c r="G513" s="32">
        <v>0</v>
      </c>
      <c r="H513" s="32">
        <v>0</v>
      </c>
      <c r="I513" s="32">
        <v>0</v>
      </c>
      <c r="J513" s="32">
        <v>0</v>
      </c>
      <c r="K513" s="32"/>
      <c r="M513" s="42" t="s">
        <v>83</v>
      </c>
      <c r="N513" s="43" t="s">
        <v>878</v>
      </c>
      <c r="O513" s="43" t="s">
        <v>561</v>
      </c>
      <c r="P513" s="44">
        <v>14956</v>
      </c>
      <c r="Q513" s="45">
        <v>0</v>
      </c>
      <c r="R513" s="45">
        <v>0</v>
      </c>
      <c r="S513" s="45">
        <v>0</v>
      </c>
      <c r="T513" s="45">
        <v>0</v>
      </c>
      <c r="U513" s="45">
        <v>0</v>
      </c>
      <c r="V513" s="46">
        <v>0</v>
      </c>
    </row>
    <row r="514" spans="1:22" x14ac:dyDescent="0.25">
      <c r="A514" s="27" t="s">
        <v>817</v>
      </c>
      <c r="B514" s="27" t="s">
        <v>878</v>
      </c>
      <c r="C514" s="27" t="s">
        <v>562</v>
      </c>
      <c r="D514" s="32">
        <v>13780</v>
      </c>
      <c r="E514" s="32">
        <v>0</v>
      </c>
      <c r="F514" s="32">
        <v>0</v>
      </c>
      <c r="G514" s="32">
        <v>0</v>
      </c>
      <c r="H514" s="32">
        <v>0</v>
      </c>
      <c r="I514" s="32">
        <v>0</v>
      </c>
      <c r="J514" s="32">
        <v>0</v>
      </c>
      <c r="K514" s="32"/>
      <c r="M514" s="42" t="s">
        <v>817</v>
      </c>
      <c r="N514" s="43" t="s">
        <v>878</v>
      </c>
      <c r="O514" s="43" t="s">
        <v>562</v>
      </c>
      <c r="P514" s="44">
        <v>13780</v>
      </c>
      <c r="Q514" s="45">
        <v>0</v>
      </c>
      <c r="R514" s="45">
        <v>0</v>
      </c>
      <c r="S514" s="45">
        <v>0</v>
      </c>
      <c r="T514" s="45">
        <v>0</v>
      </c>
      <c r="U514" s="45">
        <v>0</v>
      </c>
      <c r="V514" s="46">
        <v>0</v>
      </c>
    </row>
    <row r="515" spans="1:22" x14ac:dyDescent="0.25">
      <c r="A515" s="27" t="s">
        <v>10</v>
      </c>
      <c r="B515" s="27" t="s">
        <v>878</v>
      </c>
      <c r="C515" s="27" t="s">
        <v>563</v>
      </c>
      <c r="D515" s="32"/>
      <c r="E515" s="32"/>
      <c r="F515" s="32"/>
      <c r="G515" s="32"/>
      <c r="H515" s="32"/>
      <c r="I515" s="32"/>
      <c r="J515" s="32"/>
      <c r="K515" s="32"/>
      <c r="M515" s="42" t="s">
        <v>10</v>
      </c>
      <c r="N515" s="43" t="s">
        <v>878</v>
      </c>
      <c r="O515" s="43" t="s">
        <v>563</v>
      </c>
      <c r="P515" s="44"/>
      <c r="Q515" s="45"/>
      <c r="R515" s="45"/>
      <c r="S515" s="45"/>
      <c r="T515" s="45"/>
      <c r="U515" s="45"/>
      <c r="V515" s="46"/>
    </row>
    <row r="516" spans="1:22" x14ac:dyDescent="0.25">
      <c r="A516" s="27" t="s">
        <v>791</v>
      </c>
      <c r="B516" s="27" t="s">
        <v>878</v>
      </c>
      <c r="C516" s="27" t="s">
        <v>564</v>
      </c>
      <c r="D516" s="32">
        <v>11247</v>
      </c>
      <c r="E516" s="32">
        <v>0</v>
      </c>
      <c r="F516" s="32">
        <v>0</v>
      </c>
      <c r="G516" s="32">
        <v>0</v>
      </c>
      <c r="H516" s="32">
        <v>0</v>
      </c>
      <c r="I516" s="32">
        <v>0</v>
      </c>
      <c r="J516" s="32">
        <v>0</v>
      </c>
      <c r="K516" s="32"/>
      <c r="M516" s="42" t="s">
        <v>791</v>
      </c>
      <c r="N516" s="43" t="s">
        <v>878</v>
      </c>
      <c r="O516" s="43" t="s">
        <v>564</v>
      </c>
      <c r="P516" s="44">
        <v>11247</v>
      </c>
      <c r="Q516" s="45">
        <v>0</v>
      </c>
      <c r="R516" s="45">
        <v>0</v>
      </c>
      <c r="S516" s="45">
        <v>0</v>
      </c>
      <c r="T516" s="45">
        <v>0</v>
      </c>
      <c r="U516" s="45">
        <v>0</v>
      </c>
      <c r="V516" s="46">
        <v>0</v>
      </c>
    </row>
    <row r="517" spans="1:22" x14ac:dyDescent="0.25">
      <c r="A517" s="27" t="s">
        <v>69</v>
      </c>
      <c r="B517" s="27" t="s">
        <v>878</v>
      </c>
      <c r="C517" s="27" t="s">
        <v>565</v>
      </c>
      <c r="D517" s="32">
        <v>28647</v>
      </c>
      <c r="E517" s="32">
        <v>0</v>
      </c>
      <c r="F517" s="32">
        <v>0</v>
      </c>
      <c r="G517" s="32">
        <v>0</v>
      </c>
      <c r="H517" s="32">
        <v>0</v>
      </c>
      <c r="I517" s="32">
        <v>0</v>
      </c>
      <c r="J517" s="32">
        <v>0</v>
      </c>
      <c r="K517" s="32"/>
      <c r="M517" s="42" t="s">
        <v>69</v>
      </c>
      <c r="N517" s="43" t="s">
        <v>878</v>
      </c>
      <c r="O517" s="43" t="s">
        <v>565</v>
      </c>
      <c r="P517" s="44">
        <v>28647</v>
      </c>
      <c r="Q517" s="45">
        <v>0</v>
      </c>
      <c r="R517" s="45">
        <v>0</v>
      </c>
      <c r="S517" s="45">
        <v>0</v>
      </c>
      <c r="T517" s="45">
        <v>0</v>
      </c>
      <c r="U517" s="45">
        <v>0</v>
      </c>
      <c r="V517" s="46">
        <v>0</v>
      </c>
    </row>
    <row r="518" spans="1:22" x14ac:dyDescent="0.25">
      <c r="A518" s="27" t="s">
        <v>794</v>
      </c>
      <c r="B518" s="27" t="s">
        <v>878</v>
      </c>
      <c r="C518" s="27" t="s">
        <v>566</v>
      </c>
      <c r="D518" s="32"/>
      <c r="E518" s="32"/>
      <c r="F518" s="32"/>
      <c r="G518" s="32"/>
      <c r="H518" s="32"/>
      <c r="I518" s="32"/>
      <c r="J518" s="32"/>
      <c r="K518" s="32"/>
      <c r="M518" s="42" t="s">
        <v>794</v>
      </c>
      <c r="N518" s="43" t="s">
        <v>878</v>
      </c>
      <c r="O518" s="43" t="s">
        <v>566</v>
      </c>
      <c r="P518" s="44"/>
      <c r="Q518" s="45"/>
      <c r="R518" s="45"/>
      <c r="S518" s="45"/>
      <c r="T518" s="45"/>
      <c r="U518" s="45"/>
      <c r="V518" s="46"/>
    </row>
    <row r="519" spans="1:22" x14ac:dyDescent="0.25">
      <c r="A519" s="27" t="s">
        <v>797</v>
      </c>
      <c r="B519" s="27" t="s">
        <v>878</v>
      </c>
      <c r="C519" s="27" t="s">
        <v>567</v>
      </c>
      <c r="D519" s="32">
        <v>6465</v>
      </c>
      <c r="E519" s="32">
        <v>0</v>
      </c>
      <c r="F519" s="32">
        <v>0</v>
      </c>
      <c r="G519" s="32">
        <v>0</v>
      </c>
      <c r="H519" s="32">
        <v>0</v>
      </c>
      <c r="I519" s="32">
        <v>0</v>
      </c>
      <c r="J519" s="32">
        <v>0</v>
      </c>
      <c r="K519" s="32"/>
      <c r="M519" s="42" t="s">
        <v>797</v>
      </c>
      <c r="N519" s="43" t="s">
        <v>878</v>
      </c>
      <c r="O519" s="43" t="s">
        <v>567</v>
      </c>
      <c r="P519" s="44">
        <v>6465</v>
      </c>
      <c r="Q519" s="45">
        <v>0</v>
      </c>
      <c r="R519" s="45">
        <v>0</v>
      </c>
      <c r="S519" s="45">
        <v>0</v>
      </c>
      <c r="T519" s="45">
        <v>0</v>
      </c>
      <c r="U519" s="45">
        <v>0</v>
      </c>
      <c r="V519" s="46">
        <v>0</v>
      </c>
    </row>
    <row r="520" spans="1:22" x14ac:dyDescent="0.25">
      <c r="A520" s="27" t="s">
        <v>826</v>
      </c>
      <c r="B520" s="27" t="s">
        <v>878</v>
      </c>
      <c r="C520" s="27" t="s">
        <v>568</v>
      </c>
      <c r="D520" s="32"/>
      <c r="E520" s="32"/>
      <c r="F520" s="32"/>
      <c r="G520" s="32"/>
      <c r="H520" s="32"/>
      <c r="I520" s="32"/>
      <c r="J520" s="32"/>
      <c r="K520" s="32"/>
      <c r="M520" s="42" t="s">
        <v>826</v>
      </c>
      <c r="N520" s="43" t="s">
        <v>878</v>
      </c>
      <c r="O520" s="43" t="s">
        <v>568</v>
      </c>
      <c r="P520" s="44"/>
      <c r="Q520" s="45"/>
      <c r="R520" s="45"/>
      <c r="S520" s="45"/>
      <c r="T520" s="45"/>
      <c r="U520" s="45"/>
      <c r="V520" s="46"/>
    </row>
    <row r="521" spans="1:22" x14ac:dyDescent="0.25">
      <c r="A521" s="27" t="s">
        <v>864</v>
      </c>
      <c r="B521" s="27" t="s">
        <v>878</v>
      </c>
      <c r="C521" s="27" t="s">
        <v>569</v>
      </c>
      <c r="D521" s="32">
        <v>40474</v>
      </c>
      <c r="E521" s="32">
        <v>0</v>
      </c>
      <c r="F521" s="32">
        <v>0</v>
      </c>
      <c r="G521" s="32">
        <v>0</v>
      </c>
      <c r="H521" s="32">
        <v>0</v>
      </c>
      <c r="I521" s="32">
        <v>0</v>
      </c>
      <c r="J521" s="32">
        <v>0</v>
      </c>
      <c r="K521" s="32"/>
      <c r="M521" s="42" t="s">
        <v>864</v>
      </c>
      <c r="N521" s="43" t="s">
        <v>878</v>
      </c>
      <c r="O521" s="43" t="s">
        <v>569</v>
      </c>
      <c r="P521" s="44">
        <v>40474</v>
      </c>
      <c r="Q521" s="45">
        <v>0</v>
      </c>
      <c r="R521" s="45">
        <v>0</v>
      </c>
      <c r="S521" s="45">
        <v>0</v>
      </c>
      <c r="T521" s="45">
        <v>0</v>
      </c>
      <c r="U521" s="45">
        <v>0</v>
      </c>
      <c r="V521" s="46">
        <v>0</v>
      </c>
    </row>
    <row r="522" spans="1:22" x14ac:dyDescent="0.25">
      <c r="A522" s="27" t="s">
        <v>826</v>
      </c>
      <c r="B522" s="27" t="s">
        <v>878</v>
      </c>
      <c r="C522" s="27" t="s">
        <v>570</v>
      </c>
      <c r="D522" s="32"/>
      <c r="E522" s="32"/>
      <c r="F522" s="32"/>
      <c r="G522" s="32"/>
      <c r="H522" s="32"/>
      <c r="I522" s="32"/>
      <c r="J522" s="32"/>
      <c r="K522" s="32"/>
      <c r="M522" s="42" t="s">
        <v>826</v>
      </c>
      <c r="N522" s="43" t="s">
        <v>878</v>
      </c>
      <c r="O522" s="43" t="s">
        <v>570</v>
      </c>
      <c r="P522" s="44"/>
      <c r="Q522" s="45"/>
      <c r="R522" s="45"/>
      <c r="S522" s="45"/>
      <c r="T522" s="45"/>
      <c r="U522" s="45"/>
      <c r="V522" s="46"/>
    </row>
    <row r="523" spans="1:22" x14ac:dyDescent="0.25">
      <c r="A523" s="27" t="s">
        <v>72</v>
      </c>
      <c r="B523" s="27" t="s">
        <v>878</v>
      </c>
      <c r="C523" s="27" t="s">
        <v>571</v>
      </c>
      <c r="D523" s="32">
        <v>30413</v>
      </c>
      <c r="E523" s="32">
        <v>0</v>
      </c>
      <c r="F523" s="32">
        <v>0</v>
      </c>
      <c r="G523" s="32">
        <v>0</v>
      </c>
      <c r="H523" s="32">
        <v>0</v>
      </c>
      <c r="I523" s="32">
        <v>0</v>
      </c>
      <c r="J523" s="32">
        <v>0</v>
      </c>
      <c r="K523" s="32"/>
      <c r="M523" s="42" t="s">
        <v>72</v>
      </c>
      <c r="N523" s="43" t="s">
        <v>878</v>
      </c>
      <c r="O523" s="43" t="s">
        <v>571</v>
      </c>
      <c r="P523" s="44">
        <v>30413</v>
      </c>
      <c r="Q523" s="45">
        <v>0</v>
      </c>
      <c r="R523" s="45">
        <v>0</v>
      </c>
      <c r="S523" s="45">
        <v>0</v>
      </c>
      <c r="T523" s="45">
        <v>0</v>
      </c>
      <c r="U523" s="45">
        <v>0</v>
      </c>
      <c r="V523" s="46">
        <v>0</v>
      </c>
    </row>
    <row r="524" spans="1:22" x14ac:dyDescent="0.25">
      <c r="A524" s="27" t="s">
        <v>801</v>
      </c>
      <c r="B524" s="27" t="s">
        <v>878</v>
      </c>
      <c r="C524" s="27" t="s">
        <v>572</v>
      </c>
      <c r="D524" s="32"/>
      <c r="E524" s="32"/>
      <c r="F524" s="32"/>
      <c r="G524" s="32"/>
      <c r="H524" s="32"/>
      <c r="I524" s="32"/>
      <c r="J524" s="32"/>
      <c r="K524" s="32"/>
      <c r="M524" s="42" t="s">
        <v>801</v>
      </c>
      <c r="N524" s="43" t="s">
        <v>878</v>
      </c>
      <c r="O524" s="43" t="s">
        <v>572</v>
      </c>
      <c r="P524" s="44"/>
      <c r="Q524" s="45"/>
      <c r="R524" s="45"/>
      <c r="S524" s="45"/>
      <c r="T524" s="45"/>
      <c r="U524" s="45"/>
      <c r="V524" s="46"/>
    </row>
    <row r="525" spans="1:22" x14ac:dyDescent="0.25">
      <c r="A525" s="27" t="s">
        <v>859</v>
      </c>
      <c r="B525" s="27" t="s">
        <v>878</v>
      </c>
      <c r="C525" s="27" t="s">
        <v>573</v>
      </c>
      <c r="D525" s="32">
        <v>18582</v>
      </c>
      <c r="E525" s="32">
        <v>0</v>
      </c>
      <c r="F525" s="32">
        <v>0</v>
      </c>
      <c r="G525" s="32">
        <v>0</v>
      </c>
      <c r="H525" s="32">
        <v>0</v>
      </c>
      <c r="I525" s="32">
        <v>0</v>
      </c>
      <c r="J525" s="32">
        <v>0</v>
      </c>
      <c r="K525" s="32"/>
      <c r="M525" s="42" t="s">
        <v>859</v>
      </c>
      <c r="N525" s="43" t="s">
        <v>878</v>
      </c>
      <c r="O525" s="43" t="s">
        <v>573</v>
      </c>
      <c r="P525" s="44">
        <v>18582</v>
      </c>
      <c r="Q525" s="45">
        <v>0</v>
      </c>
      <c r="R525" s="45">
        <v>0</v>
      </c>
      <c r="S525" s="45">
        <v>0</v>
      </c>
      <c r="T525" s="45">
        <v>0</v>
      </c>
      <c r="U525" s="45">
        <v>0</v>
      </c>
      <c r="V525" s="46">
        <v>0</v>
      </c>
    </row>
    <row r="526" spans="1:22" x14ac:dyDescent="0.25">
      <c r="A526" s="27" t="s">
        <v>816</v>
      </c>
      <c r="B526" s="27" t="s">
        <v>878</v>
      </c>
      <c r="C526" s="27" t="s">
        <v>574</v>
      </c>
      <c r="D526" s="32">
        <v>40731</v>
      </c>
      <c r="E526" s="32">
        <v>0</v>
      </c>
      <c r="F526" s="32">
        <v>0</v>
      </c>
      <c r="G526" s="32">
        <v>0</v>
      </c>
      <c r="H526" s="32">
        <v>0</v>
      </c>
      <c r="I526" s="32">
        <v>0</v>
      </c>
      <c r="J526" s="32">
        <v>0</v>
      </c>
      <c r="K526" s="32"/>
      <c r="M526" s="42" t="s">
        <v>816</v>
      </c>
      <c r="N526" s="43" t="s">
        <v>878</v>
      </c>
      <c r="O526" s="43" t="s">
        <v>574</v>
      </c>
      <c r="P526" s="44">
        <v>40731</v>
      </c>
      <c r="Q526" s="45">
        <v>0</v>
      </c>
      <c r="R526" s="45">
        <v>0</v>
      </c>
      <c r="S526" s="45">
        <v>0</v>
      </c>
      <c r="T526" s="45">
        <v>0</v>
      </c>
      <c r="U526" s="45">
        <v>0</v>
      </c>
      <c r="V526" s="46">
        <v>0</v>
      </c>
    </row>
    <row r="527" spans="1:22" x14ac:dyDescent="0.25">
      <c r="A527" s="27" t="s">
        <v>864</v>
      </c>
      <c r="B527" s="27" t="s">
        <v>878</v>
      </c>
      <c r="C527" s="27" t="s">
        <v>575</v>
      </c>
      <c r="D527" s="32">
        <v>38077</v>
      </c>
      <c r="E527" s="32">
        <v>0</v>
      </c>
      <c r="F527" s="32">
        <v>0</v>
      </c>
      <c r="G527" s="32">
        <v>0</v>
      </c>
      <c r="H527" s="32">
        <v>0</v>
      </c>
      <c r="I527" s="32">
        <v>0</v>
      </c>
      <c r="J527" s="32">
        <v>0</v>
      </c>
      <c r="K527" s="32"/>
      <c r="M527" s="42" t="s">
        <v>864</v>
      </c>
      <c r="N527" s="43" t="s">
        <v>878</v>
      </c>
      <c r="O527" s="43" t="s">
        <v>575</v>
      </c>
      <c r="P527" s="44">
        <v>38077</v>
      </c>
      <c r="Q527" s="45">
        <v>0</v>
      </c>
      <c r="R527" s="45">
        <v>0</v>
      </c>
      <c r="S527" s="45">
        <v>0</v>
      </c>
      <c r="T527" s="45">
        <v>0</v>
      </c>
      <c r="U527" s="45">
        <v>0</v>
      </c>
      <c r="V527" s="46">
        <v>0</v>
      </c>
    </row>
    <row r="528" spans="1:22" x14ac:dyDescent="0.25">
      <c r="A528" s="27" t="s">
        <v>146</v>
      </c>
      <c r="B528" s="27" t="s">
        <v>878</v>
      </c>
      <c r="C528" s="27" t="s">
        <v>576</v>
      </c>
      <c r="D528" s="32"/>
      <c r="E528" s="32"/>
      <c r="F528" s="32"/>
      <c r="G528" s="32"/>
      <c r="H528" s="32"/>
      <c r="I528" s="32"/>
      <c r="J528" s="32"/>
      <c r="K528" s="32"/>
      <c r="M528" s="42" t="s">
        <v>146</v>
      </c>
      <c r="N528" s="43" t="s">
        <v>878</v>
      </c>
      <c r="O528" s="43" t="s">
        <v>576</v>
      </c>
      <c r="P528" s="44"/>
      <c r="Q528" s="45"/>
      <c r="R528" s="45"/>
      <c r="S528" s="45"/>
      <c r="T528" s="45"/>
      <c r="U528" s="45"/>
      <c r="V528" s="46"/>
    </row>
    <row r="529" spans="1:22" x14ac:dyDescent="0.25">
      <c r="A529" s="27" t="s">
        <v>794</v>
      </c>
      <c r="B529" s="27" t="s">
        <v>878</v>
      </c>
      <c r="C529" s="27" t="s">
        <v>577</v>
      </c>
      <c r="D529" s="32"/>
      <c r="E529" s="32"/>
      <c r="F529" s="32"/>
      <c r="G529" s="32"/>
      <c r="H529" s="32"/>
      <c r="I529" s="32"/>
      <c r="J529" s="32"/>
      <c r="K529" s="32"/>
      <c r="M529" s="42" t="s">
        <v>794</v>
      </c>
      <c r="N529" s="43" t="s">
        <v>878</v>
      </c>
      <c r="O529" s="43" t="s">
        <v>577</v>
      </c>
      <c r="P529" s="44"/>
      <c r="Q529" s="45"/>
      <c r="R529" s="45"/>
      <c r="S529" s="45"/>
      <c r="T529" s="45"/>
      <c r="U529" s="45"/>
      <c r="V529" s="46"/>
    </row>
    <row r="530" spans="1:22" x14ac:dyDescent="0.25">
      <c r="A530" s="27" t="s">
        <v>146</v>
      </c>
      <c r="B530" s="27" t="s">
        <v>878</v>
      </c>
      <c r="C530" s="27" t="s">
        <v>578</v>
      </c>
      <c r="D530" s="32">
        <v>40206</v>
      </c>
      <c r="E530" s="32">
        <v>0</v>
      </c>
      <c r="F530" s="32">
        <v>0</v>
      </c>
      <c r="G530" s="32">
        <v>0</v>
      </c>
      <c r="H530" s="32">
        <v>0</v>
      </c>
      <c r="I530" s="32">
        <v>0</v>
      </c>
      <c r="J530" s="32">
        <v>0</v>
      </c>
      <c r="K530" s="32"/>
      <c r="M530" s="42" t="s">
        <v>146</v>
      </c>
      <c r="N530" s="43" t="s">
        <v>878</v>
      </c>
      <c r="O530" s="43" t="s">
        <v>578</v>
      </c>
      <c r="P530" s="44">
        <v>40206</v>
      </c>
      <c r="Q530" s="45">
        <v>0</v>
      </c>
      <c r="R530" s="45">
        <v>0</v>
      </c>
      <c r="S530" s="45">
        <v>0</v>
      </c>
      <c r="T530" s="45">
        <v>0</v>
      </c>
      <c r="U530" s="45">
        <v>0</v>
      </c>
      <c r="V530" s="46">
        <v>0</v>
      </c>
    </row>
    <row r="531" spans="1:22" x14ac:dyDescent="0.25">
      <c r="A531" s="27" t="s">
        <v>832</v>
      </c>
      <c r="B531" s="27" t="s">
        <v>878</v>
      </c>
      <c r="C531" s="27" t="s">
        <v>579</v>
      </c>
      <c r="D531" s="32"/>
      <c r="E531" s="32"/>
      <c r="F531" s="32"/>
      <c r="G531" s="32"/>
      <c r="H531" s="32"/>
      <c r="I531" s="32"/>
      <c r="J531" s="32"/>
      <c r="K531" s="32"/>
      <c r="M531" s="42" t="s">
        <v>832</v>
      </c>
      <c r="N531" s="43" t="s">
        <v>878</v>
      </c>
      <c r="O531" s="43" t="s">
        <v>579</v>
      </c>
      <c r="P531" s="44"/>
      <c r="Q531" s="45"/>
      <c r="R531" s="45"/>
      <c r="S531" s="45"/>
      <c r="T531" s="45"/>
      <c r="U531" s="45"/>
      <c r="V531" s="46"/>
    </row>
    <row r="532" spans="1:22" x14ac:dyDescent="0.25">
      <c r="A532" s="27" t="s">
        <v>839</v>
      </c>
      <c r="B532" s="27" t="s">
        <v>878</v>
      </c>
      <c r="C532" s="27" t="s">
        <v>580</v>
      </c>
      <c r="D532" s="32">
        <v>54140</v>
      </c>
      <c r="E532" s="32">
        <v>0</v>
      </c>
      <c r="F532" s="32">
        <v>0</v>
      </c>
      <c r="G532" s="32">
        <v>0</v>
      </c>
      <c r="H532" s="32">
        <v>0</v>
      </c>
      <c r="I532" s="32">
        <v>0</v>
      </c>
      <c r="J532" s="32">
        <v>0</v>
      </c>
      <c r="K532" s="32"/>
      <c r="M532" s="42" t="s">
        <v>839</v>
      </c>
      <c r="N532" s="43" t="s">
        <v>878</v>
      </c>
      <c r="O532" s="43" t="s">
        <v>580</v>
      </c>
      <c r="P532" s="44">
        <v>54140</v>
      </c>
      <c r="Q532" s="45">
        <v>0</v>
      </c>
      <c r="R532" s="45">
        <v>0</v>
      </c>
      <c r="S532" s="45">
        <v>0</v>
      </c>
      <c r="T532" s="45">
        <v>0</v>
      </c>
      <c r="U532" s="45">
        <v>0</v>
      </c>
      <c r="V532" s="46">
        <v>0</v>
      </c>
    </row>
    <row r="533" spans="1:22" x14ac:dyDescent="0.25">
      <c r="A533" s="27" t="s">
        <v>69</v>
      </c>
      <c r="B533" s="27" t="s">
        <v>878</v>
      </c>
      <c r="C533" s="27" t="s">
        <v>581</v>
      </c>
      <c r="D533" s="32">
        <v>101231</v>
      </c>
      <c r="E533" s="32">
        <v>0</v>
      </c>
      <c r="F533" s="32">
        <v>0</v>
      </c>
      <c r="G533" s="32">
        <v>0</v>
      </c>
      <c r="H533" s="32">
        <v>0</v>
      </c>
      <c r="I533" s="32">
        <v>0</v>
      </c>
      <c r="J533" s="32">
        <v>0</v>
      </c>
      <c r="K533" s="32"/>
      <c r="M533" s="42" t="s">
        <v>69</v>
      </c>
      <c r="N533" s="43" t="s">
        <v>878</v>
      </c>
      <c r="O533" s="43" t="s">
        <v>581</v>
      </c>
      <c r="P533" s="44">
        <v>101231</v>
      </c>
      <c r="Q533" s="45">
        <v>0</v>
      </c>
      <c r="R533" s="45">
        <v>0</v>
      </c>
      <c r="S533" s="45">
        <v>0</v>
      </c>
      <c r="T533" s="45">
        <v>0</v>
      </c>
      <c r="U533" s="45">
        <v>0</v>
      </c>
      <c r="V533" s="46">
        <v>0</v>
      </c>
    </row>
    <row r="534" spans="1:22" x14ac:dyDescent="0.25">
      <c r="A534" s="27" t="s">
        <v>794</v>
      </c>
      <c r="B534" s="27" t="s">
        <v>878</v>
      </c>
      <c r="C534" s="27" t="s">
        <v>582</v>
      </c>
      <c r="D534" s="32"/>
      <c r="E534" s="32"/>
      <c r="F534" s="32"/>
      <c r="G534" s="32"/>
      <c r="H534" s="32"/>
      <c r="I534" s="32"/>
      <c r="J534" s="32"/>
      <c r="K534" s="32"/>
      <c r="M534" s="42" t="s">
        <v>794</v>
      </c>
      <c r="N534" s="43" t="s">
        <v>878</v>
      </c>
      <c r="O534" s="43" t="s">
        <v>582</v>
      </c>
      <c r="P534" s="44"/>
      <c r="Q534" s="45"/>
      <c r="R534" s="45"/>
      <c r="S534" s="45"/>
      <c r="T534" s="45"/>
      <c r="U534" s="45"/>
      <c r="V534" s="46"/>
    </row>
    <row r="535" spans="1:22" x14ac:dyDescent="0.25">
      <c r="A535" s="27" t="s">
        <v>794</v>
      </c>
      <c r="B535" s="27" t="s">
        <v>878</v>
      </c>
      <c r="C535" s="27" t="s">
        <v>583</v>
      </c>
      <c r="D535" s="32"/>
      <c r="E535" s="32"/>
      <c r="F535" s="32"/>
      <c r="G535" s="32"/>
      <c r="H535" s="32"/>
      <c r="I535" s="32"/>
      <c r="J535" s="32"/>
      <c r="K535" s="32"/>
      <c r="M535" s="42" t="s">
        <v>794</v>
      </c>
      <c r="N535" s="43" t="s">
        <v>878</v>
      </c>
      <c r="O535" s="43" t="s">
        <v>583</v>
      </c>
      <c r="P535" s="44"/>
      <c r="Q535" s="45"/>
      <c r="R535" s="45"/>
      <c r="S535" s="45"/>
      <c r="T535" s="45"/>
      <c r="U535" s="45"/>
      <c r="V535" s="46"/>
    </row>
    <row r="536" spans="1:22" x14ac:dyDescent="0.25">
      <c r="A536" s="27" t="s">
        <v>120</v>
      </c>
      <c r="B536" s="27" t="s">
        <v>878</v>
      </c>
      <c r="C536" s="27" t="s">
        <v>584</v>
      </c>
      <c r="D536" s="32">
        <v>7589</v>
      </c>
      <c r="E536" s="32">
        <v>0</v>
      </c>
      <c r="F536" s="32">
        <v>0</v>
      </c>
      <c r="G536" s="32">
        <v>0</v>
      </c>
      <c r="H536" s="32">
        <v>0</v>
      </c>
      <c r="I536" s="32">
        <v>0</v>
      </c>
      <c r="J536" s="32">
        <v>0</v>
      </c>
      <c r="K536" s="32"/>
      <c r="M536" s="42" t="s">
        <v>120</v>
      </c>
      <c r="N536" s="43" t="s">
        <v>878</v>
      </c>
      <c r="O536" s="43" t="s">
        <v>584</v>
      </c>
      <c r="P536" s="44">
        <v>7589</v>
      </c>
      <c r="Q536" s="45">
        <v>0</v>
      </c>
      <c r="R536" s="45">
        <v>0</v>
      </c>
      <c r="S536" s="45">
        <v>0</v>
      </c>
      <c r="T536" s="45">
        <v>0</v>
      </c>
      <c r="U536" s="45">
        <v>0</v>
      </c>
      <c r="V536" s="46">
        <v>0</v>
      </c>
    </row>
    <row r="537" spans="1:22" x14ac:dyDescent="0.25">
      <c r="A537" s="27" t="s">
        <v>837</v>
      </c>
      <c r="B537" s="27" t="s">
        <v>878</v>
      </c>
      <c r="C537" s="27" t="s">
        <v>585</v>
      </c>
      <c r="D537" s="32"/>
      <c r="E537" s="32"/>
      <c r="F537" s="32"/>
      <c r="G537" s="32"/>
      <c r="H537" s="32"/>
      <c r="I537" s="32"/>
      <c r="J537" s="32"/>
      <c r="K537" s="32"/>
      <c r="M537" s="42" t="s">
        <v>837</v>
      </c>
      <c r="N537" s="43" t="s">
        <v>878</v>
      </c>
      <c r="O537" s="43" t="s">
        <v>585</v>
      </c>
      <c r="P537" s="44"/>
      <c r="Q537" s="45"/>
      <c r="R537" s="45"/>
      <c r="S537" s="45"/>
      <c r="T537" s="45"/>
      <c r="U537" s="45"/>
      <c r="V537" s="46"/>
    </row>
    <row r="538" spans="1:22" x14ac:dyDescent="0.25">
      <c r="A538" s="27" t="s">
        <v>859</v>
      </c>
      <c r="B538" s="27" t="s">
        <v>878</v>
      </c>
      <c r="C538" s="27" t="s">
        <v>586</v>
      </c>
      <c r="D538" s="32"/>
      <c r="E538" s="32"/>
      <c r="F538" s="32"/>
      <c r="G538" s="32"/>
      <c r="H538" s="32"/>
      <c r="I538" s="32"/>
      <c r="J538" s="32"/>
      <c r="K538" s="32"/>
      <c r="M538" s="42" t="s">
        <v>859</v>
      </c>
      <c r="N538" s="43" t="s">
        <v>878</v>
      </c>
      <c r="O538" s="43" t="s">
        <v>586</v>
      </c>
      <c r="P538" s="44"/>
      <c r="Q538" s="45"/>
      <c r="R538" s="45"/>
      <c r="S538" s="45"/>
      <c r="T538" s="45"/>
      <c r="U538" s="45"/>
      <c r="V538" s="46"/>
    </row>
    <row r="539" spans="1:22" x14ac:dyDescent="0.25">
      <c r="A539" s="27" t="s">
        <v>836</v>
      </c>
      <c r="B539" s="27" t="s">
        <v>878</v>
      </c>
      <c r="C539" s="27" t="s">
        <v>587</v>
      </c>
      <c r="D539" s="32"/>
      <c r="E539" s="32"/>
      <c r="F539" s="32"/>
      <c r="G539" s="32"/>
      <c r="H539" s="32"/>
      <c r="I539" s="32"/>
      <c r="J539" s="32"/>
      <c r="K539" s="32"/>
      <c r="M539" s="42" t="s">
        <v>836</v>
      </c>
      <c r="N539" s="43" t="s">
        <v>878</v>
      </c>
      <c r="O539" s="43" t="s">
        <v>587</v>
      </c>
      <c r="P539" s="44"/>
      <c r="Q539" s="45"/>
      <c r="R539" s="45"/>
      <c r="S539" s="45"/>
      <c r="T539" s="45"/>
      <c r="U539" s="45"/>
      <c r="V539" s="46"/>
    </row>
    <row r="540" spans="1:22" x14ac:dyDescent="0.25">
      <c r="A540" s="27" t="s">
        <v>844</v>
      </c>
      <c r="B540" s="27" t="s">
        <v>878</v>
      </c>
      <c r="C540" s="27" t="s">
        <v>588</v>
      </c>
      <c r="D540" s="32"/>
      <c r="E540" s="32"/>
      <c r="F540" s="32"/>
      <c r="G540" s="32"/>
      <c r="H540" s="32"/>
      <c r="I540" s="32"/>
      <c r="J540" s="32"/>
      <c r="K540" s="32"/>
      <c r="M540" s="42" t="s">
        <v>844</v>
      </c>
      <c r="N540" s="43" t="s">
        <v>878</v>
      </c>
      <c r="O540" s="43" t="s">
        <v>588</v>
      </c>
      <c r="P540" s="44"/>
      <c r="Q540" s="45"/>
      <c r="R540" s="45"/>
      <c r="S540" s="45"/>
      <c r="T540" s="45"/>
      <c r="U540" s="45"/>
      <c r="V540" s="46"/>
    </row>
    <row r="541" spans="1:22" x14ac:dyDescent="0.25">
      <c r="A541" s="27" t="s">
        <v>838</v>
      </c>
      <c r="B541" s="27" t="s">
        <v>878</v>
      </c>
      <c r="C541" s="27" t="s">
        <v>589</v>
      </c>
      <c r="D541" s="32"/>
      <c r="E541" s="32"/>
      <c r="F541" s="32"/>
      <c r="G541" s="32"/>
      <c r="H541" s="32"/>
      <c r="I541" s="32"/>
      <c r="J541" s="32"/>
      <c r="K541" s="32"/>
      <c r="M541" s="42" t="s">
        <v>838</v>
      </c>
      <c r="N541" s="43" t="s">
        <v>878</v>
      </c>
      <c r="O541" s="43" t="s">
        <v>589</v>
      </c>
      <c r="P541" s="44"/>
      <c r="Q541" s="45"/>
      <c r="R541" s="45"/>
      <c r="S541" s="45"/>
      <c r="T541" s="45"/>
      <c r="U541" s="45"/>
      <c r="V541" s="46"/>
    </row>
    <row r="542" spans="1:22" x14ac:dyDescent="0.25">
      <c r="A542" s="27" t="s">
        <v>833</v>
      </c>
      <c r="B542" s="27" t="s">
        <v>878</v>
      </c>
      <c r="C542" s="27" t="s">
        <v>590</v>
      </c>
      <c r="D542" s="32"/>
      <c r="E542" s="32"/>
      <c r="F542" s="32"/>
      <c r="G542" s="32"/>
      <c r="H542" s="32"/>
      <c r="I542" s="32"/>
      <c r="J542" s="32"/>
      <c r="K542" s="32"/>
      <c r="M542" s="42" t="s">
        <v>833</v>
      </c>
      <c r="N542" s="43" t="s">
        <v>878</v>
      </c>
      <c r="O542" s="43" t="s">
        <v>590</v>
      </c>
      <c r="P542" s="44"/>
      <c r="Q542" s="45"/>
      <c r="R542" s="45"/>
      <c r="S542" s="45"/>
      <c r="T542" s="45"/>
      <c r="U542" s="45"/>
      <c r="V542" s="46"/>
    </row>
    <row r="543" spans="1:22" x14ac:dyDescent="0.25">
      <c r="A543" s="27" t="s">
        <v>845</v>
      </c>
      <c r="B543" s="27" t="s">
        <v>878</v>
      </c>
      <c r="C543" s="27" t="s">
        <v>591</v>
      </c>
      <c r="D543" s="32"/>
      <c r="E543" s="32"/>
      <c r="F543" s="32"/>
      <c r="G543" s="32"/>
      <c r="H543" s="32"/>
      <c r="I543" s="32"/>
      <c r="J543" s="32"/>
      <c r="K543" s="32"/>
      <c r="M543" s="42" t="s">
        <v>845</v>
      </c>
      <c r="N543" s="43" t="s">
        <v>878</v>
      </c>
      <c r="O543" s="43" t="s">
        <v>591</v>
      </c>
      <c r="P543" s="44"/>
      <c r="Q543" s="45"/>
      <c r="R543" s="45"/>
      <c r="S543" s="45"/>
      <c r="T543" s="45"/>
      <c r="U543" s="45"/>
      <c r="V543" s="46"/>
    </row>
    <row r="544" spans="1:22" x14ac:dyDescent="0.25">
      <c r="A544" s="27" t="s">
        <v>794</v>
      </c>
      <c r="B544" s="27" t="s">
        <v>878</v>
      </c>
      <c r="C544" s="27" t="s">
        <v>592</v>
      </c>
      <c r="D544" s="32"/>
      <c r="E544" s="32"/>
      <c r="F544" s="32"/>
      <c r="G544" s="32"/>
      <c r="H544" s="32"/>
      <c r="I544" s="32"/>
      <c r="J544" s="32"/>
      <c r="K544" s="32"/>
      <c r="M544" s="42" t="s">
        <v>794</v>
      </c>
      <c r="N544" s="43" t="s">
        <v>878</v>
      </c>
      <c r="O544" s="43" t="s">
        <v>592</v>
      </c>
      <c r="P544" s="44"/>
      <c r="Q544" s="45"/>
      <c r="R544" s="45"/>
      <c r="S544" s="45"/>
      <c r="T544" s="45"/>
      <c r="U544" s="45"/>
      <c r="V544" s="46"/>
    </row>
    <row r="545" spans="1:22" x14ac:dyDescent="0.25">
      <c r="A545" s="27" t="s">
        <v>843</v>
      </c>
      <c r="B545" s="27" t="s">
        <v>878</v>
      </c>
      <c r="C545" s="27" t="s">
        <v>593</v>
      </c>
      <c r="D545" s="32"/>
      <c r="E545" s="32"/>
      <c r="F545" s="32"/>
      <c r="G545" s="32"/>
      <c r="H545" s="32"/>
      <c r="I545" s="32"/>
      <c r="J545" s="32"/>
      <c r="K545" s="32"/>
      <c r="M545" s="42" t="s">
        <v>843</v>
      </c>
      <c r="N545" s="43" t="s">
        <v>878</v>
      </c>
      <c r="O545" s="43" t="s">
        <v>593</v>
      </c>
      <c r="P545" s="44"/>
      <c r="Q545" s="45"/>
      <c r="R545" s="45"/>
      <c r="S545" s="45"/>
      <c r="T545" s="45"/>
      <c r="U545" s="45"/>
      <c r="V545" s="46"/>
    </row>
    <row r="546" spans="1:22" x14ac:dyDescent="0.25">
      <c r="A546" s="27" t="s">
        <v>863</v>
      </c>
      <c r="B546" s="27" t="s">
        <v>878</v>
      </c>
      <c r="C546" s="27" t="s">
        <v>594</v>
      </c>
      <c r="D546" s="32"/>
      <c r="E546" s="32"/>
      <c r="F546" s="32"/>
      <c r="G546" s="32"/>
      <c r="H546" s="32"/>
      <c r="I546" s="32"/>
      <c r="J546" s="32"/>
      <c r="K546" s="32"/>
      <c r="M546" s="42" t="s">
        <v>863</v>
      </c>
      <c r="N546" s="43" t="s">
        <v>878</v>
      </c>
      <c r="O546" s="43" t="s">
        <v>594</v>
      </c>
      <c r="P546" s="44"/>
      <c r="Q546" s="45"/>
      <c r="R546" s="45"/>
      <c r="S546" s="45"/>
      <c r="T546" s="45"/>
      <c r="U546" s="45"/>
      <c r="V546" s="46"/>
    </row>
    <row r="547" spans="1:22" x14ac:dyDescent="0.25">
      <c r="A547" s="27" t="s">
        <v>804</v>
      </c>
      <c r="B547" s="27" t="s">
        <v>878</v>
      </c>
      <c r="C547" s="27" t="s">
        <v>595</v>
      </c>
      <c r="D547" s="32">
        <v>9894</v>
      </c>
      <c r="E547" s="32">
        <v>0</v>
      </c>
      <c r="F547" s="32">
        <v>0</v>
      </c>
      <c r="G547" s="32">
        <v>0</v>
      </c>
      <c r="H547" s="32">
        <v>0</v>
      </c>
      <c r="I547" s="32">
        <v>0</v>
      </c>
      <c r="J547" s="32">
        <v>0</v>
      </c>
      <c r="K547" s="32"/>
      <c r="M547" s="42" t="s">
        <v>804</v>
      </c>
      <c r="N547" s="43" t="s">
        <v>878</v>
      </c>
      <c r="O547" s="43" t="s">
        <v>595</v>
      </c>
      <c r="P547" s="44">
        <v>9894</v>
      </c>
      <c r="Q547" s="45">
        <v>0</v>
      </c>
      <c r="R547" s="45">
        <v>0</v>
      </c>
      <c r="S547" s="45">
        <v>0</v>
      </c>
      <c r="T547" s="45">
        <v>0</v>
      </c>
      <c r="U547" s="45">
        <v>0</v>
      </c>
      <c r="V547" s="46">
        <v>0</v>
      </c>
    </row>
    <row r="548" spans="1:22" x14ac:dyDescent="0.25">
      <c r="A548" s="27" t="s">
        <v>795</v>
      </c>
      <c r="B548" s="27" t="s">
        <v>878</v>
      </c>
      <c r="C548" s="27" t="s">
        <v>596</v>
      </c>
      <c r="D548" s="32">
        <v>40289</v>
      </c>
      <c r="E548" s="32">
        <v>0</v>
      </c>
      <c r="F548" s="32">
        <v>0</v>
      </c>
      <c r="G548" s="32">
        <v>0</v>
      </c>
      <c r="H548" s="32">
        <v>0</v>
      </c>
      <c r="I548" s="32">
        <v>0</v>
      </c>
      <c r="J548" s="32">
        <v>0</v>
      </c>
      <c r="K548" s="32"/>
      <c r="M548" s="42" t="s">
        <v>795</v>
      </c>
      <c r="N548" s="43" t="s">
        <v>878</v>
      </c>
      <c r="O548" s="43" t="s">
        <v>596</v>
      </c>
      <c r="P548" s="44">
        <v>40289</v>
      </c>
      <c r="Q548" s="45">
        <v>0</v>
      </c>
      <c r="R548" s="45">
        <v>0</v>
      </c>
      <c r="S548" s="45">
        <v>0</v>
      </c>
      <c r="T548" s="45">
        <v>0</v>
      </c>
      <c r="U548" s="45">
        <v>0</v>
      </c>
      <c r="V548" s="46">
        <v>0</v>
      </c>
    </row>
    <row r="549" spans="1:22" x14ac:dyDescent="0.25">
      <c r="A549" s="27" t="s">
        <v>101</v>
      </c>
      <c r="B549" s="27" t="s">
        <v>878</v>
      </c>
      <c r="C549" s="27" t="s">
        <v>597</v>
      </c>
      <c r="D549" s="32">
        <v>28432</v>
      </c>
      <c r="E549" s="32">
        <v>0</v>
      </c>
      <c r="F549" s="32">
        <v>0</v>
      </c>
      <c r="G549" s="32">
        <v>0</v>
      </c>
      <c r="H549" s="32">
        <v>0</v>
      </c>
      <c r="I549" s="32">
        <v>0</v>
      </c>
      <c r="J549" s="32">
        <v>0</v>
      </c>
      <c r="K549" s="32"/>
      <c r="M549" s="42" t="s">
        <v>101</v>
      </c>
      <c r="N549" s="43" t="s">
        <v>878</v>
      </c>
      <c r="O549" s="43" t="s">
        <v>597</v>
      </c>
      <c r="P549" s="44">
        <v>28432</v>
      </c>
      <c r="Q549" s="45">
        <v>0</v>
      </c>
      <c r="R549" s="45">
        <v>0</v>
      </c>
      <c r="S549" s="45">
        <v>0</v>
      </c>
      <c r="T549" s="45">
        <v>0</v>
      </c>
      <c r="U549" s="45">
        <v>0</v>
      </c>
      <c r="V549" s="46">
        <v>0</v>
      </c>
    </row>
    <row r="550" spans="1:22" x14ac:dyDescent="0.25">
      <c r="A550" s="27" t="s">
        <v>835</v>
      </c>
      <c r="B550" s="27" t="s">
        <v>878</v>
      </c>
      <c r="C550" s="27" t="s">
        <v>598</v>
      </c>
      <c r="D550" s="32"/>
      <c r="E550" s="32"/>
      <c r="F550" s="32"/>
      <c r="G550" s="32"/>
      <c r="H550" s="32"/>
      <c r="I550" s="32"/>
      <c r="J550" s="32"/>
      <c r="K550" s="32"/>
      <c r="M550" s="42" t="s">
        <v>835</v>
      </c>
      <c r="N550" s="43" t="s">
        <v>878</v>
      </c>
      <c r="O550" s="43" t="s">
        <v>598</v>
      </c>
      <c r="P550" s="44"/>
      <c r="Q550" s="45"/>
      <c r="R550" s="45"/>
      <c r="S550" s="45"/>
      <c r="T550" s="45"/>
      <c r="U550" s="45"/>
      <c r="V550" s="46"/>
    </row>
    <row r="551" spans="1:22" x14ac:dyDescent="0.25">
      <c r="A551" s="27" t="s">
        <v>842</v>
      </c>
      <c r="B551" s="27" t="s">
        <v>878</v>
      </c>
      <c r="C551" s="27" t="s">
        <v>599</v>
      </c>
      <c r="D551" s="32"/>
      <c r="E551" s="32"/>
      <c r="F551" s="32"/>
      <c r="G551" s="32"/>
      <c r="H551" s="32"/>
      <c r="I551" s="32"/>
      <c r="J551" s="32"/>
      <c r="K551" s="32"/>
      <c r="M551" s="42" t="s">
        <v>842</v>
      </c>
      <c r="N551" s="43" t="s">
        <v>878</v>
      </c>
      <c r="O551" s="43" t="s">
        <v>599</v>
      </c>
      <c r="P551" s="44"/>
      <c r="Q551" s="45"/>
      <c r="R551" s="45"/>
      <c r="S551" s="45"/>
      <c r="T551" s="45"/>
      <c r="U551" s="45"/>
      <c r="V551" s="46"/>
    </row>
    <row r="552" spans="1:22" x14ac:dyDescent="0.25">
      <c r="A552" s="27" t="s">
        <v>226</v>
      </c>
      <c r="B552" s="27" t="s">
        <v>878</v>
      </c>
      <c r="C552" s="27" t="s">
        <v>600</v>
      </c>
      <c r="D552" s="32">
        <v>4138</v>
      </c>
      <c r="E552" s="32">
        <v>0</v>
      </c>
      <c r="F552" s="32">
        <v>0</v>
      </c>
      <c r="G552" s="32">
        <v>0</v>
      </c>
      <c r="H552" s="32">
        <v>0</v>
      </c>
      <c r="I552" s="32">
        <v>0</v>
      </c>
      <c r="J552" s="32">
        <v>0</v>
      </c>
      <c r="K552" s="32"/>
      <c r="M552" s="42" t="s">
        <v>226</v>
      </c>
      <c r="N552" s="43" t="s">
        <v>878</v>
      </c>
      <c r="O552" s="43" t="s">
        <v>600</v>
      </c>
      <c r="P552" s="44">
        <v>4138</v>
      </c>
      <c r="Q552" s="45">
        <v>0</v>
      </c>
      <c r="R552" s="45">
        <v>0</v>
      </c>
      <c r="S552" s="45">
        <v>0</v>
      </c>
      <c r="T552" s="45">
        <v>0</v>
      </c>
      <c r="U552" s="45">
        <v>0</v>
      </c>
      <c r="V552" s="46">
        <v>0</v>
      </c>
    </row>
    <row r="553" spans="1:22" x14ac:dyDescent="0.25">
      <c r="A553" s="27" t="s">
        <v>817</v>
      </c>
      <c r="B553" s="27" t="s">
        <v>878</v>
      </c>
      <c r="C553" s="27" t="s">
        <v>601</v>
      </c>
      <c r="D553" s="32">
        <v>24291</v>
      </c>
      <c r="E553" s="32">
        <v>0</v>
      </c>
      <c r="F553" s="32">
        <v>0</v>
      </c>
      <c r="G553" s="32">
        <v>0</v>
      </c>
      <c r="H553" s="32">
        <v>0</v>
      </c>
      <c r="I553" s="32">
        <v>0</v>
      </c>
      <c r="J553" s="32">
        <v>0</v>
      </c>
      <c r="K553" s="32"/>
      <c r="M553" s="42" t="s">
        <v>817</v>
      </c>
      <c r="N553" s="43" t="s">
        <v>878</v>
      </c>
      <c r="O553" s="43" t="s">
        <v>601</v>
      </c>
      <c r="P553" s="44">
        <v>24291</v>
      </c>
      <c r="Q553" s="44">
        <v>0</v>
      </c>
      <c r="R553" s="44">
        <v>0</v>
      </c>
      <c r="S553" s="44">
        <v>0</v>
      </c>
      <c r="T553" s="44">
        <v>0</v>
      </c>
      <c r="U553" s="44">
        <v>0</v>
      </c>
      <c r="V553" s="44">
        <v>0</v>
      </c>
    </row>
    <row r="554" spans="1:22" x14ac:dyDescent="0.25">
      <c r="A554" s="27" t="s">
        <v>859</v>
      </c>
      <c r="B554" s="27" t="s">
        <v>878</v>
      </c>
      <c r="C554" s="27" t="s">
        <v>602</v>
      </c>
      <c r="D554" s="32">
        <v>49192</v>
      </c>
      <c r="E554" s="32">
        <v>0</v>
      </c>
      <c r="F554" s="32">
        <v>0</v>
      </c>
      <c r="G554" s="32">
        <v>0</v>
      </c>
      <c r="H554" s="32">
        <v>0</v>
      </c>
      <c r="I554" s="32">
        <v>0</v>
      </c>
      <c r="J554" s="32">
        <v>0</v>
      </c>
      <c r="K554" s="32"/>
      <c r="M554" s="42" t="s">
        <v>859</v>
      </c>
      <c r="N554" s="43" t="s">
        <v>878</v>
      </c>
      <c r="O554" s="43" t="s">
        <v>602</v>
      </c>
      <c r="P554" s="44">
        <v>49192</v>
      </c>
      <c r="Q554" s="45">
        <v>0</v>
      </c>
      <c r="R554" s="45">
        <v>0</v>
      </c>
      <c r="S554" s="45">
        <v>0</v>
      </c>
      <c r="T554" s="45">
        <v>0</v>
      </c>
      <c r="U554" s="45">
        <v>0</v>
      </c>
      <c r="V554" s="46">
        <v>0</v>
      </c>
    </row>
    <row r="555" spans="1:22" x14ac:dyDescent="0.25">
      <c r="A555" s="27" t="s">
        <v>859</v>
      </c>
      <c r="B555" s="27" t="s">
        <v>878</v>
      </c>
      <c r="C555" s="27" t="s">
        <v>603</v>
      </c>
      <c r="D555" s="32">
        <v>9414</v>
      </c>
      <c r="E555" s="32">
        <v>0</v>
      </c>
      <c r="F555" s="32">
        <v>0</v>
      </c>
      <c r="G555" s="32">
        <v>0</v>
      </c>
      <c r="H555" s="32">
        <v>0</v>
      </c>
      <c r="I555" s="32">
        <v>0</v>
      </c>
      <c r="J555" s="32">
        <v>0</v>
      </c>
      <c r="K555" s="32"/>
      <c r="M555" s="42" t="s">
        <v>859</v>
      </c>
      <c r="N555" s="43" t="s">
        <v>878</v>
      </c>
      <c r="O555" s="43" t="s">
        <v>603</v>
      </c>
      <c r="P555" s="44">
        <v>9414</v>
      </c>
      <c r="Q555" s="45">
        <v>0</v>
      </c>
      <c r="R555" s="45">
        <v>0</v>
      </c>
      <c r="S555" s="45">
        <v>0</v>
      </c>
      <c r="T555" s="45">
        <v>0</v>
      </c>
      <c r="U555" s="45">
        <v>0</v>
      </c>
      <c r="V555" s="46">
        <v>0</v>
      </c>
    </row>
    <row r="556" spans="1:22" x14ac:dyDescent="0.25">
      <c r="A556" s="27" t="s">
        <v>831</v>
      </c>
      <c r="B556" s="27" t="s">
        <v>878</v>
      </c>
      <c r="C556" s="27" t="s">
        <v>604</v>
      </c>
      <c r="D556" s="32"/>
      <c r="E556" s="32"/>
      <c r="F556" s="32"/>
      <c r="G556" s="32"/>
      <c r="H556" s="32"/>
      <c r="I556" s="32"/>
      <c r="J556" s="32"/>
      <c r="K556" s="32"/>
      <c r="M556" s="42" t="s">
        <v>831</v>
      </c>
      <c r="N556" s="43" t="s">
        <v>878</v>
      </c>
      <c r="O556" s="43" t="s">
        <v>604</v>
      </c>
      <c r="P556" s="44"/>
      <c r="Q556" s="45"/>
      <c r="R556" s="45"/>
      <c r="S556" s="45"/>
      <c r="T556" s="45"/>
      <c r="U556" s="45"/>
      <c r="V556" s="46"/>
    </row>
    <row r="557" spans="1:22" x14ac:dyDescent="0.25">
      <c r="A557" s="27" t="s">
        <v>809</v>
      </c>
      <c r="B557" s="27" t="s">
        <v>878</v>
      </c>
      <c r="C557" s="27" t="s">
        <v>605</v>
      </c>
      <c r="D557" s="32">
        <v>27485</v>
      </c>
      <c r="E557" s="32">
        <v>0</v>
      </c>
      <c r="F557" s="32">
        <v>0</v>
      </c>
      <c r="G557" s="32">
        <v>0</v>
      </c>
      <c r="H557" s="32">
        <v>0</v>
      </c>
      <c r="I557" s="32">
        <v>0</v>
      </c>
      <c r="J557" s="32">
        <v>0</v>
      </c>
      <c r="K557" s="32"/>
      <c r="M557" s="42" t="s">
        <v>809</v>
      </c>
      <c r="N557" s="43" t="s">
        <v>878</v>
      </c>
      <c r="O557" s="43" t="s">
        <v>605</v>
      </c>
      <c r="P557" s="44">
        <v>27485</v>
      </c>
      <c r="Q557" s="45">
        <v>0</v>
      </c>
      <c r="R557" s="45">
        <v>0</v>
      </c>
      <c r="S557" s="45">
        <v>0</v>
      </c>
      <c r="T557" s="45">
        <v>0</v>
      </c>
      <c r="U557" s="45">
        <v>0</v>
      </c>
      <c r="V557" s="46">
        <v>0</v>
      </c>
    </row>
    <row r="558" spans="1:22" x14ac:dyDescent="0.25">
      <c r="A558" s="27" t="s">
        <v>817</v>
      </c>
      <c r="B558" s="27" t="s">
        <v>878</v>
      </c>
      <c r="C558" s="27" t="s">
        <v>606</v>
      </c>
      <c r="D558" s="32">
        <v>104479</v>
      </c>
      <c r="E558" s="32">
        <v>0</v>
      </c>
      <c r="F558" s="32">
        <v>0</v>
      </c>
      <c r="G558" s="32">
        <v>0</v>
      </c>
      <c r="H558" s="32">
        <v>0</v>
      </c>
      <c r="I558" s="32">
        <v>0</v>
      </c>
      <c r="J558" s="32">
        <v>0</v>
      </c>
      <c r="K558" s="32"/>
      <c r="M558" s="42" t="s">
        <v>817</v>
      </c>
      <c r="N558" s="43" t="s">
        <v>878</v>
      </c>
      <c r="O558" s="43" t="s">
        <v>606</v>
      </c>
      <c r="P558" s="44">
        <v>104479</v>
      </c>
      <c r="Q558" s="45">
        <v>0</v>
      </c>
      <c r="R558" s="45">
        <v>0</v>
      </c>
      <c r="S558" s="45">
        <v>0</v>
      </c>
      <c r="T558" s="45">
        <v>0</v>
      </c>
      <c r="U558" s="45">
        <v>0</v>
      </c>
      <c r="V558" s="46">
        <v>0</v>
      </c>
    </row>
    <row r="559" spans="1:22" x14ac:dyDescent="0.25">
      <c r="A559" s="27" t="s">
        <v>824</v>
      </c>
      <c r="B559" s="27" t="s">
        <v>878</v>
      </c>
      <c r="C559" s="27" t="s">
        <v>607</v>
      </c>
      <c r="D559" s="32"/>
      <c r="E559" s="32"/>
      <c r="F559" s="32"/>
      <c r="G559" s="32"/>
      <c r="H559" s="32"/>
      <c r="I559" s="32"/>
      <c r="J559" s="32"/>
      <c r="K559" s="32"/>
      <c r="M559" s="42" t="s">
        <v>824</v>
      </c>
      <c r="N559" s="43" t="s">
        <v>878</v>
      </c>
      <c r="O559" s="43" t="s">
        <v>607</v>
      </c>
      <c r="P559" s="44"/>
      <c r="Q559" s="45"/>
      <c r="R559" s="45"/>
      <c r="S559" s="45"/>
      <c r="T559" s="45"/>
      <c r="U559" s="45"/>
      <c r="V559" s="46"/>
    </row>
    <row r="560" spans="1:22" x14ac:dyDescent="0.25">
      <c r="A560" s="27" t="s">
        <v>138</v>
      </c>
      <c r="B560" s="27" t="s">
        <v>878</v>
      </c>
      <c r="C560" s="27" t="s">
        <v>608</v>
      </c>
      <c r="D560" s="32"/>
      <c r="E560" s="32"/>
      <c r="F560" s="32"/>
      <c r="G560" s="32"/>
      <c r="H560" s="32"/>
      <c r="I560" s="32"/>
      <c r="J560" s="32"/>
      <c r="K560" s="32"/>
      <c r="M560" s="42" t="s">
        <v>138</v>
      </c>
      <c r="N560" s="43" t="s">
        <v>878</v>
      </c>
      <c r="O560" s="43" t="s">
        <v>608</v>
      </c>
      <c r="P560" s="44"/>
      <c r="Q560" s="45"/>
      <c r="R560" s="45"/>
      <c r="S560" s="45"/>
      <c r="T560" s="45"/>
      <c r="U560" s="45"/>
      <c r="V560" s="46"/>
    </row>
    <row r="561" spans="1:22" x14ac:dyDescent="0.25">
      <c r="A561" s="27" t="s">
        <v>859</v>
      </c>
      <c r="B561" s="27" t="s">
        <v>878</v>
      </c>
      <c r="C561" s="27" t="s">
        <v>609</v>
      </c>
      <c r="D561" s="32"/>
      <c r="E561" s="32"/>
      <c r="F561" s="32"/>
      <c r="G561" s="32"/>
      <c r="H561" s="32"/>
      <c r="I561" s="32"/>
      <c r="J561" s="32"/>
      <c r="K561" s="32"/>
      <c r="M561" s="42" t="s">
        <v>859</v>
      </c>
      <c r="N561" s="43" t="s">
        <v>878</v>
      </c>
      <c r="O561" s="43" t="s">
        <v>609</v>
      </c>
      <c r="P561" s="44"/>
      <c r="Q561" s="45"/>
      <c r="R561" s="45"/>
      <c r="S561" s="45"/>
      <c r="T561" s="45"/>
      <c r="U561" s="45"/>
      <c r="V561" s="46"/>
    </row>
    <row r="562" spans="1:22" x14ac:dyDescent="0.25">
      <c r="A562" s="27" t="s">
        <v>817</v>
      </c>
      <c r="B562" s="27" t="s">
        <v>878</v>
      </c>
      <c r="C562" s="27" t="s">
        <v>610</v>
      </c>
      <c r="D562" s="32"/>
      <c r="E562" s="32"/>
      <c r="F562" s="32"/>
      <c r="G562" s="32"/>
      <c r="H562" s="32"/>
      <c r="I562" s="32"/>
      <c r="J562" s="32"/>
      <c r="K562" s="32"/>
      <c r="M562" s="42" t="s">
        <v>817</v>
      </c>
      <c r="N562" s="43" t="s">
        <v>878</v>
      </c>
      <c r="O562" s="43" t="s">
        <v>610</v>
      </c>
      <c r="P562" s="44"/>
      <c r="Q562" s="45"/>
      <c r="R562" s="45"/>
      <c r="S562" s="45"/>
      <c r="T562" s="45"/>
      <c r="U562" s="45"/>
      <c r="V562" s="46"/>
    </row>
    <row r="563" spans="1:22" x14ac:dyDescent="0.25">
      <c r="A563" s="27" t="s">
        <v>817</v>
      </c>
      <c r="B563" s="27" t="s">
        <v>878</v>
      </c>
      <c r="C563" s="27" t="s">
        <v>611</v>
      </c>
      <c r="D563" s="32">
        <v>12404</v>
      </c>
      <c r="E563" s="32">
        <v>0</v>
      </c>
      <c r="F563" s="32">
        <v>0</v>
      </c>
      <c r="G563" s="32">
        <v>0</v>
      </c>
      <c r="H563" s="32">
        <v>0</v>
      </c>
      <c r="I563" s="32">
        <v>0</v>
      </c>
      <c r="J563" s="32">
        <v>0</v>
      </c>
      <c r="K563" s="32"/>
      <c r="M563" s="42" t="s">
        <v>817</v>
      </c>
      <c r="N563" s="43" t="s">
        <v>878</v>
      </c>
      <c r="O563" s="43" t="s">
        <v>611</v>
      </c>
      <c r="P563" s="44">
        <v>12404</v>
      </c>
      <c r="Q563" s="45">
        <v>0</v>
      </c>
      <c r="R563" s="45">
        <v>0</v>
      </c>
      <c r="S563" s="45">
        <v>0</v>
      </c>
      <c r="T563" s="45">
        <v>0</v>
      </c>
      <c r="U563" s="45">
        <v>0</v>
      </c>
      <c r="V563" s="46">
        <v>0</v>
      </c>
    </row>
    <row r="564" spans="1:22" x14ac:dyDescent="0.25">
      <c r="A564" s="27" t="s">
        <v>134</v>
      </c>
      <c r="B564" s="27" t="s">
        <v>878</v>
      </c>
      <c r="C564" s="27" t="s">
        <v>612</v>
      </c>
      <c r="D564" s="32">
        <v>52117</v>
      </c>
      <c r="E564" s="32">
        <v>0</v>
      </c>
      <c r="F564" s="32">
        <v>0</v>
      </c>
      <c r="G564" s="32">
        <v>0</v>
      </c>
      <c r="H564" s="32">
        <v>0</v>
      </c>
      <c r="I564" s="32">
        <v>0</v>
      </c>
      <c r="J564" s="32">
        <v>0</v>
      </c>
      <c r="K564" s="32"/>
      <c r="M564" s="42" t="s">
        <v>134</v>
      </c>
      <c r="N564" s="43" t="s">
        <v>878</v>
      </c>
      <c r="O564" s="43" t="s">
        <v>612</v>
      </c>
      <c r="P564" s="44">
        <v>52117</v>
      </c>
      <c r="Q564" s="45">
        <v>0</v>
      </c>
      <c r="R564" s="45">
        <v>0</v>
      </c>
      <c r="S564" s="45">
        <v>0</v>
      </c>
      <c r="T564" s="45">
        <v>0</v>
      </c>
      <c r="U564" s="45">
        <v>0</v>
      </c>
      <c r="V564" s="46">
        <v>0</v>
      </c>
    </row>
    <row r="565" spans="1:22" x14ac:dyDescent="0.25">
      <c r="A565" s="27" t="s">
        <v>817</v>
      </c>
      <c r="B565" s="27" t="s">
        <v>878</v>
      </c>
      <c r="C565" s="27" t="s">
        <v>613</v>
      </c>
      <c r="D565" s="32"/>
      <c r="E565" s="32"/>
      <c r="F565" s="32"/>
      <c r="G565" s="32"/>
      <c r="H565" s="32"/>
      <c r="I565" s="32"/>
      <c r="J565" s="32"/>
      <c r="K565" s="32"/>
      <c r="M565" s="42" t="s">
        <v>817</v>
      </c>
      <c r="N565" s="43" t="s">
        <v>878</v>
      </c>
      <c r="O565" s="43" t="s">
        <v>613</v>
      </c>
      <c r="P565" s="44"/>
      <c r="Q565" s="45"/>
      <c r="R565" s="45"/>
      <c r="S565" s="45"/>
      <c r="T565" s="45"/>
      <c r="U565" s="45"/>
      <c r="V565" s="46"/>
    </row>
    <row r="566" spans="1:22" x14ac:dyDescent="0.25">
      <c r="A566" s="27" t="s">
        <v>817</v>
      </c>
      <c r="B566" s="27" t="s">
        <v>878</v>
      </c>
      <c r="C566" s="27" t="s">
        <v>614</v>
      </c>
      <c r="D566" s="32"/>
      <c r="E566" s="32"/>
      <c r="F566" s="32"/>
      <c r="G566" s="32"/>
      <c r="H566" s="32"/>
      <c r="I566" s="32"/>
      <c r="J566" s="32"/>
      <c r="K566" s="32"/>
      <c r="M566" s="42" t="s">
        <v>817</v>
      </c>
      <c r="N566" s="43" t="s">
        <v>878</v>
      </c>
      <c r="O566" s="43" t="s">
        <v>614</v>
      </c>
      <c r="P566" s="44"/>
      <c r="Q566" s="45"/>
      <c r="R566" s="45"/>
      <c r="S566" s="45"/>
      <c r="T566" s="45"/>
      <c r="U566" s="45"/>
      <c r="V566" s="46"/>
    </row>
    <row r="567" spans="1:22" x14ac:dyDescent="0.25">
      <c r="A567" s="27" t="s">
        <v>826</v>
      </c>
      <c r="B567" s="27" t="s">
        <v>878</v>
      </c>
      <c r="C567" s="27" t="s">
        <v>615</v>
      </c>
      <c r="D567" s="32"/>
      <c r="E567" s="32"/>
      <c r="F567" s="32"/>
      <c r="G567" s="32"/>
      <c r="H567" s="32"/>
      <c r="I567" s="32"/>
      <c r="J567" s="32"/>
      <c r="K567" s="32"/>
      <c r="M567" s="42" t="s">
        <v>826</v>
      </c>
      <c r="N567" s="43" t="s">
        <v>878</v>
      </c>
      <c r="O567" s="43" t="s">
        <v>615</v>
      </c>
      <c r="P567" s="44"/>
      <c r="Q567" s="45"/>
      <c r="R567" s="45"/>
      <c r="S567" s="45"/>
      <c r="T567" s="45"/>
      <c r="U567" s="45"/>
      <c r="V567" s="46"/>
    </row>
    <row r="568" spans="1:22" x14ac:dyDescent="0.25">
      <c r="A568" s="27" t="s">
        <v>101</v>
      </c>
      <c r="B568" s="27" t="s">
        <v>878</v>
      </c>
      <c r="C568" s="27" t="s">
        <v>616</v>
      </c>
      <c r="D568" s="32">
        <v>17400</v>
      </c>
      <c r="E568" s="32">
        <v>0</v>
      </c>
      <c r="F568" s="32">
        <v>0</v>
      </c>
      <c r="G568" s="32">
        <v>0</v>
      </c>
      <c r="H568" s="32">
        <v>0</v>
      </c>
      <c r="I568" s="32">
        <v>0</v>
      </c>
      <c r="J568" s="32">
        <v>0</v>
      </c>
      <c r="K568" s="32"/>
      <c r="M568" s="42" t="s">
        <v>101</v>
      </c>
      <c r="N568" s="43" t="s">
        <v>878</v>
      </c>
      <c r="O568" s="43" t="s">
        <v>616</v>
      </c>
      <c r="P568" s="44">
        <v>17400</v>
      </c>
      <c r="Q568" s="45">
        <v>0</v>
      </c>
      <c r="R568" s="45">
        <v>0</v>
      </c>
      <c r="S568" s="45">
        <v>0</v>
      </c>
      <c r="T568" s="45">
        <v>0</v>
      </c>
      <c r="U568" s="45">
        <v>0</v>
      </c>
      <c r="V568" s="46">
        <v>0</v>
      </c>
    </row>
    <row r="569" spans="1:22" x14ac:dyDescent="0.25">
      <c r="A569" s="27" t="s">
        <v>811</v>
      </c>
      <c r="B569" s="27" t="s">
        <v>878</v>
      </c>
      <c r="C569" s="27" t="s">
        <v>617</v>
      </c>
      <c r="D569" s="32">
        <v>11306</v>
      </c>
      <c r="E569" s="32">
        <v>0</v>
      </c>
      <c r="F569" s="32">
        <v>0</v>
      </c>
      <c r="G569" s="32">
        <v>0</v>
      </c>
      <c r="H569" s="32">
        <v>0</v>
      </c>
      <c r="I569" s="32">
        <v>0</v>
      </c>
      <c r="J569" s="32">
        <v>0</v>
      </c>
      <c r="K569" s="32"/>
      <c r="M569" s="42" t="s">
        <v>811</v>
      </c>
      <c r="N569" s="43" t="s">
        <v>878</v>
      </c>
      <c r="O569" s="43" t="s">
        <v>617</v>
      </c>
      <c r="P569" s="44">
        <v>11306</v>
      </c>
      <c r="Q569" s="45">
        <v>0</v>
      </c>
      <c r="R569" s="45">
        <v>0</v>
      </c>
      <c r="S569" s="45">
        <v>0</v>
      </c>
      <c r="T569" s="45">
        <v>0</v>
      </c>
      <c r="U569" s="45">
        <v>0</v>
      </c>
      <c r="V569" s="46">
        <v>0</v>
      </c>
    </row>
    <row r="570" spans="1:22" x14ac:dyDescent="0.25">
      <c r="A570" s="27" t="s">
        <v>859</v>
      </c>
      <c r="B570" s="27" t="s">
        <v>878</v>
      </c>
      <c r="C570" s="27" t="s">
        <v>618</v>
      </c>
      <c r="D570" s="32"/>
      <c r="E570" s="32"/>
      <c r="F570" s="32"/>
      <c r="G570" s="32"/>
      <c r="H570" s="32"/>
      <c r="I570" s="32"/>
      <c r="J570" s="32"/>
      <c r="K570" s="32"/>
      <c r="M570" s="42" t="s">
        <v>859</v>
      </c>
      <c r="N570" s="43" t="s">
        <v>878</v>
      </c>
      <c r="O570" s="43" t="s">
        <v>618</v>
      </c>
      <c r="P570" s="44"/>
      <c r="Q570" s="45"/>
      <c r="R570" s="45"/>
      <c r="S570" s="45"/>
      <c r="T570" s="45"/>
      <c r="U570" s="45"/>
      <c r="V570" s="46"/>
    </row>
    <row r="571" spans="1:22" x14ac:dyDescent="0.25">
      <c r="A571" s="27" t="s">
        <v>788</v>
      </c>
      <c r="B571" s="27" t="s">
        <v>878</v>
      </c>
      <c r="C571" s="27" t="s">
        <v>619</v>
      </c>
      <c r="D571" s="32">
        <v>29593</v>
      </c>
      <c r="E571" s="32">
        <v>0</v>
      </c>
      <c r="F571" s="32">
        <v>0</v>
      </c>
      <c r="G571" s="32">
        <v>0</v>
      </c>
      <c r="H571" s="32">
        <v>0</v>
      </c>
      <c r="I571" s="32">
        <v>0</v>
      </c>
      <c r="J571" s="32">
        <v>0</v>
      </c>
      <c r="K571" s="32"/>
      <c r="M571" s="42" t="s">
        <v>788</v>
      </c>
      <c r="N571" s="43" t="s">
        <v>878</v>
      </c>
      <c r="O571" s="43" t="s">
        <v>619</v>
      </c>
      <c r="P571" s="44">
        <v>29593</v>
      </c>
      <c r="Q571" s="45">
        <v>0</v>
      </c>
      <c r="R571" s="45">
        <v>0</v>
      </c>
      <c r="S571" s="45">
        <v>0</v>
      </c>
      <c r="T571" s="45">
        <v>0</v>
      </c>
      <c r="U571" s="45">
        <v>0</v>
      </c>
      <c r="V571" s="46">
        <v>0</v>
      </c>
    </row>
    <row r="572" spans="1:22" x14ac:dyDescent="0.25">
      <c r="A572" s="27" t="s">
        <v>817</v>
      </c>
      <c r="B572" s="27" t="s">
        <v>878</v>
      </c>
      <c r="C572" s="27" t="s">
        <v>620</v>
      </c>
      <c r="D572" s="32">
        <v>26891</v>
      </c>
      <c r="E572" s="32">
        <v>0</v>
      </c>
      <c r="F572" s="32">
        <v>0</v>
      </c>
      <c r="G572" s="32">
        <v>0</v>
      </c>
      <c r="H572" s="32">
        <v>0</v>
      </c>
      <c r="I572" s="32">
        <v>0</v>
      </c>
      <c r="J572" s="32">
        <v>0</v>
      </c>
      <c r="K572" s="32"/>
      <c r="M572" s="42" t="s">
        <v>817</v>
      </c>
      <c r="N572" s="43" t="s">
        <v>878</v>
      </c>
      <c r="O572" s="43" t="s">
        <v>620</v>
      </c>
      <c r="P572" s="44">
        <v>26891</v>
      </c>
      <c r="Q572" s="45">
        <v>0</v>
      </c>
      <c r="R572" s="45">
        <v>0</v>
      </c>
      <c r="S572" s="45">
        <v>0</v>
      </c>
      <c r="T572" s="45">
        <v>0</v>
      </c>
      <c r="U572" s="45">
        <v>0</v>
      </c>
      <c r="V572" s="46">
        <v>0</v>
      </c>
    </row>
    <row r="573" spans="1:22" x14ac:dyDescent="0.25">
      <c r="A573" s="27" t="s">
        <v>248</v>
      </c>
      <c r="B573" s="27" t="s">
        <v>878</v>
      </c>
      <c r="C573" s="27" t="s">
        <v>621</v>
      </c>
      <c r="D573" s="32">
        <v>15307</v>
      </c>
      <c r="E573" s="32">
        <v>0</v>
      </c>
      <c r="F573" s="32">
        <v>0</v>
      </c>
      <c r="G573" s="32">
        <v>0</v>
      </c>
      <c r="H573" s="32">
        <v>0</v>
      </c>
      <c r="I573" s="32">
        <v>0</v>
      </c>
      <c r="J573" s="32">
        <v>0</v>
      </c>
      <c r="K573" s="32"/>
      <c r="M573" s="42" t="s">
        <v>248</v>
      </c>
      <c r="N573" s="43" t="s">
        <v>878</v>
      </c>
      <c r="O573" s="43" t="s">
        <v>621</v>
      </c>
      <c r="P573" s="44">
        <v>15307</v>
      </c>
      <c r="Q573" s="45">
        <v>0</v>
      </c>
      <c r="R573" s="45">
        <v>0</v>
      </c>
      <c r="S573" s="45">
        <v>0</v>
      </c>
      <c r="T573" s="45">
        <v>0</v>
      </c>
      <c r="U573" s="45">
        <v>0</v>
      </c>
      <c r="V573" s="46">
        <v>0</v>
      </c>
    </row>
    <row r="574" spans="1:22" x14ac:dyDescent="0.25">
      <c r="A574" s="27" t="s">
        <v>831</v>
      </c>
      <c r="B574" s="27" t="s">
        <v>878</v>
      </c>
      <c r="C574" s="27" t="s">
        <v>622</v>
      </c>
      <c r="D574" s="32"/>
      <c r="E574" s="32"/>
      <c r="F574" s="32"/>
      <c r="G574" s="32"/>
      <c r="H574" s="32"/>
      <c r="I574" s="32"/>
      <c r="J574" s="32"/>
      <c r="K574" s="32"/>
      <c r="M574" s="42" t="s">
        <v>831</v>
      </c>
      <c r="N574" s="43" t="s">
        <v>878</v>
      </c>
      <c r="O574" s="43" t="s">
        <v>622</v>
      </c>
      <c r="P574" s="44"/>
      <c r="Q574" s="45"/>
      <c r="R574" s="45"/>
      <c r="S574" s="45"/>
      <c r="T574" s="45"/>
      <c r="U574" s="45"/>
      <c r="V574" s="46"/>
    </row>
    <row r="575" spans="1:22" x14ac:dyDescent="0.25">
      <c r="A575" s="27" t="s">
        <v>823</v>
      </c>
      <c r="B575" s="27" t="s">
        <v>878</v>
      </c>
      <c r="C575" s="27" t="s">
        <v>623</v>
      </c>
      <c r="D575" s="32"/>
      <c r="E575" s="32"/>
      <c r="F575" s="32"/>
      <c r="G575" s="32"/>
      <c r="H575" s="32"/>
      <c r="I575" s="32"/>
      <c r="J575" s="32"/>
      <c r="K575" s="32"/>
      <c r="M575" s="42" t="s">
        <v>823</v>
      </c>
      <c r="N575" s="43" t="s">
        <v>878</v>
      </c>
      <c r="O575" s="43" t="s">
        <v>623</v>
      </c>
      <c r="P575" s="44"/>
      <c r="Q575" s="45"/>
      <c r="R575" s="45"/>
      <c r="S575" s="45"/>
      <c r="T575" s="45"/>
      <c r="U575" s="45"/>
      <c r="V575" s="46"/>
    </row>
    <row r="576" spans="1:22" x14ac:dyDescent="0.25">
      <c r="A576" s="27" t="s">
        <v>231</v>
      </c>
      <c r="B576" s="27" t="s">
        <v>878</v>
      </c>
      <c r="C576" s="27" t="s">
        <v>624</v>
      </c>
      <c r="D576" s="32">
        <v>12821</v>
      </c>
      <c r="E576" s="32">
        <v>0</v>
      </c>
      <c r="F576" s="32">
        <v>0</v>
      </c>
      <c r="G576" s="32">
        <v>0</v>
      </c>
      <c r="H576" s="32">
        <v>0</v>
      </c>
      <c r="I576" s="32">
        <v>0</v>
      </c>
      <c r="J576" s="32">
        <v>0</v>
      </c>
      <c r="K576" s="32"/>
      <c r="M576" s="42" t="s">
        <v>231</v>
      </c>
      <c r="N576" s="43" t="s">
        <v>878</v>
      </c>
      <c r="O576" s="43" t="s">
        <v>624</v>
      </c>
      <c r="P576" s="44">
        <v>12821</v>
      </c>
      <c r="Q576" s="45">
        <v>0</v>
      </c>
      <c r="R576" s="45">
        <v>0</v>
      </c>
      <c r="S576" s="45">
        <v>0</v>
      </c>
      <c r="T576" s="45">
        <v>0</v>
      </c>
      <c r="U576" s="45">
        <v>0</v>
      </c>
      <c r="V576" s="46">
        <v>0</v>
      </c>
    </row>
    <row r="577" spans="1:22" x14ac:dyDescent="0.25">
      <c r="A577" s="27" t="s">
        <v>76</v>
      </c>
      <c r="B577" s="27" t="s">
        <v>878</v>
      </c>
      <c r="C577" s="27" t="s">
        <v>625</v>
      </c>
      <c r="D577" s="32">
        <v>28408</v>
      </c>
      <c r="E577" s="32">
        <v>0</v>
      </c>
      <c r="F577" s="32">
        <v>0</v>
      </c>
      <c r="G577" s="32">
        <v>0</v>
      </c>
      <c r="H577" s="32">
        <v>0</v>
      </c>
      <c r="I577" s="32">
        <v>0</v>
      </c>
      <c r="J577" s="32">
        <v>0</v>
      </c>
      <c r="K577" s="32"/>
      <c r="M577" s="42" t="s">
        <v>76</v>
      </c>
      <c r="N577" s="43" t="s">
        <v>878</v>
      </c>
      <c r="O577" s="43" t="s">
        <v>625</v>
      </c>
      <c r="P577" s="44">
        <v>28408</v>
      </c>
      <c r="Q577" s="45">
        <v>0</v>
      </c>
      <c r="R577" s="45">
        <v>0</v>
      </c>
      <c r="S577" s="45">
        <v>0</v>
      </c>
      <c r="T577" s="45">
        <v>0</v>
      </c>
      <c r="U577" s="45">
        <v>0</v>
      </c>
      <c r="V577" s="46">
        <v>0</v>
      </c>
    </row>
    <row r="578" spans="1:22" x14ac:dyDescent="0.25">
      <c r="A578" s="27" t="s">
        <v>69</v>
      </c>
      <c r="B578" s="27" t="s">
        <v>878</v>
      </c>
      <c r="C578" s="27" t="s">
        <v>626</v>
      </c>
      <c r="D578" s="32">
        <v>68299</v>
      </c>
      <c r="E578" s="32">
        <v>0</v>
      </c>
      <c r="F578" s="32">
        <v>0</v>
      </c>
      <c r="G578" s="32">
        <v>0</v>
      </c>
      <c r="H578" s="32">
        <v>0</v>
      </c>
      <c r="I578" s="32">
        <v>0</v>
      </c>
      <c r="J578" s="32">
        <v>0</v>
      </c>
      <c r="K578" s="32"/>
      <c r="M578" s="42" t="s">
        <v>69</v>
      </c>
      <c r="N578" s="43" t="s">
        <v>878</v>
      </c>
      <c r="O578" s="43" t="s">
        <v>626</v>
      </c>
      <c r="P578" s="44">
        <v>68299</v>
      </c>
      <c r="Q578" s="45">
        <v>0</v>
      </c>
      <c r="R578" s="45">
        <v>0</v>
      </c>
      <c r="S578" s="45">
        <v>0</v>
      </c>
      <c r="T578" s="45">
        <v>0</v>
      </c>
      <c r="U578" s="45">
        <v>0</v>
      </c>
      <c r="V578" s="46">
        <v>0</v>
      </c>
    </row>
    <row r="579" spans="1:22" x14ac:dyDescent="0.25">
      <c r="A579" s="27" t="s">
        <v>83</v>
      </c>
      <c r="B579" s="27" t="s">
        <v>878</v>
      </c>
      <c r="C579" s="27" t="s">
        <v>627</v>
      </c>
      <c r="D579" s="32">
        <v>9870</v>
      </c>
      <c r="E579" s="32">
        <v>0</v>
      </c>
      <c r="F579" s="32">
        <v>0</v>
      </c>
      <c r="G579" s="32">
        <v>0</v>
      </c>
      <c r="H579" s="32">
        <v>0</v>
      </c>
      <c r="I579" s="32">
        <v>0</v>
      </c>
      <c r="J579" s="32">
        <v>0</v>
      </c>
      <c r="K579" s="32"/>
      <c r="M579" s="42" t="s">
        <v>83</v>
      </c>
      <c r="N579" s="43" t="s">
        <v>878</v>
      </c>
      <c r="O579" s="43" t="s">
        <v>627</v>
      </c>
      <c r="P579" s="44">
        <v>9870</v>
      </c>
      <c r="Q579" s="45">
        <v>0</v>
      </c>
      <c r="R579" s="45">
        <v>0</v>
      </c>
      <c r="S579" s="45">
        <v>0</v>
      </c>
      <c r="T579" s="45">
        <v>0</v>
      </c>
      <c r="U579" s="45">
        <v>0</v>
      </c>
      <c r="V579" s="46">
        <v>0</v>
      </c>
    </row>
    <row r="580" spans="1:22" x14ac:dyDescent="0.25">
      <c r="A580" s="27" t="s">
        <v>791</v>
      </c>
      <c r="B580" s="27" t="s">
        <v>878</v>
      </c>
      <c r="C580" s="27" t="s">
        <v>628</v>
      </c>
      <c r="D580" s="32">
        <v>7382</v>
      </c>
      <c r="E580" s="32">
        <v>0</v>
      </c>
      <c r="F580" s="32">
        <v>0</v>
      </c>
      <c r="G580" s="32">
        <v>0</v>
      </c>
      <c r="H580" s="32">
        <v>0</v>
      </c>
      <c r="I580" s="32">
        <v>0</v>
      </c>
      <c r="J580" s="32">
        <v>0</v>
      </c>
      <c r="K580" s="32"/>
      <c r="M580" s="42" t="s">
        <v>791</v>
      </c>
      <c r="N580" s="43" t="s">
        <v>878</v>
      </c>
      <c r="O580" s="43" t="s">
        <v>628</v>
      </c>
      <c r="P580" s="44">
        <v>7382</v>
      </c>
      <c r="Q580" s="45">
        <v>0</v>
      </c>
      <c r="R580" s="45">
        <v>0</v>
      </c>
      <c r="S580" s="45">
        <v>0</v>
      </c>
      <c r="T580" s="45">
        <v>0</v>
      </c>
      <c r="U580" s="45">
        <v>0</v>
      </c>
      <c r="V580" s="46">
        <v>0</v>
      </c>
    </row>
    <row r="581" spans="1:22" x14ac:dyDescent="0.25">
      <c r="A581" s="27" t="s">
        <v>797</v>
      </c>
      <c r="B581" s="27" t="s">
        <v>878</v>
      </c>
      <c r="C581" s="27" t="s">
        <v>629</v>
      </c>
      <c r="D581" s="32">
        <v>1120</v>
      </c>
      <c r="E581" s="32">
        <v>0</v>
      </c>
      <c r="F581" s="32">
        <v>0</v>
      </c>
      <c r="G581" s="32">
        <v>0</v>
      </c>
      <c r="H581" s="32">
        <v>0</v>
      </c>
      <c r="I581" s="32">
        <v>0</v>
      </c>
      <c r="J581" s="32">
        <v>0</v>
      </c>
      <c r="K581" s="32"/>
      <c r="M581" s="42" t="s">
        <v>797</v>
      </c>
      <c r="N581" s="43" t="s">
        <v>878</v>
      </c>
      <c r="O581" s="43" t="s">
        <v>629</v>
      </c>
      <c r="P581" s="44">
        <v>1120</v>
      </c>
      <c r="Q581" s="45">
        <v>0</v>
      </c>
      <c r="R581" s="45">
        <v>0</v>
      </c>
      <c r="S581" s="45">
        <v>0</v>
      </c>
      <c r="T581" s="45">
        <v>0</v>
      </c>
      <c r="U581" s="45">
        <v>0</v>
      </c>
      <c r="V581" s="46">
        <v>0</v>
      </c>
    </row>
    <row r="582" spans="1:22" x14ac:dyDescent="0.25">
      <c r="A582" s="27" t="s">
        <v>69</v>
      </c>
      <c r="B582" s="27" t="s">
        <v>878</v>
      </c>
      <c r="C582" s="27" t="s">
        <v>630</v>
      </c>
      <c r="D582" s="32">
        <v>37943</v>
      </c>
      <c r="E582" s="32">
        <v>0</v>
      </c>
      <c r="F582" s="32">
        <v>0</v>
      </c>
      <c r="G582" s="32">
        <v>0</v>
      </c>
      <c r="H582" s="32">
        <v>0</v>
      </c>
      <c r="I582" s="32">
        <v>0</v>
      </c>
      <c r="J582" s="32">
        <v>0</v>
      </c>
      <c r="K582" s="32"/>
      <c r="M582" s="42" t="s">
        <v>69</v>
      </c>
      <c r="N582" s="43" t="s">
        <v>878</v>
      </c>
      <c r="O582" s="43" t="s">
        <v>630</v>
      </c>
      <c r="P582" s="44">
        <v>37943</v>
      </c>
      <c r="Q582" s="45">
        <v>0</v>
      </c>
      <c r="R582" s="45">
        <v>0</v>
      </c>
      <c r="S582" s="45">
        <v>0</v>
      </c>
      <c r="T582" s="45">
        <v>0</v>
      </c>
      <c r="U582" s="45">
        <v>0</v>
      </c>
      <c r="V582" s="46">
        <v>0</v>
      </c>
    </row>
    <row r="583" spans="1:22" x14ac:dyDescent="0.25">
      <c r="A583" s="27" t="s">
        <v>69</v>
      </c>
      <c r="B583" s="27" t="s">
        <v>878</v>
      </c>
      <c r="C583" s="27" t="s">
        <v>631</v>
      </c>
      <c r="D583" s="32">
        <v>64825</v>
      </c>
      <c r="E583" s="32">
        <v>0</v>
      </c>
      <c r="F583" s="32">
        <v>0</v>
      </c>
      <c r="G583" s="32">
        <v>0</v>
      </c>
      <c r="H583" s="32">
        <v>0</v>
      </c>
      <c r="I583" s="32">
        <v>0</v>
      </c>
      <c r="J583" s="32">
        <v>0</v>
      </c>
      <c r="K583" s="32"/>
      <c r="M583" s="42" t="s">
        <v>69</v>
      </c>
      <c r="N583" s="43" t="s">
        <v>878</v>
      </c>
      <c r="O583" s="43" t="s">
        <v>631</v>
      </c>
      <c r="P583" s="44">
        <v>64825</v>
      </c>
      <c r="Q583" s="45">
        <v>0</v>
      </c>
      <c r="R583" s="45">
        <v>0</v>
      </c>
      <c r="S583" s="45">
        <v>0</v>
      </c>
      <c r="T583" s="45">
        <v>0</v>
      </c>
      <c r="U583" s="45">
        <v>0</v>
      </c>
      <c r="V583" s="46">
        <v>0</v>
      </c>
    </row>
    <row r="584" spans="1:22" x14ac:dyDescent="0.25">
      <c r="A584" s="27" t="s">
        <v>823</v>
      </c>
      <c r="B584" s="27" t="s">
        <v>878</v>
      </c>
      <c r="C584" s="27" t="s">
        <v>632</v>
      </c>
      <c r="D584" s="32"/>
      <c r="E584" s="32"/>
      <c r="F584" s="32"/>
      <c r="G584" s="32"/>
      <c r="H584" s="32"/>
      <c r="I584" s="32"/>
      <c r="J584" s="32"/>
      <c r="K584" s="32"/>
      <c r="M584" s="42" t="s">
        <v>823</v>
      </c>
      <c r="N584" s="43" t="s">
        <v>878</v>
      </c>
      <c r="O584" s="43" t="s">
        <v>632</v>
      </c>
      <c r="P584" s="44"/>
      <c r="Q584" s="45"/>
      <c r="R584" s="45"/>
      <c r="S584" s="45"/>
      <c r="T584" s="45"/>
      <c r="U584" s="45"/>
      <c r="V584" s="46"/>
    </row>
    <row r="585" spans="1:22" x14ac:dyDescent="0.25">
      <c r="A585" s="27" t="s">
        <v>76</v>
      </c>
      <c r="B585" s="27" t="s">
        <v>878</v>
      </c>
      <c r="C585" s="27" t="s">
        <v>633</v>
      </c>
      <c r="D585" s="32">
        <v>19590</v>
      </c>
      <c r="E585" s="32">
        <v>0</v>
      </c>
      <c r="F585" s="32">
        <v>0</v>
      </c>
      <c r="G585" s="32">
        <v>0</v>
      </c>
      <c r="H585" s="32">
        <v>0</v>
      </c>
      <c r="I585" s="32">
        <v>0</v>
      </c>
      <c r="J585" s="32">
        <v>0</v>
      </c>
      <c r="K585" s="32"/>
      <c r="M585" s="42" t="s">
        <v>76</v>
      </c>
      <c r="N585" s="43" t="s">
        <v>878</v>
      </c>
      <c r="O585" s="43" t="s">
        <v>633</v>
      </c>
      <c r="P585" s="44">
        <v>19590</v>
      </c>
      <c r="Q585" s="45">
        <v>0</v>
      </c>
      <c r="R585" s="45">
        <v>0</v>
      </c>
      <c r="S585" s="45">
        <v>0</v>
      </c>
      <c r="T585" s="45">
        <v>0</v>
      </c>
      <c r="U585" s="45">
        <v>0</v>
      </c>
      <c r="V585" s="46">
        <v>0</v>
      </c>
    </row>
    <row r="586" spans="1:22" x14ac:dyDescent="0.25">
      <c r="A586" s="27" t="s">
        <v>801</v>
      </c>
      <c r="B586" s="27" t="s">
        <v>878</v>
      </c>
      <c r="C586" s="27" t="s">
        <v>634</v>
      </c>
      <c r="D586" s="32"/>
      <c r="E586" s="32"/>
      <c r="F586" s="32"/>
      <c r="G586" s="32"/>
      <c r="H586" s="32"/>
      <c r="I586" s="32"/>
      <c r="J586" s="32"/>
      <c r="K586" s="32"/>
      <c r="M586" s="42" t="s">
        <v>801</v>
      </c>
      <c r="N586" s="43" t="s">
        <v>878</v>
      </c>
      <c r="O586" s="43" t="s">
        <v>634</v>
      </c>
      <c r="P586" s="44"/>
      <c r="Q586" s="45"/>
      <c r="R586" s="45"/>
      <c r="S586" s="45"/>
      <c r="T586" s="45"/>
      <c r="U586" s="45"/>
      <c r="V586" s="46"/>
    </row>
    <row r="587" spans="1:22" x14ac:dyDescent="0.25">
      <c r="A587" s="27" t="s">
        <v>801</v>
      </c>
      <c r="B587" s="27" t="s">
        <v>878</v>
      </c>
      <c r="C587" s="27" t="s">
        <v>635</v>
      </c>
      <c r="D587" s="32"/>
      <c r="E587" s="32"/>
      <c r="F587" s="32"/>
      <c r="G587" s="32"/>
      <c r="H587" s="32"/>
      <c r="I587" s="32"/>
      <c r="J587" s="32"/>
      <c r="K587" s="32"/>
      <c r="M587" s="42" t="s">
        <v>801</v>
      </c>
      <c r="N587" s="43" t="s">
        <v>878</v>
      </c>
      <c r="O587" s="43" t="s">
        <v>635</v>
      </c>
      <c r="P587" s="44"/>
      <c r="Q587" s="45"/>
      <c r="R587" s="45"/>
      <c r="S587" s="45"/>
      <c r="T587" s="45"/>
      <c r="U587" s="45"/>
      <c r="V587" s="46"/>
    </row>
    <row r="588" spans="1:22" x14ac:dyDescent="0.25">
      <c r="A588" s="27" t="s">
        <v>817</v>
      </c>
      <c r="B588" s="27" t="s">
        <v>878</v>
      </c>
      <c r="C588" s="27" t="s">
        <v>636</v>
      </c>
      <c r="D588" s="32"/>
      <c r="E588" s="32"/>
      <c r="F588" s="32"/>
      <c r="G588" s="32"/>
      <c r="H588" s="32"/>
      <c r="I588" s="32"/>
      <c r="J588" s="32"/>
      <c r="K588" s="32"/>
      <c r="M588" s="42" t="s">
        <v>817</v>
      </c>
      <c r="N588" s="43" t="s">
        <v>878</v>
      </c>
      <c r="O588" s="43" t="s">
        <v>636</v>
      </c>
      <c r="P588" s="44"/>
      <c r="Q588" s="45"/>
      <c r="R588" s="45"/>
      <c r="S588" s="45"/>
      <c r="T588" s="45"/>
      <c r="U588" s="45"/>
      <c r="V588" s="46"/>
    </row>
    <row r="589" spans="1:22" x14ac:dyDescent="0.25">
      <c r="A589" s="27" t="s">
        <v>824</v>
      </c>
      <c r="B589" s="27" t="s">
        <v>878</v>
      </c>
      <c r="C589" s="27" t="s">
        <v>637</v>
      </c>
      <c r="D589" s="32">
        <v>15784</v>
      </c>
      <c r="E589" s="32">
        <v>0</v>
      </c>
      <c r="F589" s="32">
        <v>0</v>
      </c>
      <c r="G589" s="32">
        <v>0</v>
      </c>
      <c r="H589" s="32">
        <v>0</v>
      </c>
      <c r="I589" s="32">
        <v>0</v>
      </c>
      <c r="J589" s="32">
        <v>0</v>
      </c>
      <c r="K589" s="32"/>
      <c r="M589" s="42" t="s">
        <v>824</v>
      </c>
      <c r="N589" s="43" t="s">
        <v>878</v>
      </c>
      <c r="O589" s="43" t="s">
        <v>637</v>
      </c>
      <c r="P589" s="44">
        <v>15784</v>
      </c>
      <c r="Q589" s="45">
        <v>0</v>
      </c>
      <c r="R589" s="45">
        <v>0</v>
      </c>
      <c r="S589" s="45">
        <v>0</v>
      </c>
      <c r="T589" s="45">
        <v>0</v>
      </c>
      <c r="U589" s="45">
        <v>0</v>
      </c>
      <c r="V589" s="46">
        <v>0</v>
      </c>
    </row>
    <row r="590" spans="1:22" x14ac:dyDescent="0.25">
      <c r="A590" s="27" t="s">
        <v>818</v>
      </c>
      <c r="B590" s="27" t="s">
        <v>878</v>
      </c>
      <c r="C590" s="27" t="s">
        <v>638</v>
      </c>
      <c r="D590" s="32">
        <v>38007</v>
      </c>
      <c r="E590" s="32">
        <v>0</v>
      </c>
      <c r="F590" s="32">
        <v>0</v>
      </c>
      <c r="G590" s="32">
        <v>0</v>
      </c>
      <c r="H590" s="32">
        <v>0</v>
      </c>
      <c r="I590" s="32">
        <v>0</v>
      </c>
      <c r="J590" s="32">
        <v>0</v>
      </c>
      <c r="K590" s="32"/>
      <c r="M590" s="42" t="s">
        <v>818</v>
      </c>
      <c r="N590" s="43" t="s">
        <v>878</v>
      </c>
      <c r="O590" s="43" t="s">
        <v>638</v>
      </c>
      <c r="P590" s="44">
        <v>38007</v>
      </c>
      <c r="Q590" s="45">
        <v>0</v>
      </c>
      <c r="R590" s="45">
        <v>0</v>
      </c>
      <c r="S590" s="45">
        <v>0</v>
      </c>
      <c r="T590" s="45">
        <v>0</v>
      </c>
      <c r="U590" s="45">
        <v>0</v>
      </c>
      <c r="V590" s="46">
        <v>0</v>
      </c>
    </row>
    <row r="591" spans="1:22" x14ac:dyDescent="0.25">
      <c r="A591" s="27" t="s">
        <v>817</v>
      </c>
      <c r="B591" s="27" t="s">
        <v>878</v>
      </c>
      <c r="C591" s="27" t="s">
        <v>639</v>
      </c>
      <c r="D591" s="32">
        <v>26039</v>
      </c>
      <c r="E591" s="32">
        <v>0</v>
      </c>
      <c r="F591" s="32">
        <v>0</v>
      </c>
      <c r="G591" s="32">
        <v>0</v>
      </c>
      <c r="H591" s="32">
        <v>0</v>
      </c>
      <c r="I591" s="32">
        <v>0</v>
      </c>
      <c r="J591" s="32">
        <v>0</v>
      </c>
      <c r="K591" s="32"/>
      <c r="M591" s="42" t="s">
        <v>817</v>
      </c>
      <c r="N591" s="43" t="s">
        <v>878</v>
      </c>
      <c r="O591" s="43" t="s">
        <v>639</v>
      </c>
      <c r="P591" s="44">
        <v>26039</v>
      </c>
      <c r="Q591" s="45">
        <v>0</v>
      </c>
      <c r="R591" s="45">
        <v>0</v>
      </c>
      <c r="S591" s="45">
        <v>0</v>
      </c>
      <c r="T591" s="45">
        <v>0</v>
      </c>
      <c r="U591" s="45">
        <v>0</v>
      </c>
      <c r="V591" s="46">
        <v>0</v>
      </c>
    </row>
    <row r="592" spans="1:22" x14ac:dyDescent="0.25">
      <c r="A592" s="27" t="s">
        <v>811</v>
      </c>
      <c r="B592" s="27" t="s">
        <v>878</v>
      </c>
      <c r="C592" s="27" t="s">
        <v>640</v>
      </c>
      <c r="D592" s="32">
        <v>149321</v>
      </c>
      <c r="E592" s="32">
        <v>0</v>
      </c>
      <c r="F592" s="32">
        <v>0</v>
      </c>
      <c r="G592" s="32">
        <v>0</v>
      </c>
      <c r="H592" s="32">
        <v>0</v>
      </c>
      <c r="I592" s="32">
        <v>0</v>
      </c>
      <c r="J592" s="32">
        <v>0</v>
      </c>
      <c r="K592" s="32"/>
      <c r="M592" s="42" t="s">
        <v>811</v>
      </c>
      <c r="N592" s="43" t="s">
        <v>878</v>
      </c>
      <c r="O592" s="43" t="s">
        <v>640</v>
      </c>
      <c r="P592" s="44">
        <v>149321</v>
      </c>
      <c r="Q592" s="45">
        <v>0</v>
      </c>
      <c r="R592" s="45">
        <v>0</v>
      </c>
      <c r="S592" s="45">
        <v>0</v>
      </c>
      <c r="T592" s="45">
        <v>0</v>
      </c>
      <c r="U592" s="45">
        <v>0</v>
      </c>
      <c r="V592" s="46">
        <v>0</v>
      </c>
    </row>
    <row r="593" spans="1:22" x14ac:dyDescent="0.25">
      <c r="A593" s="27" t="s">
        <v>811</v>
      </c>
      <c r="B593" s="27" t="s">
        <v>878</v>
      </c>
      <c r="C593" s="27" t="s">
        <v>641</v>
      </c>
      <c r="D593" s="32">
        <v>34012</v>
      </c>
      <c r="E593" s="32">
        <v>0</v>
      </c>
      <c r="F593" s="32">
        <v>0</v>
      </c>
      <c r="G593" s="32">
        <v>0</v>
      </c>
      <c r="H593" s="32">
        <v>0</v>
      </c>
      <c r="I593" s="32">
        <v>0</v>
      </c>
      <c r="J593" s="32">
        <v>0</v>
      </c>
      <c r="K593" s="32"/>
      <c r="M593" s="42" t="s">
        <v>811</v>
      </c>
      <c r="N593" s="43" t="s">
        <v>878</v>
      </c>
      <c r="O593" s="43" t="s">
        <v>641</v>
      </c>
      <c r="P593" s="44">
        <v>34012</v>
      </c>
      <c r="Q593" s="45">
        <v>0</v>
      </c>
      <c r="R593" s="45">
        <v>0</v>
      </c>
      <c r="S593" s="45">
        <v>0</v>
      </c>
      <c r="T593" s="45">
        <v>0</v>
      </c>
      <c r="U593" s="45">
        <v>0</v>
      </c>
      <c r="V593" s="46">
        <v>0</v>
      </c>
    </row>
    <row r="594" spans="1:22" x14ac:dyDescent="0.25">
      <c r="A594" s="27" t="s">
        <v>76</v>
      </c>
      <c r="B594" s="27" t="s">
        <v>878</v>
      </c>
      <c r="C594" s="27" t="s">
        <v>642</v>
      </c>
      <c r="D594" s="32">
        <v>18263</v>
      </c>
      <c r="E594" s="32">
        <v>0</v>
      </c>
      <c r="F594" s="32">
        <v>0</v>
      </c>
      <c r="G594" s="32">
        <v>0</v>
      </c>
      <c r="H594" s="32">
        <v>0</v>
      </c>
      <c r="I594" s="32">
        <v>0</v>
      </c>
      <c r="J594" s="32">
        <v>0</v>
      </c>
      <c r="K594" s="32"/>
      <c r="M594" s="42" t="s">
        <v>76</v>
      </c>
      <c r="N594" s="43" t="s">
        <v>878</v>
      </c>
      <c r="O594" s="43" t="s">
        <v>642</v>
      </c>
      <c r="P594" s="44">
        <v>18263</v>
      </c>
      <c r="Q594" s="45">
        <v>0</v>
      </c>
      <c r="R594" s="45">
        <v>0</v>
      </c>
      <c r="S594" s="45">
        <v>0</v>
      </c>
      <c r="T594" s="45">
        <v>0</v>
      </c>
      <c r="U594" s="45">
        <v>0</v>
      </c>
      <c r="V594" s="46">
        <v>0</v>
      </c>
    </row>
    <row r="595" spans="1:22" x14ac:dyDescent="0.25">
      <c r="A595" s="27" t="s">
        <v>791</v>
      </c>
      <c r="B595" s="27" t="s">
        <v>878</v>
      </c>
      <c r="C595" s="27" t="s">
        <v>643</v>
      </c>
      <c r="D595" s="32">
        <v>1880</v>
      </c>
      <c r="E595" s="32">
        <v>0</v>
      </c>
      <c r="F595" s="32">
        <v>0</v>
      </c>
      <c r="G595" s="32">
        <v>0</v>
      </c>
      <c r="H595" s="32">
        <v>0</v>
      </c>
      <c r="I595" s="32">
        <v>0</v>
      </c>
      <c r="J595" s="32">
        <v>0</v>
      </c>
      <c r="K595" s="32"/>
      <c r="M595" s="42" t="s">
        <v>791</v>
      </c>
      <c r="N595" s="43" t="s">
        <v>878</v>
      </c>
      <c r="O595" s="43" t="s">
        <v>643</v>
      </c>
      <c r="P595" s="44">
        <v>1880</v>
      </c>
      <c r="Q595" s="45">
        <v>0</v>
      </c>
      <c r="R595" s="45">
        <v>0</v>
      </c>
      <c r="S595" s="45">
        <v>0</v>
      </c>
      <c r="T595" s="45">
        <v>0</v>
      </c>
      <c r="U595" s="45">
        <v>0</v>
      </c>
      <c r="V595" s="46">
        <v>0</v>
      </c>
    </row>
    <row r="596" spans="1:22" x14ac:dyDescent="0.25">
      <c r="A596" s="27" t="s">
        <v>76</v>
      </c>
      <c r="B596" s="27" t="s">
        <v>878</v>
      </c>
      <c r="C596" s="27" t="s">
        <v>644</v>
      </c>
      <c r="D596" s="32">
        <v>11010</v>
      </c>
      <c r="E596" s="32">
        <v>0</v>
      </c>
      <c r="F596" s="32">
        <v>0</v>
      </c>
      <c r="G596" s="32">
        <v>0</v>
      </c>
      <c r="H596" s="32">
        <v>0</v>
      </c>
      <c r="I596" s="32">
        <v>0</v>
      </c>
      <c r="J596" s="32">
        <v>0</v>
      </c>
      <c r="K596" s="32"/>
      <c r="M596" s="42" t="s">
        <v>76</v>
      </c>
      <c r="N596" s="43" t="s">
        <v>878</v>
      </c>
      <c r="O596" s="43" t="s">
        <v>644</v>
      </c>
      <c r="P596" s="44">
        <v>11010</v>
      </c>
      <c r="Q596" s="45">
        <v>0</v>
      </c>
      <c r="R596" s="45">
        <v>0</v>
      </c>
      <c r="S596" s="45">
        <v>0</v>
      </c>
      <c r="T596" s="45">
        <v>0</v>
      </c>
      <c r="U596" s="45">
        <v>0</v>
      </c>
      <c r="V596" s="46">
        <v>0</v>
      </c>
    </row>
    <row r="597" spans="1:22" x14ac:dyDescent="0.25">
      <c r="A597" s="27" t="s">
        <v>817</v>
      </c>
      <c r="B597" s="27" t="s">
        <v>878</v>
      </c>
      <c r="C597" s="27" t="s">
        <v>645</v>
      </c>
      <c r="D597" s="32"/>
      <c r="E597" s="32"/>
      <c r="F597" s="32"/>
      <c r="G597" s="32"/>
      <c r="H597" s="32"/>
      <c r="I597" s="32"/>
      <c r="J597" s="32"/>
      <c r="K597" s="32"/>
      <c r="M597" s="42" t="s">
        <v>817</v>
      </c>
      <c r="N597" s="43" t="s">
        <v>878</v>
      </c>
      <c r="O597" s="43" t="s">
        <v>645</v>
      </c>
      <c r="P597" s="44"/>
      <c r="Q597" s="45"/>
      <c r="R597" s="45"/>
      <c r="S597" s="45"/>
      <c r="T597" s="45"/>
      <c r="U597" s="45"/>
      <c r="V597" s="46"/>
    </row>
    <row r="598" spans="1:22" x14ac:dyDescent="0.25">
      <c r="A598" s="27" t="s">
        <v>817</v>
      </c>
      <c r="B598" s="27" t="s">
        <v>878</v>
      </c>
      <c r="C598" s="27" t="s">
        <v>646</v>
      </c>
      <c r="D598" s="32">
        <v>25048</v>
      </c>
      <c r="E598" s="32">
        <v>0</v>
      </c>
      <c r="F598" s="32">
        <v>0</v>
      </c>
      <c r="G598" s="32">
        <v>0</v>
      </c>
      <c r="H598" s="32">
        <v>0</v>
      </c>
      <c r="I598" s="32">
        <v>0</v>
      </c>
      <c r="J598" s="32">
        <v>0</v>
      </c>
      <c r="K598" s="32"/>
      <c r="M598" s="42" t="s">
        <v>817</v>
      </c>
      <c r="N598" s="43" t="s">
        <v>878</v>
      </c>
      <c r="O598" s="43" t="s">
        <v>646</v>
      </c>
      <c r="P598" s="44">
        <v>25048</v>
      </c>
      <c r="Q598" s="45">
        <v>0</v>
      </c>
      <c r="R598" s="45">
        <v>0</v>
      </c>
      <c r="S598" s="45">
        <v>0</v>
      </c>
      <c r="T598" s="45">
        <v>0</v>
      </c>
      <c r="U598" s="45">
        <v>0</v>
      </c>
      <c r="V598" s="46">
        <v>0</v>
      </c>
    </row>
    <row r="599" spans="1:22" x14ac:dyDescent="0.25">
      <c r="A599" s="27" t="s">
        <v>226</v>
      </c>
      <c r="B599" s="27" t="s">
        <v>878</v>
      </c>
      <c r="C599" s="27" t="s">
        <v>647</v>
      </c>
      <c r="D599" s="32">
        <v>743</v>
      </c>
      <c r="E599" s="32">
        <v>0</v>
      </c>
      <c r="F599" s="32">
        <v>0</v>
      </c>
      <c r="G599" s="32">
        <v>0</v>
      </c>
      <c r="H599" s="32">
        <v>0</v>
      </c>
      <c r="I599" s="32">
        <v>0</v>
      </c>
      <c r="J599" s="32">
        <v>0</v>
      </c>
      <c r="K599" s="32"/>
      <c r="M599" s="42" t="s">
        <v>226</v>
      </c>
      <c r="N599" s="43" t="s">
        <v>878</v>
      </c>
      <c r="O599" s="43" t="s">
        <v>647</v>
      </c>
      <c r="P599" s="44">
        <v>743</v>
      </c>
      <c r="Q599" s="45">
        <v>0</v>
      </c>
      <c r="R599" s="45">
        <v>0</v>
      </c>
      <c r="S599" s="45">
        <v>0</v>
      </c>
      <c r="T599" s="45">
        <v>0</v>
      </c>
      <c r="U599" s="45">
        <v>0</v>
      </c>
      <c r="V599" s="46">
        <v>0</v>
      </c>
    </row>
    <row r="600" spans="1:22" x14ac:dyDescent="0.25">
      <c r="A600" s="27" t="s">
        <v>831</v>
      </c>
      <c r="B600" s="27" t="s">
        <v>878</v>
      </c>
      <c r="C600" s="27" t="s">
        <v>648</v>
      </c>
      <c r="D600" s="32"/>
      <c r="E600" s="32"/>
      <c r="F600" s="32"/>
      <c r="G600" s="32"/>
      <c r="H600" s="32"/>
      <c r="I600" s="32"/>
      <c r="J600" s="32"/>
      <c r="K600" s="32"/>
      <c r="M600" s="42" t="s">
        <v>831</v>
      </c>
      <c r="N600" s="43" t="s">
        <v>878</v>
      </c>
      <c r="O600" s="43" t="s">
        <v>648</v>
      </c>
      <c r="P600" s="44"/>
      <c r="Q600" s="45"/>
      <c r="R600" s="45"/>
      <c r="S600" s="45"/>
      <c r="T600" s="45"/>
      <c r="U600" s="45"/>
      <c r="V600" s="46"/>
    </row>
    <row r="601" spans="1:22" x14ac:dyDescent="0.25">
      <c r="A601" s="27" t="s">
        <v>818</v>
      </c>
      <c r="B601" s="27" t="s">
        <v>878</v>
      </c>
      <c r="C601" s="27" t="s">
        <v>649</v>
      </c>
      <c r="D601" s="32">
        <v>16360</v>
      </c>
      <c r="E601" s="32">
        <v>0</v>
      </c>
      <c r="F601" s="32">
        <v>0</v>
      </c>
      <c r="G601" s="32">
        <v>0</v>
      </c>
      <c r="H601" s="32">
        <v>0</v>
      </c>
      <c r="I601" s="32">
        <v>0</v>
      </c>
      <c r="J601" s="32">
        <v>0</v>
      </c>
      <c r="K601" s="32"/>
      <c r="M601" s="42" t="s">
        <v>818</v>
      </c>
      <c r="N601" s="43" t="s">
        <v>878</v>
      </c>
      <c r="O601" s="43" t="s">
        <v>649</v>
      </c>
      <c r="P601" s="44">
        <v>16360</v>
      </c>
      <c r="Q601" s="45">
        <v>0</v>
      </c>
      <c r="R601" s="45">
        <v>0</v>
      </c>
      <c r="S601" s="45">
        <v>0</v>
      </c>
      <c r="T601" s="45">
        <v>0</v>
      </c>
      <c r="U601" s="45">
        <v>0</v>
      </c>
      <c r="V601" s="46">
        <v>0</v>
      </c>
    </row>
    <row r="602" spans="1:22" x14ac:dyDescent="0.25">
      <c r="A602" s="27" t="s">
        <v>817</v>
      </c>
      <c r="B602" s="27" t="s">
        <v>878</v>
      </c>
      <c r="C602" s="27" t="s">
        <v>650</v>
      </c>
      <c r="D602" s="32">
        <v>35171</v>
      </c>
      <c r="E602" s="32">
        <v>0</v>
      </c>
      <c r="F602" s="32">
        <v>0</v>
      </c>
      <c r="G602" s="32">
        <v>0</v>
      </c>
      <c r="H602" s="32">
        <v>0</v>
      </c>
      <c r="I602" s="32">
        <v>0</v>
      </c>
      <c r="J602" s="32">
        <v>0</v>
      </c>
      <c r="K602" s="32"/>
      <c r="M602" s="42" t="s">
        <v>817</v>
      </c>
      <c r="N602" s="43" t="s">
        <v>878</v>
      </c>
      <c r="O602" s="43" t="s">
        <v>650</v>
      </c>
      <c r="P602" s="44">
        <v>35171</v>
      </c>
      <c r="Q602" s="45">
        <v>0</v>
      </c>
      <c r="R602" s="45">
        <v>0</v>
      </c>
      <c r="S602" s="45">
        <v>0</v>
      </c>
      <c r="T602" s="45">
        <v>0</v>
      </c>
      <c r="U602" s="45">
        <v>0</v>
      </c>
      <c r="V602" s="46">
        <v>0</v>
      </c>
    </row>
    <row r="603" spans="1:22" x14ac:dyDescent="0.25">
      <c r="A603" s="27" t="s">
        <v>817</v>
      </c>
      <c r="B603" s="27" t="s">
        <v>878</v>
      </c>
      <c r="C603" s="27" t="s">
        <v>651</v>
      </c>
      <c r="D603" s="32">
        <v>18413</v>
      </c>
      <c r="E603" s="32">
        <v>0</v>
      </c>
      <c r="F603" s="32">
        <v>0</v>
      </c>
      <c r="G603" s="32">
        <v>0</v>
      </c>
      <c r="H603" s="32">
        <v>0</v>
      </c>
      <c r="I603" s="32">
        <v>0</v>
      </c>
      <c r="J603" s="32">
        <v>0</v>
      </c>
      <c r="K603" s="32"/>
      <c r="M603" s="42" t="s">
        <v>817</v>
      </c>
      <c r="N603" s="43" t="s">
        <v>878</v>
      </c>
      <c r="O603" s="43" t="s">
        <v>651</v>
      </c>
      <c r="P603" s="44">
        <v>18413</v>
      </c>
      <c r="Q603" s="45">
        <v>0</v>
      </c>
      <c r="R603" s="45">
        <v>0</v>
      </c>
      <c r="S603" s="45">
        <v>0</v>
      </c>
      <c r="T603" s="45">
        <v>0</v>
      </c>
      <c r="U603" s="45">
        <v>0</v>
      </c>
      <c r="V603" s="46">
        <v>0</v>
      </c>
    </row>
    <row r="604" spans="1:22" x14ac:dyDescent="0.25">
      <c r="A604" s="27" t="s">
        <v>817</v>
      </c>
      <c r="B604" s="27" t="s">
        <v>878</v>
      </c>
      <c r="C604" s="27" t="s">
        <v>652</v>
      </c>
      <c r="D604" s="32"/>
      <c r="E604" s="32"/>
      <c r="F604" s="32"/>
      <c r="G604" s="32"/>
      <c r="H604" s="32"/>
      <c r="I604" s="32"/>
      <c r="J604" s="32"/>
      <c r="K604" s="32"/>
      <c r="M604" s="42" t="s">
        <v>817</v>
      </c>
      <c r="N604" s="43" t="s">
        <v>878</v>
      </c>
      <c r="O604" s="43" t="s">
        <v>652</v>
      </c>
      <c r="P604" s="44"/>
      <c r="Q604" s="45"/>
      <c r="R604" s="45"/>
      <c r="S604" s="45"/>
      <c r="T604" s="45"/>
      <c r="U604" s="45"/>
      <c r="V604" s="46"/>
    </row>
    <row r="605" spans="1:22" x14ac:dyDescent="0.25">
      <c r="A605" s="27" t="s">
        <v>817</v>
      </c>
      <c r="B605" s="27" t="s">
        <v>878</v>
      </c>
      <c r="C605" s="27" t="s">
        <v>653</v>
      </c>
      <c r="D605" s="32">
        <v>54459</v>
      </c>
      <c r="E605" s="32">
        <v>0</v>
      </c>
      <c r="F605" s="32">
        <v>0</v>
      </c>
      <c r="G605" s="32">
        <v>0</v>
      </c>
      <c r="H605" s="32">
        <v>0</v>
      </c>
      <c r="I605" s="32">
        <v>0</v>
      </c>
      <c r="J605" s="32">
        <v>0</v>
      </c>
      <c r="K605" s="32"/>
      <c r="M605" s="42" t="s">
        <v>817</v>
      </c>
      <c r="N605" s="43" t="s">
        <v>878</v>
      </c>
      <c r="O605" s="43" t="s">
        <v>653</v>
      </c>
      <c r="P605" s="44">
        <v>54459</v>
      </c>
      <c r="Q605" s="45">
        <v>0</v>
      </c>
      <c r="R605" s="45">
        <v>0</v>
      </c>
      <c r="S605" s="45">
        <v>0</v>
      </c>
      <c r="T605" s="45">
        <v>0</v>
      </c>
      <c r="U605" s="45">
        <v>0</v>
      </c>
      <c r="V605" s="46">
        <v>0</v>
      </c>
    </row>
    <row r="606" spans="1:22" x14ac:dyDescent="0.25">
      <c r="A606" s="27" t="s">
        <v>817</v>
      </c>
      <c r="B606" s="27" t="s">
        <v>878</v>
      </c>
      <c r="C606" s="27" t="s">
        <v>654</v>
      </c>
      <c r="D606" s="32"/>
      <c r="E606" s="32"/>
      <c r="F606" s="32"/>
      <c r="G606" s="32"/>
      <c r="H606" s="32"/>
      <c r="I606" s="32"/>
      <c r="J606" s="32"/>
      <c r="K606" s="32"/>
      <c r="M606" s="42" t="s">
        <v>817</v>
      </c>
      <c r="N606" s="43" t="s">
        <v>878</v>
      </c>
      <c r="O606" s="43" t="s">
        <v>654</v>
      </c>
      <c r="P606" s="44"/>
      <c r="Q606" s="45"/>
      <c r="R606" s="45"/>
      <c r="S606" s="45"/>
      <c r="T606" s="45"/>
      <c r="U606" s="45"/>
      <c r="V606" s="46"/>
    </row>
    <row r="607" spans="1:22" x14ac:dyDescent="0.25">
      <c r="A607" s="27" t="s">
        <v>826</v>
      </c>
      <c r="B607" s="27" t="s">
        <v>878</v>
      </c>
      <c r="C607" s="27" t="s">
        <v>655</v>
      </c>
      <c r="D607" s="32"/>
      <c r="E607" s="32"/>
      <c r="F607" s="32"/>
      <c r="G607" s="32"/>
      <c r="H607" s="32"/>
      <c r="I607" s="32"/>
      <c r="J607" s="32"/>
      <c r="K607" s="32"/>
      <c r="M607" s="42" t="s">
        <v>826</v>
      </c>
      <c r="N607" s="43" t="s">
        <v>878</v>
      </c>
      <c r="O607" s="43" t="s">
        <v>655</v>
      </c>
      <c r="P607" s="44"/>
      <c r="Q607" s="45"/>
      <c r="R607" s="45"/>
      <c r="S607" s="45"/>
      <c r="T607" s="45"/>
      <c r="U607" s="45"/>
      <c r="V607" s="46"/>
    </row>
    <row r="608" spans="1:22" x14ac:dyDescent="0.25">
      <c r="A608" s="27" t="s">
        <v>817</v>
      </c>
      <c r="B608" s="27" t="s">
        <v>878</v>
      </c>
      <c r="C608" s="27" t="s">
        <v>656</v>
      </c>
      <c r="D608" s="32">
        <v>9733</v>
      </c>
      <c r="E608" s="32">
        <v>0</v>
      </c>
      <c r="F608" s="32">
        <v>0</v>
      </c>
      <c r="G608" s="32">
        <v>0</v>
      </c>
      <c r="H608" s="32">
        <v>0</v>
      </c>
      <c r="I608" s="32">
        <v>0</v>
      </c>
      <c r="J608" s="32">
        <v>0</v>
      </c>
      <c r="K608" s="32"/>
      <c r="M608" s="42" t="s">
        <v>817</v>
      </c>
      <c r="N608" s="43" t="s">
        <v>878</v>
      </c>
      <c r="O608" s="43" t="s">
        <v>656</v>
      </c>
      <c r="P608" s="44">
        <v>9733</v>
      </c>
      <c r="Q608" s="45">
        <v>0</v>
      </c>
      <c r="R608" s="45">
        <v>0</v>
      </c>
      <c r="S608" s="45">
        <v>0</v>
      </c>
      <c r="T608" s="45">
        <v>0</v>
      </c>
      <c r="U608" s="45">
        <v>0</v>
      </c>
      <c r="V608" s="46">
        <v>0</v>
      </c>
    </row>
    <row r="609" spans="1:22" x14ac:dyDescent="0.25">
      <c r="A609" s="27" t="s">
        <v>811</v>
      </c>
      <c r="B609" s="27" t="s">
        <v>878</v>
      </c>
      <c r="C609" s="27" t="s">
        <v>657</v>
      </c>
      <c r="D609" s="32"/>
      <c r="E609" s="32"/>
      <c r="F609" s="32"/>
      <c r="G609" s="32"/>
      <c r="H609" s="32"/>
      <c r="I609" s="32"/>
      <c r="J609" s="32"/>
      <c r="K609" s="32"/>
      <c r="M609" s="42" t="s">
        <v>811</v>
      </c>
      <c r="N609" s="43" t="s">
        <v>878</v>
      </c>
      <c r="O609" s="43" t="s">
        <v>657</v>
      </c>
      <c r="P609" s="44"/>
      <c r="Q609" s="45"/>
      <c r="R609" s="45"/>
      <c r="S609" s="45"/>
      <c r="T609" s="45"/>
      <c r="U609" s="45"/>
      <c r="V609" s="46"/>
    </row>
    <row r="610" spans="1:22" x14ac:dyDescent="0.25">
      <c r="A610" s="27" t="s">
        <v>817</v>
      </c>
      <c r="B610" s="27" t="s">
        <v>878</v>
      </c>
      <c r="C610" s="27" t="s">
        <v>658</v>
      </c>
      <c r="D610" s="32">
        <v>54327</v>
      </c>
      <c r="E610" s="32">
        <v>0</v>
      </c>
      <c r="F610" s="32">
        <v>0</v>
      </c>
      <c r="G610" s="32">
        <v>0</v>
      </c>
      <c r="H610" s="32">
        <v>0</v>
      </c>
      <c r="I610" s="32">
        <v>0</v>
      </c>
      <c r="J610" s="32">
        <v>0</v>
      </c>
      <c r="K610" s="32"/>
      <c r="M610" s="42" t="s">
        <v>817</v>
      </c>
      <c r="N610" s="43" t="s">
        <v>878</v>
      </c>
      <c r="O610" s="43" t="s">
        <v>658</v>
      </c>
      <c r="P610" s="44">
        <v>54327</v>
      </c>
      <c r="Q610" s="45">
        <v>0</v>
      </c>
      <c r="R610" s="45">
        <v>0</v>
      </c>
      <c r="S610" s="45">
        <v>0</v>
      </c>
      <c r="T610" s="45">
        <v>0</v>
      </c>
      <c r="U610" s="45">
        <v>0</v>
      </c>
      <c r="V610" s="46">
        <v>0</v>
      </c>
    </row>
    <row r="611" spans="1:22" x14ac:dyDescent="0.25">
      <c r="A611" s="27" t="s">
        <v>860</v>
      </c>
      <c r="B611" s="27" t="s">
        <v>878</v>
      </c>
      <c r="C611" s="27" t="s">
        <v>659</v>
      </c>
      <c r="D611" s="32"/>
      <c r="E611" s="32"/>
      <c r="F611" s="32"/>
      <c r="G611" s="32"/>
      <c r="H611" s="32"/>
      <c r="I611" s="32"/>
      <c r="J611" s="32"/>
      <c r="K611" s="32"/>
      <c r="M611" s="42" t="s">
        <v>860</v>
      </c>
      <c r="N611" s="43" t="s">
        <v>878</v>
      </c>
      <c r="O611" s="43" t="s">
        <v>659</v>
      </c>
      <c r="P611" s="44"/>
      <c r="Q611" s="45"/>
      <c r="R611" s="45"/>
      <c r="S611" s="45"/>
      <c r="T611" s="45"/>
      <c r="U611" s="45"/>
      <c r="V611" s="46"/>
    </row>
    <row r="612" spans="1:22" x14ac:dyDescent="0.25">
      <c r="A612" s="27" t="s">
        <v>248</v>
      </c>
      <c r="B612" s="27" t="s">
        <v>878</v>
      </c>
      <c r="C612" s="27" t="s">
        <v>660</v>
      </c>
      <c r="D612" s="32">
        <v>17891</v>
      </c>
      <c r="E612" s="32">
        <v>0</v>
      </c>
      <c r="F612" s="32">
        <v>0</v>
      </c>
      <c r="G612" s="32">
        <v>0</v>
      </c>
      <c r="H612" s="32">
        <v>0</v>
      </c>
      <c r="I612" s="32">
        <v>0</v>
      </c>
      <c r="J612" s="32">
        <v>0</v>
      </c>
      <c r="K612" s="32"/>
      <c r="M612" s="42" t="s">
        <v>248</v>
      </c>
      <c r="N612" s="43" t="s">
        <v>878</v>
      </c>
      <c r="O612" s="43" t="s">
        <v>660</v>
      </c>
      <c r="P612" s="44">
        <v>17891</v>
      </c>
      <c r="Q612" s="45">
        <v>0</v>
      </c>
      <c r="R612" s="45">
        <v>0</v>
      </c>
      <c r="S612" s="45">
        <v>0</v>
      </c>
      <c r="T612" s="45">
        <v>0</v>
      </c>
      <c r="U612" s="45">
        <v>0</v>
      </c>
      <c r="V612" s="46">
        <v>0</v>
      </c>
    </row>
    <row r="613" spans="1:22" x14ac:dyDescent="0.25">
      <c r="A613" s="27" t="s">
        <v>861</v>
      </c>
      <c r="B613" s="27" t="s">
        <v>878</v>
      </c>
      <c r="C613" s="27" t="s">
        <v>661</v>
      </c>
      <c r="D613" s="32"/>
      <c r="E613" s="32"/>
      <c r="F613" s="32"/>
      <c r="G613" s="32"/>
      <c r="H613" s="32"/>
      <c r="I613" s="32"/>
      <c r="J613" s="32"/>
      <c r="K613" s="32"/>
      <c r="M613" s="42" t="s">
        <v>861</v>
      </c>
      <c r="N613" s="43" t="s">
        <v>878</v>
      </c>
      <c r="O613" s="43" t="s">
        <v>661</v>
      </c>
      <c r="P613" s="44"/>
      <c r="Q613" s="45"/>
      <c r="R613" s="45"/>
      <c r="S613" s="45"/>
      <c r="T613" s="45"/>
      <c r="U613" s="45"/>
      <c r="V613" s="46"/>
    </row>
    <row r="614" spans="1:22" x14ac:dyDescent="0.25">
      <c r="A614" s="27" t="s">
        <v>229</v>
      </c>
      <c r="B614" s="27" t="s">
        <v>878</v>
      </c>
      <c r="C614" s="27" t="s">
        <v>662</v>
      </c>
      <c r="D614" s="32">
        <v>16925</v>
      </c>
      <c r="E614" s="32">
        <v>0</v>
      </c>
      <c r="F614" s="32">
        <v>0</v>
      </c>
      <c r="G614" s="32">
        <v>0</v>
      </c>
      <c r="H614" s="32">
        <v>0</v>
      </c>
      <c r="I614" s="32">
        <v>0</v>
      </c>
      <c r="J614" s="32">
        <v>0</v>
      </c>
      <c r="K614" s="32"/>
      <c r="M614" s="42" t="s">
        <v>229</v>
      </c>
      <c r="N614" s="43" t="s">
        <v>878</v>
      </c>
      <c r="O614" s="43" t="s">
        <v>662</v>
      </c>
      <c r="P614" s="44">
        <v>16925</v>
      </c>
      <c r="Q614" s="45">
        <v>0</v>
      </c>
      <c r="R614" s="45">
        <v>0</v>
      </c>
      <c r="S614" s="45">
        <v>0</v>
      </c>
      <c r="T614" s="45">
        <v>0</v>
      </c>
      <c r="U614" s="45">
        <v>0</v>
      </c>
      <c r="V614" s="46">
        <v>0</v>
      </c>
    </row>
    <row r="615" spans="1:22" x14ac:dyDescent="0.25">
      <c r="A615" s="27" t="s">
        <v>101</v>
      </c>
      <c r="B615" s="27" t="s">
        <v>878</v>
      </c>
      <c r="C615" s="27" t="s">
        <v>663</v>
      </c>
      <c r="D615" s="32">
        <v>13209</v>
      </c>
      <c r="E615" s="32">
        <v>0</v>
      </c>
      <c r="F615" s="32">
        <v>0</v>
      </c>
      <c r="G615" s="32">
        <v>0</v>
      </c>
      <c r="H615" s="32">
        <v>0</v>
      </c>
      <c r="I615" s="32">
        <v>0</v>
      </c>
      <c r="J615" s="32">
        <v>0</v>
      </c>
      <c r="K615" s="32"/>
      <c r="M615" s="42" t="s">
        <v>101</v>
      </c>
      <c r="N615" s="43" t="s">
        <v>878</v>
      </c>
      <c r="O615" s="43" t="s">
        <v>663</v>
      </c>
      <c r="P615" s="44">
        <v>13209</v>
      </c>
      <c r="Q615" s="45">
        <v>0</v>
      </c>
      <c r="R615" s="45">
        <v>0</v>
      </c>
      <c r="S615" s="45">
        <v>0</v>
      </c>
      <c r="T615" s="45">
        <v>0</v>
      </c>
      <c r="U615" s="45">
        <v>0</v>
      </c>
      <c r="V615" s="46">
        <v>0</v>
      </c>
    </row>
    <row r="616" spans="1:22" x14ac:dyDescent="0.25">
      <c r="A616" s="27" t="s">
        <v>69</v>
      </c>
      <c r="B616" s="27" t="s">
        <v>878</v>
      </c>
      <c r="C616" s="27" t="s">
        <v>664</v>
      </c>
      <c r="D616" s="32">
        <v>31971</v>
      </c>
      <c r="E616" s="32">
        <v>0</v>
      </c>
      <c r="F616" s="32">
        <v>0</v>
      </c>
      <c r="G616" s="32">
        <v>0</v>
      </c>
      <c r="H616" s="32">
        <v>0</v>
      </c>
      <c r="I616" s="32">
        <v>0</v>
      </c>
      <c r="J616" s="32">
        <v>0</v>
      </c>
      <c r="K616" s="32"/>
      <c r="M616" s="42" t="s">
        <v>69</v>
      </c>
      <c r="N616" s="43" t="s">
        <v>878</v>
      </c>
      <c r="O616" s="43" t="s">
        <v>664</v>
      </c>
      <c r="P616" s="44">
        <v>31971</v>
      </c>
      <c r="Q616" s="45">
        <v>0</v>
      </c>
      <c r="R616" s="45">
        <v>0</v>
      </c>
      <c r="S616" s="45">
        <v>0</v>
      </c>
      <c r="T616" s="45">
        <v>0</v>
      </c>
      <c r="U616" s="45">
        <v>0</v>
      </c>
      <c r="V616" s="46">
        <v>0</v>
      </c>
    </row>
    <row r="617" spans="1:22" x14ac:dyDescent="0.25">
      <c r="A617" s="27" t="s">
        <v>859</v>
      </c>
      <c r="B617" s="27" t="s">
        <v>878</v>
      </c>
      <c r="C617" s="27" t="s">
        <v>665</v>
      </c>
      <c r="D617" s="32">
        <v>22007</v>
      </c>
      <c r="E617" s="32">
        <v>0</v>
      </c>
      <c r="F617" s="32">
        <v>0</v>
      </c>
      <c r="G617" s="32">
        <v>0</v>
      </c>
      <c r="H617" s="32">
        <v>0</v>
      </c>
      <c r="I617" s="32">
        <v>0</v>
      </c>
      <c r="J617" s="32">
        <v>0</v>
      </c>
      <c r="K617" s="32"/>
      <c r="M617" s="42" t="s">
        <v>859</v>
      </c>
      <c r="N617" s="43" t="s">
        <v>878</v>
      </c>
      <c r="O617" s="43" t="s">
        <v>665</v>
      </c>
      <c r="P617" s="44">
        <v>22007</v>
      </c>
      <c r="Q617" s="45">
        <v>0</v>
      </c>
      <c r="R617" s="45">
        <v>0</v>
      </c>
      <c r="S617" s="45">
        <v>0</v>
      </c>
      <c r="T617" s="45">
        <v>0</v>
      </c>
      <c r="U617" s="45">
        <v>0</v>
      </c>
      <c r="V617" s="46">
        <v>0</v>
      </c>
    </row>
    <row r="618" spans="1:22" x14ac:dyDescent="0.25">
      <c r="A618" s="27" t="s">
        <v>804</v>
      </c>
      <c r="B618" s="27" t="s">
        <v>878</v>
      </c>
      <c r="C618" s="27" t="s">
        <v>666</v>
      </c>
      <c r="D618" s="32">
        <v>49585</v>
      </c>
      <c r="E618" s="32">
        <v>0</v>
      </c>
      <c r="F618" s="32">
        <v>0</v>
      </c>
      <c r="G618" s="32">
        <v>0</v>
      </c>
      <c r="H618" s="32">
        <v>0</v>
      </c>
      <c r="I618" s="32">
        <v>0</v>
      </c>
      <c r="J618" s="32">
        <v>0</v>
      </c>
      <c r="K618" s="32"/>
      <c r="M618" s="42" t="s">
        <v>804</v>
      </c>
      <c r="N618" s="43" t="s">
        <v>878</v>
      </c>
      <c r="O618" s="43" t="s">
        <v>666</v>
      </c>
      <c r="P618" s="44">
        <v>49585</v>
      </c>
      <c r="Q618" s="45">
        <v>0</v>
      </c>
      <c r="R618" s="45">
        <v>0</v>
      </c>
      <c r="S618" s="45">
        <v>0</v>
      </c>
      <c r="T618" s="45">
        <v>0</v>
      </c>
      <c r="U618" s="45">
        <v>0</v>
      </c>
      <c r="V618" s="46">
        <v>0</v>
      </c>
    </row>
    <row r="619" spans="1:22" x14ac:dyDescent="0.25">
      <c r="A619" s="27" t="s">
        <v>853</v>
      </c>
      <c r="B619" s="27" t="s">
        <v>878</v>
      </c>
      <c r="C619" s="27" t="s">
        <v>667</v>
      </c>
      <c r="D619" s="32"/>
      <c r="E619" s="32"/>
      <c r="F619" s="32"/>
      <c r="G619" s="32"/>
      <c r="H619" s="32"/>
      <c r="I619" s="32"/>
      <c r="J619" s="32"/>
      <c r="K619" s="32"/>
      <c r="M619" s="42" t="s">
        <v>853</v>
      </c>
      <c r="N619" s="43" t="s">
        <v>878</v>
      </c>
      <c r="O619" s="43" t="s">
        <v>667</v>
      </c>
      <c r="P619" s="50"/>
      <c r="Q619" s="51"/>
      <c r="R619" s="51"/>
      <c r="S619" s="51"/>
      <c r="T619" s="51"/>
      <c r="U619" s="51"/>
      <c r="V619" s="52"/>
    </row>
    <row r="620" spans="1:22" x14ac:dyDescent="0.25">
      <c r="A620" s="27" t="s">
        <v>862</v>
      </c>
      <c r="B620" s="27" t="s">
        <v>878</v>
      </c>
      <c r="C620" s="27" t="s">
        <v>668</v>
      </c>
      <c r="D620" s="32"/>
      <c r="E620" s="32"/>
      <c r="F620" s="32"/>
      <c r="G620" s="32"/>
      <c r="H620" s="32"/>
      <c r="I620" s="32"/>
      <c r="J620" s="32"/>
      <c r="K620" s="32"/>
      <c r="M620" s="42" t="s">
        <v>862</v>
      </c>
      <c r="N620" s="43" t="s">
        <v>878</v>
      </c>
      <c r="O620" s="43" t="s">
        <v>668</v>
      </c>
      <c r="P620" s="39"/>
      <c r="Q620" s="40"/>
      <c r="R620" s="40"/>
      <c r="S620" s="40"/>
      <c r="T620" s="40"/>
      <c r="U620" s="40"/>
      <c r="V620" s="40"/>
    </row>
    <row r="621" spans="1:22" x14ac:dyDescent="0.25">
      <c r="A621" s="27" t="s">
        <v>847</v>
      </c>
      <c r="B621" s="27" t="s">
        <v>878</v>
      </c>
      <c r="C621" s="27" t="s">
        <v>669</v>
      </c>
      <c r="D621" s="32"/>
      <c r="E621" s="32"/>
      <c r="F621" s="32"/>
      <c r="G621" s="32"/>
      <c r="H621" s="32"/>
      <c r="I621" s="32"/>
      <c r="J621" s="32"/>
      <c r="K621" s="32"/>
      <c r="M621" s="42" t="s">
        <v>847</v>
      </c>
      <c r="N621" s="43" t="s">
        <v>878</v>
      </c>
      <c r="O621" s="43" t="s">
        <v>669</v>
      </c>
      <c r="P621" s="44"/>
      <c r="Q621" s="45"/>
      <c r="R621" s="45"/>
      <c r="S621" s="45"/>
      <c r="T621" s="45"/>
      <c r="U621" s="45"/>
      <c r="V621" s="46"/>
    </row>
    <row r="622" spans="1:22" x14ac:dyDescent="0.25">
      <c r="A622" s="27" t="s">
        <v>849</v>
      </c>
      <c r="B622" s="27" t="s">
        <v>878</v>
      </c>
      <c r="C622" s="27" t="s">
        <v>670</v>
      </c>
      <c r="D622" s="32"/>
      <c r="E622" s="32"/>
      <c r="F622" s="32"/>
      <c r="G622" s="32"/>
      <c r="H622" s="32"/>
      <c r="I622" s="32"/>
      <c r="J622" s="32"/>
      <c r="K622" s="32"/>
      <c r="M622" s="42" t="s">
        <v>849</v>
      </c>
      <c r="N622" s="43" t="s">
        <v>878</v>
      </c>
      <c r="O622" s="43" t="s">
        <v>670</v>
      </c>
      <c r="P622" s="44"/>
      <c r="Q622" s="45"/>
      <c r="R622" s="45"/>
      <c r="S622" s="45"/>
      <c r="T622" s="45"/>
      <c r="U622" s="45"/>
      <c r="V622" s="45"/>
    </row>
    <row r="623" spans="1:22" x14ac:dyDescent="0.25">
      <c r="A623" s="27" t="s">
        <v>226</v>
      </c>
      <c r="B623" s="27" t="s">
        <v>878</v>
      </c>
      <c r="C623" s="27" t="s">
        <v>671</v>
      </c>
      <c r="D623" s="32">
        <v>2001</v>
      </c>
      <c r="E623" s="32">
        <v>0</v>
      </c>
      <c r="F623" s="32">
        <v>0</v>
      </c>
      <c r="G623" s="32">
        <v>0</v>
      </c>
      <c r="H623" s="32">
        <v>0</v>
      </c>
      <c r="I623" s="32">
        <v>0</v>
      </c>
      <c r="J623" s="32">
        <v>0</v>
      </c>
      <c r="K623" s="32"/>
      <c r="M623" s="42" t="s">
        <v>226</v>
      </c>
      <c r="N623" s="43" t="s">
        <v>878</v>
      </c>
      <c r="O623" s="43" t="s">
        <v>671</v>
      </c>
      <c r="P623" s="44">
        <v>2001</v>
      </c>
      <c r="Q623" s="45">
        <v>0</v>
      </c>
      <c r="R623" s="45">
        <v>0</v>
      </c>
      <c r="S623" s="45">
        <v>0</v>
      </c>
      <c r="T623" s="45">
        <v>0</v>
      </c>
      <c r="U623" s="45">
        <v>0</v>
      </c>
      <c r="V623" s="46">
        <v>0</v>
      </c>
    </row>
    <row r="624" spans="1:22" x14ac:dyDescent="0.25">
      <c r="A624" s="27" t="s">
        <v>859</v>
      </c>
      <c r="B624" s="27" t="s">
        <v>878</v>
      </c>
      <c r="C624" s="27" t="s">
        <v>672</v>
      </c>
      <c r="D624" s="32">
        <v>47399</v>
      </c>
      <c r="E624" s="32">
        <v>0</v>
      </c>
      <c r="F624" s="32">
        <v>0</v>
      </c>
      <c r="G624" s="32">
        <v>0</v>
      </c>
      <c r="H624" s="32">
        <v>0</v>
      </c>
      <c r="I624" s="32">
        <v>0</v>
      </c>
      <c r="J624" s="32">
        <v>0</v>
      </c>
      <c r="K624" s="32"/>
      <c r="M624" s="42" t="s">
        <v>859</v>
      </c>
      <c r="N624" s="43" t="s">
        <v>878</v>
      </c>
      <c r="O624" s="43" t="s">
        <v>672</v>
      </c>
      <c r="P624" s="44">
        <v>47399</v>
      </c>
      <c r="Q624" s="45">
        <v>0</v>
      </c>
      <c r="R624" s="45">
        <v>0</v>
      </c>
      <c r="S624" s="45">
        <v>0</v>
      </c>
      <c r="T624" s="45">
        <v>0</v>
      </c>
      <c r="U624" s="45">
        <v>0</v>
      </c>
      <c r="V624" s="45">
        <v>0</v>
      </c>
    </row>
    <row r="625" spans="1:22" x14ac:dyDescent="0.25">
      <c r="A625" s="27" t="s">
        <v>830</v>
      </c>
      <c r="B625" s="27" t="s">
        <v>878</v>
      </c>
      <c r="C625" s="27" t="s">
        <v>673</v>
      </c>
      <c r="D625" s="32"/>
      <c r="E625" s="32"/>
      <c r="F625" s="32"/>
      <c r="G625" s="32"/>
      <c r="H625" s="32"/>
      <c r="I625" s="32"/>
      <c r="J625" s="32"/>
      <c r="K625" s="32"/>
      <c r="M625" s="42" t="s">
        <v>830</v>
      </c>
      <c r="N625" s="43" t="s">
        <v>878</v>
      </c>
      <c r="O625" s="43" t="s">
        <v>673</v>
      </c>
      <c r="P625" s="44"/>
      <c r="Q625" s="45"/>
      <c r="R625" s="45"/>
      <c r="S625" s="45"/>
      <c r="T625" s="45"/>
      <c r="U625" s="45"/>
      <c r="V625" s="45"/>
    </row>
    <row r="626" spans="1:22" x14ac:dyDescent="0.25">
      <c r="A626" s="27" t="s">
        <v>796</v>
      </c>
      <c r="B626" s="27" t="s">
        <v>878</v>
      </c>
      <c r="C626" s="27" t="s">
        <v>674</v>
      </c>
      <c r="D626" s="32">
        <v>31100</v>
      </c>
      <c r="E626" s="32">
        <v>0</v>
      </c>
      <c r="F626" s="32">
        <v>0</v>
      </c>
      <c r="G626" s="32">
        <v>0</v>
      </c>
      <c r="H626" s="32">
        <v>0</v>
      </c>
      <c r="I626" s="32">
        <v>0</v>
      </c>
      <c r="J626" s="32">
        <v>0</v>
      </c>
      <c r="K626" s="32"/>
      <c r="M626" s="42" t="s">
        <v>796</v>
      </c>
      <c r="N626" s="43" t="s">
        <v>878</v>
      </c>
      <c r="O626" s="43" t="s">
        <v>674</v>
      </c>
      <c r="P626" s="44">
        <v>31100</v>
      </c>
      <c r="Q626" s="45">
        <v>0</v>
      </c>
      <c r="R626" s="45">
        <v>0</v>
      </c>
      <c r="S626" s="45">
        <v>0</v>
      </c>
      <c r="T626" s="45">
        <v>0</v>
      </c>
      <c r="U626" s="45">
        <v>0</v>
      </c>
      <c r="V626" s="45">
        <v>0</v>
      </c>
    </row>
    <row r="627" spans="1:22" x14ac:dyDescent="0.25">
      <c r="A627" s="27" t="s">
        <v>854</v>
      </c>
      <c r="B627" s="27" t="s">
        <v>878</v>
      </c>
      <c r="C627" s="27" t="s">
        <v>675</v>
      </c>
      <c r="D627" s="32"/>
      <c r="E627" s="32"/>
      <c r="F627" s="32"/>
      <c r="G627" s="32"/>
      <c r="H627" s="32"/>
      <c r="I627" s="32"/>
      <c r="J627" s="32"/>
      <c r="K627" s="32"/>
      <c r="M627" s="42" t="s">
        <v>854</v>
      </c>
      <c r="N627" s="43" t="s">
        <v>878</v>
      </c>
      <c r="O627" s="43" t="s">
        <v>675</v>
      </c>
      <c r="P627" s="44"/>
      <c r="Q627" s="45"/>
      <c r="R627" s="45"/>
      <c r="S627" s="45"/>
      <c r="T627" s="45"/>
      <c r="U627" s="45"/>
      <c r="V627" s="45"/>
    </row>
    <row r="628" spans="1:22" x14ac:dyDescent="0.25">
      <c r="A628" s="27" t="s">
        <v>796</v>
      </c>
      <c r="B628" s="27" t="s">
        <v>878</v>
      </c>
      <c r="C628" s="27" t="s">
        <v>676</v>
      </c>
      <c r="D628" s="32">
        <v>26212</v>
      </c>
      <c r="E628" s="32">
        <v>0</v>
      </c>
      <c r="F628" s="32">
        <v>0</v>
      </c>
      <c r="G628" s="32">
        <v>0</v>
      </c>
      <c r="H628" s="32">
        <v>0</v>
      </c>
      <c r="I628" s="32">
        <v>0</v>
      </c>
      <c r="J628" s="32">
        <v>0</v>
      </c>
      <c r="K628" s="32"/>
      <c r="M628" s="42" t="s">
        <v>796</v>
      </c>
      <c r="N628" s="43" t="s">
        <v>878</v>
      </c>
      <c r="O628" s="43" t="s">
        <v>676</v>
      </c>
      <c r="P628" s="44">
        <v>26212</v>
      </c>
      <c r="Q628" s="45">
        <v>0</v>
      </c>
      <c r="R628" s="45">
        <v>0</v>
      </c>
      <c r="S628" s="45">
        <v>0</v>
      </c>
      <c r="T628" s="45">
        <v>0</v>
      </c>
      <c r="U628" s="45">
        <v>0</v>
      </c>
      <c r="V628" s="46">
        <v>0</v>
      </c>
    </row>
    <row r="629" spans="1:22" x14ac:dyDescent="0.25">
      <c r="A629" s="27" t="s">
        <v>226</v>
      </c>
      <c r="B629" s="27" t="s">
        <v>878</v>
      </c>
      <c r="C629" s="27" t="s">
        <v>677</v>
      </c>
      <c r="D629" s="32">
        <v>9809</v>
      </c>
      <c r="E629" s="32">
        <v>0</v>
      </c>
      <c r="F629" s="32">
        <v>0</v>
      </c>
      <c r="G629" s="32">
        <v>0</v>
      </c>
      <c r="H629" s="32">
        <v>0</v>
      </c>
      <c r="I629" s="32">
        <v>0</v>
      </c>
      <c r="J629" s="32">
        <v>0</v>
      </c>
      <c r="K629" s="32"/>
      <c r="M629" s="42" t="s">
        <v>226</v>
      </c>
      <c r="N629" s="43" t="s">
        <v>878</v>
      </c>
      <c r="O629" s="43" t="s">
        <v>677</v>
      </c>
      <c r="P629" s="44">
        <v>9809</v>
      </c>
      <c r="Q629" s="45">
        <v>0</v>
      </c>
      <c r="R629" s="45">
        <v>0</v>
      </c>
      <c r="S629" s="45">
        <v>0</v>
      </c>
      <c r="T629" s="45">
        <v>0</v>
      </c>
      <c r="U629" s="45">
        <v>0</v>
      </c>
      <c r="V629" s="45">
        <v>0</v>
      </c>
    </row>
    <row r="630" spans="1:22" x14ac:dyDescent="0.25">
      <c r="A630" s="27" t="s">
        <v>138</v>
      </c>
      <c r="B630" s="27" t="s">
        <v>878</v>
      </c>
      <c r="C630" s="27" t="s">
        <v>678</v>
      </c>
      <c r="D630" s="32"/>
      <c r="E630" s="32"/>
      <c r="F630" s="32"/>
      <c r="G630" s="32"/>
      <c r="H630" s="32"/>
      <c r="I630" s="32"/>
      <c r="J630" s="32"/>
      <c r="K630" s="32"/>
      <c r="M630" s="42" t="s">
        <v>138</v>
      </c>
      <c r="N630" s="43" t="s">
        <v>878</v>
      </c>
      <c r="O630" s="43" t="s">
        <v>678</v>
      </c>
      <c r="P630" s="44"/>
      <c r="Q630" s="45"/>
      <c r="R630" s="45"/>
      <c r="S630" s="45"/>
      <c r="T630" s="45"/>
      <c r="U630" s="45"/>
      <c r="V630" s="45"/>
    </row>
    <row r="631" spans="1:22" x14ac:dyDescent="0.25">
      <c r="A631" s="27" t="s">
        <v>804</v>
      </c>
      <c r="B631" s="27" t="s">
        <v>878</v>
      </c>
      <c r="C631" s="27" t="s">
        <v>679</v>
      </c>
      <c r="D631" s="32">
        <v>63328</v>
      </c>
      <c r="E631" s="32">
        <v>0</v>
      </c>
      <c r="F631" s="32">
        <v>0</v>
      </c>
      <c r="G631" s="32">
        <v>0</v>
      </c>
      <c r="H631" s="32">
        <v>0</v>
      </c>
      <c r="I631" s="32">
        <v>0</v>
      </c>
      <c r="J631" s="32">
        <v>0</v>
      </c>
      <c r="K631" s="32"/>
      <c r="M631" s="42" t="s">
        <v>804</v>
      </c>
      <c r="N631" s="43" t="s">
        <v>878</v>
      </c>
      <c r="O631" s="43" t="s">
        <v>679</v>
      </c>
      <c r="P631" s="44">
        <v>63328</v>
      </c>
      <c r="Q631" s="45">
        <v>0</v>
      </c>
      <c r="R631" s="45">
        <v>0</v>
      </c>
      <c r="S631" s="45">
        <v>0</v>
      </c>
      <c r="T631" s="45">
        <v>0</v>
      </c>
      <c r="U631" s="45">
        <v>0</v>
      </c>
      <c r="V631" s="45">
        <v>0</v>
      </c>
    </row>
    <row r="632" spans="1:22" x14ac:dyDescent="0.25">
      <c r="A632" s="27" t="s">
        <v>823</v>
      </c>
      <c r="B632" s="27" t="s">
        <v>878</v>
      </c>
      <c r="C632" s="27" t="s">
        <v>680</v>
      </c>
      <c r="D632" s="32"/>
      <c r="E632" s="32"/>
      <c r="F632" s="32"/>
      <c r="G632" s="32"/>
      <c r="H632" s="32"/>
      <c r="I632" s="32"/>
      <c r="J632" s="32"/>
      <c r="K632" s="32"/>
      <c r="M632" s="42" t="s">
        <v>823</v>
      </c>
      <c r="N632" s="43" t="s">
        <v>878</v>
      </c>
      <c r="O632" s="43" t="s">
        <v>680</v>
      </c>
      <c r="P632" s="44"/>
      <c r="Q632" s="45"/>
      <c r="R632" s="45"/>
      <c r="S632" s="45"/>
      <c r="T632" s="45"/>
      <c r="U632" s="45"/>
      <c r="V632" s="45"/>
    </row>
    <row r="633" spans="1:22" x14ac:dyDescent="0.25">
      <c r="A633" s="27" t="s">
        <v>809</v>
      </c>
      <c r="B633" s="27" t="s">
        <v>878</v>
      </c>
      <c r="C633" s="27" t="s">
        <v>681</v>
      </c>
      <c r="D633" s="32">
        <v>63322</v>
      </c>
      <c r="E633" s="32">
        <v>0</v>
      </c>
      <c r="F633" s="32">
        <v>0</v>
      </c>
      <c r="G633" s="32">
        <v>0</v>
      </c>
      <c r="H633" s="32">
        <v>0</v>
      </c>
      <c r="I633" s="32">
        <v>0</v>
      </c>
      <c r="J633" s="32">
        <v>0</v>
      </c>
      <c r="K633" s="32"/>
      <c r="M633" s="42" t="s">
        <v>809</v>
      </c>
      <c r="N633" s="43" t="s">
        <v>878</v>
      </c>
      <c r="O633" s="43" t="s">
        <v>681</v>
      </c>
      <c r="P633" s="44">
        <v>63322</v>
      </c>
      <c r="Q633" s="45">
        <v>0</v>
      </c>
      <c r="R633" s="45">
        <v>0</v>
      </c>
      <c r="S633" s="45">
        <v>0</v>
      </c>
      <c r="T633" s="45">
        <v>0</v>
      </c>
      <c r="U633" s="45">
        <v>0</v>
      </c>
      <c r="V633" s="45">
        <v>0</v>
      </c>
    </row>
    <row r="634" spans="1:22" x14ac:dyDescent="0.25">
      <c r="A634" s="27" t="s">
        <v>248</v>
      </c>
      <c r="B634" s="27" t="s">
        <v>878</v>
      </c>
      <c r="C634" s="27" t="s">
        <v>682</v>
      </c>
      <c r="D634" s="32">
        <v>40583</v>
      </c>
      <c r="E634" s="32">
        <v>0</v>
      </c>
      <c r="F634" s="32">
        <v>0</v>
      </c>
      <c r="G634" s="32">
        <v>0</v>
      </c>
      <c r="H634" s="32">
        <v>0</v>
      </c>
      <c r="I634" s="32">
        <v>0</v>
      </c>
      <c r="J634" s="32">
        <v>0</v>
      </c>
      <c r="K634" s="32"/>
      <c r="M634" s="42" t="s">
        <v>248</v>
      </c>
      <c r="N634" s="43" t="s">
        <v>878</v>
      </c>
      <c r="O634" s="43" t="s">
        <v>682</v>
      </c>
      <c r="P634" s="44">
        <v>40583</v>
      </c>
      <c r="Q634" s="45">
        <v>0</v>
      </c>
      <c r="R634" s="45">
        <v>0</v>
      </c>
      <c r="S634" s="45">
        <v>0</v>
      </c>
      <c r="T634" s="45">
        <v>0</v>
      </c>
      <c r="U634" s="45">
        <v>0</v>
      </c>
      <c r="V634" s="45">
        <v>0</v>
      </c>
    </row>
    <row r="635" spans="1:22" x14ac:dyDescent="0.25">
      <c r="A635" s="27" t="s">
        <v>795</v>
      </c>
      <c r="B635" s="27" t="s">
        <v>878</v>
      </c>
      <c r="C635" s="27" t="s">
        <v>683</v>
      </c>
      <c r="D635" s="32">
        <v>31289</v>
      </c>
      <c r="E635" s="32">
        <v>0</v>
      </c>
      <c r="F635" s="32">
        <v>0</v>
      </c>
      <c r="G635" s="32">
        <v>0</v>
      </c>
      <c r="H635" s="32">
        <v>0</v>
      </c>
      <c r="I635" s="32">
        <v>0</v>
      </c>
      <c r="J635" s="32">
        <v>0</v>
      </c>
      <c r="K635" s="32"/>
      <c r="M635" s="42" t="s">
        <v>795</v>
      </c>
      <c r="N635" s="43" t="s">
        <v>878</v>
      </c>
      <c r="O635" s="43" t="s">
        <v>683</v>
      </c>
      <c r="P635" s="44">
        <v>31289</v>
      </c>
      <c r="Q635" s="45">
        <v>0</v>
      </c>
      <c r="R635" s="45">
        <v>0</v>
      </c>
      <c r="S635" s="45">
        <v>0</v>
      </c>
      <c r="T635" s="45">
        <v>0</v>
      </c>
      <c r="U635" s="45">
        <v>0</v>
      </c>
      <c r="V635" s="45">
        <v>0</v>
      </c>
    </row>
    <row r="636" spans="1:22" x14ac:dyDescent="0.25">
      <c r="A636" s="27" t="s">
        <v>795</v>
      </c>
      <c r="B636" s="27" t="s">
        <v>878</v>
      </c>
      <c r="C636" s="27" t="s">
        <v>684</v>
      </c>
      <c r="D636" s="32">
        <v>103204</v>
      </c>
      <c r="E636" s="32">
        <v>0</v>
      </c>
      <c r="F636" s="32">
        <v>0</v>
      </c>
      <c r="G636" s="32">
        <v>0</v>
      </c>
      <c r="H636" s="32">
        <v>0</v>
      </c>
      <c r="I636" s="32">
        <v>0</v>
      </c>
      <c r="J636" s="32">
        <v>0</v>
      </c>
      <c r="K636" s="32"/>
      <c r="M636" s="42" t="s">
        <v>795</v>
      </c>
      <c r="N636" s="43" t="s">
        <v>878</v>
      </c>
      <c r="O636" s="43" t="s">
        <v>684</v>
      </c>
      <c r="P636" s="44">
        <v>103204</v>
      </c>
      <c r="Q636" s="45">
        <v>0</v>
      </c>
      <c r="R636" s="45">
        <v>0</v>
      </c>
      <c r="S636" s="45">
        <v>0</v>
      </c>
      <c r="T636" s="45">
        <v>0</v>
      </c>
      <c r="U636" s="45">
        <v>0</v>
      </c>
      <c r="V636" s="45">
        <v>0</v>
      </c>
    </row>
    <row r="637" spans="1:22" x14ac:dyDescent="0.25">
      <c r="A637" s="27" t="s">
        <v>795</v>
      </c>
      <c r="B637" s="27" t="s">
        <v>878</v>
      </c>
      <c r="C637" s="27" t="s">
        <v>685</v>
      </c>
      <c r="D637" s="32">
        <v>21144</v>
      </c>
      <c r="E637" s="32">
        <v>0</v>
      </c>
      <c r="F637" s="32">
        <v>0</v>
      </c>
      <c r="G637" s="32">
        <v>0</v>
      </c>
      <c r="H637" s="32">
        <v>0</v>
      </c>
      <c r="I637" s="32">
        <v>0</v>
      </c>
      <c r="J637" s="32">
        <v>0</v>
      </c>
      <c r="K637" s="32"/>
      <c r="M637" s="42" t="s">
        <v>795</v>
      </c>
      <c r="N637" s="43" t="s">
        <v>878</v>
      </c>
      <c r="O637" s="43" t="s">
        <v>685</v>
      </c>
      <c r="P637" s="44">
        <v>21144</v>
      </c>
      <c r="Q637" s="45">
        <v>0</v>
      </c>
      <c r="R637" s="45">
        <v>0</v>
      </c>
      <c r="S637" s="45">
        <v>0</v>
      </c>
      <c r="T637" s="45">
        <v>0</v>
      </c>
      <c r="U637" s="45">
        <v>0</v>
      </c>
      <c r="V637" s="45">
        <v>0</v>
      </c>
    </row>
    <row r="638" spans="1:22" x14ac:dyDescent="0.25">
      <c r="A638" s="27" t="s">
        <v>851</v>
      </c>
      <c r="B638" s="27" t="s">
        <v>878</v>
      </c>
      <c r="C638" s="27" t="s">
        <v>686</v>
      </c>
      <c r="D638" s="32"/>
      <c r="E638" s="32"/>
      <c r="F638" s="32"/>
      <c r="G638" s="32"/>
      <c r="H638" s="32"/>
      <c r="I638" s="32"/>
      <c r="J638" s="32"/>
      <c r="K638" s="32"/>
      <c r="M638" s="42" t="s">
        <v>851</v>
      </c>
      <c r="N638" s="43" t="s">
        <v>878</v>
      </c>
      <c r="O638" s="43" t="s">
        <v>686</v>
      </c>
      <c r="P638" s="44"/>
      <c r="Q638" s="45"/>
      <c r="R638" s="45"/>
      <c r="S638" s="45"/>
      <c r="T638" s="45"/>
      <c r="U638" s="45"/>
      <c r="V638" s="45"/>
    </row>
    <row r="639" spans="1:22" x14ac:dyDescent="0.25">
      <c r="A639" s="27" t="s">
        <v>841</v>
      </c>
      <c r="B639" s="27" t="s">
        <v>878</v>
      </c>
      <c r="C639" s="27" t="s">
        <v>687</v>
      </c>
      <c r="D639" s="32"/>
      <c r="E639" s="32"/>
      <c r="F639" s="32"/>
      <c r="G639" s="32"/>
      <c r="H639" s="32"/>
      <c r="I639" s="32"/>
      <c r="J639" s="32"/>
      <c r="K639" s="32"/>
      <c r="M639" s="42" t="s">
        <v>841</v>
      </c>
      <c r="N639" s="43" t="s">
        <v>878</v>
      </c>
      <c r="O639" s="43" t="s">
        <v>687</v>
      </c>
      <c r="P639" s="44"/>
      <c r="Q639" s="45"/>
      <c r="R639" s="45"/>
      <c r="S639" s="45"/>
      <c r="T639" s="45"/>
      <c r="U639" s="45"/>
      <c r="V639" s="45"/>
    </row>
    <row r="640" spans="1:22" x14ac:dyDescent="0.25">
      <c r="A640" s="27" t="s">
        <v>859</v>
      </c>
      <c r="B640" s="27" t="s">
        <v>878</v>
      </c>
      <c r="C640" s="27" t="s">
        <v>688</v>
      </c>
      <c r="D640" s="32">
        <v>11989</v>
      </c>
      <c r="E640" s="32">
        <v>0</v>
      </c>
      <c r="F640" s="32">
        <v>0</v>
      </c>
      <c r="G640" s="32">
        <v>0</v>
      </c>
      <c r="H640" s="32">
        <v>0</v>
      </c>
      <c r="I640" s="32">
        <v>0</v>
      </c>
      <c r="J640" s="32">
        <v>0</v>
      </c>
      <c r="K640" s="32"/>
      <c r="M640" s="42" t="s">
        <v>859</v>
      </c>
      <c r="N640" s="43" t="s">
        <v>878</v>
      </c>
      <c r="O640" s="43" t="s">
        <v>688</v>
      </c>
      <c r="P640" s="44">
        <v>11989</v>
      </c>
      <c r="Q640" s="45">
        <v>0</v>
      </c>
      <c r="R640" s="45">
        <v>0</v>
      </c>
      <c r="S640" s="45">
        <v>0</v>
      </c>
      <c r="T640" s="45">
        <v>0</v>
      </c>
      <c r="U640" s="45">
        <v>0</v>
      </c>
      <c r="V640" s="46">
        <v>0</v>
      </c>
    </row>
    <row r="641" spans="1:22" x14ac:dyDescent="0.25">
      <c r="A641" s="27" t="s">
        <v>248</v>
      </c>
      <c r="B641" s="27" t="s">
        <v>878</v>
      </c>
      <c r="C641" s="27" t="s">
        <v>689</v>
      </c>
      <c r="D641" s="32">
        <v>53440</v>
      </c>
      <c r="E641" s="32">
        <v>0</v>
      </c>
      <c r="F641" s="32">
        <v>0</v>
      </c>
      <c r="G641" s="32">
        <v>0</v>
      </c>
      <c r="H641" s="32">
        <v>0</v>
      </c>
      <c r="I641" s="32">
        <v>0</v>
      </c>
      <c r="J641" s="32">
        <v>0</v>
      </c>
      <c r="K641" s="32"/>
      <c r="M641" s="42" t="s">
        <v>248</v>
      </c>
      <c r="N641" s="43" t="s">
        <v>878</v>
      </c>
      <c r="O641" s="43" t="s">
        <v>689</v>
      </c>
      <c r="P641" s="44">
        <v>53440</v>
      </c>
      <c r="Q641" s="45">
        <v>0</v>
      </c>
      <c r="R641" s="45">
        <v>0</v>
      </c>
      <c r="S641" s="45">
        <v>0</v>
      </c>
      <c r="T641" s="45">
        <v>0</v>
      </c>
      <c r="U641" s="45">
        <v>0</v>
      </c>
      <c r="V641" s="46">
        <v>0</v>
      </c>
    </row>
    <row r="642" spans="1:22" x14ac:dyDescent="0.25">
      <c r="A642" s="27" t="s">
        <v>831</v>
      </c>
      <c r="B642" s="27" t="s">
        <v>878</v>
      </c>
      <c r="C642" s="27" t="s">
        <v>690</v>
      </c>
      <c r="D642" s="32"/>
      <c r="E642" s="32"/>
      <c r="F642" s="32"/>
      <c r="G642" s="32"/>
      <c r="H642" s="32"/>
      <c r="I642" s="32"/>
      <c r="J642" s="32"/>
      <c r="K642" s="32"/>
      <c r="M642" s="42" t="s">
        <v>831</v>
      </c>
      <c r="N642" s="43" t="s">
        <v>878</v>
      </c>
      <c r="O642" s="43" t="s">
        <v>690</v>
      </c>
      <c r="P642" s="44"/>
      <c r="Q642" s="45"/>
      <c r="R642" s="45"/>
      <c r="S642" s="45"/>
      <c r="T642" s="45"/>
      <c r="U642" s="45"/>
      <c r="V642" s="45"/>
    </row>
    <row r="643" spans="1:22" x14ac:dyDescent="0.25">
      <c r="A643" s="27" t="s">
        <v>840</v>
      </c>
      <c r="B643" s="27" t="s">
        <v>878</v>
      </c>
      <c r="C643" s="27" t="s">
        <v>691</v>
      </c>
      <c r="D643" s="32"/>
      <c r="E643" s="32"/>
      <c r="F643" s="32"/>
      <c r="G643" s="32"/>
      <c r="H643" s="32"/>
      <c r="I643" s="32"/>
      <c r="J643" s="32"/>
      <c r="K643" s="32"/>
      <c r="M643" s="42" t="s">
        <v>840</v>
      </c>
      <c r="N643" s="43" t="s">
        <v>878</v>
      </c>
      <c r="O643" s="43" t="s">
        <v>691</v>
      </c>
      <c r="P643" s="44"/>
      <c r="Q643" s="45"/>
      <c r="R643" s="45"/>
      <c r="S643" s="45"/>
      <c r="T643" s="45"/>
      <c r="U643" s="45"/>
      <c r="V643" s="46"/>
    </row>
    <row r="644" spans="1:22" x14ac:dyDescent="0.25">
      <c r="A644" s="27" t="s">
        <v>495</v>
      </c>
      <c r="B644" s="27" t="s">
        <v>878</v>
      </c>
      <c r="C644" s="27" t="s">
        <v>692</v>
      </c>
      <c r="D644" s="32">
        <v>26527</v>
      </c>
      <c r="E644" s="32">
        <v>0</v>
      </c>
      <c r="F644" s="32">
        <v>0</v>
      </c>
      <c r="G644" s="32">
        <v>0</v>
      </c>
      <c r="H644" s="32">
        <v>0</v>
      </c>
      <c r="I644" s="32">
        <v>0</v>
      </c>
      <c r="J644" s="32">
        <v>0</v>
      </c>
      <c r="K644" s="32"/>
      <c r="M644" s="42" t="s">
        <v>495</v>
      </c>
      <c r="N644" s="43" t="s">
        <v>878</v>
      </c>
      <c r="O644" s="43" t="s">
        <v>692</v>
      </c>
      <c r="P644" s="44">
        <v>26527</v>
      </c>
      <c r="Q644" s="45">
        <v>0</v>
      </c>
      <c r="R644" s="45">
        <v>0</v>
      </c>
      <c r="S644" s="45">
        <v>0</v>
      </c>
      <c r="T644" s="45">
        <v>0</v>
      </c>
      <c r="U644" s="45">
        <v>0</v>
      </c>
      <c r="V644" s="46">
        <v>0</v>
      </c>
    </row>
    <row r="645" spans="1:22" x14ac:dyDescent="0.25">
      <c r="A645" s="27" t="s">
        <v>824</v>
      </c>
      <c r="B645" s="27" t="s">
        <v>878</v>
      </c>
      <c r="C645" s="27" t="s">
        <v>693</v>
      </c>
      <c r="D645" s="32">
        <v>30718</v>
      </c>
      <c r="E645" s="32">
        <v>0</v>
      </c>
      <c r="F645" s="32">
        <v>0</v>
      </c>
      <c r="G645" s="32">
        <v>0</v>
      </c>
      <c r="H645" s="32">
        <v>0</v>
      </c>
      <c r="I645" s="32">
        <v>0</v>
      </c>
      <c r="J645" s="32">
        <v>0</v>
      </c>
      <c r="K645" s="32"/>
      <c r="M645" s="42" t="s">
        <v>824</v>
      </c>
      <c r="N645" s="43" t="s">
        <v>878</v>
      </c>
      <c r="O645" s="43" t="s">
        <v>693</v>
      </c>
      <c r="P645" s="44">
        <v>30718</v>
      </c>
      <c r="Q645" s="45">
        <v>0</v>
      </c>
      <c r="R645" s="45">
        <v>0</v>
      </c>
      <c r="S645" s="45">
        <v>0</v>
      </c>
      <c r="T645" s="45">
        <v>0</v>
      </c>
      <c r="U645" s="45">
        <v>0</v>
      </c>
      <c r="V645" s="46">
        <v>0</v>
      </c>
    </row>
    <row r="646" spans="1:22" x14ac:dyDescent="0.25">
      <c r="A646" s="27" t="s">
        <v>806</v>
      </c>
      <c r="B646" s="27" t="s">
        <v>878</v>
      </c>
      <c r="C646" s="27" t="s">
        <v>694</v>
      </c>
      <c r="D646" s="32">
        <v>7815</v>
      </c>
      <c r="E646" s="32">
        <v>0</v>
      </c>
      <c r="F646" s="32">
        <v>0</v>
      </c>
      <c r="G646" s="32">
        <v>0</v>
      </c>
      <c r="H646" s="32">
        <v>0</v>
      </c>
      <c r="I646" s="32">
        <v>0</v>
      </c>
      <c r="J646" s="32">
        <v>0</v>
      </c>
      <c r="K646" s="32"/>
      <c r="M646" s="42" t="s">
        <v>806</v>
      </c>
      <c r="N646" s="43" t="s">
        <v>878</v>
      </c>
      <c r="O646" s="43" t="s">
        <v>694</v>
      </c>
      <c r="P646" s="44">
        <v>7815</v>
      </c>
      <c r="Q646" s="45">
        <v>0</v>
      </c>
      <c r="R646" s="45">
        <v>0</v>
      </c>
      <c r="S646" s="45">
        <v>0</v>
      </c>
      <c r="T646" s="45">
        <v>0</v>
      </c>
      <c r="U646" s="45">
        <v>0</v>
      </c>
      <c r="V646" s="46">
        <v>0</v>
      </c>
    </row>
    <row r="647" spans="1:22" x14ac:dyDescent="0.25">
      <c r="A647" s="27" t="s">
        <v>806</v>
      </c>
      <c r="B647" s="27" t="s">
        <v>878</v>
      </c>
      <c r="C647" s="27" t="s">
        <v>695</v>
      </c>
      <c r="D647" s="32">
        <v>3873</v>
      </c>
      <c r="E647" s="32">
        <v>0</v>
      </c>
      <c r="F647" s="32">
        <v>0</v>
      </c>
      <c r="G647" s="32">
        <v>0</v>
      </c>
      <c r="H647" s="32">
        <v>0</v>
      </c>
      <c r="I647" s="32">
        <v>0</v>
      </c>
      <c r="J647" s="32">
        <v>0</v>
      </c>
      <c r="K647" s="32"/>
      <c r="M647" s="42" t="s">
        <v>806</v>
      </c>
      <c r="N647" s="43" t="s">
        <v>878</v>
      </c>
      <c r="O647" s="43" t="s">
        <v>695</v>
      </c>
      <c r="P647" s="44">
        <v>3873</v>
      </c>
      <c r="Q647" s="45">
        <v>0</v>
      </c>
      <c r="R647" s="45">
        <v>0</v>
      </c>
      <c r="S647" s="45">
        <v>0</v>
      </c>
      <c r="T647" s="45">
        <v>0</v>
      </c>
      <c r="U647" s="45">
        <v>0</v>
      </c>
      <c r="V647" s="46">
        <v>0</v>
      </c>
    </row>
    <row r="648" spans="1:22" x14ac:dyDescent="0.25">
      <c r="A648" s="27" t="s">
        <v>795</v>
      </c>
      <c r="B648" s="27" t="s">
        <v>878</v>
      </c>
      <c r="C648" s="27" t="s">
        <v>696</v>
      </c>
      <c r="D648" s="32">
        <v>12888</v>
      </c>
      <c r="E648" s="32">
        <v>0</v>
      </c>
      <c r="F648" s="32">
        <v>0</v>
      </c>
      <c r="G648" s="32">
        <v>0</v>
      </c>
      <c r="H648" s="32">
        <v>0</v>
      </c>
      <c r="I648" s="32">
        <v>0</v>
      </c>
      <c r="J648" s="32">
        <v>0</v>
      </c>
      <c r="K648" s="32"/>
      <c r="M648" s="42" t="s">
        <v>795</v>
      </c>
      <c r="N648" s="43" t="s">
        <v>878</v>
      </c>
      <c r="O648" s="43" t="s">
        <v>696</v>
      </c>
      <c r="P648" s="44">
        <v>12888</v>
      </c>
      <c r="Q648" s="45">
        <v>0</v>
      </c>
      <c r="R648" s="45">
        <v>0</v>
      </c>
      <c r="S648" s="45">
        <v>0</v>
      </c>
      <c r="T648" s="45">
        <v>0</v>
      </c>
      <c r="U648" s="45">
        <v>0</v>
      </c>
      <c r="V648" s="46">
        <v>0</v>
      </c>
    </row>
    <row r="649" spans="1:22" x14ac:dyDescent="0.25">
      <c r="A649" s="27" t="s">
        <v>831</v>
      </c>
      <c r="B649" s="27" t="s">
        <v>878</v>
      </c>
      <c r="C649" s="27" t="s">
        <v>697</v>
      </c>
      <c r="D649" s="32"/>
      <c r="E649" s="32"/>
      <c r="F649" s="32"/>
      <c r="G649" s="32"/>
      <c r="H649" s="32"/>
      <c r="I649" s="32"/>
      <c r="J649" s="32"/>
      <c r="K649" s="32"/>
      <c r="M649" s="42" t="s">
        <v>831</v>
      </c>
      <c r="N649" s="43" t="s">
        <v>878</v>
      </c>
      <c r="O649" s="43" t="s">
        <v>697</v>
      </c>
      <c r="P649" s="44"/>
      <c r="Q649" s="45"/>
      <c r="R649" s="45"/>
      <c r="S649" s="45"/>
      <c r="T649" s="45"/>
      <c r="U649" s="45"/>
      <c r="V649" s="46"/>
    </row>
    <row r="650" spans="1:22" x14ac:dyDescent="0.25">
      <c r="A650" s="27" t="s">
        <v>829</v>
      </c>
      <c r="B650" s="27" t="s">
        <v>878</v>
      </c>
      <c r="C650" s="27" t="s">
        <v>698</v>
      </c>
      <c r="D650" s="32"/>
      <c r="E650" s="32"/>
      <c r="F650" s="32"/>
      <c r="G650" s="32"/>
      <c r="H650" s="32"/>
      <c r="I650" s="32"/>
      <c r="J650" s="32"/>
      <c r="K650" s="32"/>
      <c r="M650" s="42" t="s">
        <v>829</v>
      </c>
      <c r="N650" s="43" t="s">
        <v>878</v>
      </c>
      <c r="O650" s="43" t="s">
        <v>698</v>
      </c>
      <c r="P650" s="44"/>
      <c r="Q650" s="45"/>
      <c r="R650" s="45"/>
      <c r="S650" s="45"/>
      <c r="T650" s="45"/>
      <c r="U650" s="45"/>
      <c r="V650" s="45"/>
    </row>
    <row r="651" spans="1:22" x14ac:dyDescent="0.25">
      <c r="A651" s="27" t="s">
        <v>811</v>
      </c>
      <c r="B651" s="27" t="s">
        <v>878</v>
      </c>
      <c r="C651" s="27" t="s">
        <v>699</v>
      </c>
      <c r="D651" s="32">
        <v>24254</v>
      </c>
      <c r="E651" s="32">
        <v>0</v>
      </c>
      <c r="F651" s="32">
        <v>0</v>
      </c>
      <c r="G651" s="32">
        <v>0</v>
      </c>
      <c r="H651" s="32">
        <v>0</v>
      </c>
      <c r="I651" s="32">
        <v>0</v>
      </c>
      <c r="J651" s="32">
        <v>0</v>
      </c>
      <c r="K651" s="32"/>
      <c r="M651" s="42" t="s">
        <v>811</v>
      </c>
      <c r="N651" s="43" t="s">
        <v>878</v>
      </c>
      <c r="O651" s="43" t="s">
        <v>699</v>
      </c>
      <c r="P651" s="44">
        <v>24254</v>
      </c>
      <c r="Q651" s="45">
        <v>0</v>
      </c>
      <c r="R651" s="45">
        <v>0</v>
      </c>
      <c r="S651" s="45">
        <v>0</v>
      </c>
      <c r="T651" s="45">
        <v>0</v>
      </c>
      <c r="U651" s="45">
        <v>0</v>
      </c>
      <c r="V651" s="45">
        <v>0</v>
      </c>
    </row>
    <row r="652" spans="1:22" x14ac:dyDescent="0.25">
      <c r="A652" s="27" t="s">
        <v>856</v>
      </c>
      <c r="B652" s="27" t="s">
        <v>878</v>
      </c>
      <c r="C652" s="27" t="s">
        <v>700</v>
      </c>
      <c r="D652" s="32"/>
      <c r="E652" s="32"/>
      <c r="F652" s="32"/>
      <c r="G652" s="32"/>
      <c r="H652" s="32"/>
      <c r="I652" s="32"/>
      <c r="J652" s="32"/>
      <c r="K652" s="32"/>
      <c r="M652" s="42" t="s">
        <v>856</v>
      </c>
      <c r="N652" s="43" t="s">
        <v>878</v>
      </c>
      <c r="O652" s="43" t="s">
        <v>700</v>
      </c>
      <c r="P652" s="44"/>
      <c r="Q652" s="45"/>
      <c r="R652" s="45"/>
      <c r="S652" s="45"/>
      <c r="T652" s="45"/>
      <c r="U652" s="45"/>
      <c r="V652" s="46"/>
    </row>
    <row r="653" spans="1:22" x14ac:dyDescent="0.25">
      <c r="A653" s="27" t="s">
        <v>796</v>
      </c>
      <c r="B653" s="27" t="s">
        <v>878</v>
      </c>
      <c r="C653" s="27" t="s">
        <v>701</v>
      </c>
      <c r="D653" s="32">
        <v>25326</v>
      </c>
      <c r="E653" s="32">
        <v>0</v>
      </c>
      <c r="F653" s="32">
        <v>0</v>
      </c>
      <c r="G653" s="32">
        <v>0</v>
      </c>
      <c r="H653" s="32">
        <v>0</v>
      </c>
      <c r="I653" s="32">
        <v>0</v>
      </c>
      <c r="J653" s="32">
        <v>0</v>
      </c>
      <c r="K653" s="32"/>
      <c r="M653" s="42" t="s">
        <v>796</v>
      </c>
      <c r="N653" s="43" t="s">
        <v>878</v>
      </c>
      <c r="O653" s="43" t="s">
        <v>701</v>
      </c>
      <c r="P653" s="44">
        <v>25326</v>
      </c>
      <c r="Q653" s="45">
        <v>0</v>
      </c>
      <c r="R653" s="45">
        <v>0</v>
      </c>
      <c r="S653" s="45">
        <v>0</v>
      </c>
      <c r="T653" s="45">
        <v>0</v>
      </c>
      <c r="U653" s="45">
        <v>0</v>
      </c>
      <c r="V653" s="46">
        <v>0</v>
      </c>
    </row>
    <row r="654" spans="1:22" x14ac:dyDescent="0.25">
      <c r="A654" s="27" t="s">
        <v>791</v>
      </c>
      <c r="B654" s="27" t="s">
        <v>878</v>
      </c>
      <c r="C654" s="27" t="s">
        <v>702</v>
      </c>
      <c r="D654" s="32">
        <v>4684</v>
      </c>
      <c r="E654" s="32">
        <v>0</v>
      </c>
      <c r="F654" s="32">
        <v>0</v>
      </c>
      <c r="G654" s="32">
        <v>0</v>
      </c>
      <c r="H654" s="32">
        <v>0</v>
      </c>
      <c r="I654" s="32">
        <v>0</v>
      </c>
      <c r="J654" s="32">
        <v>0</v>
      </c>
      <c r="K654" s="32"/>
      <c r="M654" s="42" t="s">
        <v>791</v>
      </c>
      <c r="N654" s="43" t="s">
        <v>878</v>
      </c>
      <c r="O654" s="43" t="s">
        <v>702</v>
      </c>
      <c r="P654" s="44">
        <v>4684</v>
      </c>
      <c r="Q654" s="45">
        <v>0</v>
      </c>
      <c r="R654" s="45">
        <v>0</v>
      </c>
      <c r="S654" s="45">
        <v>0</v>
      </c>
      <c r="T654" s="45">
        <v>0</v>
      </c>
      <c r="U654" s="45">
        <v>0</v>
      </c>
      <c r="V654" s="45">
        <v>0</v>
      </c>
    </row>
    <row r="655" spans="1:22" x14ac:dyDescent="0.25">
      <c r="A655" s="27" t="s">
        <v>850</v>
      </c>
      <c r="B655" s="27" t="s">
        <v>878</v>
      </c>
      <c r="C655" s="27" t="s">
        <v>703</v>
      </c>
      <c r="D655" s="32"/>
      <c r="E655" s="32"/>
      <c r="F655" s="32"/>
      <c r="G655" s="32"/>
      <c r="H655" s="32"/>
      <c r="I655" s="32"/>
      <c r="J655" s="32"/>
      <c r="K655" s="32"/>
      <c r="M655" s="42" t="s">
        <v>850</v>
      </c>
      <c r="N655" s="43" t="s">
        <v>878</v>
      </c>
      <c r="O655" s="43" t="s">
        <v>703</v>
      </c>
      <c r="P655" s="44"/>
      <c r="Q655" s="45"/>
      <c r="R655" s="45"/>
      <c r="S655" s="45"/>
      <c r="T655" s="45"/>
      <c r="U655" s="45"/>
      <c r="V655" s="45"/>
    </row>
    <row r="656" spans="1:22" x14ac:dyDescent="0.25">
      <c r="A656" s="27" t="s">
        <v>146</v>
      </c>
      <c r="B656" s="27" t="s">
        <v>878</v>
      </c>
      <c r="C656" s="27" t="s">
        <v>704</v>
      </c>
      <c r="D656" s="32">
        <v>29479</v>
      </c>
      <c r="E656" s="32">
        <v>0</v>
      </c>
      <c r="F656" s="32">
        <v>0</v>
      </c>
      <c r="G656" s="32">
        <v>0</v>
      </c>
      <c r="H656" s="32">
        <v>0</v>
      </c>
      <c r="I656" s="32">
        <v>0</v>
      </c>
      <c r="J656" s="32">
        <v>0</v>
      </c>
      <c r="K656" s="32"/>
      <c r="M656" s="42" t="s">
        <v>146</v>
      </c>
      <c r="N656" s="43" t="s">
        <v>878</v>
      </c>
      <c r="O656" s="43" t="s">
        <v>704</v>
      </c>
      <c r="P656" s="44">
        <v>29479</v>
      </c>
      <c r="Q656" s="45">
        <v>0</v>
      </c>
      <c r="R656" s="45">
        <v>0</v>
      </c>
      <c r="S656" s="45">
        <v>0</v>
      </c>
      <c r="T656" s="45">
        <v>0</v>
      </c>
      <c r="U656" s="45">
        <v>0</v>
      </c>
      <c r="V656" s="45">
        <v>0</v>
      </c>
    </row>
    <row r="657" spans="1:22" x14ac:dyDescent="0.25">
      <c r="A657" s="27" t="s">
        <v>846</v>
      </c>
      <c r="B657" s="27" t="s">
        <v>878</v>
      </c>
      <c r="C657" s="27" t="s">
        <v>705</v>
      </c>
      <c r="D657" s="32"/>
      <c r="E657" s="32"/>
      <c r="F657" s="32"/>
      <c r="G657" s="32"/>
      <c r="H657" s="32"/>
      <c r="I657" s="32"/>
      <c r="J657" s="32"/>
      <c r="K657" s="32"/>
      <c r="M657" s="42" t="s">
        <v>846</v>
      </c>
      <c r="N657" s="43" t="s">
        <v>878</v>
      </c>
      <c r="O657" s="43" t="s">
        <v>705</v>
      </c>
      <c r="P657" s="44"/>
      <c r="Q657" s="45"/>
      <c r="R657" s="45"/>
      <c r="S657" s="45"/>
      <c r="T657" s="45"/>
      <c r="U657" s="45"/>
      <c r="V657" s="45"/>
    </row>
    <row r="658" spans="1:22" x14ac:dyDescent="0.25">
      <c r="A658" s="27" t="s">
        <v>855</v>
      </c>
      <c r="B658" s="27" t="s">
        <v>878</v>
      </c>
      <c r="C658" s="27" t="s">
        <v>706</v>
      </c>
      <c r="D658" s="32"/>
      <c r="E658" s="32"/>
      <c r="F658" s="32"/>
      <c r="G658" s="32"/>
      <c r="H658" s="32"/>
      <c r="I658" s="32"/>
      <c r="J658" s="32"/>
      <c r="K658" s="32"/>
      <c r="M658" s="42" t="s">
        <v>855</v>
      </c>
      <c r="N658" s="43" t="s">
        <v>878</v>
      </c>
      <c r="O658" s="43" t="s">
        <v>706</v>
      </c>
      <c r="P658" s="44"/>
      <c r="Q658" s="45"/>
      <c r="R658" s="45"/>
      <c r="S658" s="45"/>
      <c r="T658" s="45"/>
      <c r="U658" s="45"/>
      <c r="V658" s="45"/>
    </row>
    <row r="659" spans="1:22" x14ac:dyDescent="0.25">
      <c r="A659" s="27" t="s">
        <v>794</v>
      </c>
      <c r="B659" s="27" t="s">
        <v>878</v>
      </c>
      <c r="C659" s="27" t="s">
        <v>707</v>
      </c>
      <c r="D659" s="32"/>
      <c r="E659" s="32"/>
      <c r="F659" s="32"/>
      <c r="G659" s="32"/>
      <c r="H659" s="32"/>
      <c r="I659" s="32"/>
      <c r="J659" s="32"/>
      <c r="K659" s="32"/>
      <c r="M659" s="42" t="s">
        <v>794</v>
      </c>
      <c r="N659" s="43" t="s">
        <v>878</v>
      </c>
      <c r="O659" s="43" t="s">
        <v>707</v>
      </c>
      <c r="P659" s="44"/>
      <c r="Q659" s="45"/>
      <c r="R659" s="45"/>
      <c r="S659" s="45"/>
      <c r="T659" s="45"/>
      <c r="U659" s="45"/>
      <c r="V659" s="45"/>
    </row>
    <row r="660" spans="1:22" x14ac:dyDescent="0.25">
      <c r="A660" s="27" t="s">
        <v>803</v>
      </c>
      <c r="B660" s="27" t="s">
        <v>878</v>
      </c>
      <c r="C660" s="27" t="s">
        <v>708</v>
      </c>
      <c r="D660" s="32"/>
      <c r="E660" s="32"/>
      <c r="F660" s="32"/>
      <c r="G660" s="32"/>
      <c r="H660" s="32"/>
      <c r="I660" s="32"/>
      <c r="J660" s="32"/>
      <c r="K660" s="32"/>
      <c r="M660" s="42" t="s">
        <v>803</v>
      </c>
      <c r="N660" s="43" t="s">
        <v>878</v>
      </c>
      <c r="O660" s="43" t="s">
        <v>708</v>
      </c>
      <c r="P660" s="44"/>
      <c r="Q660" s="45"/>
      <c r="R660" s="45"/>
      <c r="S660" s="45"/>
      <c r="T660" s="45"/>
      <c r="U660" s="45"/>
      <c r="V660" s="46"/>
    </row>
    <row r="661" spans="1:22" x14ac:dyDescent="0.25">
      <c r="A661" s="27" t="s">
        <v>834</v>
      </c>
      <c r="B661" s="27" t="s">
        <v>878</v>
      </c>
      <c r="C661" s="27" t="s">
        <v>709</v>
      </c>
      <c r="D661" s="32"/>
      <c r="E661" s="32"/>
      <c r="F661" s="32"/>
      <c r="G661" s="32"/>
      <c r="H661" s="32"/>
      <c r="I661" s="32"/>
      <c r="J661" s="32"/>
      <c r="K661" s="32"/>
      <c r="M661" s="42" t="s">
        <v>834</v>
      </c>
      <c r="N661" s="43" t="s">
        <v>878</v>
      </c>
      <c r="O661" s="43" t="s">
        <v>709</v>
      </c>
      <c r="P661" s="44"/>
      <c r="Q661" s="45"/>
      <c r="R661" s="45"/>
      <c r="S661" s="45"/>
      <c r="T661" s="45"/>
      <c r="U661" s="45"/>
      <c r="V661" s="45"/>
    </row>
    <row r="662" spans="1:22" x14ac:dyDescent="0.25">
      <c r="A662" s="27" t="s">
        <v>852</v>
      </c>
      <c r="B662" s="27" t="s">
        <v>878</v>
      </c>
      <c r="C662" s="27" t="s">
        <v>710</v>
      </c>
      <c r="D662" s="32"/>
      <c r="E662" s="32"/>
      <c r="F662" s="32"/>
      <c r="G662" s="32"/>
      <c r="H662" s="32"/>
      <c r="I662" s="32"/>
      <c r="J662" s="32"/>
      <c r="K662" s="32"/>
      <c r="M662" s="42" t="s">
        <v>852</v>
      </c>
      <c r="N662" s="43" t="s">
        <v>878</v>
      </c>
      <c r="O662" s="43" t="s">
        <v>710</v>
      </c>
      <c r="P662" s="44"/>
      <c r="Q662" s="45"/>
      <c r="R662" s="45"/>
      <c r="S662" s="45"/>
      <c r="T662" s="45"/>
      <c r="U662" s="45"/>
      <c r="V662" s="45"/>
    </row>
    <row r="663" spans="1:22" x14ac:dyDescent="0.25">
      <c r="A663" s="27" t="s">
        <v>824</v>
      </c>
      <c r="B663" s="27" t="s">
        <v>878</v>
      </c>
      <c r="C663" s="27" t="s">
        <v>711</v>
      </c>
      <c r="D663" s="32">
        <v>18280</v>
      </c>
      <c r="E663" s="32">
        <v>0</v>
      </c>
      <c r="F663" s="32">
        <v>0</v>
      </c>
      <c r="G663" s="32">
        <v>0</v>
      </c>
      <c r="H663" s="32">
        <v>0</v>
      </c>
      <c r="I663" s="32">
        <v>0</v>
      </c>
      <c r="J663" s="32">
        <v>0</v>
      </c>
      <c r="K663" s="32"/>
      <c r="M663" s="42" t="s">
        <v>824</v>
      </c>
      <c r="N663" s="43" t="s">
        <v>878</v>
      </c>
      <c r="O663" s="43" t="s">
        <v>711</v>
      </c>
      <c r="P663" s="44">
        <v>18280</v>
      </c>
      <c r="Q663" s="45">
        <v>0</v>
      </c>
      <c r="R663" s="45">
        <v>0</v>
      </c>
      <c r="S663" s="45">
        <v>0</v>
      </c>
      <c r="T663" s="45">
        <v>0</v>
      </c>
      <c r="U663" s="45">
        <v>0</v>
      </c>
      <c r="V663" s="46">
        <v>0</v>
      </c>
    </row>
    <row r="664" spans="1:22" x14ac:dyDescent="0.25">
      <c r="A664" s="27" t="s">
        <v>817</v>
      </c>
      <c r="B664" s="27" t="s">
        <v>878</v>
      </c>
      <c r="C664" s="27" t="s">
        <v>712</v>
      </c>
      <c r="D664" s="32"/>
      <c r="E664" s="32"/>
      <c r="F664" s="32"/>
      <c r="G664" s="32"/>
      <c r="H664" s="32"/>
      <c r="I664" s="32"/>
      <c r="J664" s="32"/>
      <c r="K664" s="32"/>
      <c r="M664" s="42" t="s">
        <v>817</v>
      </c>
      <c r="N664" s="43" t="s">
        <v>878</v>
      </c>
      <c r="O664" s="43" t="s">
        <v>712</v>
      </c>
      <c r="P664" s="44"/>
      <c r="Q664" s="45"/>
      <c r="R664" s="45"/>
      <c r="S664" s="45"/>
      <c r="T664" s="45"/>
      <c r="U664" s="45"/>
      <c r="V664" s="46"/>
    </row>
    <row r="665" spans="1:22" x14ac:dyDescent="0.25">
      <c r="A665" s="27" t="s">
        <v>857</v>
      </c>
      <c r="B665" s="27" t="s">
        <v>878</v>
      </c>
      <c r="C665" s="27" t="s">
        <v>713</v>
      </c>
      <c r="D665" s="32"/>
      <c r="E665" s="32"/>
      <c r="F665" s="32"/>
      <c r="G665" s="32"/>
      <c r="H665" s="32"/>
      <c r="I665" s="32"/>
      <c r="J665" s="32"/>
      <c r="K665" s="32"/>
      <c r="M665" s="42" t="s">
        <v>857</v>
      </c>
      <c r="N665" s="43" t="s">
        <v>878</v>
      </c>
      <c r="O665" s="43" t="s">
        <v>713</v>
      </c>
      <c r="P665" s="44"/>
      <c r="Q665" s="45"/>
      <c r="R665" s="45"/>
      <c r="S665" s="45"/>
      <c r="T665" s="45"/>
      <c r="U665" s="45"/>
      <c r="V665" s="45"/>
    </row>
    <row r="666" spans="1:22" x14ac:dyDescent="0.25">
      <c r="A666" s="27" t="s">
        <v>146</v>
      </c>
      <c r="B666" s="27" t="s">
        <v>878</v>
      </c>
      <c r="C666" s="27" t="s">
        <v>714</v>
      </c>
      <c r="D666" s="32">
        <v>38912</v>
      </c>
      <c r="E666" s="32">
        <v>0</v>
      </c>
      <c r="F666" s="32">
        <v>0</v>
      </c>
      <c r="G666" s="32">
        <v>0</v>
      </c>
      <c r="H666" s="32">
        <v>0</v>
      </c>
      <c r="I666" s="32">
        <v>0</v>
      </c>
      <c r="J666" s="32">
        <v>0</v>
      </c>
      <c r="K666" s="32"/>
      <c r="M666" s="42" t="s">
        <v>146</v>
      </c>
      <c r="N666" s="43" t="s">
        <v>878</v>
      </c>
      <c r="O666" s="43" t="s">
        <v>714</v>
      </c>
      <c r="P666" s="44">
        <v>38912</v>
      </c>
      <c r="Q666" s="45">
        <v>0</v>
      </c>
      <c r="R666" s="45">
        <v>0</v>
      </c>
      <c r="S666" s="45">
        <v>0</v>
      </c>
      <c r="T666" s="45">
        <v>0</v>
      </c>
      <c r="U666" s="45">
        <v>0</v>
      </c>
      <c r="V666" s="46">
        <v>0</v>
      </c>
    </row>
    <row r="667" spans="1:22" x14ac:dyDescent="0.25">
      <c r="A667" s="27" t="s">
        <v>120</v>
      </c>
      <c r="B667" s="27" t="s">
        <v>878</v>
      </c>
      <c r="C667" s="27" t="s">
        <v>715</v>
      </c>
      <c r="D667" s="32">
        <v>13497</v>
      </c>
      <c r="E667" s="32">
        <v>0</v>
      </c>
      <c r="F667" s="32">
        <v>0</v>
      </c>
      <c r="G667" s="32">
        <v>0</v>
      </c>
      <c r="H667" s="32">
        <v>0</v>
      </c>
      <c r="I667" s="32">
        <v>0</v>
      </c>
      <c r="J667" s="32">
        <v>0</v>
      </c>
      <c r="K667" s="32"/>
      <c r="M667" s="42" t="s">
        <v>120</v>
      </c>
      <c r="N667" s="43" t="s">
        <v>878</v>
      </c>
      <c r="O667" s="43" t="s">
        <v>715</v>
      </c>
      <c r="P667" s="44">
        <v>13497</v>
      </c>
      <c r="Q667" s="45">
        <v>0</v>
      </c>
      <c r="R667" s="45">
        <v>0</v>
      </c>
      <c r="S667" s="45">
        <v>0</v>
      </c>
      <c r="T667" s="45">
        <v>0</v>
      </c>
      <c r="U667" s="45">
        <v>0</v>
      </c>
      <c r="V667" s="46">
        <v>0</v>
      </c>
    </row>
    <row r="668" spans="1:22" x14ac:dyDescent="0.25">
      <c r="A668" s="27" t="s">
        <v>146</v>
      </c>
      <c r="B668" s="27" t="s">
        <v>878</v>
      </c>
      <c r="C668" s="27" t="s">
        <v>716</v>
      </c>
      <c r="D668" s="32">
        <v>9841</v>
      </c>
      <c r="E668" s="32">
        <v>0</v>
      </c>
      <c r="F668" s="32">
        <v>0</v>
      </c>
      <c r="G668" s="32">
        <v>0</v>
      </c>
      <c r="H668" s="32">
        <v>0</v>
      </c>
      <c r="I668" s="32">
        <v>0</v>
      </c>
      <c r="J668" s="32">
        <v>0</v>
      </c>
      <c r="K668" s="32"/>
      <c r="M668" s="42" t="s">
        <v>146</v>
      </c>
      <c r="N668" s="43" t="s">
        <v>878</v>
      </c>
      <c r="O668" s="43" t="s">
        <v>716</v>
      </c>
      <c r="P668" s="44">
        <v>9841</v>
      </c>
      <c r="Q668" s="45">
        <v>0</v>
      </c>
      <c r="R668" s="45">
        <v>0</v>
      </c>
      <c r="S668" s="45">
        <v>0</v>
      </c>
      <c r="T668" s="45">
        <v>0</v>
      </c>
      <c r="U668" s="45">
        <v>0</v>
      </c>
      <c r="V668" s="46">
        <v>0</v>
      </c>
    </row>
    <row r="669" spans="1:22" x14ac:dyDescent="0.25">
      <c r="A669" s="27" t="s">
        <v>811</v>
      </c>
      <c r="B669" s="27" t="s">
        <v>878</v>
      </c>
      <c r="C669" s="27" t="s">
        <v>717</v>
      </c>
      <c r="D669" s="32">
        <v>13239</v>
      </c>
      <c r="E669" s="32">
        <v>0</v>
      </c>
      <c r="F669" s="32">
        <v>0</v>
      </c>
      <c r="G669" s="32">
        <v>0</v>
      </c>
      <c r="H669" s="32">
        <v>0</v>
      </c>
      <c r="I669" s="32">
        <v>0</v>
      </c>
      <c r="J669" s="32">
        <v>0</v>
      </c>
      <c r="K669" s="32"/>
      <c r="M669" s="42" t="s">
        <v>811</v>
      </c>
      <c r="N669" s="43" t="s">
        <v>878</v>
      </c>
      <c r="O669" s="43" t="s">
        <v>717</v>
      </c>
      <c r="P669" s="44">
        <v>13239</v>
      </c>
      <c r="Q669" s="45">
        <v>0</v>
      </c>
      <c r="R669" s="45">
        <v>0</v>
      </c>
      <c r="S669" s="45">
        <v>0</v>
      </c>
      <c r="T669" s="45">
        <v>0</v>
      </c>
      <c r="U669" s="45">
        <v>0</v>
      </c>
      <c r="V669" s="46">
        <v>0</v>
      </c>
    </row>
    <row r="670" spans="1:22" x14ac:dyDescent="0.25">
      <c r="A670" s="27" t="s">
        <v>146</v>
      </c>
      <c r="B670" s="27" t="s">
        <v>878</v>
      </c>
      <c r="C670" s="27" t="s">
        <v>718</v>
      </c>
      <c r="D670" s="32">
        <v>30083</v>
      </c>
      <c r="E670" s="32">
        <v>0</v>
      </c>
      <c r="F670" s="32">
        <v>0</v>
      </c>
      <c r="G670" s="32">
        <v>0</v>
      </c>
      <c r="H670" s="32">
        <v>0</v>
      </c>
      <c r="I670" s="32">
        <v>0</v>
      </c>
      <c r="J670" s="32">
        <v>0</v>
      </c>
      <c r="K670" s="32"/>
      <c r="M670" s="42" t="s">
        <v>146</v>
      </c>
      <c r="N670" s="43" t="s">
        <v>878</v>
      </c>
      <c r="O670" s="43" t="s">
        <v>718</v>
      </c>
      <c r="P670" s="44">
        <v>30083</v>
      </c>
      <c r="Q670" s="45">
        <v>0</v>
      </c>
      <c r="R670" s="45">
        <v>0</v>
      </c>
      <c r="S670" s="45">
        <v>0</v>
      </c>
      <c r="T670" s="45">
        <v>0</v>
      </c>
      <c r="U670" s="45">
        <v>0</v>
      </c>
      <c r="V670" s="46">
        <v>0</v>
      </c>
    </row>
    <row r="671" spans="1:22" x14ac:dyDescent="0.25">
      <c r="A671" s="27" t="s">
        <v>816</v>
      </c>
      <c r="B671" s="27" t="s">
        <v>878</v>
      </c>
      <c r="C671" s="27" t="s">
        <v>719</v>
      </c>
      <c r="D671" s="32">
        <v>13606</v>
      </c>
      <c r="E671" s="32">
        <v>0</v>
      </c>
      <c r="F671" s="32">
        <v>0</v>
      </c>
      <c r="G671" s="32">
        <v>0</v>
      </c>
      <c r="H671" s="32">
        <v>0</v>
      </c>
      <c r="I671" s="32">
        <v>0</v>
      </c>
      <c r="J671" s="32">
        <v>0</v>
      </c>
      <c r="K671" s="32"/>
      <c r="M671" s="42" t="s">
        <v>816</v>
      </c>
      <c r="N671" s="43" t="s">
        <v>878</v>
      </c>
      <c r="O671" s="43" t="s">
        <v>719</v>
      </c>
      <c r="P671" s="44">
        <v>13606</v>
      </c>
      <c r="Q671" s="45">
        <v>0</v>
      </c>
      <c r="R671" s="45">
        <v>0</v>
      </c>
      <c r="S671" s="45">
        <v>0</v>
      </c>
      <c r="T671" s="45">
        <v>0</v>
      </c>
      <c r="U671" s="45">
        <v>0</v>
      </c>
      <c r="V671" s="46">
        <v>0</v>
      </c>
    </row>
    <row r="672" spans="1:22" x14ac:dyDescent="0.25">
      <c r="A672" s="27" t="s">
        <v>817</v>
      </c>
      <c r="B672" s="27" t="s">
        <v>878</v>
      </c>
      <c r="C672" s="27" t="s">
        <v>720</v>
      </c>
      <c r="D672" s="32">
        <v>56011</v>
      </c>
      <c r="E672" s="32">
        <v>0</v>
      </c>
      <c r="F672" s="32">
        <v>0</v>
      </c>
      <c r="G672" s="32">
        <v>0</v>
      </c>
      <c r="H672" s="32">
        <v>0</v>
      </c>
      <c r="I672" s="32">
        <v>0</v>
      </c>
      <c r="J672" s="32">
        <v>0</v>
      </c>
      <c r="K672" s="32"/>
      <c r="M672" s="42" t="s">
        <v>817</v>
      </c>
      <c r="N672" s="43" t="s">
        <v>878</v>
      </c>
      <c r="O672" s="43" t="s">
        <v>720</v>
      </c>
      <c r="P672" s="44">
        <v>56011</v>
      </c>
      <c r="Q672" s="45">
        <v>0</v>
      </c>
      <c r="R672" s="45">
        <v>0</v>
      </c>
      <c r="S672" s="45">
        <v>0</v>
      </c>
      <c r="T672" s="45">
        <v>0</v>
      </c>
      <c r="U672" s="45">
        <v>0</v>
      </c>
      <c r="V672" s="46">
        <v>0</v>
      </c>
    </row>
    <row r="673" spans="1:22" x14ac:dyDescent="0.25">
      <c r="A673" s="27" t="s">
        <v>864</v>
      </c>
      <c r="B673" s="27" t="s">
        <v>878</v>
      </c>
      <c r="C673" s="27" t="s">
        <v>721</v>
      </c>
      <c r="D673" s="32">
        <v>71393</v>
      </c>
      <c r="E673" s="32">
        <v>0</v>
      </c>
      <c r="F673" s="32">
        <v>0</v>
      </c>
      <c r="G673" s="32">
        <v>0</v>
      </c>
      <c r="H673" s="32">
        <v>0</v>
      </c>
      <c r="I673" s="32">
        <v>0</v>
      </c>
      <c r="J673" s="32">
        <v>0</v>
      </c>
      <c r="K673" s="32"/>
      <c r="M673" s="42" t="s">
        <v>864</v>
      </c>
      <c r="N673" s="43" t="s">
        <v>878</v>
      </c>
      <c r="O673" s="43" t="s">
        <v>721</v>
      </c>
      <c r="P673" s="44">
        <v>71393</v>
      </c>
      <c r="Q673" s="45">
        <v>0</v>
      </c>
      <c r="R673" s="45">
        <v>0</v>
      </c>
      <c r="S673" s="45">
        <v>0</v>
      </c>
      <c r="T673" s="45">
        <v>0</v>
      </c>
      <c r="U673" s="45">
        <v>0</v>
      </c>
      <c r="V673" s="46">
        <v>0</v>
      </c>
    </row>
    <row r="674" spans="1:22" x14ac:dyDescent="0.25">
      <c r="A674" s="27" t="s">
        <v>146</v>
      </c>
      <c r="B674" s="27" t="s">
        <v>878</v>
      </c>
      <c r="C674" s="27" t="s">
        <v>722</v>
      </c>
      <c r="D674" s="32">
        <v>15327</v>
      </c>
      <c r="E674" s="32">
        <v>0</v>
      </c>
      <c r="F674" s="32">
        <v>0</v>
      </c>
      <c r="G674" s="32">
        <v>0</v>
      </c>
      <c r="H674" s="32">
        <v>0</v>
      </c>
      <c r="I674" s="32">
        <v>0</v>
      </c>
      <c r="J674" s="32">
        <v>0</v>
      </c>
      <c r="K674" s="32"/>
      <c r="M674" s="42" t="s">
        <v>146</v>
      </c>
      <c r="N674" s="43" t="s">
        <v>878</v>
      </c>
      <c r="O674" s="43" t="s">
        <v>722</v>
      </c>
      <c r="P674" s="44">
        <v>15327</v>
      </c>
      <c r="Q674" s="45">
        <v>0</v>
      </c>
      <c r="R674" s="45">
        <v>0</v>
      </c>
      <c r="S674" s="45">
        <v>0</v>
      </c>
      <c r="T674" s="45">
        <v>0</v>
      </c>
      <c r="U674" s="45">
        <v>0</v>
      </c>
      <c r="V674" s="46">
        <v>0</v>
      </c>
    </row>
    <row r="675" spans="1:22" x14ac:dyDescent="0.25">
      <c r="A675" s="27" t="s">
        <v>858</v>
      </c>
      <c r="B675" s="27" t="s">
        <v>878</v>
      </c>
      <c r="C675" s="27" t="s">
        <v>723</v>
      </c>
      <c r="D675" s="32"/>
      <c r="E675" s="32"/>
      <c r="F675" s="32"/>
      <c r="G675" s="32"/>
      <c r="H675" s="32"/>
      <c r="I675" s="32"/>
      <c r="J675" s="32"/>
      <c r="K675" s="32"/>
      <c r="M675" s="42" t="s">
        <v>858</v>
      </c>
      <c r="N675" s="43" t="s">
        <v>878</v>
      </c>
      <c r="O675" s="43" t="s">
        <v>723</v>
      </c>
      <c r="P675" s="44"/>
      <c r="Q675" s="45"/>
      <c r="R675" s="45"/>
      <c r="S675" s="45"/>
      <c r="T675" s="45"/>
      <c r="U675" s="45"/>
      <c r="V675" s="46"/>
    </row>
    <row r="676" spans="1:22" x14ac:dyDescent="0.25">
      <c r="A676" s="27" t="s">
        <v>859</v>
      </c>
      <c r="B676" s="27" t="s">
        <v>878</v>
      </c>
      <c r="C676" s="27" t="s">
        <v>724</v>
      </c>
      <c r="D676" s="32"/>
      <c r="E676" s="32"/>
      <c r="F676" s="32"/>
      <c r="G676" s="32"/>
      <c r="H676" s="32"/>
      <c r="I676" s="32"/>
      <c r="J676" s="32"/>
      <c r="K676" s="32"/>
      <c r="M676" s="42" t="s">
        <v>859</v>
      </c>
      <c r="N676" s="43" t="s">
        <v>878</v>
      </c>
      <c r="O676" s="43" t="s">
        <v>724</v>
      </c>
      <c r="P676" s="44"/>
      <c r="Q676" s="45"/>
      <c r="R676" s="45"/>
      <c r="S676" s="45"/>
      <c r="T676" s="45"/>
      <c r="U676" s="45"/>
      <c r="V676" s="45"/>
    </row>
    <row r="677" spans="1:22" x14ac:dyDescent="0.25">
      <c r="A677" s="27" t="s">
        <v>794</v>
      </c>
      <c r="B677" s="27" t="s">
        <v>878</v>
      </c>
      <c r="C677" s="27" t="s">
        <v>725</v>
      </c>
      <c r="D677" s="32"/>
      <c r="E677" s="32"/>
      <c r="F677" s="32"/>
      <c r="G677" s="32"/>
      <c r="H677" s="32"/>
      <c r="I677" s="32"/>
      <c r="J677" s="32"/>
      <c r="K677" s="32"/>
      <c r="M677" s="42" t="s">
        <v>794</v>
      </c>
      <c r="N677" s="43" t="s">
        <v>878</v>
      </c>
      <c r="O677" s="43" t="s">
        <v>725</v>
      </c>
      <c r="P677" s="44"/>
      <c r="Q677" s="45"/>
      <c r="R677" s="45"/>
      <c r="S677" s="45"/>
      <c r="T677" s="45"/>
      <c r="U677" s="45"/>
      <c r="V677" s="45"/>
    </row>
    <row r="678" spans="1:22" x14ac:dyDescent="0.25">
      <c r="A678" s="27" t="s">
        <v>864</v>
      </c>
      <c r="B678" s="27" t="s">
        <v>878</v>
      </c>
      <c r="C678" s="27" t="s">
        <v>726</v>
      </c>
      <c r="D678" s="32">
        <v>59429</v>
      </c>
      <c r="E678" s="32">
        <v>0</v>
      </c>
      <c r="F678" s="32">
        <v>0</v>
      </c>
      <c r="G678" s="32">
        <v>0</v>
      </c>
      <c r="H678" s="32">
        <v>0</v>
      </c>
      <c r="I678" s="32">
        <v>0</v>
      </c>
      <c r="J678" s="32">
        <v>0</v>
      </c>
      <c r="K678" s="32"/>
      <c r="M678" s="42" t="s">
        <v>864</v>
      </c>
      <c r="N678" s="43" t="s">
        <v>878</v>
      </c>
      <c r="O678" s="43" t="s">
        <v>726</v>
      </c>
      <c r="P678" s="44">
        <v>59429</v>
      </c>
      <c r="Q678" s="45">
        <v>0</v>
      </c>
      <c r="R678" s="45">
        <v>0</v>
      </c>
      <c r="S678" s="45">
        <v>0</v>
      </c>
      <c r="T678" s="45">
        <v>0</v>
      </c>
      <c r="U678" s="45">
        <v>0</v>
      </c>
      <c r="V678" s="45">
        <v>0</v>
      </c>
    </row>
    <row r="679" spans="1:22" x14ac:dyDescent="0.25">
      <c r="A679" s="27" t="s">
        <v>824</v>
      </c>
      <c r="B679" s="27" t="s">
        <v>878</v>
      </c>
      <c r="C679" s="27" t="s">
        <v>727</v>
      </c>
      <c r="D679" s="32">
        <v>16414</v>
      </c>
      <c r="E679" s="32">
        <v>0</v>
      </c>
      <c r="F679" s="32">
        <v>0</v>
      </c>
      <c r="G679" s="32">
        <v>0</v>
      </c>
      <c r="H679" s="32">
        <v>0</v>
      </c>
      <c r="I679" s="32">
        <v>0</v>
      </c>
      <c r="J679" s="32">
        <v>0</v>
      </c>
      <c r="K679" s="32"/>
      <c r="M679" s="42" t="s">
        <v>824</v>
      </c>
      <c r="N679" s="43" t="s">
        <v>878</v>
      </c>
      <c r="O679" s="43" t="s">
        <v>727</v>
      </c>
      <c r="P679" s="44">
        <v>16414</v>
      </c>
      <c r="Q679" s="45">
        <v>0</v>
      </c>
      <c r="R679" s="45">
        <v>0</v>
      </c>
      <c r="S679" s="45">
        <v>0</v>
      </c>
      <c r="T679" s="45">
        <v>0</v>
      </c>
      <c r="U679" s="45">
        <v>0</v>
      </c>
      <c r="V679" s="45">
        <v>0</v>
      </c>
    </row>
    <row r="680" spans="1:22" x14ac:dyDescent="0.25">
      <c r="A680" s="27" t="s">
        <v>134</v>
      </c>
      <c r="B680" s="27" t="s">
        <v>878</v>
      </c>
      <c r="C680" s="27" t="s">
        <v>728</v>
      </c>
      <c r="D680" s="32">
        <v>4602</v>
      </c>
      <c r="E680" s="32">
        <v>0</v>
      </c>
      <c r="F680" s="32">
        <v>0</v>
      </c>
      <c r="G680" s="32">
        <v>0</v>
      </c>
      <c r="H680" s="32">
        <v>0</v>
      </c>
      <c r="I680" s="32">
        <v>0</v>
      </c>
      <c r="J680" s="32">
        <v>0</v>
      </c>
      <c r="K680" s="32"/>
      <c r="M680" s="42" t="s">
        <v>134</v>
      </c>
      <c r="N680" s="43" t="s">
        <v>878</v>
      </c>
      <c r="O680" s="43" t="s">
        <v>728</v>
      </c>
      <c r="P680" s="44">
        <v>4602</v>
      </c>
      <c r="Q680" s="45">
        <v>0</v>
      </c>
      <c r="R680" s="45">
        <v>0</v>
      </c>
      <c r="S680" s="45">
        <v>0</v>
      </c>
      <c r="T680" s="45">
        <v>0</v>
      </c>
      <c r="U680" s="45">
        <v>0</v>
      </c>
      <c r="V680" s="45">
        <v>0</v>
      </c>
    </row>
    <row r="681" spans="1:22" x14ac:dyDescent="0.25">
      <c r="A681" s="27" t="s">
        <v>138</v>
      </c>
      <c r="B681" s="27" t="s">
        <v>878</v>
      </c>
      <c r="C681" s="27" t="s">
        <v>729</v>
      </c>
      <c r="D681" s="32"/>
      <c r="E681" s="32"/>
      <c r="F681" s="32"/>
      <c r="G681" s="32"/>
      <c r="H681" s="32"/>
      <c r="I681" s="32"/>
      <c r="J681" s="32"/>
      <c r="K681" s="32"/>
      <c r="M681" s="42" t="s">
        <v>138</v>
      </c>
      <c r="N681" s="43" t="s">
        <v>878</v>
      </c>
      <c r="O681" s="43" t="s">
        <v>729</v>
      </c>
      <c r="P681" s="44"/>
      <c r="Q681" s="45"/>
      <c r="R681" s="45"/>
      <c r="S681" s="45"/>
      <c r="T681" s="45"/>
      <c r="U681" s="45"/>
      <c r="V681" s="46"/>
    </row>
    <row r="682" spans="1:22" x14ac:dyDescent="0.25">
      <c r="A682" s="27" t="s">
        <v>788</v>
      </c>
      <c r="B682" s="27" t="s">
        <v>878</v>
      </c>
      <c r="C682" s="27" t="s">
        <v>730</v>
      </c>
      <c r="D682" s="32">
        <v>3227</v>
      </c>
      <c r="E682" s="32">
        <v>0</v>
      </c>
      <c r="F682" s="32">
        <v>0</v>
      </c>
      <c r="G682" s="32">
        <v>0</v>
      </c>
      <c r="H682" s="32">
        <v>0</v>
      </c>
      <c r="I682" s="32">
        <v>0</v>
      </c>
      <c r="J682" s="32">
        <v>0</v>
      </c>
      <c r="K682" s="32"/>
      <c r="M682" s="42" t="s">
        <v>788</v>
      </c>
      <c r="N682" s="43" t="s">
        <v>878</v>
      </c>
      <c r="O682" s="43" t="s">
        <v>730</v>
      </c>
      <c r="P682" s="44">
        <v>3227</v>
      </c>
      <c r="Q682" s="45">
        <v>0</v>
      </c>
      <c r="R682" s="45">
        <v>0</v>
      </c>
      <c r="S682" s="45">
        <v>0</v>
      </c>
      <c r="T682" s="45">
        <v>0</v>
      </c>
      <c r="U682" s="45">
        <v>0</v>
      </c>
      <c r="V682" s="45">
        <v>0</v>
      </c>
    </row>
    <row r="683" spans="1:22" x14ac:dyDescent="0.25">
      <c r="A683" s="27" t="s">
        <v>831</v>
      </c>
      <c r="B683" s="27" t="s">
        <v>878</v>
      </c>
      <c r="C683" s="27" t="s">
        <v>731</v>
      </c>
      <c r="D683" s="32"/>
      <c r="E683" s="32"/>
      <c r="F683" s="32"/>
      <c r="G683" s="32"/>
      <c r="H683" s="32"/>
      <c r="I683" s="32"/>
      <c r="J683" s="32"/>
      <c r="K683" s="32"/>
      <c r="M683" s="42" t="s">
        <v>831</v>
      </c>
      <c r="N683" s="43" t="s">
        <v>878</v>
      </c>
      <c r="O683" s="43" t="s">
        <v>731</v>
      </c>
      <c r="P683" s="44"/>
      <c r="Q683" s="45"/>
      <c r="R683" s="45"/>
      <c r="S683" s="45"/>
      <c r="T683" s="45"/>
      <c r="U683" s="45"/>
      <c r="V683" s="46"/>
    </row>
    <row r="684" spans="1:22" x14ac:dyDescent="0.25">
      <c r="A684" s="27" t="s">
        <v>76</v>
      </c>
      <c r="B684" s="27" t="s">
        <v>878</v>
      </c>
      <c r="C684" s="27" t="s">
        <v>732</v>
      </c>
      <c r="D684" s="32">
        <v>20123</v>
      </c>
      <c r="E684" s="32">
        <v>0</v>
      </c>
      <c r="F684" s="32">
        <v>0</v>
      </c>
      <c r="G684" s="32">
        <v>0</v>
      </c>
      <c r="H684" s="32">
        <v>0</v>
      </c>
      <c r="I684" s="32">
        <v>0</v>
      </c>
      <c r="J684" s="32">
        <v>0</v>
      </c>
      <c r="K684" s="32"/>
      <c r="M684" s="42" t="s">
        <v>76</v>
      </c>
      <c r="N684" s="43" t="s">
        <v>878</v>
      </c>
      <c r="O684" s="43" t="s">
        <v>732</v>
      </c>
      <c r="P684" s="44">
        <v>20123</v>
      </c>
      <c r="Q684" s="45">
        <v>0</v>
      </c>
      <c r="R684" s="45">
        <v>0</v>
      </c>
      <c r="S684" s="45">
        <v>0</v>
      </c>
      <c r="T684" s="45">
        <v>0</v>
      </c>
      <c r="U684" s="45">
        <v>0</v>
      </c>
      <c r="V684" s="46">
        <v>0</v>
      </c>
    </row>
    <row r="685" spans="1:22" x14ac:dyDescent="0.25">
      <c r="A685" s="27" t="s">
        <v>809</v>
      </c>
      <c r="B685" s="27" t="s">
        <v>878</v>
      </c>
      <c r="C685" s="27" t="s">
        <v>733</v>
      </c>
      <c r="D685" s="32">
        <v>36669</v>
      </c>
      <c r="E685" s="32">
        <v>0</v>
      </c>
      <c r="F685" s="32">
        <v>0</v>
      </c>
      <c r="G685" s="32">
        <v>0</v>
      </c>
      <c r="H685" s="32">
        <v>0</v>
      </c>
      <c r="I685" s="32">
        <v>0</v>
      </c>
      <c r="J685" s="32">
        <v>0</v>
      </c>
      <c r="K685" s="32"/>
      <c r="M685" s="42" t="s">
        <v>809</v>
      </c>
      <c r="N685" s="43" t="s">
        <v>878</v>
      </c>
      <c r="O685" s="43" t="s">
        <v>733</v>
      </c>
      <c r="P685" s="44">
        <v>36669</v>
      </c>
      <c r="Q685" s="45">
        <v>0</v>
      </c>
      <c r="R685" s="45">
        <v>0</v>
      </c>
      <c r="S685" s="45">
        <v>0</v>
      </c>
      <c r="T685" s="45">
        <v>0</v>
      </c>
      <c r="U685" s="45">
        <v>0</v>
      </c>
      <c r="V685" s="46">
        <v>0</v>
      </c>
    </row>
    <row r="686" spans="1:22" x14ac:dyDescent="0.25">
      <c r="A686" s="27" t="s">
        <v>120</v>
      </c>
      <c r="B686" s="27" t="s">
        <v>878</v>
      </c>
      <c r="C686" s="27" t="s">
        <v>734</v>
      </c>
      <c r="D686" s="32">
        <v>6680</v>
      </c>
      <c r="E686" s="32">
        <v>0</v>
      </c>
      <c r="F686" s="32">
        <v>0</v>
      </c>
      <c r="G686" s="32">
        <v>0</v>
      </c>
      <c r="H686" s="32">
        <v>0</v>
      </c>
      <c r="I686" s="32">
        <v>0</v>
      </c>
      <c r="J686" s="32">
        <v>0</v>
      </c>
      <c r="K686" s="32"/>
      <c r="M686" s="42" t="s">
        <v>120</v>
      </c>
      <c r="N686" s="43" t="s">
        <v>878</v>
      </c>
      <c r="O686" s="43" t="s">
        <v>734</v>
      </c>
      <c r="P686" s="44">
        <v>6680</v>
      </c>
      <c r="Q686" s="45">
        <v>0</v>
      </c>
      <c r="R686" s="45">
        <v>0</v>
      </c>
      <c r="S686" s="45">
        <v>0</v>
      </c>
      <c r="T686" s="45">
        <v>0</v>
      </c>
      <c r="U686" s="45">
        <v>0</v>
      </c>
      <c r="V686" s="46">
        <v>0</v>
      </c>
    </row>
    <row r="687" spans="1:22" x14ac:dyDescent="0.25">
      <c r="A687" s="27" t="s">
        <v>817</v>
      </c>
      <c r="B687" s="27" t="s">
        <v>878</v>
      </c>
      <c r="C687" s="27" t="s">
        <v>735</v>
      </c>
      <c r="D687" s="32">
        <v>14262</v>
      </c>
      <c r="E687" s="32">
        <v>0</v>
      </c>
      <c r="F687" s="32">
        <v>0</v>
      </c>
      <c r="G687" s="32">
        <v>0</v>
      </c>
      <c r="H687" s="32">
        <v>0</v>
      </c>
      <c r="I687" s="32">
        <v>0</v>
      </c>
      <c r="J687" s="32">
        <v>0</v>
      </c>
      <c r="K687" s="32"/>
      <c r="M687" s="42" t="s">
        <v>817</v>
      </c>
      <c r="N687" s="43" t="s">
        <v>878</v>
      </c>
      <c r="O687" s="43" t="s">
        <v>735</v>
      </c>
      <c r="P687" s="44">
        <v>14262</v>
      </c>
      <c r="Q687" s="45">
        <v>0</v>
      </c>
      <c r="R687" s="45">
        <v>0</v>
      </c>
      <c r="S687" s="45">
        <v>0</v>
      </c>
      <c r="T687" s="45">
        <v>0</v>
      </c>
      <c r="U687" s="45">
        <v>0</v>
      </c>
      <c r="V687" s="46">
        <v>0</v>
      </c>
    </row>
    <row r="688" spans="1:22" x14ac:dyDescent="0.25">
      <c r="A688" s="27" t="s">
        <v>801</v>
      </c>
      <c r="B688" s="27" t="s">
        <v>878</v>
      </c>
      <c r="C688" s="27" t="s">
        <v>736</v>
      </c>
      <c r="D688" s="32"/>
      <c r="E688" s="32"/>
      <c r="F688" s="32"/>
      <c r="G688" s="32"/>
      <c r="H688" s="32"/>
      <c r="I688" s="32"/>
      <c r="J688" s="32"/>
      <c r="K688" s="32"/>
      <c r="M688" s="42" t="s">
        <v>801</v>
      </c>
      <c r="N688" s="43" t="s">
        <v>878</v>
      </c>
      <c r="O688" s="43" t="s">
        <v>736</v>
      </c>
      <c r="P688" s="44"/>
      <c r="Q688" s="45"/>
      <c r="R688" s="45"/>
      <c r="S688" s="45"/>
      <c r="T688" s="45"/>
      <c r="U688" s="45"/>
      <c r="V688" s="45"/>
    </row>
    <row r="689" spans="1:22" x14ac:dyDescent="0.25">
      <c r="A689" s="27" t="s">
        <v>138</v>
      </c>
      <c r="B689" s="27" t="s">
        <v>878</v>
      </c>
      <c r="C689" s="27" t="s">
        <v>737</v>
      </c>
      <c r="D689" s="32"/>
      <c r="E689" s="32"/>
      <c r="F689" s="32"/>
      <c r="G689" s="32"/>
      <c r="H689" s="32"/>
      <c r="I689" s="32"/>
      <c r="J689" s="32"/>
      <c r="K689" s="32"/>
      <c r="M689" s="42" t="s">
        <v>138</v>
      </c>
      <c r="N689" s="43" t="s">
        <v>878</v>
      </c>
      <c r="O689" s="43" t="s">
        <v>737</v>
      </c>
      <c r="P689" s="44"/>
      <c r="Q689" s="45"/>
      <c r="R689" s="45"/>
      <c r="S689" s="45"/>
      <c r="T689" s="45"/>
      <c r="U689" s="45"/>
      <c r="V689" s="46"/>
    </row>
    <row r="690" spans="1:22" x14ac:dyDescent="0.25">
      <c r="A690" s="27" t="s">
        <v>138</v>
      </c>
      <c r="B690" s="27" t="s">
        <v>878</v>
      </c>
      <c r="C690" s="27" t="s">
        <v>738</v>
      </c>
      <c r="D690" s="32"/>
      <c r="E690" s="32"/>
      <c r="F690" s="32"/>
      <c r="G690" s="32"/>
      <c r="H690" s="32"/>
      <c r="I690" s="32"/>
      <c r="J690" s="32"/>
      <c r="K690" s="32"/>
      <c r="M690" s="42" t="s">
        <v>138</v>
      </c>
      <c r="N690" s="43" t="s">
        <v>878</v>
      </c>
      <c r="O690" s="43" t="s">
        <v>738</v>
      </c>
      <c r="P690" s="44"/>
      <c r="Q690" s="45"/>
      <c r="R690" s="45"/>
      <c r="S690" s="45"/>
      <c r="T690" s="45"/>
      <c r="U690" s="45"/>
      <c r="V690" s="46"/>
    </row>
    <row r="691" spans="1:22" x14ac:dyDescent="0.25">
      <c r="A691" s="27" t="s">
        <v>248</v>
      </c>
      <c r="B691" s="27" t="s">
        <v>878</v>
      </c>
      <c r="C691" s="27" t="s">
        <v>739</v>
      </c>
      <c r="D691" s="32">
        <v>26566</v>
      </c>
      <c r="E691" s="32">
        <v>0</v>
      </c>
      <c r="F691" s="32">
        <v>0</v>
      </c>
      <c r="G691" s="32">
        <v>0</v>
      </c>
      <c r="H691" s="32">
        <v>0</v>
      </c>
      <c r="I691" s="32">
        <v>0</v>
      </c>
      <c r="J691" s="32">
        <v>0</v>
      </c>
      <c r="K691" s="32"/>
      <c r="M691" s="42" t="s">
        <v>248</v>
      </c>
      <c r="N691" s="43" t="s">
        <v>878</v>
      </c>
      <c r="O691" s="43" t="s">
        <v>739</v>
      </c>
      <c r="P691" s="44">
        <v>26566</v>
      </c>
      <c r="Q691" s="45">
        <v>0</v>
      </c>
      <c r="R691" s="45">
        <v>0</v>
      </c>
      <c r="S691" s="45">
        <v>0</v>
      </c>
      <c r="T691" s="45">
        <v>0</v>
      </c>
      <c r="U691" s="45">
        <v>0</v>
      </c>
      <c r="V691" s="46">
        <v>0</v>
      </c>
    </row>
    <row r="692" spans="1:22" x14ac:dyDescent="0.25">
      <c r="A692" s="27" t="s">
        <v>138</v>
      </c>
      <c r="B692" s="27" t="s">
        <v>878</v>
      </c>
      <c r="C692" s="27" t="s">
        <v>740</v>
      </c>
      <c r="D692" s="32"/>
      <c r="E692" s="32"/>
      <c r="F692" s="32"/>
      <c r="G692" s="32"/>
      <c r="H692" s="32"/>
      <c r="I692" s="32"/>
      <c r="J692" s="32"/>
      <c r="K692" s="32"/>
      <c r="M692" s="42" t="s">
        <v>138</v>
      </c>
      <c r="N692" s="43" t="s">
        <v>878</v>
      </c>
      <c r="O692" s="43" t="s">
        <v>740</v>
      </c>
      <c r="P692" s="44"/>
      <c r="Q692" s="45"/>
      <c r="R692" s="45"/>
      <c r="S692" s="45"/>
      <c r="T692" s="45"/>
      <c r="U692" s="45"/>
      <c r="V692" s="45"/>
    </row>
    <row r="693" spans="1:22" x14ac:dyDescent="0.25">
      <c r="A693" s="27" t="s">
        <v>134</v>
      </c>
      <c r="B693" s="27" t="s">
        <v>878</v>
      </c>
      <c r="C693" s="27" t="s">
        <v>741</v>
      </c>
      <c r="D693" s="32">
        <v>9117</v>
      </c>
      <c r="E693" s="32">
        <v>0</v>
      </c>
      <c r="F693" s="32">
        <v>0</v>
      </c>
      <c r="G693" s="32">
        <v>0</v>
      </c>
      <c r="H693" s="32">
        <v>0</v>
      </c>
      <c r="I693" s="32">
        <v>0</v>
      </c>
      <c r="J693" s="32">
        <v>0</v>
      </c>
      <c r="K693" s="32"/>
      <c r="M693" s="42" t="s">
        <v>134</v>
      </c>
      <c r="N693" s="43" t="s">
        <v>878</v>
      </c>
      <c r="O693" s="43" t="s">
        <v>741</v>
      </c>
      <c r="P693" s="44">
        <v>9117</v>
      </c>
      <c r="Q693" s="45">
        <v>0</v>
      </c>
      <c r="R693" s="45">
        <v>0</v>
      </c>
      <c r="S693" s="45">
        <v>0</v>
      </c>
      <c r="T693" s="45">
        <v>0</v>
      </c>
      <c r="U693" s="45">
        <v>0</v>
      </c>
      <c r="V693" s="46">
        <v>0</v>
      </c>
    </row>
    <row r="694" spans="1:22" x14ac:dyDescent="0.25">
      <c r="A694" s="27" t="s">
        <v>231</v>
      </c>
      <c r="B694" s="27" t="s">
        <v>878</v>
      </c>
      <c r="C694" s="27" t="s">
        <v>742</v>
      </c>
      <c r="D694" s="32">
        <v>44420</v>
      </c>
      <c r="E694" s="32">
        <v>0</v>
      </c>
      <c r="F694" s="32">
        <v>0</v>
      </c>
      <c r="G694" s="32">
        <v>0</v>
      </c>
      <c r="H694" s="32">
        <v>0</v>
      </c>
      <c r="I694" s="32">
        <v>0</v>
      </c>
      <c r="J694" s="32">
        <v>0</v>
      </c>
      <c r="K694" s="32"/>
      <c r="M694" s="42" t="s">
        <v>231</v>
      </c>
      <c r="N694" s="43" t="s">
        <v>878</v>
      </c>
      <c r="O694" s="43" t="s">
        <v>742</v>
      </c>
      <c r="P694" s="44">
        <v>44420</v>
      </c>
      <c r="Q694" s="45">
        <v>0</v>
      </c>
      <c r="R694" s="45">
        <v>0</v>
      </c>
      <c r="S694" s="45">
        <v>0</v>
      </c>
      <c r="T694" s="45">
        <v>0</v>
      </c>
      <c r="U694" s="45">
        <v>0</v>
      </c>
      <c r="V694" s="45">
        <v>0</v>
      </c>
    </row>
    <row r="695" spans="1:22" x14ac:dyDescent="0.25">
      <c r="A695" s="27" t="s">
        <v>83</v>
      </c>
      <c r="B695" s="27" t="s">
        <v>878</v>
      </c>
      <c r="C695" s="27" t="s">
        <v>743</v>
      </c>
      <c r="D695" s="32">
        <v>3549</v>
      </c>
      <c r="E695" s="32">
        <v>0</v>
      </c>
      <c r="F695" s="32">
        <v>0</v>
      </c>
      <c r="G695" s="32">
        <v>0</v>
      </c>
      <c r="H695" s="32">
        <v>0</v>
      </c>
      <c r="I695" s="32">
        <v>0</v>
      </c>
      <c r="J695" s="32">
        <v>0</v>
      </c>
      <c r="K695" s="32"/>
      <c r="M695" s="42" t="s">
        <v>83</v>
      </c>
      <c r="N695" s="43" t="s">
        <v>878</v>
      </c>
      <c r="O695" s="43" t="s">
        <v>743</v>
      </c>
      <c r="P695" s="44">
        <v>3549</v>
      </c>
      <c r="Q695" s="45">
        <v>0</v>
      </c>
      <c r="R695" s="45">
        <v>0</v>
      </c>
      <c r="S695" s="45">
        <v>0</v>
      </c>
      <c r="T695" s="45">
        <v>0</v>
      </c>
      <c r="U695" s="45">
        <v>0</v>
      </c>
      <c r="V695" s="45">
        <v>0</v>
      </c>
    </row>
    <row r="696" spans="1:22" x14ac:dyDescent="0.25">
      <c r="A696" s="27" t="s">
        <v>826</v>
      </c>
      <c r="B696" s="27" t="s">
        <v>878</v>
      </c>
      <c r="C696" s="27" t="s">
        <v>744</v>
      </c>
      <c r="D696" s="32"/>
      <c r="E696" s="32"/>
      <c r="F696" s="32"/>
      <c r="G696" s="32"/>
      <c r="H696" s="32"/>
      <c r="I696" s="32"/>
      <c r="J696" s="32"/>
      <c r="K696" s="32"/>
      <c r="M696" s="42" t="s">
        <v>826</v>
      </c>
      <c r="N696" s="43" t="s">
        <v>878</v>
      </c>
      <c r="O696" s="43" t="s">
        <v>744</v>
      </c>
      <c r="P696" s="44"/>
      <c r="Q696" s="45"/>
      <c r="R696" s="45"/>
      <c r="S696" s="45"/>
      <c r="T696" s="45"/>
      <c r="U696" s="45"/>
      <c r="V696" s="45"/>
    </row>
    <row r="697" spans="1:22" x14ac:dyDescent="0.25">
      <c r="A697" s="27" t="s">
        <v>811</v>
      </c>
      <c r="B697" s="27" t="s">
        <v>878</v>
      </c>
      <c r="C697" s="27" t="s">
        <v>745</v>
      </c>
      <c r="D697" s="32">
        <v>22742</v>
      </c>
      <c r="E697" s="32">
        <v>0</v>
      </c>
      <c r="F697" s="32">
        <v>0</v>
      </c>
      <c r="G697" s="32">
        <v>0</v>
      </c>
      <c r="H697" s="32">
        <v>0</v>
      </c>
      <c r="I697" s="32">
        <v>0</v>
      </c>
      <c r="J697" s="32">
        <v>0</v>
      </c>
      <c r="K697" s="32"/>
      <c r="M697" s="42" t="s">
        <v>811</v>
      </c>
      <c r="N697" s="43" t="s">
        <v>878</v>
      </c>
      <c r="O697" s="43" t="s">
        <v>745</v>
      </c>
      <c r="P697" s="44">
        <v>22742</v>
      </c>
      <c r="Q697" s="45">
        <v>0</v>
      </c>
      <c r="R697" s="45">
        <v>0</v>
      </c>
      <c r="S697" s="45">
        <v>0</v>
      </c>
      <c r="T697" s="45">
        <v>0</v>
      </c>
      <c r="U697" s="45">
        <v>0</v>
      </c>
      <c r="V697" s="45">
        <v>0</v>
      </c>
    </row>
    <row r="698" spans="1:22" x14ac:dyDescent="0.25">
      <c r="A698" s="27" t="s">
        <v>248</v>
      </c>
      <c r="B698" s="27" t="s">
        <v>878</v>
      </c>
      <c r="C698" s="27" t="s">
        <v>746</v>
      </c>
      <c r="D698" s="32">
        <v>142657</v>
      </c>
      <c r="E698" s="32">
        <v>0</v>
      </c>
      <c r="F698" s="32">
        <v>0</v>
      </c>
      <c r="G698" s="32">
        <v>0</v>
      </c>
      <c r="H698" s="32">
        <v>0</v>
      </c>
      <c r="I698" s="32">
        <v>0</v>
      </c>
      <c r="J698" s="32">
        <v>0</v>
      </c>
      <c r="K698" s="32"/>
      <c r="M698" s="42" t="s">
        <v>248</v>
      </c>
      <c r="N698" s="43" t="s">
        <v>878</v>
      </c>
      <c r="O698" s="43" t="s">
        <v>746</v>
      </c>
      <c r="P698" s="44">
        <v>142657</v>
      </c>
      <c r="Q698" s="45">
        <v>0</v>
      </c>
      <c r="R698" s="45">
        <v>0</v>
      </c>
      <c r="S698" s="45">
        <v>0</v>
      </c>
      <c r="T698" s="45">
        <v>0</v>
      </c>
      <c r="U698" s="45">
        <v>0</v>
      </c>
      <c r="V698" s="45">
        <v>0</v>
      </c>
    </row>
    <row r="699" spans="1:22" x14ac:dyDescent="0.25">
      <c r="A699" s="27" t="s">
        <v>801</v>
      </c>
      <c r="B699" s="27" t="s">
        <v>879</v>
      </c>
      <c r="C699" s="27" t="s">
        <v>747</v>
      </c>
      <c r="D699" s="32"/>
      <c r="E699" s="32"/>
      <c r="F699" s="32"/>
      <c r="G699" s="32"/>
      <c r="H699" s="32"/>
      <c r="I699" s="32"/>
      <c r="J699" s="32"/>
      <c r="K699" s="32"/>
      <c r="M699" s="42" t="s">
        <v>801</v>
      </c>
      <c r="N699" s="43" t="s">
        <v>879</v>
      </c>
      <c r="O699" s="43" t="s">
        <v>747</v>
      </c>
      <c r="P699" s="44"/>
      <c r="Q699" s="45"/>
      <c r="R699" s="45"/>
      <c r="S699" s="45"/>
      <c r="T699" s="45"/>
      <c r="U699" s="45"/>
      <c r="V699" s="45"/>
    </row>
    <row r="700" spans="1:22" x14ac:dyDescent="0.25">
      <c r="A700" s="27" t="s">
        <v>809</v>
      </c>
      <c r="B700" s="27" t="s">
        <v>879</v>
      </c>
      <c r="C700" s="27" t="s">
        <v>748</v>
      </c>
      <c r="D700" s="32">
        <f>34486+3+6+2+422+1+1+16+337</f>
        <v>35274</v>
      </c>
      <c r="E700" s="32">
        <f>572+84+11</f>
        <v>667</v>
      </c>
      <c r="F700" s="32">
        <v>0</v>
      </c>
      <c r="G700" s="32">
        <v>0</v>
      </c>
      <c r="H700" s="32">
        <v>0</v>
      </c>
      <c r="I700" s="32">
        <v>0</v>
      </c>
      <c r="J700" s="32">
        <v>0</v>
      </c>
      <c r="K700" s="32"/>
      <c r="M700" s="42" t="s">
        <v>809</v>
      </c>
      <c r="N700" s="43" t="s">
        <v>879</v>
      </c>
      <c r="O700" s="43" t="s">
        <v>748</v>
      </c>
      <c r="P700" s="44">
        <v>35274</v>
      </c>
      <c r="Q700" s="45">
        <v>667</v>
      </c>
      <c r="R700" s="45">
        <v>0</v>
      </c>
      <c r="S700" s="45">
        <v>0</v>
      </c>
      <c r="T700" s="45">
        <v>0</v>
      </c>
      <c r="U700" s="45">
        <v>0</v>
      </c>
      <c r="V700" s="45">
        <v>0</v>
      </c>
    </row>
    <row r="701" spans="1:22" x14ac:dyDescent="0.25">
      <c r="A701" s="27" t="s">
        <v>823</v>
      </c>
      <c r="B701" s="27" t="s">
        <v>879</v>
      </c>
      <c r="C701" s="27" t="s">
        <v>749</v>
      </c>
      <c r="D701" s="32"/>
      <c r="E701" s="32"/>
      <c r="F701" s="32"/>
      <c r="G701" s="32"/>
      <c r="H701" s="32"/>
      <c r="I701" s="32"/>
      <c r="J701" s="32"/>
      <c r="K701" s="32"/>
      <c r="M701" s="42" t="s">
        <v>823</v>
      </c>
      <c r="N701" s="43" t="s">
        <v>879</v>
      </c>
      <c r="O701" s="43" t="s">
        <v>749</v>
      </c>
      <c r="P701" s="44"/>
      <c r="Q701" s="45"/>
      <c r="R701" s="45"/>
      <c r="S701" s="45"/>
      <c r="T701" s="45"/>
      <c r="U701" s="45"/>
      <c r="V701" s="45"/>
    </row>
    <row r="702" spans="1:22" x14ac:dyDescent="0.25">
      <c r="A702" s="27" t="s">
        <v>226</v>
      </c>
      <c r="B702" s="27" t="s">
        <v>879</v>
      </c>
      <c r="C702" s="27" t="s">
        <v>750</v>
      </c>
      <c r="D702" s="32">
        <f>4907+7+10</f>
        <v>4924</v>
      </c>
      <c r="E702" s="32">
        <v>56</v>
      </c>
      <c r="F702" s="32">
        <v>0</v>
      </c>
      <c r="G702" s="32">
        <v>0</v>
      </c>
      <c r="H702" s="32">
        <v>0</v>
      </c>
      <c r="I702" s="32">
        <v>0</v>
      </c>
      <c r="J702" s="32">
        <v>0</v>
      </c>
      <c r="K702" s="32"/>
      <c r="M702" s="42" t="s">
        <v>226</v>
      </c>
      <c r="N702" s="43" t="s">
        <v>879</v>
      </c>
      <c r="O702" s="43" t="s">
        <v>750</v>
      </c>
      <c r="P702" s="44">
        <v>4924</v>
      </c>
      <c r="Q702" s="45">
        <v>56</v>
      </c>
      <c r="R702" s="45">
        <v>0</v>
      </c>
      <c r="S702" s="45">
        <v>0</v>
      </c>
      <c r="T702" s="45">
        <v>0</v>
      </c>
      <c r="U702" s="45">
        <v>0</v>
      </c>
      <c r="V702" s="45">
        <v>0</v>
      </c>
    </row>
    <row r="703" spans="1:22" x14ac:dyDescent="0.25">
      <c r="A703" s="27" t="s">
        <v>864</v>
      </c>
      <c r="B703" s="27" t="s">
        <v>879</v>
      </c>
      <c r="C703" s="27" t="s">
        <v>751</v>
      </c>
      <c r="D703" s="32">
        <f>23035+148+8</f>
        <v>23191</v>
      </c>
      <c r="E703" s="32">
        <f>23+7</f>
        <v>30</v>
      </c>
      <c r="F703" s="32">
        <v>0</v>
      </c>
      <c r="G703" s="32">
        <v>0</v>
      </c>
      <c r="H703" s="32">
        <v>0</v>
      </c>
      <c r="I703" s="32">
        <v>0</v>
      </c>
      <c r="J703" s="32">
        <v>0</v>
      </c>
      <c r="K703" s="32"/>
      <c r="M703" s="42" t="s">
        <v>864</v>
      </c>
      <c r="N703" s="43" t="s">
        <v>879</v>
      </c>
      <c r="O703" s="43" t="s">
        <v>751</v>
      </c>
      <c r="P703" s="44">
        <v>23191</v>
      </c>
      <c r="Q703" s="45">
        <v>30</v>
      </c>
      <c r="R703" s="45">
        <v>0</v>
      </c>
      <c r="S703" s="45">
        <v>0</v>
      </c>
      <c r="T703" s="45">
        <v>0</v>
      </c>
      <c r="U703" s="45">
        <v>0</v>
      </c>
      <c r="V703" s="45">
        <v>0</v>
      </c>
    </row>
    <row r="704" spans="1:22" x14ac:dyDescent="0.25">
      <c r="A704" s="27" t="s">
        <v>797</v>
      </c>
      <c r="B704" s="27" t="s">
        <v>879</v>
      </c>
      <c r="C704" s="27" t="s">
        <v>752</v>
      </c>
      <c r="D704" s="32">
        <f>41683+1+1+18+3+26</f>
        <v>41732</v>
      </c>
      <c r="E704" s="32">
        <f>75+4</f>
        <v>79</v>
      </c>
      <c r="F704" s="32">
        <v>0</v>
      </c>
      <c r="G704" s="32">
        <v>0</v>
      </c>
      <c r="H704" s="32">
        <v>0</v>
      </c>
      <c r="I704" s="32">
        <v>0</v>
      </c>
      <c r="J704" s="32">
        <v>0</v>
      </c>
      <c r="K704" s="32"/>
      <c r="M704" s="42" t="s">
        <v>797</v>
      </c>
      <c r="N704" s="43" t="s">
        <v>879</v>
      </c>
      <c r="O704" s="43" t="s">
        <v>752</v>
      </c>
      <c r="P704" s="44">
        <v>41732</v>
      </c>
      <c r="Q704" s="45">
        <v>79</v>
      </c>
      <c r="R704" s="45">
        <v>0</v>
      </c>
      <c r="S704" s="45">
        <v>0</v>
      </c>
      <c r="T704" s="45">
        <v>0</v>
      </c>
      <c r="U704" s="45">
        <v>0</v>
      </c>
      <c r="V704" s="46">
        <v>0</v>
      </c>
    </row>
    <row r="705" spans="1:22" x14ac:dyDescent="0.25">
      <c r="A705" s="27" t="s">
        <v>69</v>
      </c>
      <c r="B705" s="27" t="s">
        <v>879</v>
      </c>
      <c r="C705" s="27" t="s">
        <v>753</v>
      </c>
      <c r="D705" s="32">
        <f>79125+5+1+2+6</f>
        <v>79139</v>
      </c>
      <c r="E705" s="32">
        <f>22+4</f>
        <v>26</v>
      </c>
      <c r="F705" s="32">
        <v>0</v>
      </c>
      <c r="G705" s="32">
        <v>0</v>
      </c>
      <c r="H705" s="32">
        <v>0</v>
      </c>
      <c r="I705" s="32">
        <v>0</v>
      </c>
      <c r="J705" s="32">
        <v>0</v>
      </c>
      <c r="K705" s="32"/>
      <c r="M705" s="42" t="s">
        <v>69</v>
      </c>
      <c r="N705" s="43" t="s">
        <v>879</v>
      </c>
      <c r="O705" s="43" t="s">
        <v>753</v>
      </c>
      <c r="P705" s="44">
        <v>79139</v>
      </c>
      <c r="Q705" s="45">
        <v>26</v>
      </c>
      <c r="R705" s="45">
        <v>0</v>
      </c>
      <c r="S705" s="45">
        <v>0</v>
      </c>
      <c r="T705" s="45">
        <v>0</v>
      </c>
      <c r="U705" s="45">
        <v>0</v>
      </c>
      <c r="V705" s="45">
        <v>0</v>
      </c>
    </row>
    <row r="706" spans="1:22" x14ac:dyDescent="0.25">
      <c r="A706" s="27" t="s">
        <v>824</v>
      </c>
      <c r="B706" s="27" t="s">
        <v>879</v>
      </c>
      <c r="C706" s="27" t="s">
        <v>754</v>
      </c>
      <c r="D706" s="32">
        <f>22131+34</f>
        <v>22165</v>
      </c>
      <c r="E706" s="32">
        <f>85+11</f>
        <v>96</v>
      </c>
      <c r="F706" s="32">
        <v>0</v>
      </c>
      <c r="G706" s="32">
        <v>0</v>
      </c>
      <c r="H706" s="32">
        <v>0</v>
      </c>
      <c r="I706" s="32">
        <v>0</v>
      </c>
      <c r="J706" s="32">
        <v>0</v>
      </c>
      <c r="K706" s="32"/>
      <c r="M706" s="42" t="s">
        <v>824</v>
      </c>
      <c r="N706" s="43" t="s">
        <v>879</v>
      </c>
      <c r="O706" s="43" t="s">
        <v>754</v>
      </c>
      <c r="P706" s="44">
        <v>22165</v>
      </c>
      <c r="Q706" s="45">
        <v>96</v>
      </c>
      <c r="R706" s="45">
        <v>0</v>
      </c>
      <c r="S706" s="45">
        <v>0</v>
      </c>
      <c r="T706" s="45">
        <v>0</v>
      </c>
      <c r="U706" s="45">
        <v>0</v>
      </c>
      <c r="V706" s="45">
        <v>0</v>
      </c>
    </row>
    <row r="707" spans="1:22" x14ac:dyDescent="0.25">
      <c r="A707" s="27" t="s">
        <v>817</v>
      </c>
      <c r="B707" s="27" t="s">
        <v>879</v>
      </c>
      <c r="C707" s="27" t="s">
        <v>755</v>
      </c>
      <c r="D707" s="32">
        <f>74745+1+5+1+160+1+61+4+1+1+65</f>
        <v>75045</v>
      </c>
      <c r="E707" s="32">
        <f>100+1+5+27</f>
        <v>133</v>
      </c>
      <c r="F707" s="32">
        <v>0</v>
      </c>
      <c r="G707" s="32">
        <v>0</v>
      </c>
      <c r="H707" s="32">
        <v>0</v>
      </c>
      <c r="I707" s="32">
        <v>0</v>
      </c>
      <c r="J707" s="32">
        <v>0</v>
      </c>
      <c r="K707" s="32"/>
      <c r="M707" s="42" t="s">
        <v>817</v>
      </c>
      <c r="N707" s="43" t="s">
        <v>879</v>
      </c>
      <c r="O707" s="43" t="s">
        <v>755</v>
      </c>
      <c r="P707" s="44">
        <v>75045</v>
      </c>
      <c r="Q707" s="45">
        <v>133</v>
      </c>
      <c r="R707" s="45">
        <v>0</v>
      </c>
      <c r="S707" s="45">
        <v>0</v>
      </c>
      <c r="T707" s="45">
        <v>0</v>
      </c>
      <c r="U707" s="45">
        <v>0</v>
      </c>
      <c r="V707" s="45">
        <v>0</v>
      </c>
    </row>
    <row r="708" spans="1:22" x14ac:dyDescent="0.25">
      <c r="A708" s="27" t="s">
        <v>794</v>
      </c>
      <c r="B708" s="27" t="s">
        <v>879</v>
      </c>
      <c r="C708" s="27" t="s">
        <v>756</v>
      </c>
      <c r="D708" s="32"/>
      <c r="E708" s="32"/>
      <c r="F708" s="32"/>
      <c r="G708" s="32"/>
      <c r="H708" s="32"/>
      <c r="I708" s="32"/>
      <c r="J708" s="32"/>
      <c r="K708" s="32"/>
      <c r="M708" s="42" t="s">
        <v>794</v>
      </c>
      <c r="N708" s="43" t="s">
        <v>879</v>
      </c>
      <c r="O708" s="43" t="s">
        <v>756</v>
      </c>
      <c r="P708" s="44"/>
      <c r="Q708" s="45"/>
      <c r="R708" s="45"/>
      <c r="S708" s="45"/>
      <c r="T708" s="45"/>
      <c r="U708" s="45"/>
      <c r="V708" s="45"/>
    </row>
    <row r="709" spans="1:22" x14ac:dyDescent="0.25">
      <c r="A709" s="27" t="s">
        <v>10</v>
      </c>
      <c r="B709" s="27" t="s">
        <v>879</v>
      </c>
      <c r="C709" s="27" t="s">
        <v>757</v>
      </c>
      <c r="D709" s="32"/>
      <c r="E709" s="32"/>
      <c r="F709" s="32"/>
      <c r="G709" s="32"/>
      <c r="H709" s="32"/>
      <c r="I709" s="32"/>
      <c r="J709" s="32"/>
      <c r="K709" s="32"/>
      <c r="M709" s="42" t="s">
        <v>10</v>
      </c>
      <c r="N709" s="43" t="s">
        <v>879</v>
      </c>
      <c r="O709" s="43" t="s">
        <v>757</v>
      </c>
      <c r="P709" s="44"/>
      <c r="Q709" s="45"/>
      <c r="R709" s="45"/>
      <c r="S709" s="45"/>
      <c r="T709" s="45"/>
      <c r="U709" s="45"/>
      <c r="V709" s="46"/>
    </row>
    <row r="710" spans="1:22" x14ac:dyDescent="0.25">
      <c r="A710" s="27" t="s">
        <v>788</v>
      </c>
      <c r="B710" s="27" t="s">
        <v>879</v>
      </c>
      <c r="C710" s="27" t="s">
        <v>758</v>
      </c>
      <c r="D710" s="32">
        <f>36621+1111+20</f>
        <v>37752</v>
      </c>
      <c r="E710" s="32">
        <v>1</v>
      </c>
      <c r="F710" s="32">
        <v>0</v>
      </c>
      <c r="G710" s="32">
        <v>0</v>
      </c>
      <c r="H710" s="32">
        <v>0</v>
      </c>
      <c r="I710" s="32">
        <v>0</v>
      </c>
      <c r="J710" s="32">
        <v>0</v>
      </c>
      <c r="K710" s="32"/>
      <c r="M710" s="42" t="s">
        <v>788</v>
      </c>
      <c r="N710" s="43" t="s">
        <v>879</v>
      </c>
      <c r="O710" s="43" t="s">
        <v>758</v>
      </c>
      <c r="P710" s="44">
        <v>37752</v>
      </c>
      <c r="Q710" s="45">
        <v>1</v>
      </c>
      <c r="R710" s="45">
        <v>0</v>
      </c>
      <c r="S710" s="45">
        <v>0</v>
      </c>
      <c r="T710" s="45">
        <v>0</v>
      </c>
      <c r="U710" s="45">
        <v>0</v>
      </c>
      <c r="V710" s="45">
        <v>0</v>
      </c>
    </row>
    <row r="711" spans="1:22" x14ac:dyDescent="0.25">
      <c r="A711" s="27" t="s">
        <v>146</v>
      </c>
      <c r="B711" s="27" t="s">
        <v>879</v>
      </c>
      <c r="C711" s="27" t="s">
        <v>759</v>
      </c>
      <c r="D711" s="32"/>
      <c r="E711" s="32"/>
      <c r="F711" s="32"/>
      <c r="G711" s="32"/>
      <c r="H711" s="32"/>
      <c r="I711" s="32"/>
      <c r="J711" s="32"/>
      <c r="K711" s="32"/>
      <c r="M711" s="42" t="s">
        <v>146</v>
      </c>
      <c r="N711" s="43" t="s">
        <v>879</v>
      </c>
      <c r="O711" s="43" t="s">
        <v>759</v>
      </c>
      <c r="P711" s="44"/>
      <c r="Q711" s="45"/>
      <c r="R711" s="45"/>
      <c r="S711" s="45"/>
      <c r="T711" s="45"/>
      <c r="U711" s="45"/>
      <c r="V711" s="46"/>
    </row>
    <row r="712" spans="1:22" x14ac:dyDescent="0.25">
      <c r="A712" s="27" t="s">
        <v>795</v>
      </c>
      <c r="B712" s="27" t="s">
        <v>879</v>
      </c>
      <c r="C712" s="27" t="s">
        <v>760</v>
      </c>
      <c r="D712" s="32">
        <f>92086+2</f>
        <v>92088</v>
      </c>
      <c r="E712" s="32">
        <v>90</v>
      </c>
      <c r="F712" s="32">
        <v>0</v>
      </c>
      <c r="G712" s="32">
        <v>0</v>
      </c>
      <c r="H712" s="32">
        <v>0</v>
      </c>
      <c r="I712" s="32">
        <v>0</v>
      </c>
      <c r="J712" s="32">
        <v>0</v>
      </c>
      <c r="K712" s="32"/>
      <c r="M712" s="42" t="s">
        <v>795</v>
      </c>
      <c r="N712" s="43" t="s">
        <v>879</v>
      </c>
      <c r="O712" s="43" t="s">
        <v>760</v>
      </c>
      <c r="P712" s="44">
        <v>92088</v>
      </c>
      <c r="Q712" s="45">
        <v>90</v>
      </c>
      <c r="R712" s="45">
        <v>0</v>
      </c>
      <c r="S712" s="45">
        <v>0</v>
      </c>
      <c r="T712" s="45">
        <v>0</v>
      </c>
      <c r="U712" s="45">
        <v>0</v>
      </c>
      <c r="V712" s="46">
        <v>0</v>
      </c>
    </row>
    <row r="713" spans="1:22" x14ac:dyDescent="0.25">
      <c r="A713" s="27" t="s">
        <v>248</v>
      </c>
      <c r="B713" s="27" t="s">
        <v>879</v>
      </c>
      <c r="C713" s="27" t="s">
        <v>761</v>
      </c>
      <c r="D713" s="32">
        <f>54403+6+7+40</f>
        <v>54456</v>
      </c>
      <c r="E713" s="32">
        <v>6</v>
      </c>
      <c r="F713" s="32">
        <v>0</v>
      </c>
      <c r="G713" s="32">
        <v>0</v>
      </c>
      <c r="H713" s="32">
        <v>0</v>
      </c>
      <c r="I713" s="32">
        <v>0</v>
      </c>
      <c r="J713" s="32">
        <v>0</v>
      </c>
      <c r="K713" s="32"/>
      <c r="M713" s="42" t="s">
        <v>248</v>
      </c>
      <c r="N713" s="43" t="s">
        <v>879</v>
      </c>
      <c r="O713" s="43" t="s">
        <v>761</v>
      </c>
      <c r="P713" s="44">
        <v>54456</v>
      </c>
      <c r="Q713" s="45">
        <v>6</v>
      </c>
      <c r="R713" s="45">
        <v>0</v>
      </c>
      <c r="S713" s="45">
        <v>0</v>
      </c>
      <c r="T713" s="45">
        <v>0</v>
      </c>
      <c r="U713" s="45">
        <v>0</v>
      </c>
      <c r="V713" s="46">
        <v>0</v>
      </c>
    </row>
    <row r="714" spans="1:22" x14ac:dyDescent="0.25">
      <c r="A714" s="27" t="s">
        <v>796</v>
      </c>
      <c r="B714" s="27" t="s">
        <v>879</v>
      </c>
      <c r="C714" s="27" t="s">
        <v>762</v>
      </c>
      <c r="D714" s="32">
        <f>19209+10+1+1+49+12</f>
        <v>19282</v>
      </c>
      <c r="E714" s="32">
        <f>6+8</f>
        <v>14</v>
      </c>
      <c r="F714" s="32">
        <v>0</v>
      </c>
      <c r="G714" s="32">
        <v>0</v>
      </c>
      <c r="H714" s="32">
        <v>0</v>
      </c>
      <c r="I714" s="32">
        <v>0</v>
      </c>
      <c r="J714" s="32">
        <v>0</v>
      </c>
      <c r="K714" s="32"/>
      <c r="M714" s="42" t="s">
        <v>796</v>
      </c>
      <c r="N714" s="43" t="s">
        <v>879</v>
      </c>
      <c r="O714" s="43" t="s">
        <v>762</v>
      </c>
      <c r="P714" s="44">
        <v>19282</v>
      </c>
      <c r="Q714" s="45">
        <v>14</v>
      </c>
      <c r="R714" s="45">
        <v>0</v>
      </c>
      <c r="S714" s="45">
        <v>0</v>
      </c>
      <c r="T714" s="45">
        <v>0</v>
      </c>
      <c r="U714" s="45">
        <v>0</v>
      </c>
      <c r="V714" s="46">
        <v>0</v>
      </c>
    </row>
    <row r="715" spans="1:22" x14ac:dyDescent="0.25">
      <c r="A715" s="27" t="s">
        <v>138</v>
      </c>
      <c r="B715" s="27" t="s">
        <v>879</v>
      </c>
      <c r="C715" s="27" t="s">
        <v>763</v>
      </c>
      <c r="D715" s="32"/>
      <c r="E715" s="32"/>
      <c r="F715" s="32"/>
      <c r="G715" s="32"/>
      <c r="H715" s="32"/>
      <c r="I715" s="32"/>
      <c r="J715" s="32"/>
      <c r="K715" s="32"/>
      <c r="M715" s="42" t="s">
        <v>138</v>
      </c>
      <c r="N715" s="43" t="s">
        <v>879</v>
      </c>
      <c r="O715" s="43" t="s">
        <v>763</v>
      </c>
      <c r="P715" s="44"/>
      <c r="Q715" s="45"/>
      <c r="R715" s="45"/>
      <c r="S715" s="45"/>
      <c r="T715" s="45"/>
      <c r="U715" s="45"/>
      <c r="V715" s="46"/>
    </row>
    <row r="716" spans="1:22" x14ac:dyDescent="0.25">
      <c r="A716" s="27" t="s">
        <v>248</v>
      </c>
      <c r="B716" s="27" t="s">
        <v>879</v>
      </c>
      <c r="C716" s="27" t="s">
        <v>764</v>
      </c>
      <c r="D716" s="32">
        <f>13998+15+27</f>
        <v>14040</v>
      </c>
      <c r="E716" s="32">
        <f>9+2</f>
        <v>11</v>
      </c>
      <c r="F716" s="32">
        <v>0</v>
      </c>
      <c r="G716" s="32">
        <v>0</v>
      </c>
      <c r="H716" s="32">
        <v>0</v>
      </c>
      <c r="I716" s="32">
        <v>0</v>
      </c>
      <c r="J716" s="32">
        <v>0</v>
      </c>
      <c r="K716" s="32"/>
      <c r="M716" s="42" t="s">
        <v>248</v>
      </c>
      <c r="N716" s="43" t="s">
        <v>879</v>
      </c>
      <c r="O716" s="43" t="s">
        <v>764</v>
      </c>
      <c r="P716" s="44">
        <v>14040</v>
      </c>
      <c r="Q716" s="45">
        <v>11</v>
      </c>
      <c r="R716" s="45">
        <v>0</v>
      </c>
      <c r="S716" s="45">
        <v>0</v>
      </c>
      <c r="T716" s="45">
        <v>0</v>
      </c>
      <c r="U716" s="45">
        <v>0</v>
      </c>
      <c r="V716" s="46">
        <v>0</v>
      </c>
    </row>
    <row r="717" spans="1:22" x14ac:dyDescent="0.25">
      <c r="A717" s="27" t="s">
        <v>823</v>
      </c>
      <c r="B717" s="27" t="s">
        <v>879</v>
      </c>
      <c r="C717" s="27" t="s">
        <v>765</v>
      </c>
      <c r="D717" s="32"/>
      <c r="E717" s="32"/>
      <c r="F717" s="32"/>
      <c r="G717" s="32"/>
      <c r="H717" s="32"/>
      <c r="I717" s="32"/>
      <c r="J717" s="32"/>
      <c r="K717" s="32"/>
      <c r="M717" s="42" t="s">
        <v>823</v>
      </c>
      <c r="N717" s="43" t="s">
        <v>879</v>
      </c>
      <c r="O717" s="43" t="s">
        <v>765</v>
      </c>
      <c r="P717" s="44"/>
      <c r="Q717" s="45"/>
      <c r="R717" s="45"/>
      <c r="S717" s="45"/>
      <c r="T717" s="45"/>
      <c r="U717" s="45"/>
      <c r="V717" s="46"/>
    </row>
    <row r="718" spans="1:22" x14ac:dyDescent="0.25">
      <c r="A718" s="27" t="s">
        <v>83</v>
      </c>
      <c r="B718" s="27" t="s">
        <v>879</v>
      </c>
      <c r="C718" s="27" t="s">
        <v>766</v>
      </c>
      <c r="D718" s="32">
        <f>11911+9</f>
        <v>11920</v>
      </c>
      <c r="E718" s="32">
        <v>0</v>
      </c>
      <c r="F718" s="32">
        <v>0</v>
      </c>
      <c r="G718" s="32">
        <v>0</v>
      </c>
      <c r="H718" s="32">
        <v>0</v>
      </c>
      <c r="I718" s="32">
        <v>0</v>
      </c>
      <c r="J718" s="32">
        <v>0</v>
      </c>
      <c r="K718" s="32"/>
      <c r="M718" s="42" t="s">
        <v>83</v>
      </c>
      <c r="N718" s="43" t="s">
        <v>879</v>
      </c>
      <c r="O718" s="45" t="s">
        <v>766</v>
      </c>
      <c r="P718" s="44">
        <v>11920</v>
      </c>
      <c r="Q718" s="45">
        <v>0</v>
      </c>
      <c r="R718" s="45">
        <v>0</v>
      </c>
      <c r="S718" s="45">
        <v>0</v>
      </c>
      <c r="T718" s="45">
        <v>0</v>
      </c>
      <c r="U718" s="45">
        <v>0</v>
      </c>
      <c r="V718" s="45">
        <v>0</v>
      </c>
    </row>
    <row r="719" spans="1:22" x14ac:dyDescent="0.25">
      <c r="A719" s="27" t="s">
        <v>864</v>
      </c>
      <c r="B719" s="27" t="s">
        <v>879</v>
      </c>
      <c r="C719" s="27" t="s">
        <v>767</v>
      </c>
      <c r="D719" s="32">
        <f>32744+1+7</f>
        <v>32752</v>
      </c>
      <c r="E719" s="32">
        <f>63+12+16</f>
        <v>91</v>
      </c>
      <c r="F719" s="32">
        <v>0</v>
      </c>
      <c r="G719" s="32">
        <v>0</v>
      </c>
      <c r="H719" s="32">
        <v>0</v>
      </c>
      <c r="I719" s="32">
        <v>0</v>
      </c>
      <c r="J719" s="32">
        <v>0</v>
      </c>
      <c r="K719" s="32"/>
      <c r="M719" s="42" t="s">
        <v>864</v>
      </c>
      <c r="N719" s="43" t="s">
        <v>879</v>
      </c>
      <c r="O719" s="43" t="s">
        <v>767</v>
      </c>
      <c r="P719" s="44">
        <v>32752</v>
      </c>
      <c r="Q719" s="45">
        <v>91</v>
      </c>
      <c r="R719" s="45">
        <v>0</v>
      </c>
      <c r="S719" s="45">
        <v>0</v>
      </c>
      <c r="T719" s="45">
        <v>0</v>
      </c>
      <c r="U719" s="45">
        <v>0</v>
      </c>
      <c r="V719" s="46">
        <v>0</v>
      </c>
    </row>
    <row r="720" spans="1:22" x14ac:dyDescent="0.25">
      <c r="A720" s="27" t="s">
        <v>76</v>
      </c>
      <c r="B720" s="27" t="s">
        <v>879</v>
      </c>
      <c r="C720" s="27" t="s">
        <v>768</v>
      </c>
      <c r="D720" s="32">
        <f>58690+3</f>
        <v>58693</v>
      </c>
      <c r="E720" s="32">
        <f>117+111+3</f>
        <v>231</v>
      </c>
      <c r="F720" s="32">
        <v>0</v>
      </c>
      <c r="G720" s="32">
        <v>0</v>
      </c>
      <c r="H720" s="32">
        <v>0</v>
      </c>
      <c r="I720" s="32">
        <v>0</v>
      </c>
      <c r="J720" s="32">
        <v>0</v>
      </c>
      <c r="K720" s="32"/>
      <c r="M720" s="42" t="s">
        <v>76</v>
      </c>
      <c r="N720" s="43" t="s">
        <v>879</v>
      </c>
      <c r="O720" s="43" t="s">
        <v>768</v>
      </c>
      <c r="P720" s="50">
        <v>58693</v>
      </c>
      <c r="Q720" s="51">
        <v>231</v>
      </c>
      <c r="R720" s="51">
        <v>0</v>
      </c>
      <c r="S720" s="51">
        <v>0</v>
      </c>
      <c r="T720" s="51">
        <v>0</v>
      </c>
      <c r="U720" s="51">
        <v>0</v>
      </c>
      <c r="V720" s="45">
        <v>0</v>
      </c>
    </row>
    <row r="721" spans="1:22" x14ac:dyDescent="0.25">
      <c r="A721" s="27" t="s">
        <v>101</v>
      </c>
      <c r="B721" s="27" t="s">
        <v>879</v>
      </c>
      <c r="C721" s="27" t="s">
        <v>769</v>
      </c>
      <c r="D721" s="32">
        <f>28384+1</f>
        <v>28385</v>
      </c>
      <c r="E721" s="32">
        <v>19</v>
      </c>
      <c r="F721" s="32">
        <v>0</v>
      </c>
      <c r="G721" s="32">
        <v>0</v>
      </c>
      <c r="H721" s="32">
        <v>0</v>
      </c>
      <c r="I721" s="32">
        <v>0</v>
      </c>
      <c r="J721" s="32">
        <v>0</v>
      </c>
      <c r="K721" s="32"/>
      <c r="M721" s="42" t="s">
        <v>101</v>
      </c>
      <c r="N721" s="43" t="s">
        <v>879</v>
      </c>
      <c r="O721" s="43" t="s">
        <v>769</v>
      </c>
      <c r="P721" s="50">
        <v>28385</v>
      </c>
      <c r="Q721" s="51">
        <v>19</v>
      </c>
      <c r="R721" s="51">
        <v>0</v>
      </c>
      <c r="S721" s="51">
        <v>0</v>
      </c>
      <c r="T721" s="51">
        <v>0</v>
      </c>
      <c r="U721" s="51">
        <v>0</v>
      </c>
      <c r="V721" s="45">
        <v>0</v>
      </c>
    </row>
    <row r="722" spans="1:22" x14ac:dyDescent="0.25">
      <c r="A722" s="27" t="s">
        <v>831</v>
      </c>
      <c r="B722" s="27" t="s">
        <v>879</v>
      </c>
      <c r="C722" s="27" t="s">
        <v>770</v>
      </c>
      <c r="D722" s="32"/>
      <c r="E722" s="32"/>
      <c r="F722" s="32"/>
      <c r="G722" s="32"/>
      <c r="H722" s="32"/>
      <c r="I722" s="32"/>
      <c r="J722" s="32"/>
      <c r="K722" s="32"/>
      <c r="M722" s="42" t="s">
        <v>831</v>
      </c>
      <c r="N722" s="43" t="s">
        <v>879</v>
      </c>
      <c r="O722" s="43" t="s">
        <v>770</v>
      </c>
      <c r="P722" s="50"/>
      <c r="Q722" s="51"/>
      <c r="R722" s="51"/>
      <c r="S722" s="51"/>
      <c r="T722" s="51"/>
      <c r="U722" s="51"/>
      <c r="V722" s="45"/>
    </row>
    <row r="723" spans="1:22" x14ac:dyDescent="0.25">
      <c r="A723" s="27" t="s">
        <v>512</v>
      </c>
      <c r="B723" s="27" t="s">
        <v>879</v>
      </c>
      <c r="C723" s="27" t="s">
        <v>771</v>
      </c>
      <c r="D723" s="32">
        <f>22447+1</f>
        <v>22448</v>
      </c>
      <c r="E723" s="32">
        <v>1</v>
      </c>
      <c r="F723" s="32">
        <v>0</v>
      </c>
      <c r="G723" s="32">
        <v>0</v>
      </c>
      <c r="H723" s="32">
        <v>0</v>
      </c>
      <c r="I723" s="32">
        <v>0</v>
      </c>
      <c r="J723" s="32">
        <v>0</v>
      </c>
      <c r="K723" s="32"/>
      <c r="M723" s="42" t="s">
        <v>512</v>
      </c>
      <c r="N723" s="43" t="s">
        <v>879</v>
      </c>
      <c r="O723" s="43" t="s">
        <v>771</v>
      </c>
      <c r="P723" s="50">
        <v>22448</v>
      </c>
      <c r="Q723" s="51">
        <v>1</v>
      </c>
      <c r="R723" s="51">
        <v>0</v>
      </c>
      <c r="S723" s="51">
        <v>0</v>
      </c>
      <c r="T723" s="51">
        <v>0</v>
      </c>
      <c r="U723" s="51">
        <v>0</v>
      </c>
      <c r="V723" s="45">
        <v>0</v>
      </c>
    </row>
    <row r="724" spans="1:22" x14ac:dyDescent="0.25">
      <c r="A724" s="27" t="s">
        <v>10</v>
      </c>
      <c r="B724" s="27" t="s">
        <v>879</v>
      </c>
      <c r="C724" s="27" t="s">
        <v>772</v>
      </c>
      <c r="D724" s="32"/>
      <c r="E724" s="32"/>
      <c r="F724" s="32"/>
      <c r="G724" s="32"/>
      <c r="H724" s="32"/>
      <c r="I724" s="32"/>
      <c r="J724" s="32"/>
      <c r="K724" s="32"/>
      <c r="M724" s="42" t="s">
        <v>10</v>
      </c>
      <c r="N724" s="43" t="s">
        <v>879</v>
      </c>
      <c r="O724" s="43" t="s">
        <v>772</v>
      </c>
      <c r="P724" s="50"/>
      <c r="Q724" s="51"/>
      <c r="R724" s="51"/>
      <c r="S724" s="51"/>
      <c r="T724" s="51"/>
      <c r="U724" s="51"/>
      <c r="V724" s="45"/>
    </row>
    <row r="725" spans="1:22" x14ac:dyDescent="0.25">
      <c r="A725" s="27" t="s">
        <v>794</v>
      </c>
      <c r="B725" s="27" t="s">
        <v>879</v>
      </c>
      <c r="C725" s="27" t="s">
        <v>773</v>
      </c>
      <c r="D725" s="32"/>
      <c r="E725" s="32"/>
      <c r="F725" s="32"/>
      <c r="G725" s="32"/>
      <c r="H725" s="32"/>
      <c r="I725" s="32"/>
      <c r="J725" s="32"/>
      <c r="K725" s="32"/>
      <c r="M725" s="42" t="s">
        <v>794</v>
      </c>
      <c r="N725" s="43" t="s">
        <v>879</v>
      </c>
      <c r="O725" s="43" t="s">
        <v>773</v>
      </c>
      <c r="P725" s="50"/>
      <c r="Q725" s="51"/>
      <c r="R725" s="51"/>
      <c r="S725" s="51"/>
      <c r="T725" s="51"/>
      <c r="U725" s="51"/>
      <c r="V725" s="45"/>
    </row>
    <row r="726" spans="1:22" x14ac:dyDescent="0.25">
      <c r="A726" s="27" t="s">
        <v>826</v>
      </c>
      <c r="B726" s="27" t="s">
        <v>879</v>
      </c>
      <c r="C726" s="27" t="s">
        <v>774</v>
      </c>
      <c r="D726" s="32"/>
      <c r="E726" s="32"/>
      <c r="F726" s="32"/>
      <c r="G726" s="32"/>
      <c r="H726" s="32"/>
      <c r="I726" s="32"/>
      <c r="J726" s="32"/>
      <c r="K726" s="32"/>
      <c r="M726" s="42" t="s">
        <v>826</v>
      </c>
      <c r="N726" s="43" t="s">
        <v>879</v>
      </c>
      <c r="O726" s="43" t="s">
        <v>774</v>
      </c>
      <c r="P726" s="50"/>
      <c r="Q726" s="51"/>
      <c r="R726" s="51"/>
      <c r="S726" s="51"/>
      <c r="T726" s="51"/>
      <c r="U726" s="51"/>
      <c r="V726" s="45"/>
    </row>
    <row r="727" spans="1:22" x14ac:dyDescent="0.25">
      <c r="A727" s="27" t="s">
        <v>806</v>
      </c>
      <c r="B727" s="27" t="s">
        <v>877</v>
      </c>
      <c r="C727" s="27" t="s">
        <v>775</v>
      </c>
      <c r="D727" s="32">
        <f>1345+66+2+6+3</f>
        <v>1422</v>
      </c>
      <c r="E727" s="32">
        <v>1</v>
      </c>
      <c r="F727" s="32">
        <v>0</v>
      </c>
      <c r="G727" s="32">
        <f>10095+12+227+14+120+102+84+15+14</f>
        <v>10683</v>
      </c>
      <c r="H727" s="32">
        <v>33</v>
      </c>
      <c r="I727" s="32">
        <v>0</v>
      </c>
      <c r="J727" s="32">
        <v>0</v>
      </c>
      <c r="K727" s="32"/>
      <c r="M727" s="42" t="s">
        <v>806</v>
      </c>
      <c r="N727" s="43" t="s">
        <v>877</v>
      </c>
      <c r="O727" s="43" t="s">
        <v>775</v>
      </c>
      <c r="P727" s="50">
        <v>1422</v>
      </c>
      <c r="Q727" s="51">
        <v>1</v>
      </c>
      <c r="R727" s="51">
        <v>0</v>
      </c>
      <c r="S727" s="51">
        <v>10683</v>
      </c>
      <c r="T727" s="51">
        <v>33</v>
      </c>
      <c r="U727" s="51">
        <v>0</v>
      </c>
      <c r="V727" s="45">
        <v>0</v>
      </c>
    </row>
    <row r="728" spans="1:22" x14ac:dyDescent="0.25">
      <c r="A728" s="27" t="s">
        <v>823</v>
      </c>
      <c r="B728" s="27" t="s">
        <v>877</v>
      </c>
      <c r="C728" s="27" t="s">
        <v>776</v>
      </c>
      <c r="D728" s="32"/>
      <c r="E728" s="32"/>
      <c r="F728" s="32"/>
      <c r="G728" s="32"/>
      <c r="H728" s="32"/>
      <c r="I728" s="32"/>
      <c r="J728" s="32"/>
      <c r="K728" s="32"/>
      <c r="M728" s="42" t="s">
        <v>823</v>
      </c>
      <c r="N728" s="43" t="s">
        <v>877</v>
      </c>
      <c r="O728" s="43" t="s">
        <v>776</v>
      </c>
      <c r="P728" s="50"/>
      <c r="Q728" s="51"/>
      <c r="R728" s="51"/>
      <c r="S728" s="51"/>
      <c r="T728" s="51"/>
      <c r="U728" s="51"/>
      <c r="V728" s="45"/>
    </row>
    <row r="729" spans="1:22" x14ac:dyDescent="0.25">
      <c r="A729" s="27" t="s">
        <v>859</v>
      </c>
      <c r="B729" s="27" t="s">
        <v>877</v>
      </c>
      <c r="C729" s="27" t="s">
        <v>777</v>
      </c>
      <c r="D729" s="32">
        <f>1939+381</f>
        <v>2320</v>
      </c>
      <c r="E729" s="32">
        <v>0</v>
      </c>
      <c r="F729" s="32">
        <v>0</v>
      </c>
      <c r="G729" s="32">
        <f>5623+356</f>
        <v>5979</v>
      </c>
      <c r="H729" s="32">
        <v>1</v>
      </c>
      <c r="I729" s="32">
        <v>0</v>
      </c>
      <c r="J729" s="32">
        <v>0</v>
      </c>
      <c r="K729" s="32"/>
      <c r="M729" s="42" t="s">
        <v>859</v>
      </c>
      <c r="N729" s="43" t="s">
        <v>877</v>
      </c>
      <c r="O729" s="43" t="s">
        <v>777</v>
      </c>
      <c r="P729" s="50">
        <v>2320</v>
      </c>
      <c r="Q729" s="51">
        <v>0</v>
      </c>
      <c r="R729" s="51">
        <v>0</v>
      </c>
      <c r="S729" s="51">
        <v>5979</v>
      </c>
      <c r="T729" s="51">
        <v>1</v>
      </c>
      <c r="U729" s="51">
        <v>0</v>
      </c>
      <c r="V729" s="45">
        <v>0</v>
      </c>
    </row>
  </sheetData>
  <sheetProtection formatCells="0" formatColumns="0" sort="0" autoFilter="0" pivotTables="0"/>
  <autoFilter ref="M1:V720" xr:uid="{E3C62F06-C066-4492-A4AE-47B1A90ADE86}">
    <sortState xmlns:xlrd2="http://schemas.microsoft.com/office/spreadsheetml/2017/richdata2" ref="M2:V729">
      <sortCondition ref="O2:O729"/>
    </sortState>
  </autoFilter>
  <phoneticPr fontId="2" type="noConversion"/>
  <conditionalFormatting sqref="A2:J729">
    <cfRule type="expression" dxfId="10" priority="411">
      <formula>A2&lt;&gt;#REF!</formula>
    </cfRule>
  </conditionalFormatting>
  <conditionalFormatting sqref="C2:J729">
    <cfRule type="expression" dxfId="9" priority="6">
      <formula>C2&lt;&gt;O2</formula>
    </cfRule>
  </conditionalFormatting>
  <conditionalFormatting sqref="O2:V729">
    <cfRule type="expression" dxfId="8" priority="1">
      <formula>O2&lt;&gt;C2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EAB12-DD1E-4207-BA16-49879D58D2DE}">
  <sheetPr>
    <tabColor rgb="FF00B0F0"/>
  </sheetPr>
  <dimension ref="A1:V729"/>
  <sheetViews>
    <sheetView topLeftCell="A517" zoomScale="90" zoomScaleNormal="90" workbookViewId="0">
      <selection activeCell="D518" sqref="D518"/>
    </sheetView>
  </sheetViews>
  <sheetFormatPr baseColWidth="10" defaultColWidth="11.5703125" defaultRowHeight="15" x14ac:dyDescent="0.25"/>
  <cols>
    <col min="1" max="1" width="12" style="27" bestFit="1" customWidth="1"/>
    <col min="2" max="2" width="9.140625" style="27" bestFit="1" customWidth="1"/>
    <col min="3" max="3" width="14" style="27" bestFit="1" customWidth="1"/>
    <col min="4" max="4" width="12.42578125" style="27" customWidth="1"/>
    <col min="5" max="5" width="12.5703125" style="27" customWidth="1"/>
    <col min="6" max="6" width="9" style="27" customWidth="1"/>
    <col min="7" max="7" width="15.85546875" style="27" customWidth="1"/>
    <col min="8" max="8" width="16" style="27" customWidth="1"/>
    <col min="9" max="10" width="10.140625" style="27" customWidth="1"/>
    <col min="11" max="14" width="11.5703125" style="27"/>
    <col min="15" max="15" width="18" style="27" bestFit="1" customWidth="1"/>
    <col min="16" max="16384" width="11.5703125" style="27"/>
  </cols>
  <sheetData>
    <row r="1" spans="1:22" ht="15" customHeight="1" x14ac:dyDescent="0.25">
      <c r="A1" s="27" t="s">
        <v>0</v>
      </c>
      <c r="B1" s="27" t="s">
        <v>869</v>
      </c>
      <c r="C1" s="27" t="s">
        <v>1</v>
      </c>
      <c r="D1" s="27" t="s">
        <v>2</v>
      </c>
      <c r="E1" s="27" t="s">
        <v>3</v>
      </c>
      <c r="F1" s="27" t="s">
        <v>4</v>
      </c>
      <c r="G1" s="27" t="s">
        <v>5</v>
      </c>
      <c r="H1" s="27" t="s">
        <v>6</v>
      </c>
      <c r="I1" s="27" t="s">
        <v>7</v>
      </c>
      <c r="J1" s="27" t="s">
        <v>8</v>
      </c>
      <c r="M1" s="62" t="s">
        <v>880</v>
      </c>
      <c r="N1" s="63" t="s">
        <v>869</v>
      </c>
      <c r="O1" s="63" t="s">
        <v>881</v>
      </c>
      <c r="P1" s="63" t="s">
        <v>883</v>
      </c>
      <c r="Q1" s="63" t="s">
        <v>884</v>
      </c>
      <c r="R1" s="63" t="s">
        <v>885</v>
      </c>
      <c r="S1" s="63" t="s">
        <v>886</v>
      </c>
      <c r="T1" s="63" t="s">
        <v>887</v>
      </c>
      <c r="U1" s="63" t="s">
        <v>888</v>
      </c>
      <c r="V1" s="64" t="s">
        <v>889</v>
      </c>
    </row>
    <row r="2" spans="1:22" x14ac:dyDescent="0.25">
      <c r="A2" s="27" t="s">
        <v>76</v>
      </c>
      <c r="B2" s="27" t="s">
        <v>870</v>
      </c>
      <c r="C2" s="27" t="s">
        <v>11</v>
      </c>
      <c r="D2" s="32">
        <v>0</v>
      </c>
      <c r="E2" s="32">
        <v>0</v>
      </c>
      <c r="F2" s="32">
        <v>0</v>
      </c>
      <c r="G2" s="32">
        <v>0</v>
      </c>
      <c r="H2" s="32">
        <v>0</v>
      </c>
      <c r="I2" s="32">
        <v>53106</v>
      </c>
      <c r="J2" s="32">
        <v>0</v>
      </c>
      <c r="M2" s="65" t="s">
        <v>76</v>
      </c>
      <c r="N2" s="66" t="s">
        <v>870</v>
      </c>
      <c r="O2" s="66" t="s">
        <v>11</v>
      </c>
      <c r="P2" s="66">
        <v>0</v>
      </c>
      <c r="Q2" s="66">
        <v>0</v>
      </c>
      <c r="R2" s="66">
        <v>0</v>
      </c>
      <c r="S2" s="66">
        <v>0</v>
      </c>
      <c r="T2" s="66">
        <v>0</v>
      </c>
      <c r="U2" s="66">
        <v>53106</v>
      </c>
      <c r="V2" s="67">
        <v>0</v>
      </c>
    </row>
    <row r="3" spans="1:22" x14ac:dyDescent="0.25">
      <c r="A3" s="27" t="s">
        <v>69</v>
      </c>
      <c r="B3" s="27" t="s">
        <v>870</v>
      </c>
      <c r="C3" s="27" t="s">
        <v>12</v>
      </c>
      <c r="D3" s="32">
        <v>0</v>
      </c>
      <c r="E3" s="32">
        <v>0</v>
      </c>
      <c r="F3" s="32">
        <v>0</v>
      </c>
      <c r="G3" s="32">
        <v>0</v>
      </c>
      <c r="H3" s="32">
        <v>0</v>
      </c>
      <c r="I3" s="32">
        <v>135166</v>
      </c>
      <c r="J3" s="32">
        <v>0</v>
      </c>
      <c r="M3" s="68" t="s">
        <v>69</v>
      </c>
      <c r="N3" s="13" t="s">
        <v>870</v>
      </c>
      <c r="O3" s="13" t="s">
        <v>12</v>
      </c>
      <c r="P3" s="13">
        <v>0</v>
      </c>
      <c r="Q3" s="13">
        <v>0</v>
      </c>
      <c r="R3" s="13">
        <v>0</v>
      </c>
      <c r="S3" s="13">
        <v>0</v>
      </c>
      <c r="T3" s="13">
        <v>0</v>
      </c>
      <c r="U3" s="13">
        <v>135166</v>
      </c>
      <c r="V3" s="69">
        <v>0</v>
      </c>
    </row>
    <row r="4" spans="1:22" x14ac:dyDescent="0.25">
      <c r="A4" s="27" t="s">
        <v>76</v>
      </c>
      <c r="B4" s="27" t="s">
        <v>870</v>
      </c>
      <c r="C4" s="27" t="s">
        <v>13</v>
      </c>
      <c r="D4" s="32">
        <v>0</v>
      </c>
      <c r="E4" s="32">
        <v>0</v>
      </c>
      <c r="F4" s="32">
        <v>0</v>
      </c>
      <c r="G4" s="32">
        <v>0</v>
      </c>
      <c r="H4" s="32">
        <v>0</v>
      </c>
      <c r="I4" s="32">
        <v>18019</v>
      </c>
      <c r="J4" s="32">
        <v>0</v>
      </c>
      <c r="M4" s="65" t="s">
        <v>76</v>
      </c>
      <c r="N4" s="66" t="s">
        <v>870</v>
      </c>
      <c r="O4" s="66" t="s">
        <v>13</v>
      </c>
      <c r="P4" s="66">
        <v>0</v>
      </c>
      <c r="Q4" s="66">
        <v>0</v>
      </c>
      <c r="R4" s="66">
        <v>0</v>
      </c>
      <c r="S4" s="66">
        <v>0</v>
      </c>
      <c r="T4" s="66">
        <v>0</v>
      </c>
      <c r="U4" s="66">
        <v>18019</v>
      </c>
      <c r="V4" s="67">
        <v>0</v>
      </c>
    </row>
    <row r="5" spans="1:22" x14ac:dyDescent="0.25">
      <c r="A5" s="27" t="s">
        <v>801</v>
      </c>
      <c r="B5" s="27" t="s">
        <v>870</v>
      </c>
      <c r="C5" s="27" t="s">
        <v>14</v>
      </c>
      <c r="D5" s="32"/>
      <c r="E5" s="32"/>
      <c r="F5" s="32"/>
      <c r="G5" s="32"/>
      <c r="H5" s="32"/>
      <c r="I5" s="32"/>
      <c r="J5" s="32"/>
      <c r="M5" s="68" t="s">
        <v>801</v>
      </c>
      <c r="N5" s="13" t="s">
        <v>870</v>
      </c>
      <c r="O5" s="13" t="s">
        <v>14</v>
      </c>
      <c r="P5" s="13"/>
      <c r="Q5" s="13"/>
      <c r="R5" s="13"/>
      <c r="S5" s="13"/>
      <c r="T5" s="13"/>
      <c r="U5" s="13"/>
      <c r="V5" s="69"/>
    </row>
    <row r="6" spans="1:22" x14ac:dyDescent="0.25">
      <c r="A6" s="27" t="s">
        <v>826</v>
      </c>
      <c r="B6" s="27" t="s">
        <v>870</v>
      </c>
      <c r="C6" s="27" t="s">
        <v>15</v>
      </c>
      <c r="D6" s="32">
        <v>0</v>
      </c>
      <c r="E6" s="32">
        <v>0</v>
      </c>
      <c r="F6" s="32">
        <v>0</v>
      </c>
      <c r="G6" s="32">
        <v>0</v>
      </c>
      <c r="H6" s="32">
        <v>0</v>
      </c>
      <c r="I6" s="32">
        <v>12513</v>
      </c>
      <c r="J6" s="32">
        <v>0</v>
      </c>
      <c r="M6" s="65" t="s">
        <v>826</v>
      </c>
      <c r="N6" s="66" t="s">
        <v>870</v>
      </c>
      <c r="O6" s="66" t="s">
        <v>15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12513</v>
      </c>
      <c r="V6" s="67">
        <v>0</v>
      </c>
    </row>
    <row r="7" spans="1:22" x14ac:dyDescent="0.25">
      <c r="A7" s="27" t="s">
        <v>811</v>
      </c>
      <c r="B7" s="27" t="s">
        <v>870</v>
      </c>
      <c r="C7" s="27" t="s">
        <v>16</v>
      </c>
      <c r="D7" s="32">
        <v>0</v>
      </c>
      <c r="E7" s="32">
        <v>0</v>
      </c>
      <c r="F7" s="32">
        <v>0</v>
      </c>
      <c r="G7" s="32">
        <v>0</v>
      </c>
      <c r="H7" s="32">
        <v>0</v>
      </c>
      <c r="I7" s="32">
        <v>9571</v>
      </c>
      <c r="J7" s="32">
        <v>0</v>
      </c>
      <c r="M7" s="68" t="s">
        <v>811</v>
      </c>
      <c r="N7" s="13" t="s">
        <v>870</v>
      </c>
      <c r="O7" s="13" t="s">
        <v>16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9571</v>
      </c>
      <c r="V7" s="69">
        <v>0</v>
      </c>
    </row>
    <row r="8" spans="1:22" x14ac:dyDescent="0.25">
      <c r="A8" s="27" t="s">
        <v>83</v>
      </c>
      <c r="B8" s="27" t="s">
        <v>870</v>
      </c>
      <c r="C8" s="27" t="s">
        <v>17</v>
      </c>
      <c r="D8" s="32">
        <v>0</v>
      </c>
      <c r="E8" s="32">
        <v>0</v>
      </c>
      <c r="F8" s="32">
        <v>0</v>
      </c>
      <c r="G8" s="32">
        <v>0</v>
      </c>
      <c r="H8" s="32">
        <v>0</v>
      </c>
      <c r="I8" s="32">
        <v>1044</v>
      </c>
      <c r="J8" s="32">
        <v>0</v>
      </c>
      <c r="M8" s="65" t="s">
        <v>83</v>
      </c>
      <c r="N8" s="66" t="s">
        <v>870</v>
      </c>
      <c r="O8" s="66" t="s">
        <v>17</v>
      </c>
      <c r="P8" s="66">
        <v>0</v>
      </c>
      <c r="Q8" s="66">
        <v>0</v>
      </c>
      <c r="R8" s="66">
        <v>0</v>
      </c>
      <c r="S8" s="66">
        <v>0</v>
      </c>
      <c r="T8" s="66">
        <v>0</v>
      </c>
      <c r="U8" s="66">
        <v>1044</v>
      </c>
      <c r="V8" s="67">
        <v>0</v>
      </c>
    </row>
    <row r="9" spans="1:22" x14ac:dyDescent="0.25">
      <c r="A9" s="27" t="s">
        <v>803</v>
      </c>
      <c r="B9" s="27" t="s">
        <v>870</v>
      </c>
      <c r="C9" s="27" t="s">
        <v>18</v>
      </c>
      <c r="D9" s="32"/>
      <c r="E9" s="32"/>
      <c r="F9" s="32"/>
      <c r="G9" s="32"/>
      <c r="H9" s="32"/>
      <c r="I9" s="32"/>
      <c r="J9" s="32"/>
      <c r="M9" s="68" t="s">
        <v>803</v>
      </c>
      <c r="N9" s="13" t="s">
        <v>870</v>
      </c>
      <c r="O9" s="13" t="s">
        <v>18</v>
      </c>
      <c r="P9" s="13"/>
      <c r="Q9" s="13"/>
      <c r="R9" s="13"/>
      <c r="S9" s="13"/>
      <c r="T9" s="13"/>
      <c r="U9" s="13"/>
      <c r="V9" s="69"/>
    </row>
    <row r="10" spans="1:22" x14ac:dyDescent="0.25">
      <c r="A10" s="27" t="s">
        <v>76</v>
      </c>
      <c r="B10" s="27" t="s">
        <v>870</v>
      </c>
      <c r="C10" s="27" t="s">
        <v>19</v>
      </c>
      <c r="D10" s="32">
        <v>0</v>
      </c>
      <c r="E10" s="32">
        <v>0</v>
      </c>
      <c r="F10" s="32">
        <v>0</v>
      </c>
      <c r="G10" s="32">
        <v>0</v>
      </c>
      <c r="H10" s="32">
        <v>0</v>
      </c>
      <c r="I10" s="32">
        <v>36268</v>
      </c>
      <c r="J10" s="32">
        <v>0</v>
      </c>
      <c r="M10" s="65" t="s">
        <v>76</v>
      </c>
      <c r="N10" s="66" t="s">
        <v>870</v>
      </c>
      <c r="O10" s="66" t="s">
        <v>19</v>
      </c>
      <c r="P10" s="66">
        <v>0</v>
      </c>
      <c r="Q10" s="66">
        <v>0</v>
      </c>
      <c r="R10" s="66">
        <v>0</v>
      </c>
      <c r="S10" s="66">
        <v>0</v>
      </c>
      <c r="T10" s="66">
        <v>0</v>
      </c>
      <c r="U10" s="66">
        <v>36268</v>
      </c>
      <c r="V10" s="67">
        <v>0</v>
      </c>
    </row>
    <row r="11" spans="1:22" x14ac:dyDescent="0.25">
      <c r="A11" s="27" t="s">
        <v>83</v>
      </c>
      <c r="B11" s="27" t="s">
        <v>870</v>
      </c>
      <c r="C11" s="27" t="s">
        <v>20</v>
      </c>
      <c r="D11" s="32">
        <v>0</v>
      </c>
      <c r="E11" s="32">
        <v>0</v>
      </c>
      <c r="F11" s="32">
        <v>0</v>
      </c>
      <c r="G11" s="32">
        <v>0</v>
      </c>
      <c r="H11" s="32">
        <v>0</v>
      </c>
      <c r="I11" s="32">
        <v>1123</v>
      </c>
      <c r="J11" s="32">
        <v>0</v>
      </c>
      <c r="M11" s="68" t="s">
        <v>83</v>
      </c>
      <c r="N11" s="13" t="s">
        <v>870</v>
      </c>
      <c r="O11" s="13" t="s">
        <v>20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1123</v>
      </c>
      <c r="V11" s="69">
        <v>0</v>
      </c>
    </row>
    <row r="12" spans="1:22" x14ac:dyDescent="0.25">
      <c r="A12" s="27" t="s">
        <v>101</v>
      </c>
      <c r="B12" s="27" t="s">
        <v>870</v>
      </c>
      <c r="C12" s="27" t="s">
        <v>21</v>
      </c>
      <c r="D12" s="32"/>
      <c r="E12" s="32"/>
      <c r="F12" s="32"/>
      <c r="G12" s="32"/>
      <c r="H12" s="32"/>
      <c r="I12" s="32"/>
      <c r="J12" s="32"/>
      <c r="M12" s="65" t="s">
        <v>101</v>
      </c>
      <c r="N12" s="66" t="s">
        <v>870</v>
      </c>
      <c r="O12" s="66" t="s">
        <v>21</v>
      </c>
      <c r="P12" s="66"/>
      <c r="Q12" s="66"/>
      <c r="R12" s="66"/>
      <c r="S12" s="66"/>
      <c r="T12" s="66"/>
      <c r="U12" s="66"/>
      <c r="V12" s="67"/>
    </row>
    <row r="13" spans="1:22" x14ac:dyDescent="0.25">
      <c r="A13" s="27" t="s">
        <v>83</v>
      </c>
      <c r="B13" s="27" t="s">
        <v>870</v>
      </c>
      <c r="C13" s="27" t="s">
        <v>22</v>
      </c>
      <c r="D13" s="32">
        <v>0</v>
      </c>
      <c r="E13" s="32">
        <v>0</v>
      </c>
      <c r="F13" s="32">
        <v>0</v>
      </c>
      <c r="G13" s="32">
        <v>0</v>
      </c>
      <c r="H13" s="32">
        <v>0</v>
      </c>
      <c r="I13" s="32">
        <v>2985</v>
      </c>
      <c r="J13" s="32">
        <v>0</v>
      </c>
      <c r="M13" s="68" t="s">
        <v>83</v>
      </c>
      <c r="N13" s="13" t="s">
        <v>870</v>
      </c>
      <c r="O13" s="13" t="s">
        <v>22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2985</v>
      </c>
      <c r="V13" s="69">
        <v>0</v>
      </c>
    </row>
    <row r="14" spans="1:22" x14ac:dyDescent="0.25">
      <c r="A14" s="27" t="s">
        <v>801</v>
      </c>
      <c r="B14" s="27" t="s">
        <v>870</v>
      </c>
      <c r="C14" s="27" t="s">
        <v>23</v>
      </c>
      <c r="D14" s="32">
        <v>0</v>
      </c>
      <c r="E14" s="32">
        <v>0</v>
      </c>
      <c r="F14" s="32">
        <v>0</v>
      </c>
      <c r="G14" s="32">
        <v>0</v>
      </c>
      <c r="H14" s="32">
        <v>0</v>
      </c>
      <c r="I14" s="32">
        <v>1975</v>
      </c>
      <c r="J14" s="32">
        <v>0</v>
      </c>
      <c r="M14" s="65" t="s">
        <v>801</v>
      </c>
      <c r="N14" s="66" t="s">
        <v>870</v>
      </c>
      <c r="O14" s="66" t="s">
        <v>23</v>
      </c>
      <c r="P14" s="66">
        <v>0</v>
      </c>
      <c r="Q14" s="66">
        <v>0</v>
      </c>
      <c r="R14" s="66">
        <v>0</v>
      </c>
      <c r="S14" s="66">
        <v>0</v>
      </c>
      <c r="T14" s="66">
        <v>0</v>
      </c>
      <c r="U14" s="66">
        <v>1975</v>
      </c>
      <c r="V14" s="67">
        <v>0</v>
      </c>
    </row>
    <row r="15" spans="1:22" x14ac:dyDescent="0.25">
      <c r="A15" s="27" t="s">
        <v>69</v>
      </c>
      <c r="B15" s="27" t="s">
        <v>870</v>
      </c>
      <c r="C15" s="27" t="s">
        <v>24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95084</v>
      </c>
      <c r="J15" s="32">
        <v>0</v>
      </c>
      <c r="M15" s="68" t="s">
        <v>69</v>
      </c>
      <c r="N15" s="13" t="s">
        <v>870</v>
      </c>
      <c r="O15" s="13" t="s">
        <v>24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95084</v>
      </c>
      <c r="V15" s="69">
        <v>0</v>
      </c>
    </row>
    <row r="16" spans="1:22" x14ac:dyDescent="0.25">
      <c r="A16" s="27" t="s">
        <v>804</v>
      </c>
      <c r="B16" s="27" t="s">
        <v>870</v>
      </c>
      <c r="C16" s="27" t="s">
        <v>25</v>
      </c>
      <c r="D16" s="32">
        <v>0</v>
      </c>
      <c r="E16" s="32">
        <v>0</v>
      </c>
      <c r="F16" s="32">
        <v>0</v>
      </c>
      <c r="G16" s="32">
        <v>0</v>
      </c>
      <c r="H16" s="32">
        <v>0</v>
      </c>
      <c r="I16" s="32">
        <v>3439</v>
      </c>
      <c r="J16" s="32">
        <v>0</v>
      </c>
      <c r="M16" s="65" t="s">
        <v>804</v>
      </c>
      <c r="N16" s="66" t="s">
        <v>870</v>
      </c>
      <c r="O16" s="66" t="s">
        <v>25</v>
      </c>
      <c r="P16" s="66">
        <v>0</v>
      </c>
      <c r="Q16" s="66">
        <v>0</v>
      </c>
      <c r="R16" s="66">
        <v>0</v>
      </c>
      <c r="S16" s="66">
        <v>0</v>
      </c>
      <c r="T16" s="66">
        <v>0</v>
      </c>
      <c r="U16" s="66">
        <v>3439</v>
      </c>
      <c r="V16" s="67">
        <v>0</v>
      </c>
    </row>
    <row r="17" spans="1:22" x14ac:dyDescent="0.25">
      <c r="A17" s="27" t="s">
        <v>788</v>
      </c>
      <c r="B17" s="27" t="s">
        <v>871</v>
      </c>
      <c r="C17" s="27" t="s">
        <v>26</v>
      </c>
      <c r="D17" s="32">
        <v>0</v>
      </c>
      <c r="E17" s="32">
        <v>0</v>
      </c>
      <c r="F17" s="32">
        <v>0</v>
      </c>
      <c r="G17" s="32">
        <v>0</v>
      </c>
      <c r="H17" s="32">
        <v>0</v>
      </c>
      <c r="I17" s="32">
        <v>82968</v>
      </c>
      <c r="J17" s="32">
        <v>0</v>
      </c>
      <c r="M17" s="68" t="s">
        <v>788</v>
      </c>
      <c r="N17" s="13" t="s">
        <v>871</v>
      </c>
      <c r="O17" s="13" t="s">
        <v>26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82968</v>
      </c>
      <c r="V17" s="69">
        <v>0</v>
      </c>
    </row>
    <row r="18" spans="1:22" x14ac:dyDescent="0.25">
      <c r="A18" s="27" t="s">
        <v>849</v>
      </c>
      <c r="B18" s="27" t="s">
        <v>872</v>
      </c>
      <c r="C18" s="27" t="s">
        <v>27</v>
      </c>
      <c r="D18" s="32">
        <f>28995+12+1+483+13+1+5+21587</f>
        <v>51097</v>
      </c>
      <c r="E18" s="32">
        <f>1689+36+46</f>
        <v>1771</v>
      </c>
      <c r="F18" s="32">
        <v>0</v>
      </c>
      <c r="G18" s="32">
        <v>0</v>
      </c>
      <c r="H18" s="32">
        <v>0</v>
      </c>
      <c r="I18" s="32">
        <v>98915</v>
      </c>
      <c r="J18" s="32">
        <v>18886</v>
      </c>
      <c r="M18" s="65" t="s">
        <v>849</v>
      </c>
      <c r="N18" s="66" t="s">
        <v>872</v>
      </c>
      <c r="O18" s="66" t="s">
        <v>27</v>
      </c>
      <c r="P18" s="66">
        <v>51097</v>
      </c>
      <c r="Q18" s="66">
        <v>1771</v>
      </c>
      <c r="R18" s="66">
        <v>0</v>
      </c>
      <c r="S18" s="66">
        <v>0</v>
      </c>
      <c r="T18" s="66">
        <v>0</v>
      </c>
      <c r="U18" s="66">
        <v>98915</v>
      </c>
      <c r="V18" s="67">
        <v>18886</v>
      </c>
    </row>
    <row r="19" spans="1:22" x14ac:dyDescent="0.25">
      <c r="A19" s="27" t="s">
        <v>791</v>
      </c>
      <c r="B19" s="27" t="s">
        <v>872</v>
      </c>
      <c r="C19" s="27" t="s">
        <v>28</v>
      </c>
      <c r="D19" s="32">
        <f>111216+1390+6+42+24109+36</f>
        <v>136799</v>
      </c>
      <c r="E19" s="32">
        <f>64+74</f>
        <v>138</v>
      </c>
      <c r="F19" s="32">
        <v>0</v>
      </c>
      <c r="G19" s="32">
        <v>0</v>
      </c>
      <c r="H19" s="32">
        <v>0</v>
      </c>
      <c r="I19" s="32">
        <v>37951</v>
      </c>
      <c r="J19" s="32">
        <v>20079</v>
      </c>
      <c r="M19" s="68" t="s">
        <v>791</v>
      </c>
      <c r="N19" s="13" t="s">
        <v>872</v>
      </c>
      <c r="O19" s="13" t="s">
        <v>28</v>
      </c>
      <c r="P19" s="13">
        <v>136799</v>
      </c>
      <c r="Q19" s="13">
        <v>138</v>
      </c>
      <c r="R19" s="13">
        <v>0</v>
      </c>
      <c r="S19" s="13">
        <v>0</v>
      </c>
      <c r="T19" s="13">
        <v>0</v>
      </c>
      <c r="U19" s="13">
        <v>37951</v>
      </c>
      <c r="V19" s="69">
        <v>20079</v>
      </c>
    </row>
    <row r="20" spans="1:22" x14ac:dyDescent="0.25">
      <c r="A20" s="27" t="s">
        <v>806</v>
      </c>
      <c r="B20" s="27" t="s">
        <v>872</v>
      </c>
      <c r="C20" s="27" t="s">
        <v>29</v>
      </c>
      <c r="D20" s="32">
        <f>3962+109+2+1+1114</f>
        <v>5188</v>
      </c>
      <c r="E20" s="32">
        <v>0</v>
      </c>
      <c r="F20" s="32">
        <v>0</v>
      </c>
      <c r="G20" s="32">
        <v>0</v>
      </c>
      <c r="H20" s="32">
        <v>0</v>
      </c>
      <c r="I20" s="32">
        <v>3775</v>
      </c>
      <c r="J20" s="32">
        <v>786</v>
      </c>
      <c r="M20" s="65" t="s">
        <v>806</v>
      </c>
      <c r="N20" s="66" t="s">
        <v>872</v>
      </c>
      <c r="O20" s="66" t="s">
        <v>29</v>
      </c>
      <c r="P20" s="66">
        <v>5188</v>
      </c>
      <c r="Q20" s="66">
        <v>0</v>
      </c>
      <c r="R20" s="66">
        <v>0</v>
      </c>
      <c r="S20" s="66">
        <v>0</v>
      </c>
      <c r="T20" s="66">
        <v>0</v>
      </c>
      <c r="U20" s="66">
        <v>3775</v>
      </c>
      <c r="V20" s="67">
        <v>786</v>
      </c>
    </row>
    <row r="21" spans="1:22" x14ac:dyDescent="0.25">
      <c r="A21" s="27" t="s">
        <v>817</v>
      </c>
      <c r="B21" s="27" t="s">
        <v>872</v>
      </c>
      <c r="C21" s="32" t="s">
        <v>30</v>
      </c>
      <c r="D21" s="32">
        <f>41842+4234+2+10+15521+752</f>
        <v>62361</v>
      </c>
      <c r="E21" s="32">
        <f>285+156+42</f>
        <v>483</v>
      </c>
      <c r="F21" s="32">
        <v>0</v>
      </c>
      <c r="G21" s="32">
        <v>0</v>
      </c>
      <c r="H21" s="32">
        <v>0</v>
      </c>
      <c r="I21" s="32">
        <v>117907</v>
      </c>
      <c r="J21" s="32">
        <v>13435</v>
      </c>
      <c r="M21" s="68" t="s">
        <v>817</v>
      </c>
      <c r="N21" s="13" t="s">
        <v>872</v>
      </c>
      <c r="O21" s="13" t="s">
        <v>30</v>
      </c>
      <c r="P21" s="13">
        <v>62361</v>
      </c>
      <c r="Q21" s="13">
        <v>483</v>
      </c>
      <c r="R21" s="13">
        <v>0</v>
      </c>
      <c r="S21" s="13">
        <v>0</v>
      </c>
      <c r="T21" s="13">
        <v>0</v>
      </c>
      <c r="U21" s="13">
        <v>117907</v>
      </c>
      <c r="V21" s="69">
        <v>13435</v>
      </c>
    </row>
    <row r="22" spans="1:22" x14ac:dyDescent="0.25">
      <c r="A22" s="27" t="s">
        <v>829</v>
      </c>
      <c r="B22" s="27" t="s">
        <v>872</v>
      </c>
      <c r="C22" s="27" t="s">
        <v>32</v>
      </c>
      <c r="D22" s="32">
        <f>36866+2+7828</f>
        <v>44696</v>
      </c>
      <c r="E22" s="32">
        <f>1+8+17+4</f>
        <v>30</v>
      </c>
      <c r="F22" s="32">
        <v>0</v>
      </c>
      <c r="G22" s="32">
        <v>0</v>
      </c>
      <c r="H22" s="32">
        <v>0</v>
      </c>
      <c r="I22" s="32">
        <v>29513</v>
      </c>
      <c r="J22" s="32">
        <v>7005</v>
      </c>
      <c r="M22" s="65" t="s">
        <v>829</v>
      </c>
      <c r="N22" s="66" t="s">
        <v>872</v>
      </c>
      <c r="O22" s="66" t="s">
        <v>32</v>
      </c>
      <c r="P22" s="66">
        <v>44696</v>
      </c>
      <c r="Q22" s="66">
        <v>30</v>
      </c>
      <c r="R22" s="66">
        <v>0</v>
      </c>
      <c r="S22" s="66">
        <v>0</v>
      </c>
      <c r="T22" s="66">
        <v>0</v>
      </c>
      <c r="U22" s="66">
        <v>29513</v>
      </c>
      <c r="V22" s="67">
        <v>7005</v>
      </c>
    </row>
    <row r="23" spans="1:22" x14ac:dyDescent="0.25">
      <c r="A23" s="27" t="s">
        <v>830</v>
      </c>
      <c r="B23" s="27" t="s">
        <v>872</v>
      </c>
      <c r="C23" s="27" t="s">
        <v>34</v>
      </c>
      <c r="D23" s="32">
        <f>10568+91+2+8281</f>
        <v>18942</v>
      </c>
      <c r="E23" s="32">
        <f>105+21+24</f>
        <v>150</v>
      </c>
      <c r="F23" s="32">
        <v>0</v>
      </c>
      <c r="G23" s="32">
        <v>0</v>
      </c>
      <c r="H23" s="32">
        <v>0</v>
      </c>
      <c r="I23" s="32">
        <v>14621</v>
      </c>
      <c r="J23" s="32">
        <v>7509</v>
      </c>
      <c r="M23" s="68" t="s">
        <v>830</v>
      </c>
      <c r="N23" s="13" t="s">
        <v>872</v>
      </c>
      <c r="O23" s="13" t="s">
        <v>34</v>
      </c>
      <c r="P23" s="13">
        <v>18942</v>
      </c>
      <c r="Q23" s="13">
        <v>150</v>
      </c>
      <c r="R23" s="13">
        <v>0</v>
      </c>
      <c r="S23" s="13">
        <v>0</v>
      </c>
      <c r="T23" s="13">
        <v>0</v>
      </c>
      <c r="U23" s="13">
        <v>14621</v>
      </c>
      <c r="V23" s="69">
        <v>7509</v>
      </c>
    </row>
    <row r="24" spans="1:22" x14ac:dyDescent="0.25">
      <c r="A24" s="27" t="s">
        <v>831</v>
      </c>
      <c r="B24" s="27" t="s">
        <v>872</v>
      </c>
      <c r="C24" s="27" t="s">
        <v>35</v>
      </c>
      <c r="D24" s="32">
        <f>13292+104+2285</f>
        <v>15681</v>
      </c>
      <c r="E24" s="32">
        <v>1</v>
      </c>
      <c r="F24" s="32">
        <v>0</v>
      </c>
      <c r="G24" s="32">
        <v>0</v>
      </c>
      <c r="H24" s="32">
        <v>0</v>
      </c>
      <c r="I24" s="32">
        <v>5373</v>
      </c>
      <c r="J24" s="32">
        <v>1785</v>
      </c>
      <c r="M24" s="65" t="s">
        <v>831</v>
      </c>
      <c r="N24" s="66" t="s">
        <v>872</v>
      </c>
      <c r="O24" s="66" t="s">
        <v>35</v>
      </c>
      <c r="P24" s="66">
        <v>15681</v>
      </c>
      <c r="Q24" s="66">
        <v>1</v>
      </c>
      <c r="R24" s="66">
        <v>0</v>
      </c>
      <c r="S24" s="66">
        <v>0</v>
      </c>
      <c r="T24" s="66">
        <v>0</v>
      </c>
      <c r="U24" s="66">
        <v>5373</v>
      </c>
      <c r="V24" s="67">
        <v>1785</v>
      </c>
    </row>
    <row r="25" spans="1:22" x14ac:dyDescent="0.25">
      <c r="A25" s="27" t="s">
        <v>832</v>
      </c>
      <c r="B25" s="27" t="s">
        <v>872</v>
      </c>
      <c r="C25" s="27" t="s">
        <v>37</v>
      </c>
      <c r="D25" s="32">
        <f>12272+191+2+4859</f>
        <v>17324</v>
      </c>
      <c r="E25" s="32">
        <f>22+23+1</f>
        <v>46</v>
      </c>
      <c r="F25" s="32">
        <v>0</v>
      </c>
      <c r="G25" s="32">
        <v>0</v>
      </c>
      <c r="H25" s="32">
        <v>0</v>
      </c>
      <c r="I25" s="32">
        <v>14606</v>
      </c>
      <c r="J25" s="32">
        <v>4076</v>
      </c>
      <c r="M25" s="68" t="s">
        <v>832</v>
      </c>
      <c r="N25" s="13" t="s">
        <v>872</v>
      </c>
      <c r="O25" s="13" t="s">
        <v>37</v>
      </c>
      <c r="P25" s="13">
        <v>17324</v>
      </c>
      <c r="Q25" s="13">
        <v>46</v>
      </c>
      <c r="R25" s="13">
        <v>0</v>
      </c>
      <c r="S25" s="13">
        <v>0</v>
      </c>
      <c r="T25" s="13">
        <v>0</v>
      </c>
      <c r="U25" s="13">
        <v>14606</v>
      </c>
      <c r="V25" s="69">
        <v>4076</v>
      </c>
    </row>
    <row r="26" spans="1:22" x14ac:dyDescent="0.25">
      <c r="A26" s="27" t="s">
        <v>833</v>
      </c>
      <c r="B26" s="27" t="s">
        <v>872</v>
      </c>
      <c r="C26" s="27" t="s">
        <v>39</v>
      </c>
      <c r="D26" s="32">
        <f>6501+246+12+6165</f>
        <v>12924</v>
      </c>
      <c r="E26" s="32">
        <f>5+9</f>
        <v>14</v>
      </c>
      <c r="F26" s="32">
        <v>0</v>
      </c>
      <c r="G26" s="32">
        <v>0</v>
      </c>
      <c r="H26" s="32">
        <v>0</v>
      </c>
      <c r="I26" s="32">
        <v>22171</v>
      </c>
      <c r="J26" s="32">
        <v>5132</v>
      </c>
      <c r="M26" s="65" t="s">
        <v>833</v>
      </c>
      <c r="N26" s="66" t="s">
        <v>872</v>
      </c>
      <c r="O26" s="66" t="s">
        <v>39</v>
      </c>
      <c r="P26" s="66">
        <v>12924</v>
      </c>
      <c r="Q26" s="66">
        <v>14</v>
      </c>
      <c r="R26" s="66">
        <v>0</v>
      </c>
      <c r="S26" s="66">
        <v>0</v>
      </c>
      <c r="T26" s="66">
        <v>0</v>
      </c>
      <c r="U26" s="66">
        <v>22171</v>
      </c>
      <c r="V26" s="67">
        <v>5132</v>
      </c>
    </row>
    <row r="27" spans="1:22" x14ac:dyDescent="0.25">
      <c r="A27" s="27" t="s">
        <v>834</v>
      </c>
      <c r="B27" s="27" t="s">
        <v>872</v>
      </c>
      <c r="C27" s="27" t="s">
        <v>41</v>
      </c>
      <c r="D27" s="32">
        <f>22003+516+14850+17</f>
        <v>37386</v>
      </c>
      <c r="E27" s="32">
        <f>105+11+48+8</f>
        <v>172</v>
      </c>
      <c r="F27" s="32">
        <v>0</v>
      </c>
      <c r="G27" s="32">
        <v>0</v>
      </c>
      <c r="H27" s="32">
        <v>0</v>
      </c>
      <c r="I27" s="32">
        <v>12317</v>
      </c>
      <c r="J27" s="32">
        <v>9233</v>
      </c>
      <c r="M27" s="68" t="s">
        <v>834</v>
      </c>
      <c r="N27" s="13" t="s">
        <v>872</v>
      </c>
      <c r="O27" s="13" t="s">
        <v>41</v>
      </c>
      <c r="P27" s="13">
        <v>37386</v>
      </c>
      <c r="Q27" s="13">
        <v>172</v>
      </c>
      <c r="R27" s="13">
        <v>0</v>
      </c>
      <c r="S27" s="13">
        <v>0</v>
      </c>
      <c r="T27" s="13">
        <v>0</v>
      </c>
      <c r="U27" s="13">
        <v>12317</v>
      </c>
      <c r="V27" s="69">
        <v>9233</v>
      </c>
    </row>
    <row r="28" spans="1:22" x14ac:dyDescent="0.25">
      <c r="A28" s="27" t="s">
        <v>835</v>
      </c>
      <c r="B28" s="27" t="s">
        <v>872</v>
      </c>
      <c r="C28" s="27" t="s">
        <v>42</v>
      </c>
      <c r="D28" s="32">
        <f>8761+1+16+15+1+1+4501</f>
        <v>13296</v>
      </c>
      <c r="E28" s="32">
        <f>50+10+6</f>
        <v>66</v>
      </c>
      <c r="F28" s="32">
        <v>0</v>
      </c>
      <c r="G28" s="32">
        <v>0</v>
      </c>
      <c r="H28" s="32">
        <v>0</v>
      </c>
      <c r="I28" s="32">
        <v>8740</v>
      </c>
      <c r="J28" s="32">
        <v>3534</v>
      </c>
      <c r="M28" s="65" t="s">
        <v>835</v>
      </c>
      <c r="N28" s="66" t="s">
        <v>872</v>
      </c>
      <c r="O28" s="66" t="s">
        <v>42</v>
      </c>
      <c r="P28" s="66">
        <v>13296</v>
      </c>
      <c r="Q28" s="66">
        <v>66</v>
      </c>
      <c r="R28" s="66">
        <v>0</v>
      </c>
      <c r="S28" s="66">
        <v>0</v>
      </c>
      <c r="T28" s="66">
        <v>0</v>
      </c>
      <c r="U28" s="66">
        <v>8740</v>
      </c>
      <c r="V28" s="67">
        <v>3534</v>
      </c>
    </row>
    <row r="29" spans="1:22" x14ac:dyDescent="0.25">
      <c r="A29" s="27" t="s">
        <v>836</v>
      </c>
      <c r="B29" s="27" t="s">
        <v>872</v>
      </c>
      <c r="C29" s="27" t="s">
        <v>44</v>
      </c>
      <c r="D29" s="32">
        <f>18531+3343+3+230+10+1+15607+2513</f>
        <v>40238</v>
      </c>
      <c r="E29" s="32">
        <f>15+14+16+4+4</f>
        <v>53</v>
      </c>
      <c r="F29" s="32">
        <v>0</v>
      </c>
      <c r="G29" s="32">
        <v>0</v>
      </c>
      <c r="H29" s="32">
        <v>0</v>
      </c>
      <c r="I29" s="32">
        <v>21768</v>
      </c>
      <c r="J29" s="32">
        <v>13144</v>
      </c>
      <c r="M29" s="68" t="s">
        <v>836</v>
      </c>
      <c r="N29" s="13" t="s">
        <v>872</v>
      </c>
      <c r="O29" s="13" t="s">
        <v>44</v>
      </c>
      <c r="P29" s="13">
        <v>40238</v>
      </c>
      <c r="Q29" s="13">
        <v>53</v>
      </c>
      <c r="R29" s="13">
        <v>0</v>
      </c>
      <c r="S29" s="13">
        <v>0</v>
      </c>
      <c r="T29" s="13">
        <v>0</v>
      </c>
      <c r="U29" s="13">
        <v>21768</v>
      </c>
      <c r="V29" s="69">
        <v>13144</v>
      </c>
    </row>
    <row r="30" spans="1:22" x14ac:dyDescent="0.25">
      <c r="A30" s="27" t="s">
        <v>837</v>
      </c>
      <c r="B30" s="27" t="s">
        <v>872</v>
      </c>
      <c r="C30" s="27" t="s">
        <v>46</v>
      </c>
      <c r="D30" s="32">
        <f>12094+7079</f>
        <v>19173</v>
      </c>
      <c r="E30" s="32">
        <v>88</v>
      </c>
      <c r="F30" s="32">
        <v>0</v>
      </c>
      <c r="G30" s="32">
        <v>0</v>
      </c>
      <c r="H30" s="32">
        <v>0</v>
      </c>
      <c r="I30" s="32">
        <v>19424</v>
      </c>
      <c r="J30" s="32">
        <v>4625</v>
      </c>
      <c r="M30" s="65" t="s">
        <v>837</v>
      </c>
      <c r="N30" s="66" t="s">
        <v>872</v>
      </c>
      <c r="O30" s="66" t="s">
        <v>46</v>
      </c>
      <c r="P30" s="66">
        <v>19173</v>
      </c>
      <c r="Q30" s="66">
        <v>88</v>
      </c>
      <c r="R30" s="66">
        <v>0</v>
      </c>
      <c r="S30" s="66">
        <v>0</v>
      </c>
      <c r="T30" s="66">
        <v>0</v>
      </c>
      <c r="U30" s="66">
        <v>19424</v>
      </c>
      <c r="V30" s="67">
        <v>4625</v>
      </c>
    </row>
    <row r="31" spans="1:22" x14ac:dyDescent="0.25">
      <c r="A31" s="27" t="s">
        <v>838</v>
      </c>
      <c r="B31" s="27" t="s">
        <v>872</v>
      </c>
      <c r="C31" s="27" t="s">
        <v>48</v>
      </c>
      <c r="D31" s="32">
        <f>24306+2+35+3+3+17+16101+1+1+1</f>
        <v>40470</v>
      </c>
      <c r="E31" s="32">
        <f>15+2+5+15</f>
        <v>37</v>
      </c>
      <c r="F31" s="32">
        <v>0</v>
      </c>
      <c r="G31" s="32">
        <v>0</v>
      </c>
      <c r="H31" s="32">
        <v>0</v>
      </c>
      <c r="I31" s="32">
        <v>24746</v>
      </c>
      <c r="J31" s="32">
        <v>13317</v>
      </c>
      <c r="M31" s="68" t="s">
        <v>838</v>
      </c>
      <c r="N31" s="13" t="s">
        <v>872</v>
      </c>
      <c r="O31" s="13" t="s">
        <v>48</v>
      </c>
      <c r="P31" s="13">
        <v>40470</v>
      </c>
      <c r="Q31" s="13">
        <v>37</v>
      </c>
      <c r="R31" s="13">
        <v>0</v>
      </c>
      <c r="S31" s="13">
        <v>0</v>
      </c>
      <c r="T31" s="13">
        <v>0</v>
      </c>
      <c r="U31" s="13">
        <v>24746</v>
      </c>
      <c r="V31" s="69">
        <v>13317</v>
      </c>
    </row>
    <row r="32" spans="1:22" x14ac:dyDescent="0.25">
      <c r="A32" s="27" t="s">
        <v>10</v>
      </c>
      <c r="B32" s="27" t="s">
        <v>872</v>
      </c>
      <c r="C32" s="27" t="s">
        <v>49</v>
      </c>
      <c r="D32" s="32"/>
      <c r="E32" s="32"/>
      <c r="F32" s="32"/>
      <c r="G32" s="32"/>
      <c r="H32" s="32"/>
      <c r="I32" s="32"/>
      <c r="J32" s="32"/>
      <c r="M32" s="65" t="s">
        <v>10</v>
      </c>
      <c r="N32" s="66" t="s">
        <v>872</v>
      </c>
      <c r="O32" s="66" t="s">
        <v>49</v>
      </c>
      <c r="P32" s="66"/>
      <c r="Q32" s="66"/>
      <c r="R32" s="66"/>
      <c r="S32" s="66"/>
      <c r="T32" s="66"/>
      <c r="U32" s="66"/>
      <c r="V32" s="67"/>
    </row>
    <row r="33" spans="1:22" x14ac:dyDescent="0.25">
      <c r="A33" s="27" t="s">
        <v>840</v>
      </c>
      <c r="B33" s="27" t="s">
        <v>872</v>
      </c>
      <c r="C33" s="27" t="s">
        <v>51</v>
      </c>
      <c r="D33" s="32">
        <f>371+12886</f>
        <v>13257</v>
      </c>
      <c r="E33" s="32">
        <v>31</v>
      </c>
      <c r="F33" s="32">
        <v>0</v>
      </c>
      <c r="G33" s="32">
        <v>0</v>
      </c>
      <c r="H33" s="32">
        <v>0</v>
      </c>
      <c r="I33" s="32">
        <v>4417</v>
      </c>
      <c r="J33" s="32">
        <v>5385</v>
      </c>
      <c r="M33" s="68" t="s">
        <v>840</v>
      </c>
      <c r="N33" s="13" t="s">
        <v>872</v>
      </c>
      <c r="O33" s="13" t="s">
        <v>51</v>
      </c>
      <c r="P33" s="13">
        <v>13257</v>
      </c>
      <c r="Q33" s="13">
        <v>31</v>
      </c>
      <c r="R33" s="13">
        <v>0</v>
      </c>
      <c r="S33" s="13">
        <v>0</v>
      </c>
      <c r="T33" s="13">
        <v>0</v>
      </c>
      <c r="U33" s="13">
        <v>4417</v>
      </c>
      <c r="V33" s="69">
        <v>5385</v>
      </c>
    </row>
    <row r="34" spans="1:22" x14ac:dyDescent="0.25">
      <c r="A34" s="27" t="s">
        <v>841</v>
      </c>
      <c r="B34" s="27" t="s">
        <v>872</v>
      </c>
      <c r="C34" s="27" t="s">
        <v>53</v>
      </c>
      <c r="D34" s="32">
        <f>15700+1184+20090+1367</f>
        <v>38341</v>
      </c>
      <c r="E34" s="32">
        <v>0</v>
      </c>
      <c r="F34" s="32">
        <v>0</v>
      </c>
      <c r="G34" s="32">
        <v>0</v>
      </c>
      <c r="H34" s="32">
        <v>0</v>
      </c>
      <c r="I34" s="32">
        <v>15453</v>
      </c>
      <c r="J34" s="32">
        <v>17113</v>
      </c>
      <c r="M34" s="65" t="s">
        <v>841</v>
      </c>
      <c r="N34" s="66" t="s">
        <v>872</v>
      </c>
      <c r="O34" s="66" t="s">
        <v>53</v>
      </c>
      <c r="P34" s="66">
        <v>38341</v>
      </c>
      <c r="Q34" s="66">
        <v>0</v>
      </c>
      <c r="R34" s="66">
        <v>0</v>
      </c>
      <c r="S34" s="66">
        <v>0</v>
      </c>
      <c r="T34" s="66">
        <v>0</v>
      </c>
      <c r="U34" s="66">
        <v>15453</v>
      </c>
      <c r="V34" s="67">
        <v>17113</v>
      </c>
    </row>
    <row r="35" spans="1:22" x14ac:dyDescent="0.25">
      <c r="A35" s="27" t="s">
        <v>842</v>
      </c>
      <c r="B35" s="27" t="s">
        <v>872</v>
      </c>
      <c r="C35" s="27" t="s">
        <v>55</v>
      </c>
      <c r="D35" s="32">
        <f>17912+10794</f>
        <v>28706</v>
      </c>
      <c r="E35" s="32">
        <f>11+1+320+28+1+24</f>
        <v>385</v>
      </c>
      <c r="F35" s="32">
        <v>0</v>
      </c>
      <c r="G35" s="32">
        <v>0</v>
      </c>
      <c r="H35" s="32">
        <v>0</v>
      </c>
      <c r="I35" s="32">
        <v>23733</v>
      </c>
      <c r="J35" s="32">
        <v>8589</v>
      </c>
      <c r="M35" s="68" t="s">
        <v>842</v>
      </c>
      <c r="N35" s="13" t="s">
        <v>872</v>
      </c>
      <c r="O35" s="13" t="s">
        <v>55</v>
      </c>
      <c r="P35" s="13">
        <v>28706</v>
      </c>
      <c r="Q35" s="13">
        <v>385</v>
      </c>
      <c r="R35" s="13">
        <v>0</v>
      </c>
      <c r="S35" s="13">
        <v>0</v>
      </c>
      <c r="T35" s="13">
        <v>0</v>
      </c>
      <c r="U35" s="13">
        <v>23733</v>
      </c>
      <c r="V35" s="69">
        <v>8589</v>
      </c>
    </row>
    <row r="36" spans="1:22" x14ac:dyDescent="0.25">
      <c r="A36" s="27" t="s">
        <v>788</v>
      </c>
      <c r="B36" s="27" t="s">
        <v>872</v>
      </c>
      <c r="C36" s="27" t="s">
        <v>56</v>
      </c>
      <c r="D36" s="32">
        <f>61354+1+4+1+2+6+31795</f>
        <v>93163</v>
      </c>
      <c r="E36" s="32">
        <f>104+85+1</f>
        <v>190</v>
      </c>
      <c r="F36" s="32">
        <v>0</v>
      </c>
      <c r="G36" s="32">
        <v>0</v>
      </c>
      <c r="H36" s="32">
        <v>0</v>
      </c>
      <c r="I36" s="32">
        <v>19295</v>
      </c>
      <c r="J36" s="32">
        <v>24409</v>
      </c>
      <c r="M36" s="65" t="s">
        <v>788</v>
      </c>
      <c r="N36" s="66" t="s">
        <v>872</v>
      </c>
      <c r="O36" s="66" t="s">
        <v>56</v>
      </c>
      <c r="P36" s="66">
        <v>93163</v>
      </c>
      <c r="Q36" s="66">
        <v>190</v>
      </c>
      <c r="R36" s="66">
        <v>0</v>
      </c>
      <c r="S36" s="66">
        <v>0</v>
      </c>
      <c r="T36" s="66">
        <v>0</v>
      </c>
      <c r="U36" s="66">
        <v>19295</v>
      </c>
      <c r="V36" s="67">
        <v>24409</v>
      </c>
    </row>
    <row r="37" spans="1:22" x14ac:dyDescent="0.25">
      <c r="A37" s="27" t="s">
        <v>495</v>
      </c>
      <c r="B37" s="27" t="s">
        <v>872</v>
      </c>
      <c r="C37" s="27" t="s">
        <v>57</v>
      </c>
      <c r="D37" s="32">
        <f>38970+3320+3+2+1+2723</f>
        <v>45019</v>
      </c>
      <c r="E37" s="32">
        <v>33</v>
      </c>
      <c r="F37" s="32">
        <v>0</v>
      </c>
      <c r="G37" s="32">
        <v>0</v>
      </c>
      <c r="H37" s="32">
        <v>0</v>
      </c>
      <c r="I37" s="32">
        <v>7138</v>
      </c>
      <c r="J37" s="32">
        <v>2271</v>
      </c>
      <c r="M37" s="68" t="s">
        <v>495</v>
      </c>
      <c r="N37" s="13" t="s">
        <v>872</v>
      </c>
      <c r="O37" s="13" t="s">
        <v>57</v>
      </c>
      <c r="P37" s="13">
        <v>45019</v>
      </c>
      <c r="Q37" s="13">
        <v>33</v>
      </c>
      <c r="R37" s="13">
        <v>0</v>
      </c>
      <c r="S37" s="13">
        <v>0</v>
      </c>
      <c r="T37" s="13">
        <v>0</v>
      </c>
      <c r="U37" s="13">
        <v>7138</v>
      </c>
      <c r="V37" s="69">
        <v>2271</v>
      </c>
    </row>
    <row r="38" spans="1:22" x14ac:dyDescent="0.25">
      <c r="A38" s="27" t="s">
        <v>248</v>
      </c>
      <c r="B38" s="27" t="s">
        <v>872</v>
      </c>
      <c r="C38" s="27" t="s">
        <v>58</v>
      </c>
      <c r="D38" s="32">
        <f>42470+219+243+96+11969</f>
        <v>54997</v>
      </c>
      <c r="E38" s="32">
        <f>433+96+2+13+6</f>
        <v>550</v>
      </c>
      <c r="F38" s="32">
        <v>0</v>
      </c>
      <c r="G38" s="32">
        <v>0</v>
      </c>
      <c r="H38" s="32">
        <v>0</v>
      </c>
      <c r="I38" s="32">
        <v>57612</v>
      </c>
      <c r="J38" s="32">
        <v>9216</v>
      </c>
      <c r="M38" s="65" t="s">
        <v>248</v>
      </c>
      <c r="N38" s="66" t="s">
        <v>872</v>
      </c>
      <c r="O38" s="66" t="s">
        <v>58</v>
      </c>
      <c r="P38" s="66">
        <v>54997</v>
      </c>
      <c r="Q38" s="66">
        <v>550</v>
      </c>
      <c r="R38" s="66">
        <v>0</v>
      </c>
      <c r="S38" s="66">
        <v>0</v>
      </c>
      <c r="T38" s="66">
        <v>0</v>
      </c>
      <c r="U38" s="66">
        <v>57612</v>
      </c>
      <c r="V38" s="67">
        <v>9216</v>
      </c>
    </row>
    <row r="39" spans="1:22" x14ac:dyDescent="0.25">
      <c r="A39" s="27" t="s">
        <v>843</v>
      </c>
      <c r="B39" s="27" t="s">
        <v>872</v>
      </c>
      <c r="C39" s="27" t="s">
        <v>60</v>
      </c>
      <c r="D39" s="32">
        <f>10470+6000</f>
        <v>16470</v>
      </c>
      <c r="E39" s="32">
        <v>0</v>
      </c>
      <c r="F39" s="32">
        <v>0</v>
      </c>
      <c r="G39" s="32">
        <v>0</v>
      </c>
      <c r="H39" s="32">
        <v>0</v>
      </c>
      <c r="I39" s="32">
        <v>16168</v>
      </c>
      <c r="J39" s="32">
        <v>4772</v>
      </c>
      <c r="M39" s="68" t="s">
        <v>843</v>
      </c>
      <c r="N39" s="13" t="s">
        <v>872</v>
      </c>
      <c r="O39" s="13" t="s">
        <v>60</v>
      </c>
      <c r="P39" s="13">
        <v>16470</v>
      </c>
      <c r="Q39" s="13">
        <v>0</v>
      </c>
      <c r="R39" s="13">
        <v>0</v>
      </c>
      <c r="S39" s="13">
        <v>0</v>
      </c>
      <c r="T39" s="13">
        <v>0</v>
      </c>
      <c r="U39" s="13">
        <v>16168</v>
      </c>
      <c r="V39" s="69">
        <v>4772</v>
      </c>
    </row>
    <row r="40" spans="1:22" x14ac:dyDescent="0.25">
      <c r="A40" s="27" t="s">
        <v>844</v>
      </c>
      <c r="B40" s="27" t="s">
        <v>872</v>
      </c>
      <c r="C40" s="27" t="s">
        <v>62</v>
      </c>
      <c r="D40" s="32">
        <f>11476+354+15+7186</f>
        <v>19031</v>
      </c>
      <c r="E40" s="32">
        <f>10+13+4</f>
        <v>27</v>
      </c>
      <c r="F40" s="32">
        <v>0</v>
      </c>
      <c r="G40" s="32">
        <v>0</v>
      </c>
      <c r="H40" s="32">
        <v>0</v>
      </c>
      <c r="I40" s="32">
        <v>12099</v>
      </c>
      <c r="J40" s="32">
        <v>5215</v>
      </c>
      <c r="M40" s="65" t="s">
        <v>844</v>
      </c>
      <c r="N40" s="66" t="s">
        <v>872</v>
      </c>
      <c r="O40" s="66" t="s">
        <v>62</v>
      </c>
      <c r="P40" s="66">
        <v>19031</v>
      </c>
      <c r="Q40" s="66">
        <v>27</v>
      </c>
      <c r="R40" s="66">
        <v>0</v>
      </c>
      <c r="S40" s="66">
        <v>0</v>
      </c>
      <c r="T40" s="66">
        <v>0</v>
      </c>
      <c r="U40" s="66">
        <v>12099</v>
      </c>
      <c r="V40" s="67">
        <v>5215</v>
      </c>
    </row>
    <row r="41" spans="1:22" x14ac:dyDescent="0.25">
      <c r="A41" s="27" t="s">
        <v>845</v>
      </c>
      <c r="B41" s="27" t="s">
        <v>872</v>
      </c>
      <c r="C41" s="27" t="s">
        <v>63</v>
      </c>
      <c r="D41" s="32">
        <f>39965+1+5+1042+3+18+22+57+37+17+1+16232</f>
        <v>57400</v>
      </c>
      <c r="E41" s="32">
        <f>40+5+87+133+49+5+24</f>
        <v>343</v>
      </c>
      <c r="F41" s="32">
        <v>0</v>
      </c>
      <c r="G41" s="32">
        <v>0</v>
      </c>
      <c r="H41" s="32">
        <v>0</v>
      </c>
      <c r="I41" s="32">
        <v>30142</v>
      </c>
      <c r="J41" s="32">
        <v>11189</v>
      </c>
      <c r="M41" s="68" t="s">
        <v>845</v>
      </c>
      <c r="N41" s="13" t="s">
        <v>872</v>
      </c>
      <c r="O41" s="13" t="s">
        <v>63</v>
      </c>
      <c r="P41" s="13">
        <v>57400</v>
      </c>
      <c r="Q41" s="13">
        <v>343</v>
      </c>
      <c r="R41" s="13">
        <v>0</v>
      </c>
      <c r="S41" s="13">
        <v>0</v>
      </c>
      <c r="T41" s="13">
        <v>0</v>
      </c>
      <c r="U41" s="13">
        <v>30142</v>
      </c>
      <c r="V41" s="69">
        <v>11189</v>
      </c>
    </row>
    <row r="42" spans="1:22" x14ac:dyDescent="0.25">
      <c r="A42" s="27" t="s">
        <v>846</v>
      </c>
      <c r="B42" s="27" t="s">
        <v>872</v>
      </c>
      <c r="C42" s="27" t="s">
        <v>64</v>
      </c>
      <c r="D42" s="32">
        <f>9318+4750</f>
        <v>14068</v>
      </c>
      <c r="E42" s="32">
        <v>0</v>
      </c>
      <c r="F42" s="32">
        <v>0</v>
      </c>
      <c r="G42" s="32">
        <v>0</v>
      </c>
      <c r="H42" s="32">
        <v>0</v>
      </c>
      <c r="I42" s="32">
        <v>23220</v>
      </c>
      <c r="J42" s="32">
        <v>3866</v>
      </c>
      <c r="M42" s="65" t="s">
        <v>846</v>
      </c>
      <c r="N42" s="66" t="s">
        <v>872</v>
      </c>
      <c r="O42" s="66" t="s">
        <v>64</v>
      </c>
      <c r="P42" s="66">
        <v>14068</v>
      </c>
      <c r="Q42" s="66">
        <v>0</v>
      </c>
      <c r="R42" s="66">
        <v>0</v>
      </c>
      <c r="S42" s="66">
        <v>0</v>
      </c>
      <c r="T42" s="66">
        <v>0</v>
      </c>
      <c r="U42" s="66">
        <v>23220</v>
      </c>
      <c r="V42" s="67">
        <v>3866</v>
      </c>
    </row>
    <row r="43" spans="1:22" x14ac:dyDescent="0.25">
      <c r="A43" s="27" t="s">
        <v>788</v>
      </c>
      <c r="B43" s="27" t="s">
        <v>872</v>
      </c>
      <c r="C43" s="27" t="s">
        <v>65</v>
      </c>
      <c r="D43" s="32">
        <f>25298+18+2+2+16993+1</f>
        <v>42314</v>
      </c>
      <c r="E43" s="32">
        <f>128+2+13+15</f>
        <v>158</v>
      </c>
      <c r="F43" s="32">
        <v>0</v>
      </c>
      <c r="G43" s="32">
        <v>0</v>
      </c>
      <c r="H43" s="32">
        <v>0</v>
      </c>
      <c r="I43" s="32">
        <v>41908</v>
      </c>
      <c r="J43" s="32">
        <v>14538</v>
      </c>
      <c r="M43" s="68" t="s">
        <v>788</v>
      </c>
      <c r="N43" s="13" t="s">
        <v>872</v>
      </c>
      <c r="O43" s="13" t="s">
        <v>65</v>
      </c>
      <c r="P43" s="13">
        <v>42314</v>
      </c>
      <c r="Q43" s="13">
        <v>158</v>
      </c>
      <c r="R43" s="13">
        <v>0</v>
      </c>
      <c r="S43" s="13">
        <v>0</v>
      </c>
      <c r="T43" s="13">
        <v>0</v>
      </c>
      <c r="U43" s="13">
        <v>41908</v>
      </c>
      <c r="V43" s="69">
        <v>14538</v>
      </c>
    </row>
    <row r="44" spans="1:22" x14ac:dyDescent="0.25">
      <c r="A44" s="27" t="s">
        <v>76</v>
      </c>
      <c r="B44" s="27" t="s">
        <v>872</v>
      </c>
      <c r="C44" s="27" t="s">
        <v>66</v>
      </c>
      <c r="D44" s="32">
        <f>15701+112+10+141+2+16+9797</f>
        <v>25779</v>
      </c>
      <c r="E44" s="32">
        <f>99+1+2+34+11+1</f>
        <v>148</v>
      </c>
      <c r="F44" s="32">
        <v>0</v>
      </c>
      <c r="G44" s="32">
        <v>0</v>
      </c>
      <c r="H44" s="32">
        <v>0</v>
      </c>
      <c r="I44" s="32">
        <v>3449</v>
      </c>
      <c r="J44" s="32">
        <v>6528</v>
      </c>
      <c r="M44" s="65" t="s">
        <v>76</v>
      </c>
      <c r="N44" s="66" t="s">
        <v>872</v>
      </c>
      <c r="O44" s="66" t="s">
        <v>66</v>
      </c>
      <c r="P44" s="66">
        <v>25779</v>
      </c>
      <c r="Q44" s="66">
        <v>148</v>
      </c>
      <c r="R44" s="66">
        <v>0</v>
      </c>
      <c r="S44" s="66">
        <v>0</v>
      </c>
      <c r="T44" s="66">
        <v>0</v>
      </c>
      <c r="U44" s="66">
        <v>3449</v>
      </c>
      <c r="V44" s="67">
        <v>6528</v>
      </c>
    </row>
    <row r="45" spans="1:22" x14ac:dyDescent="0.25">
      <c r="A45" s="27" t="s">
        <v>67</v>
      </c>
      <c r="B45" s="27" t="s">
        <v>872</v>
      </c>
      <c r="C45" s="27" t="s">
        <v>68</v>
      </c>
      <c r="D45" s="32">
        <f>32914+37+18+64+5789</f>
        <v>38822</v>
      </c>
      <c r="E45" s="32">
        <f>353+1+149+12+3+2</f>
        <v>520</v>
      </c>
      <c r="F45" s="32">
        <v>0</v>
      </c>
      <c r="G45" s="32">
        <v>0</v>
      </c>
      <c r="H45" s="32">
        <v>0</v>
      </c>
      <c r="I45" s="32">
        <v>31584</v>
      </c>
      <c r="J45" s="32">
        <v>4749</v>
      </c>
      <c r="M45" s="68" t="s">
        <v>67</v>
      </c>
      <c r="N45" s="13" t="s">
        <v>872</v>
      </c>
      <c r="O45" s="13" t="s">
        <v>68</v>
      </c>
      <c r="P45" s="13">
        <v>38822</v>
      </c>
      <c r="Q45" s="13">
        <v>520</v>
      </c>
      <c r="R45" s="13">
        <v>0</v>
      </c>
      <c r="S45" s="13">
        <v>0</v>
      </c>
      <c r="T45" s="13">
        <v>0</v>
      </c>
      <c r="U45" s="13">
        <v>31584</v>
      </c>
      <c r="V45" s="69">
        <v>4749</v>
      </c>
    </row>
    <row r="46" spans="1:22" x14ac:dyDescent="0.25">
      <c r="A46" s="27" t="s">
        <v>76</v>
      </c>
      <c r="B46" s="27" t="s">
        <v>872</v>
      </c>
      <c r="C46" s="27" t="s">
        <v>70</v>
      </c>
      <c r="D46" s="32">
        <f>114278+19+4276+26+49+44825+396</f>
        <v>163869</v>
      </c>
      <c r="E46" s="32">
        <f>655+5+2+46+80+129</f>
        <v>917</v>
      </c>
      <c r="F46" s="32">
        <v>0</v>
      </c>
      <c r="G46" s="32">
        <v>0</v>
      </c>
      <c r="H46" s="32">
        <v>0</v>
      </c>
      <c r="I46" s="32">
        <v>97329</v>
      </c>
      <c r="J46" s="32">
        <v>34631</v>
      </c>
      <c r="M46" s="65" t="s">
        <v>76</v>
      </c>
      <c r="N46" s="66" t="s">
        <v>872</v>
      </c>
      <c r="O46" s="66" t="s">
        <v>70</v>
      </c>
      <c r="P46" s="66">
        <v>163869</v>
      </c>
      <c r="Q46" s="66">
        <v>917</v>
      </c>
      <c r="R46" s="66">
        <v>0</v>
      </c>
      <c r="S46" s="66">
        <v>0</v>
      </c>
      <c r="T46" s="66">
        <v>0</v>
      </c>
      <c r="U46" s="66">
        <v>97329</v>
      </c>
      <c r="V46" s="67">
        <v>34631</v>
      </c>
    </row>
    <row r="47" spans="1:22" x14ac:dyDescent="0.25">
      <c r="A47" s="27" t="s">
        <v>803</v>
      </c>
      <c r="B47" s="27" t="s">
        <v>872</v>
      </c>
      <c r="C47" s="27" t="s">
        <v>71</v>
      </c>
      <c r="D47" s="32">
        <v>0</v>
      </c>
      <c r="E47" s="32">
        <v>0</v>
      </c>
      <c r="F47" s="32">
        <v>0</v>
      </c>
      <c r="G47" s="32">
        <v>0</v>
      </c>
      <c r="H47" s="32">
        <v>0</v>
      </c>
      <c r="I47" s="32">
        <v>0</v>
      </c>
      <c r="J47" s="32">
        <v>0</v>
      </c>
      <c r="M47" s="68" t="s">
        <v>803</v>
      </c>
      <c r="N47" s="13" t="s">
        <v>872</v>
      </c>
      <c r="O47" s="13" t="s">
        <v>71</v>
      </c>
      <c r="P47" s="13"/>
      <c r="Q47" s="13"/>
      <c r="R47" s="13"/>
      <c r="S47" s="13"/>
      <c r="T47" s="13"/>
      <c r="U47" s="13"/>
      <c r="V47" s="69"/>
    </row>
    <row r="48" spans="1:22" x14ac:dyDescent="0.25">
      <c r="A48" s="27" t="s">
        <v>72</v>
      </c>
      <c r="B48" s="27" t="s">
        <v>872</v>
      </c>
      <c r="C48" s="27" t="s">
        <v>73</v>
      </c>
      <c r="D48" s="32">
        <f>28509+13+8+6780</f>
        <v>35310</v>
      </c>
      <c r="E48" s="32">
        <v>104</v>
      </c>
      <c r="F48" s="32">
        <v>0</v>
      </c>
      <c r="G48" s="32">
        <v>0</v>
      </c>
      <c r="H48" s="32">
        <v>0</v>
      </c>
      <c r="I48" s="32">
        <v>19849</v>
      </c>
      <c r="J48" s="32">
        <v>5855</v>
      </c>
      <c r="M48" s="65" t="s">
        <v>72</v>
      </c>
      <c r="N48" s="66" t="s">
        <v>872</v>
      </c>
      <c r="O48" s="66" t="s">
        <v>73</v>
      </c>
      <c r="P48" s="66">
        <v>35310</v>
      </c>
      <c r="Q48" s="66">
        <v>104</v>
      </c>
      <c r="R48" s="66">
        <v>0</v>
      </c>
      <c r="S48" s="66">
        <v>0</v>
      </c>
      <c r="T48" s="66">
        <v>0</v>
      </c>
      <c r="U48" s="66">
        <v>19849</v>
      </c>
      <c r="V48" s="67">
        <v>5855</v>
      </c>
    </row>
    <row r="49" spans="1:22" x14ac:dyDescent="0.25">
      <c r="A49" s="27" t="s">
        <v>809</v>
      </c>
      <c r="B49" s="27" t="s">
        <v>872</v>
      </c>
      <c r="C49" s="27" t="s">
        <v>74</v>
      </c>
      <c r="D49" s="32">
        <f>47537+10+321+385+3+24+1+4+1+241+12468</f>
        <v>60995</v>
      </c>
      <c r="E49" s="32">
        <f>1695+3+1+69+24</f>
        <v>1792</v>
      </c>
      <c r="F49" s="32">
        <v>0</v>
      </c>
      <c r="G49" s="32">
        <v>0</v>
      </c>
      <c r="H49" s="32">
        <v>0</v>
      </c>
      <c r="I49" s="32">
        <v>29067</v>
      </c>
      <c r="J49" s="32">
        <v>8779</v>
      </c>
      <c r="M49" s="68" t="s">
        <v>809</v>
      </c>
      <c r="N49" s="13" t="s">
        <v>872</v>
      </c>
      <c r="O49" s="13" t="s">
        <v>74</v>
      </c>
      <c r="P49" s="13">
        <v>60995</v>
      </c>
      <c r="Q49" s="13">
        <v>1792</v>
      </c>
      <c r="R49" s="13">
        <v>0</v>
      </c>
      <c r="S49" s="13">
        <v>0</v>
      </c>
      <c r="T49" s="13">
        <v>0</v>
      </c>
      <c r="U49" s="13">
        <v>29067</v>
      </c>
      <c r="V49" s="69">
        <v>8779</v>
      </c>
    </row>
    <row r="50" spans="1:22" x14ac:dyDescent="0.25">
      <c r="A50" s="27" t="s">
        <v>146</v>
      </c>
      <c r="B50" s="27" t="s">
        <v>872</v>
      </c>
      <c r="C50" s="27" t="s">
        <v>75</v>
      </c>
      <c r="D50" s="32">
        <f>15748+39230</f>
        <v>54978</v>
      </c>
      <c r="E50" s="32">
        <f>249+6</f>
        <v>255</v>
      </c>
      <c r="F50" s="32">
        <v>0</v>
      </c>
      <c r="G50" s="32">
        <v>0</v>
      </c>
      <c r="H50" s="32">
        <v>0</v>
      </c>
      <c r="I50" s="32">
        <v>28834</v>
      </c>
      <c r="J50" s="32">
        <v>37049</v>
      </c>
      <c r="M50" s="65" t="s">
        <v>146</v>
      </c>
      <c r="N50" s="66" t="s">
        <v>872</v>
      </c>
      <c r="O50" s="66" t="s">
        <v>75</v>
      </c>
      <c r="P50" s="66">
        <v>54978</v>
      </c>
      <c r="Q50" s="66">
        <v>255</v>
      </c>
      <c r="R50" s="66">
        <v>0</v>
      </c>
      <c r="S50" s="66">
        <v>0</v>
      </c>
      <c r="T50" s="66">
        <v>0</v>
      </c>
      <c r="U50" s="66">
        <v>28834</v>
      </c>
      <c r="V50" s="67">
        <v>37049</v>
      </c>
    </row>
    <row r="51" spans="1:22" x14ac:dyDescent="0.25">
      <c r="A51" s="27" t="s">
        <v>76</v>
      </c>
      <c r="B51" s="27" t="s">
        <v>872</v>
      </c>
      <c r="C51" s="27" t="s">
        <v>77</v>
      </c>
      <c r="D51" s="32">
        <f>43992+2+954+2+1+23+31256</f>
        <v>76230</v>
      </c>
      <c r="E51" s="32">
        <f>99+2+153+14</f>
        <v>268</v>
      </c>
      <c r="F51" s="32">
        <v>0</v>
      </c>
      <c r="G51" s="32">
        <v>0</v>
      </c>
      <c r="H51" s="32">
        <v>0</v>
      </c>
      <c r="I51" s="32">
        <v>19643</v>
      </c>
      <c r="J51" s="32">
        <v>22388</v>
      </c>
      <c r="M51" s="68" t="s">
        <v>76</v>
      </c>
      <c r="N51" s="13" t="s">
        <v>872</v>
      </c>
      <c r="O51" s="13" t="s">
        <v>77</v>
      </c>
      <c r="P51" s="13">
        <v>76230</v>
      </c>
      <c r="Q51" s="13">
        <v>268</v>
      </c>
      <c r="R51" s="13">
        <v>0</v>
      </c>
      <c r="S51" s="13">
        <v>0</v>
      </c>
      <c r="T51" s="13">
        <v>0</v>
      </c>
      <c r="U51" s="13">
        <v>19643</v>
      </c>
      <c r="V51" s="69">
        <v>22388</v>
      </c>
    </row>
    <row r="52" spans="1:22" x14ac:dyDescent="0.25">
      <c r="A52" s="27" t="s">
        <v>801</v>
      </c>
      <c r="B52" s="27" t="s">
        <v>872</v>
      </c>
      <c r="C52" s="27" t="s">
        <v>78</v>
      </c>
      <c r="D52" s="32">
        <f>38937+5+74+1+1+1+16614</f>
        <v>55633</v>
      </c>
      <c r="E52" s="32">
        <f>38+25+3</f>
        <v>66</v>
      </c>
      <c r="F52" s="32">
        <v>0</v>
      </c>
      <c r="G52" s="32">
        <v>0</v>
      </c>
      <c r="H52" s="32">
        <v>0</v>
      </c>
      <c r="I52" s="32">
        <v>113020</v>
      </c>
      <c r="J52" s="32">
        <v>14816</v>
      </c>
      <c r="M52" s="65" t="s">
        <v>801</v>
      </c>
      <c r="N52" s="66" t="s">
        <v>872</v>
      </c>
      <c r="O52" s="66" t="s">
        <v>78</v>
      </c>
      <c r="P52" s="66">
        <v>55633</v>
      </c>
      <c r="Q52" s="66">
        <v>66</v>
      </c>
      <c r="R52" s="66">
        <v>0</v>
      </c>
      <c r="S52" s="66">
        <v>0</v>
      </c>
      <c r="T52" s="66">
        <v>0</v>
      </c>
      <c r="U52" s="66">
        <v>113020</v>
      </c>
      <c r="V52" s="67">
        <v>14816</v>
      </c>
    </row>
    <row r="53" spans="1:22" x14ac:dyDescent="0.25">
      <c r="A53" s="27" t="s">
        <v>847</v>
      </c>
      <c r="B53" s="27" t="s">
        <v>872</v>
      </c>
      <c r="C53" s="27" t="s">
        <v>79</v>
      </c>
      <c r="D53" s="32">
        <f>17736+258+4206</f>
        <v>22200</v>
      </c>
      <c r="E53" s="32">
        <v>0</v>
      </c>
      <c r="F53" s="32">
        <v>0</v>
      </c>
      <c r="G53" s="32">
        <v>0</v>
      </c>
      <c r="H53" s="32">
        <v>0</v>
      </c>
      <c r="I53" s="32">
        <v>4674</v>
      </c>
      <c r="J53" s="32">
        <v>3327</v>
      </c>
      <c r="M53" s="68" t="s">
        <v>847</v>
      </c>
      <c r="N53" s="13" t="s">
        <v>872</v>
      </c>
      <c r="O53" s="13" t="s">
        <v>79</v>
      </c>
      <c r="P53" s="13">
        <v>22200</v>
      </c>
      <c r="Q53" s="13">
        <v>0</v>
      </c>
      <c r="R53" s="13">
        <v>0</v>
      </c>
      <c r="S53" s="13">
        <v>0</v>
      </c>
      <c r="T53" s="13">
        <v>0</v>
      </c>
      <c r="U53" s="13">
        <v>4674</v>
      </c>
      <c r="V53" s="69">
        <v>3327</v>
      </c>
    </row>
    <row r="54" spans="1:22" x14ac:dyDescent="0.25">
      <c r="A54" s="27" t="s">
        <v>226</v>
      </c>
      <c r="B54" s="27" t="s">
        <v>872</v>
      </c>
      <c r="C54" s="27" t="s">
        <v>80</v>
      </c>
      <c r="D54" s="32">
        <f>8568+1+15+3044</f>
        <v>11628</v>
      </c>
      <c r="E54" s="32">
        <f>7+1</f>
        <v>8</v>
      </c>
      <c r="F54" s="32">
        <v>0</v>
      </c>
      <c r="G54" s="32">
        <v>0</v>
      </c>
      <c r="H54" s="32">
        <v>0</v>
      </c>
      <c r="I54" s="32">
        <v>8229</v>
      </c>
      <c r="J54" s="32">
        <v>2920</v>
      </c>
      <c r="M54" s="65" t="s">
        <v>226</v>
      </c>
      <c r="N54" s="66" t="s">
        <v>872</v>
      </c>
      <c r="O54" s="66" t="s">
        <v>80</v>
      </c>
      <c r="P54" s="66">
        <v>11628</v>
      </c>
      <c r="Q54" s="66">
        <v>8</v>
      </c>
      <c r="R54" s="66">
        <v>0</v>
      </c>
      <c r="S54" s="66">
        <v>0</v>
      </c>
      <c r="T54" s="66">
        <v>0</v>
      </c>
      <c r="U54" s="66">
        <v>8229</v>
      </c>
      <c r="V54" s="67">
        <v>2920</v>
      </c>
    </row>
    <row r="55" spans="1:22" x14ac:dyDescent="0.25">
      <c r="A55" s="27" t="s">
        <v>826</v>
      </c>
      <c r="B55" s="27" t="s">
        <v>872</v>
      </c>
      <c r="C55" s="27" t="s">
        <v>81</v>
      </c>
      <c r="D55" s="32">
        <f>15252+2+1+67+5268</f>
        <v>20590</v>
      </c>
      <c r="E55" s="32">
        <v>0</v>
      </c>
      <c r="F55" s="32">
        <v>0</v>
      </c>
      <c r="G55" s="32">
        <v>0</v>
      </c>
      <c r="H55" s="32">
        <v>0</v>
      </c>
      <c r="I55" s="32">
        <v>6617</v>
      </c>
      <c r="J55" s="32">
        <v>4395</v>
      </c>
      <c r="M55" s="68" t="s">
        <v>826</v>
      </c>
      <c r="N55" s="13" t="s">
        <v>872</v>
      </c>
      <c r="O55" s="13" t="s">
        <v>81</v>
      </c>
      <c r="P55" s="13">
        <v>20590</v>
      </c>
      <c r="Q55" s="13">
        <v>0</v>
      </c>
      <c r="R55" s="13">
        <v>0</v>
      </c>
      <c r="S55" s="13">
        <v>0</v>
      </c>
      <c r="T55" s="13">
        <v>0</v>
      </c>
      <c r="U55" s="13">
        <v>6617</v>
      </c>
      <c r="V55" s="69">
        <v>4395</v>
      </c>
    </row>
    <row r="56" spans="1:22" x14ac:dyDescent="0.25">
      <c r="A56" s="27" t="s">
        <v>76</v>
      </c>
      <c r="B56" s="27" t="s">
        <v>872</v>
      </c>
      <c r="C56" s="27" t="s">
        <v>82</v>
      </c>
      <c r="D56" s="32">
        <f>88145+22+9+5+10+16990+3</f>
        <v>105184</v>
      </c>
      <c r="E56" s="32">
        <f>341+473+50</f>
        <v>864</v>
      </c>
      <c r="F56" s="32">
        <v>0</v>
      </c>
      <c r="G56" s="32">
        <v>0</v>
      </c>
      <c r="H56" s="32">
        <v>0</v>
      </c>
      <c r="I56" s="32">
        <v>15233</v>
      </c>
      <c r="J56" s="32">
        <v>10627</v>
      </c>
      <c r="M56" s="65" t="s">
        <v>76</v>
      </c>
      <c r="N56" s="66" t="s">
        <v>872</v>
      </c>
      <c r="O56" s="66" t="s">
        <v>82</v>
      </c>
      <c r="P56" s="66">
        <v>105184</v>
      </c>
      <c r="Q56" s="66">
        <v>864</v>
      </c>
      <c r="R56" s="66">
        <v>0</v>
      </c>
      <c r="S56" s="66">
        <v>0</v>
      </c>
      <c r="T56" s="66">
        <v>0</v>
      </c>
      <c r="U56" s="66">
        <v>15233</v>
      </c>
      <c r="V56" s="67">
        <v>10627</v>
      </c>
    </row>
    <row r="57" spans="1:22" x14ac:dyDescent="0.25">
      <c r="A57" s="27" t="s">
        <v>83</v>
      </c>
      <c r="B57" s="27" t="s">
        <v>872</v>
      </c>
      <c r="C57" s="27" t="s">
        <v>84</v>
      </c>
      <c r="D57" s="32">
        <f>10302+2+81+5+1+24999</f>
        <v>35390</v>
      </c>
      <c r="E57" s="32">
        <f>58+3</f>
        <v>61</v>
      </c>
      <c r="F57" s="32">
        <v>0</v>
      </c>
      <c r="G57" s="32">
        <v>0</v>
      </c>
      <c r="H57" s="32">
        <v>0</v>
      </c>
      <c r="I57" s="32">
        <v>27433</v>
      </c>
      <c r="J57" s="32">
        <v>24594</v>
      </c>
      <c r="M57" s="68" t="s">
        <v>83</v>
      </c>
      <c r="N57" s="13" t="s">
        <v>872</v>
      </c>
      <c r="O57" s="13" t="s">
        <v>84</v>
      </c>
      <c r="P57" s="13">
        <v>35390</v>
      </c>
      <c r="Q57" s="13">
        <v>61</v>
      </c>
      <c r="R57" s="13">
        <v>0</v>
      </c>
      <c r="S57" s="13">
        <v>0</v>
      </c>
      <c r="T57" s="13">
        <v>0</v>
      </c>
      <c r="U57" s="13">
        <v>27433</v>
      </c>
      <c r="V57" s="69">
        <v>24594</v>
      </c>
    </row>
    <row r="58" spans="1:22" x14ac:dyDescent="0.25">
      <c r="A58" s="27" t="s">
        <v>809</v>
      </c>
      <c r="B58" s="27" t="s">
        <v>872</v>
      </c>
      <c r="C58" s="27" t="s">
        <v>85</v>
      </c>
      <c r="D58" s="32">
        <f>14231+1+1+1+30+3999+261</f>
        <v>18524</v>
      </c>
      <c r="E58" s="32">
        <f>353+6+203+6</f>
        <v>568</v>
      </c>
      <c r="F58" s="32">
        <v>0</v>
      </c>
      <c r="G58" s="32">
        <v>0</v>
      </c>
      <c r="H58" s="32">
        <v>0</v>
      </c>
      <c r="I58" s="32">
        <v>10707</v>
      </c>
      <c r="J58" s="32">
        <v>3255</v>
      </c>
      <c r="M58" s="65" t="s">
        <v>809</v>
      </c>
      <c r="N58" s="66" t="s">
        <v>872</v>
      </c>
      <c r="O58" s="66" t="s">
        <v>85</v>
      </c>
      <c r="P58" s="66">
        <v>18524</v>
      </c>
      <c r="Q58" s="66">
        <v>568</v>
      </c>
      <c r="R58" s="66">
        <v>0</v>
      </c>
      <c r="S58" s="66">
        <v>0</v>
      </c>
      <c r="T58" s="66">
        <v>0</v>
      </c>
      <c r="U58" s="66">
        <v>10707</v>
      </c>
      <c r="V58" s="67">
        <v>3255</v>
      </c>
    </row>
    <row r="59" spans="1:22" x14ac:dyDescent="0.25">
      <c r="A59" s="27" t="s">
        <v>811</v>
      </c>
      <c r="B59" s="27" t="s">
        <v>872</v>
      </c>
      <c r="C59" s="27" t="s">
        <v>86</v>
      </c>
      <c r="D59" s="32">
        <f>47185+215+6+229+2+56245+2</f>
        <v>103884</v>
      </c>
      <c r="E59" s="32">
        <f>2677+621+36+2750+17160+60</f>
        <v>23304</v>
      </c>
      <c r="F59" s="32">
        <v>0</v>
      </c>
      <c r="G59" s="32">
        <v>0</v>
      </c>
      <c r="H59" s="32">
        <v>0</v>
      </c>
      <c r="I59" s="32">
        <v>17381</v>
      </c>
      <c r="J59" s="32">
        <v>54577</v>
      </c>
      <c r="M59" s="68" t="s">
        <v>811</v>
      </c>
      <c r="N59" s="13" t="s">
        <v>872</v>
      </c>
      <c r="O59" s="13" t="s">
        <v>86</v>
      </c>
      <c r="P59" s="13">
        <v>103884</v>
      </c>
      <c r="Q59" s="13">
        <v>23304</v>
      </c>
      <c r="R59" s="13">
        <v>0</v>
      </c>
      <c r="S59" s="13">
        <v>0</v>
      </c>
      <c r="T59" s="13">
        <v>0</v>
      </c>
      <c r="U59" s="13">
        <v>17381</v>
      </c>
      <c r="V59" s="69">
        <v>54577</v>
      </c>
    </row>
    <row r="60" spans="1:22" x14ac:dyDescent="0.25">
      <c r="A60" s="27" t="s">
        <v>811</v>
      </c>
      <c r="B60" s="27" t="s">
        <v>872</v>
      </c>
      <c r="C60" s="27" t="s">
        <v>87</v>
      </c>
      <c r="D60" s="32">
        <f>38596+2+7+77+97+25+278+17+2+2+1+5+41+1+2+466+16788</f>
        <v>56407</v>
      </c>
      <c r="E60" s="32">
        <f>981+2+44+1444+191</f>
        <v>2662</v>
      </c>
      <c r="F60" s="32">
        <v>0</v>
      </c>
      <c r="G60" s="32">
        <v>0</v>
      </c>
      <c r="H60" s="32">
        <v>0</v>
      </c>
      <c r="I60" s="32">
        <v>18177</v>
      </c>
      <c r="J60" s="32">
        <v>15942</v>
      </c>
      <c r="M60" s="65" t="s">
        <v>811</v>
      </c>
      <c r="N60" s="66" t="s">
        <v>872</v>
      </c>
      <c r="O60" s="66" t="s">
        <v>87</v>
      </c>
      <c r="P60" s="66">
        <v>56407</v>
      </c>
      <c r="Q60" s="66">
        <v>2662</v>
      </c>
      <c r="R60" s="66">
        <v>0</v>
      </c>
      <c r="S60" s="66">
        <v>0</v>
      </c>
      <c r="T60" s="66">
        <v>0</v>
      </c>
      <c r="U60" s="66">
        <v>18177</v>
      </c>
      <c r="V60" s="67">
        <v>15942</v>
      </c>
    </row>
    <row r="61" spans="1:22" x14ac:dyDescent="0.25">
      <c r="A61" s="27" t="s">
        <v>791</v>
      </c>
      <c r="B61" s="27" t="s">
        <v>872</v>
      </c>
      <c r="C61" s="27" t="s">
        <v>88</v>
      </c>
      <c r="D61" s="32">
        <f>28920+19+75+57+15809</f>
        <v>44880</v>
      </c>
      <c r="E61" s="32">
        <f>402+26+111</f>
        <v>539</v>
      </c>
      <c r="F61" s="32">
        <v>0</v>
      </c>
      <c r="G61" s="32">
        <v>0</v>
      </c>
      <c r="H61" s="32">
        <v>0</v>
      </c>
      <c r="I61" s="32">
        <v>10629</v>
      </c>
      <c r="J61" s="32">
        <v>14887</v>
      </c>
      <c r="M61" s="68" t="s">
        <v>791</v>
      </c>
      <c r="N61" s="13" t="s">
        <v>872</v>
      </c>
      <c r="O61" s="13" t="s">
        <v>88</v>
      </c>
      <c r="P61" s="13">
        <v>44880</v>
      </c>
      <c r="Q61" s="13">
        <v>539</v>
      </c>
      <c r="R61" s="13">
        <v>0</v>
      </c>
      <c r="S61" s="13">
        <v>0</v>
      </c>
      <c r="T61" s="13">
        <v>0</v>
      </c>
      <c r="U61" s="13">
        <v>10629</v>
      </c>
      <c r="V61" s="69">
        <v>14887</v>
      </c>
    </row>
    <row r="62" spans="1:22" x14ac:dyDescent="0.25">
      <c r="A62" s="27" t="s">
        <v>809</v>
      </c>
      <c r="B62" s="27" t="s">
        <v>872</v>
      </c>
      <c r="C62" s="27" t="s">
        <v>89</v>
      </c>
      <c r="D62" s="32">
        <f>7550+2+2+16+936</f>
        <v>8506</v>
      </c>
      <c r="E62" s="32">
        <f>24+24</f>
        <v>48</v>
      </c>
      <c r="F62" s="32">
        <v>0</v>
      </c>
      <c r="G62" s="32">
        <v>0</v>
      </c>
      <c r="H62" s="32">
        <v>0</v>
      </c>
      <c r="I62" s="32">
        <v>8635</v>
      </c>
      <c r="J62" s="32">
        <v>514</v>
      </c>
      <c r="M62" s="65" t="s">
        <v>809</v>
      </c>
      <c r="N62" s="66" t="s">
        <v>872</v>
      </c>
      <c r="O62" s="66" t="s">
        <v>89</v>
      </c>
      <c r="P62" s="66">
        <v>8506</v>
      </c>
      <c r="Q62" s="66">
        <v>48</v>
      </c>
      <c r="R62" s="66">
        <v>0</v>
      </c>
      <c r="S62" s="66">
        <v>0</v>
      </c>
      <c r="T62" s="66">
        <v>0</v>
      </c>
      <c r="U62" s="66">
        <v>8635</v>
      </c>
      <c r="V62" s="67">
        <v>514</v>
      </c>
    </row>
    <row r="63" spans="1:22" x14ac:dyDescent="0.25">
      <c r="A63" s="27" t="s">
        <v>848</v>
      </c>
      <c r="B63" s="27" t="s">
        <v>872</v>
      </c>
      <c r="C63" s="27" t="s">
        <v>90</v>
      </c>
      <c r="D63" s="32">
        <f>31181+54+77+1+172+32526</f>
        <v>64011</v>
      </c>
      <c r="E63" s="32">
        <f>68+19+7+121</f>
        <v>215</v>
      </c>
      <c r="F63" s="32">
        <v>0</v>
      </c>
      <c r="G63" s="32">
        <v>0</v>
      </c>
      <c r="H63" s="32">
        <v>0</v>
      </c>
      <c r="I63" s="32">
        <v>12526</v>
      </c>
      <c r="J63" s="32">
        <v>27943</v>
      </c>
      <c r="M63" s="68" t="s">
        <v>848</v>
      </c>
      <c r="N63" s="13" t="s">
        <v>872</v>
      </c>
      <c r="O63" s="13" t="s">
        <v>90</v>
      </c>
      <c r="P63" s="13">
        <v>64011</v>
      </c>
      <c r="Q63" s="13">
        <v>215</v>
      </c>
      <c r="R63" s="13">
        <v>0</v>
      </c>
      <c r="S63" s="13">
        <v>0</v>
      </c>
      <c r="T63" s="13">
        <v>0</v>
      </c>
      <c r="U63" s="13">
        <v>12526</v>
      </c>
      <c r="V63" s="69">
        <v>27943</v>
      </c>
    </row>
    <row r="64" spans="1:22" x14ac:dyDescent="0.25">
      <c r="A64" s="27" t="s">
        <v>248</v>
      </c>
      <c r="B64" s="27" t="s">
        <v>872</v>
      </c>
      <c r="C64" s="27" t="s">
        <v>91</v>
      </c>
      <c r="D64" s="32">
        <f>111870+2+7162+2+5+28+160606+1</f>
        <v>279676</v>
      </c>
      <c r="E64" s="32">
        <f>2937+1+319+1427+525+26</f>
        <v>5235</v>
      </c>
      <c r="F64" s="32">
        <v>0</v>
      </c>
      <c r="G64" s="32">
        <v>0</v>
      </c>
      <c r="H64" s="32">
        <v>0</v>
      </c>
      <c r="I64" s="32">
        <v>110456</v>
      </c>
      <c r="J64" s="32">
        <v>121711</v>
      </c>
      <c r="M64" s="65" t="s">
        <v>248</v>
      </c>
      <c r="N64" s="66" t="s">
        <v>872</v>
      </c>
      <c r="O64" s="66" t="s">
        <v>91</v>
      </c>
      <c r="P64" s="66">
        <v>279676</v>
      </c>
      <c r="Q64" s="66">
        <v>5235</v>
      </c>
      <c r="R64" s="66">
        <v>0</v>
      </c>
      <c r="S64" s="66">
        <v>0</v>
      </c>
      <c r="T64" s="66">
        <v>0</v>
      </c>
      <c r="U64" s="66">
        <v>110456</v>
      </c>
      <c r="V64" s="67">
        <v>121711</v>
      </c>
    </row>
    <row r="65" spans="1:22" x14ac:dyDescent="0.25">
      <c r="A65" s="27" t="s">
        <v>826</v>
      </c>
      <c r="B65" s="27" t="s">
        <v>872</v>
      </c>
      <c r="C65" s="27" t="s">
        <v>92</v>
      </c>
      <c r="D65" s="32">
        <f>38246+11+151+258+2+18+12+17+672+8987</f>
        <v>48374</v>
      </c>
      <c r="E65" s="32">
        <f>1298+46+577+66+1</f>
        <v>1988</v>
      </c>
      <c r="F65" s="32">
        <v>0</v>
      </c>
      <c r="G65" s="32">
        <v>0</v>
      </c>
      <c r="H65" s="32">
        <v>0</v>
      </c>
      <c r="I65" s="32">
        <v>10345</v>
      </c>
      <c r="J65" s="32">
        <v>8011</v>
      </c>
      <c r="M65" s="68" t="s">
        <v>826</v>
      </c>
      <c r="N65" s="13" t="s">
        <v>872</v>
      </c>
      <c r="O65" s="13" t="s">
        <v>92</v>
      </c>
      <c r="P65" s="13">
        <v>48374</v>
      </c>
      <c r="Q65" s="13">
        <v>1988</v>
      </c>
      <c r="R65" s="13">
        <v>0</v>
      </c>
      <c r="S65" s="13">
        <v>0</v>
      </c>
      <c r="T65" s="13">
        <v>0</v>
      </c>
      <c r="U65" s="13">
        <v>10345</v>
      </c>
      <c r="V65" s="69">
        <v>8011</v>
      </c>
    </row>
    <row r="66" spans="1:22" x14ac:dyDescent="0.25">
      <c r="A66" s="27" t="s">
        <v>803</v>
      </c>
      <c r="B66" s="27" t="s">
        <v>872</v>
      </c>
      <c r="C66" s="27" t="s">
        <v>93</v>
      </c>
      <c r="D66" s="32"/>
      <c r="E66" s="32"/>
      <c r="F66" s="32"/>
      <c r="G66" s="32"/>
      <c r="H66" s="32"/>
      <c r="I66" s="32"/>
      <c r="J66" s="32"/>
      <c r="M66" s="65" t="s">
        <v>803</v>
      </c>
      <c r="N66" s="66" t="s">
        <v>872</v>
      </c>
      <c r="O66" s="66" t="s">
        <v>93</v>
      </c>
      <c r="P66" s="66"/>
      <c r="Q66" s="66"/>
      <c r="R66" s="66"/>
      <c r="S66" s="66"/>
      <c r="T66" s="66"/>
      <c r="U66" s="66"/>
      <c r="V66" s="67"/>
    </row>
    <row r="67" spans="1:22" x14ac:dyDescent="0.25">
      <c r="A67" s="27" t="s">
        <v>791</v>
      </c>
      <c r="B67" s="27" t="s">
        <v>872</v>
      </c>
      <c r="C67" s="27" t="s">
        <v>94</v>
      </c>
      <c r="D67" s="32">
        <f>18686+95+56+39+7+30+2394</f>
        <v>21307</v>
      </c>
      <c r="E67" s="32">
        <f>140+3+81+4+2+1</f>
        <v>231</v>
      </c>
      <c r="F67" s="32">
        <v>0</v>
      </c>
      <c r="G67" s="32">
        <v>0</v>
      </c>
      <c r="H67" s="32">
        <v>0</v>
      </c>
      <c r="I67" s="32">
        <v>7917</v>
      </c>
      <c r="J67" s="32">
        <v>1868</v>
      </c>
      <c r="M67" s="68" t="s">
        <v>791</v>
      </c>
      <c r="N67" s="13" t="s">
        <v>872</v>
      </c>
      <c r="O67" s="13" t="s">
        <v>94</v>
      </c>
      <c r="P67" s="13">
        <v>21307</v>
      </c>
      <c r="Q67" s="13">
        <v>231</v>
      </c>
      <c r="R67" s="13">
        <v>0</v>
      </c>
      <c r="S67" s="13">
        <v>0</v>
      </c>
      <c r="T67" s="13">
        <v>0</v>
      </c>
      <c r="U67" s="13">
        <v>7917</v>
      </c>
      <c r="V67" s="69">
        <v>1868</v>
      </c>
    </row>
    <row r="68" spans="1:22" x14ac:dyDescent="0.25">
      <c r="A68" s="27" t="s">
        <v>848</v>
      </c>
      <c r="B68" s="27" t="s">
        <v>872</v>
      </c>
      <c r="C68" s="27" t="s">
        <v>95</v>
      </c>
      <c r="D68" s="32">
        <f>5722+1+2617</f>
        <v>8340</v>
      </c>
      <c r="E68" s="32">
        <f>78+8+30+88</f>
        <v>204</v>
      </c>
      <c r="F68" s="32">
        <v>0</v>
      </c>
      <c r="G68" s="32">
        <v>0</v>
      </c>
      <c r="H68" s="32">
        <v>0</v>
      </c>
      <c r="I68" s="32">
        <v>3275</v>
      </c>
      <c r="J68" s="32">
        <v>2092</v>
      </c>
      <c r="M68" s="65" t="s">
        <v>848</v>
      </c>
      <c r="N68" s="66" t="s">
        <v>872</v>
      </c>
      <c r="O68" s="66" t="s">
        <v>95</v>
      </c>
      <c r="P68" s="66">
        <v>8340</v>
      </c>
      <c r="Q68" s="66">
        <v>204</v>
      </c>
      <c r="R68" s="66">
        <v>0</v>
      </c>
      <c r="S68" s="66">
        <v>0</v>
      </c>
      <c r="T68" s="66">
        <v>0</v>
      </c>
      <c r="U68" s="66">
        <v>3275</v>
      </c>
      <c r="V68" s="67">
        <v>2092</v>
      </c>
    </row>
    <row r="69" spans="1:22" x14ac:dyDescent="0.25">
      <c r="A69" s="27" t="s">
        <v>826</v>
      </c>
      <c r="B69" s="27" t="s">
        <v>872</v>
      </c>
      <c r="C69" s="27" t="s">
        <v>96</v>
      </c>
      <c r="D69" s="32">
        <f>14174+129+10+16+10+4679</f>
        <v>19018</v>
      </c>
      <c r="E69" s="32">
        <f>102+10+48</f>
        <v>160</v>
      </c>
      <c r="F69" s="32">
        <v>0</v>
      </c>
      <c r="G69" s="32">
        <v>0</v>
      </c>
      <c r="H69" s="32">
        <v>0</v>
      </c>
      <c r="I69" s="32">
        <v>6092</v>
      </c>
      <c r="J69" s="32">
        <v>3355</v>
      </c>
      <c r="M69" s="68" t="s">
        <v>826</v>
      </c>
      <c r="N69" s="13" t="s">
        <v>872</v>
      </c>
      <c r="O69" s="13" t="s">
        <v>96</v>
      </c>
      <c r="P69" s="13">
        <v>19018</v>
      </c>
      <c r="Q69" s="13">
        <v>160</v>
      </c>
      <c r="R69" s="13">
        <v>0</v>
      </c>
      <c r="S69" s="13">
        <v>0</v>
      </c>
      <c r="T69" s="13">
        <v>0</v>
      </c>
      <c r="U69" s="13">
        <v>6092</v>
      </c>
      <c r="V69" s="69">
        <v>3355</v>
      </c>
    </row>
    <row r="70" spans="1:22" x14ac:dyDescent="0.25">
      <c r="A70" s="27" t="s">
        <v>850</v>
      </c>
      <c r="B70" s="27" t="s">
        <v>872</v>
      </c>
      <c r="C70" s="27" t="s">
        <v>98</v>
      </c>
      <c r="D70" s="32">
        <f>11361+3+5322+1</f>
        <v>16687</v>
      </c>
      <c r="E70" s="32">
        <f>23+49</f>
        <v>72</v>
      </c>
      <c r="F70" s="32">
        <v>0</v>
      </c>
      <c r="G70" s="32">
        <v>0</v>
      </c>
      <c r="H70" s="32">
        <v>0</v>
      </c>
      <c r="I70" s="32">
        <v>11445</v>
      </c>
      <c r="J70" s="32">
        <v>4838</v>
      </c>
      <c r="M70" s="65" t="s">
        <v>850</v>
      </c>
      <c r="N70" s="66" t="s">
        <v>872</v>
      </c>
      <c r="O70" s="66" t="s">
        <v>98</v>
      </c>
      <c r="P70" s="66">
        <v>16687</v>
      </c>
      <c r="Q70" s="66">
        <v>72</v>
      </c>
      <c r="R70" s="66">
        <v>0</v>
      </c>
      <c r="S70" s="66">
        <v>0</v>
      </c>
      <c r="T70" s="66">
        <v>0</v>
      </c>
      <c r="U70" s="66">
        <v>11445</v>
      </c>
      <c r="V70" s="67">
        <v>4838</v>
      </c>
    </row>
    <row r="71" spans="1:22" x14ac:dyDescent="0.25">
      <c r="A71" s="27" t="s">
        <v>851</v>
      </c>
      <c r="B71" s="27" t="s">
        <v>872</v>
      </c>
      <c r="C71" s="27" t="s">
        <v>100</v>
      </c>
      <c r="D71" s="32">
        <f>9033+6+1+3971</f>
        <v>13011</v>
      </c>
      <c r="E71" s="32">
        <f>291+312+8</f>
        <v>611</v>
      </c>
      <c r="F71" s="32">
        <v>0</v>
      </c>
      <c r="G71" s="32">
        <v>0</v>
      </c>
      <c r="H71" s="32">
        <v>0</v>
      </c>
      <c r="I71" s="32">
        <v>8376</v>
      </c>
      <c r="J71" s="32">
        <v>3298</v>
      </c>
      <c r="M71" s="68" t="s">
        <v>851</v>
      </c>
      <c r="N71" s="13" t="s">
        <v>872</v>
      </c>
      <c r="O71" s="13" t="s">
        <v>100</v>
      </c>
      <c r="P71" s="13">
        <v>13011</v>
      </c>
      <c r="Q71" s="13">
        <v>611</v>
      </c>
      <c r="R71" s="13">
        <v>0</v>
      </c>
      <c r="S71" s="13">
        <v>0</v>
      </c>
      <c r="T71" s="13">
        <v>0</v>
      </c>
      <c r="U71" s="13">
        <v>8376</v>
      </c>
      <c r="V71" s="69">
        <v>3298</v>
      </c>
    </row>
    <row r="72" spans="1:22" x14ac:dyDescent="0.25">
      <c r="A72" s="27" t="s">
        <v>101</v>
      </c>
      <c r="B72" s="27" t="s">
        <v>872</v>
      </c>
      <c r="C72" s="27" t="s">
        <v>102</v>
      </c>
      <c r="D72" s="32">
        <f>59811+39+1+27+6+14255</f>
        <v>74139</v>
      </c>
      <c r="E72" s="32">
        <f>13+1</f>
        <v>14</v>
      </c>
      <c r="F72" s="32">
        <v>0</v>
      </c>
      <c r="G72" s="32">
        <v>0</v>
      </c>
      <c r="H72" s="32">
        <v>0</v>
      </c>
      <c r="I72" s="32">
        <v>62337</v>
      </c>
      <c r="J72" s="32">
        <v>11122</v>
      </c>
      <c r="M72" s="65" t="s">
        <v>101</v>
      </c>
      <c r="N72" s="66" t="s">
        <v>872</v>
      </c>
      <c r="O72" s="66" t="s">
        <v>102</v>
      </c>
      <c r="P72" s="66">
        <v>74139</v>
      </c>
      <c r="Q72" s="66">
        <v>14</v>
      </c>
      <c r="R72" s="66">
        <v>0</v>
      </c>
      <c r="S72" s="66">
        <v>0</v>
      </c>
      <c r="T72" s="66">
        <v>0</v>
      </c>
      <c r="U72" s="66">
        <v>62337</v>
      </c>
      <c r="V72" s="67">
        <v>11122</v>
      </c>
    </row>
    <row r="73" spans="1:22" x14ac:dyDescent="0.25">
      <c r="A73" s="27" t="s">
        <v>512</v>
      </c>
      <c r="B73" s="27" t="s">
        <v>872</v>
      </c>
      <c r="C73" s="27" t="s">
        <v>103</v>
      </c>
      <c r="D73" s="32">
        <f>29235+1+1+3+11340</f>
        <v>40580</v>
      </c>
      <c r="E73" s="32">
        <v>0</v>
      </c>
      <c r="F73" s="32">
        <v>0</v>
      </c>
      <c r="G73" s="32">
        <v>0</v>
      </c>
      <c r="H73" s="32">
        <v>0</v>
      </c>
      <c r="I73" s="32">
        <v>1833</v>
      </c>
      <c r="J73" s="32">
        <v>7509</v>
      </c>
      <c r="M73" s="68" t="s">
        <v>512</v>
      </c>
      <c r="N73" s="13" t="s">
        <v>872</v>
      </c>
      <c r="O73" s="13" t="s">
        <v>103</v>
      </c>
      <c r="P73" s="13">
        <v>40580</v>
      </c>
      <c r="Q73" s="13">
        <v>0</v>
      </c>
      <c r="R73" s="13">
        <v>0</v>
      </c>
      <c r="S73" s="13">
        <v>0</v>
      </c>
      <c r="T73" s="13">
        <v>0</v>
      </c>
      <c r="U73" s="13">
        <v>1833</v>
      </c>
      <c r="V73" s="69">
        <v>7509</v>
      </c>
    </row>
    <row r="74" spans="1:22" x14ac:dyDescent="0.25">
      <c r="A74" s="27" t="s">
        <v>852</v>
      </c>
      <c r="B74" s="27" t="s">
        <v>872</v>
      </c>
      <c r="C74" s="27" t="s">
        <v>105</v>
      </c>
      <c r="D74" s="32">
        <f>10724+389+1+2+9565+595</f>
        <v>21276</v>
      </c>
      <c r="E74" s="32">
        <f>1262+137+2</f>
        <v>1401</v>
      </c>
      <c r="F74" s="32">
        <v>0</v>
      </c>
      <c r="G74" s="32">
        <v>0</v>
      </c>
      <c r="H74" s="32">
        <v>0</v>
      </c>
      <c r="I74" s="32">
        <v>14663</v>
      </c>
      <c r="J74" s="32">
        <v>7479</v>
      </c>
      <c r="M74" s="65" t="s">
        <v>852</v>
      </c>
      <c r="N74" s="66" t="s">
        <v>872</v>
      </c>
      <c r="O74" s="66" t="s">
        <v>105</v>
      </c>
      <c r="P74" s="66">
        <v>21276</v>
      </c>
      <c r="Q74" s="66">
        <v>1401</v>
      </c>
      <c r="R74" s="66">
        <v>0</v>
      </c>
      <c r="S74" s="66">
        <v>0</v>
      </c>
      <c r="T74" s="66">
        <v>0</v>
      </c>
      <c r="U74" s="66">
        <v>14663</v>
      </c>
      <c r="V74" s="67">
        <v>7479</v>
      </c>
    </row>
    <row r="75" spans="1:22" x14ac:dyDescent="0.25">
      <c r="A75" s="27" t="s">
        <v>853</v>
      </c>
      <c r="B75" s="27" t="s">
        <v>872</v>
      </c>
      <c r="C75" s="27" t="s">
        <v>107</v>
      </c>
      <c r="D75" s="32">
        <f>32260+3754+3+5+14996</f>
        <v>51018</v>
      </c>
      <c r="E75" s="32">
        <f>297+1+108+3</f>
        <v>409</v>
      </c>
      <c r="F75" s="32">
        <v>0</v>
      </c>
      <c r="G75" s="32">
        <v>0</v>
      </c>
      <c r="H75" s="32">
        <v>0</v>
      </c>
      <c r="I75" s="32">
        <v>46568</v>
      </c>
      <c r="J75" s="32">
        <v>13133</v>
      </c>
      <c r="M75" s="68" t="s">
        <v>853</v>
      </c>
      <c r="N75" s="13" t="s">
        <v>872</v>
      </c>
      <c r="O75" s="13" t="s">
        <v>107</v>
      </c>
      <c r="P75" s="13">
        <v>51018</v>
      </c>
      <c r="Q75" s="13">
        <v>409</v>
      </c>
      <c r="R75" s="13">
        <v>0</v>
      </c>
      <c r="S75" s="13">
        <v>0</v>
      </c>
      <c r="T75" s="13">
        <v>0</v>
      </c>
      <c r="U75" s="13">
        <v>46568</v>
      </c>
      <c r="V75" s="69">
        <v>13133</v>
      </c>
    </row>
    <row r="76" spans="1:22" x14ac:dyDescent="0.25">
      <c r="A76" s="27" t="s">
        <v>854</v>
      </c>
      <c r="B76" s="27" t="s">
        <v>872</v>
      </c>
      <c r="C76" s="27" t="s">
        <v>109</v>
      </c>
      <c r="D76" s="32">
        <f>18532+23+3+28+12009+2</f>
        <v>30597</v>
      </c>
      <c r="E76" s="32">
        <f>212+7+41+1285+27</f>
        <v>1572</v>
      </c>
      <c r="F76" s="32">
        <v>0</v>
      </c>
      <c r="G76" s="32">
        <v>0</v>
      </c>
      <c r="H76" s="32">
        <v>0</v>
      </c>
      <c r="I76" s="32">
        <v>37681</v>
      </c>
      <c r="J76" s="32">
        <v>10235</v>
      </c>
      <c r="M76" s="65" t="s">
        <v>854</v>
      </c>
      <c r="N76" s="66" t="s">
        <v>872</v>
      </c>
      <c r="O76" s="66" t="s">
        <v>109</v>
      </c>
      <c r="P76" s="66">
        <v>30597</v>
      </c>
      <c r="Q76" s="66">
        <v>1572</v>
      </c>
      <c r="R76" s="66">
        <v>0</v>
      </c>
      <c r="S76" s="66">
        <v>0</v>
      </c>
      <c r="T76" s="66">
        <v>0</v>
      </c>
      <c r="U76" s="66">
        <v>37681</v>
      </c>
      <c r="V76" s="67">
        <v>10235</v>
      </c>
    </row>
    <row r="77" spans="1:22" x14ac:dyDescent="0.25">
      <c r="A77" s="27" t="s">
        <v>855</v>
      </c>
      <c r="B77" s="27" t="s">
        <v>872</v>
      </c>
      <c r="C77" s="27" t="s">
        <v>111</v>
      </c>
      <c r="D77" s="32">
        <f>11449+4+6993</f>
        <v>18446</v>
      </c>
      <c r="E77" s="32">
        <f>108+59</f>
        <v>167</v>
      </c>
      <c r="F77" s="32">
        <v>0</v>
      </c>
      <c r="G77" s="32">
        <v>0</v>
      </c>
      <c r="H77" s="32">
        <v>0</v>
      </c>
      <c r="I77" s="32">
        <v>20282</v>
      </c>
      <c r="J77" s="32">
        <v>6301</v>
      </c>
      <c r="M77" s="68" t="s">
        <v>855</v>
      </c>
      <c r="N77" s="13" t="s">
        <v>872</v>
      </c>
      <c r="O77" s="13" t="s">
        <v>111</v>
      </c>
      <c r="P77" s="13">
        <v>18446</v>
      </c>
      <c r="Q77" s="13">
        <v>167</v>
      </c>
      <c r="R77" s="13">
        <v>0</v>
      </c>
      <c r="S77" s="13">
        <v>0</v>
      </c>
      <c r="T77" s="13">
        <v>0</v>
      </c>
      <c r="U77" s="13">
        <v>20282</v>
      </c>
      <c r="V77" s="69">
        <v>6301</v>
      </c>
    </row>
    <row r="78" spans="1:22" x14ac:dyDescent="0.25">
      <c r="A78" s="27" t="s">
        <v>101</v>
      </c>
      <c r="B78" s="27" t="s">
        <v>872</v>
      </c>
      <c r="C78" s="27" t="s">
        <v>112</v>
      </c>
      <c r="D78" s="32">
        <f>42912+25+1+943+14+6639</f>
        <v>50534</v>
      </c>
      <c r="E78" s="32">
        <f>11+3</f>
        <v>14</v>
      </c>
      <c r="F78" s="32">
        <v>0</v>
      </c>
      <c r="G78" s="32">
        <v>0</v>
      </c>
      <c r="H78" s="32">
        <v>0</v>
      </c>
      <c r="I78" s="32">
        <v>121073</v>
      </c>
      <c r="J78" s="32">
        <v>5714</v>
      </c>
      <c r="M78" s="65" t="s">
        <v>101</v>
      </c>
      <c r="N78" s="66" t="s">
        <v>872</v>
      </c>
      <c r="O78" s="66" t="s">
        <v>112</v>
      </c>
      <c r="P78" s="66">
        <v>50534</v>
      </c>
      <c r="Q78" s="66">
        <v>14</v>
      </c>
      <c r="R78" s="66">
        <v>0</v>
      </c>
      <c r="S78" s="66">
        <v>0</v>
      </c>
      <c r="T78" s="66">
        <v>0</v>
      </c>
      <c r="U78" s="66">
        <v>121073</v>
      </c>
      <c r="V78" s="67">
        <v>5714</v>
      </c>
    </row>
    <row r="79" spans="1:22" x14ac:dyDescent="0.25">
      <c r="A79" s="27" t="s">
        <v>856</v>
      </c>
      <c r="B79" s="27" t="s">
        <v>872</v>
      </c>
      <c r="C79" s="27" t="s">
        <v>114</v>
      </c>
      <c r="D79" s="32">
        <f>3928+2+6+17085+1</f>
        <v>21022</v>
      </c>
      <c r="E79" s="32">
        <f>378+30</f>
        <v>408</v>
      </c>
      <c r="F79" s="32">
        <v>0</v>
      </c>
      <c r="G79" s="32">
        <v>0</v>
      </c>
      <c r="H79" s="32">
        <v>0</v>
      </c>
      <c r="I79" s="32">
        <v>29382</v>
      </c>
      <c r="J79" s="32">
        <v>15280</v>
      </c>
      <c r="M79" s="68" t="s">
        <v>856</v>
      </c>
      <c r="N79" s="13" t="s">
        <v>872</v>
      </c>
      <c r="O79" s="13" t="s">
        <v>114</v>
      </c>
      <c r="P79" s="13">
        <v>21022</v>
      </c>
      <c r="Q79" s="13">
        <v>408</v>
      </c>
      <c r="R79" s="13">
        <v>0</v>
      </c>
      <c r="S79" s="13">
        <v>0</v>
      </c>
      <c r="T79" s="13">
        <v>0</v>
      </c>
      <c r="U79" s="13">
        <v>29382</v>
      </c>
      <c r="V79" s="69">
        <v>15280</v>
      </c>
    </row>
    <row r="80" spans="1:22" x14ac:dyDescent="0.25">
      <c r="A80" s="27" t="s">
        <v>857</v>
      </c>
      <c r="B80" s="27" t="s">
        <v>872</v>
      </c>
      <c r="C80" s="27" t="s">
        <v>116</v>
      </c>
      <c r="D80" s="32">
        <f>16566+10052</f>
        <v>26618</v>
      </c>
      <c r="E80" s="32">
        <f>243+20+21</f>
        <v>284</v>
      </c>
      <c r="F80" s="32">
        <v>0</v>
      </c>
      <c r="G80" s="32">
        <v>0</v>
      </c>
      <c r="H80" s="32">
        <v>0</v>
      </c>
      <c r="I80" s="32">
        <v>5547</v>
      </c>
      <c r="J80" s="32">
        <v>8056</v>
      </c>
      <c r="M80" s="65" t="s">
        <v>857</v>
      </c>
      <c r="N80" s="66" t="s">
        <v>872</v>
      </c>
      <c r="O80" s="66" t="s">
        <v>116</v>
      </c>
      <c r="P80" s="66">
        <v>26618</v>
      </c>
      <c r="Q80" s="66">
        <v>284</v>
      </c>
      <c r="R80" s="66">
        <v>0</v>
      </c>
      <c r="S80" s="66">
        <v>0</v>
      </c>
      <c r="T80" s="66">
        <v>0</v>
      </c>
      <c r="U80" s="66">
        <v>5547</v>
      </c>
      <c r="V80" s="67">
        <v>8056</v>
      </c>
    </row>
    <row r="81" spans="1:22" x14ac:dyDescent="0.25">
      <c r="A81" s="27" t="s">
        <v>823</v>
      </c>
      <c r="B81" s="27" t="s">
        <v>872</v>
      </c>
      <c r="C81" s="27" t="s">
        <v>117</v>
      </c>
      <c r="D81" s="32">
        <f>25960+59+10429+3</f>
        <v>36451</v>
      </c>
      <c r="E81" s="32">
        <f>33+235</f>
        <v>268</v>
      </c>
      <c r="F81" s="32">
        <v>0</v>
      </c>
      <c r="G81" s="32">
        <v>0</v>
      </c>
      <c r="H81" s="32">
        <v>0</v>
      </c>
      <c r="I81" s="32">
        <v>20786</v>
      </c>
      <c r="J81" s="32">
        <v>7328</v>
      </c>
      <c r="M81" s="68" t="s">
        <v>823</v>
      </c>
      <c r="N81" s="13" t="s">
        <v>872</v>
      </c>
      <c r="O81" s="13" t="s">
        <v>117</v>
      </c>
      <c r="P81" s="13">
        <v>36451</v>
      </c>
      <c r="Q81" s="13">
        <v>268</v>
      </c>
      <c r="R81" s="13">
        <v>0</v>
      </c>
      <c r="S81" s="13">
        <v>0</v>
      </c>
      <c r="T81" s="13">
        <v>0</v>
      </c>
      <c r="U81" s="13">
        <v>20786</v>
      </c>
      <c r="V81" s="69">
        <v>7328</v>
      </c>
    </row>
    <row r="82" spans="1:22" x14ac:dyDescent="0.25">
      <c r="A82" s="27" t="s">
        <v>858</v>
      </c>
      <c r="B82" s="27" t="s">
        <v>872</v>
      </c>
      <c r="C82" s="27" t="s">
        <v>119</v>
      </c>
      <c r="D82" s="32">
        <f>13546+8+15795</f>
        <v>29349</v>
      </c>
      <c r="E82" s="32">
        <f>12+10+72+6+7+227</f>
        <v>334</v>
      </c>
      <c r="F82" s="32">
        <v>0</v>
      </c>
      <c r="G82" s="32">
        <v>0</v>
      </c>
      <c r="H82" s="32">
        <v>0</v>
      </c>
      <c r="I82" s="32">
        <v>13569</v>
      </c>
      <c r="J82" s="32">
        <v>10081</v>
      </c>
      <c r="M82" s="65" t="s">
        <v>858</v>
      </c>
      <c r="N82" s="66" t="s">
        <v>872</v>
      </c>
      <c r="O82" s="66" t="s">
        <v>119</v>
      </c>
      <c r="P82" s="66">
        <v>29349</v>
      </c>
      <c r="Q82" s="66">
        <v>334</v>
      </c>
      <c r="R82" s="66">
        <v>0</v>
      </c>
      <c r="S82" s="66">
        <v>0</v>
      </c>
      <c r="T82" s="66">
        <v>0</v>
      </c>
      <c r="U82" s="66">
        <v>13569</v>
      </c>
      <c r="V82" s="67">
        <v>10081</v>
      </c>
    </row>
    <row r="83" spans="1:22" x14ac:dyDescent="0.25">
      <c r="A83" s="27" t="s">
        <v>859</v>
      </c>
      <c r="B83" s="27" t="s">
        <v>872</v>
      </c>
      <c r="C83" s="27" t="s">
        <v>121</v>
      </c>
      <c r="D83" s="32">
        <f>40138+19+45+7+11946</f>
        <v>52155</v>
      </c>
      <c r="E83" s="32">
        <f>51+41+2+2</f>
        <v>96</v>
      </c>
      <c r="F83" s="32">
        <v>0</v>
      </c>
      <c r="G83" s="32">
        <v>0</v>
      </c>
      <c r="H83" s="32">
        <v>0</v>
      </c>
      <c r="I83" s="32">
        <v>49144</v>
      </c>
      <c r="J83" s="32">
        <v>9914</v>
      </c>
      <c r="M83" s="68" t="s">
        <v>859</v>
      </c>
      <c r="N83" s="13" t="s">
        <v>872</v>
      </c>
      <c r="O83" s="13" t="s">
        <v>121</v>
      </c>
      <c r="P83" s="13">
        <v>52155</v>
      </c>
      <c r="Q83" s="13">
        <v>96</v>
      </c>
      <c r="R83" s="13">
        <v>0</v>
      </c>
      <c r="S83" s="13">
        <v>0</v>
      </c>
      <c r="T83" s="13">
        <v>0</v>
      </c>
      <c r="U83" s="13">
        <v>49144</v>
      </c>
      <c r="V83" s="69">
        <v>9914</v>
      </c>
    </row>
    <row r="84" spans="1:22" x14ac:dyDescent="0.25">
      <c r="A84" s="27" t="s">
        <v>860</v>
      </c>
      <c r="B84" s="27" t="s">
        <v>872</v>
      </c>
      <c r="C84" s="27" t="s">
        <v>122</v>
      </c>
      <c r="D84" s="32">
        <f>16908+1+8213</f>
        <v>25122</v>
      </c>
      <c r="E84" s="32">
        <f>1+1+39</f>
        <v>41</v>
      </c>
      <c r="F84" s="32">
        <v>0</v>
      </c>
      <c r="G84" s="32">
        <v>0</v>
      </c>
      <c r="H84" s="32">
        <v>0</v>
      </c>
      <c r="I84" s="32">
        <v>15787</v>
      </c>
      <c r="J84" s="32">
        <v>6238</v>
      </c>
      <c r="M84" s="65" t="s">
        <v>860</v>
      </c>
      <c r="N84" s="66" t="s">
        <v>872</v>
      </c>
      <c r="O84" s="66" t="s">
        <v>122</v>
      </c>
      <c r="P84" s="66">
        <v>25122</v>
      </c>
      <c r="Q84" s="66">
        <v>41</v>
      </c>
      <c r="R84" s="66">
        <v>0</v>
      </c>
      <c r="S84" s="66">
        <v>0</v>
      </c>
      <c r="T84" s="66">
        <v>0</v>
      </c>
      <c r="U84" s="66">
        <v>15787</v>
      </c>
      <c r="V84" s="67">
        <v>6238</v>
      </c>
    </row>
    <row r="85" spans="1:22" x14ac:dyDescent="0.25">
      <c r="A85" s="27" t="s">
        <v>861</v>
      </c>
      <c r="B85" s="27" t="s">
        <v>872</v>
      </c>
      <c r="C85" s="27" t="s">
        <v>124</v>
      </c>
      <c r="D85" s="32">
        <f>17501+1+8791</f>
        <v>26293</v>
      </c>
      <c r="E85" s="32">
        <v>0</v>
      </c>
      <c r="F85" s="32">
        <v>0</v>
      </c>
      <c r="G85" s="32">
        <v>0</v>
      </c>
      <c r="H85" s="32">
        <v>0</v>
      </c>
      <c r="I85" s="32">
        <v>14651</v>
      </c>
      <c r="J85" s="32">
        <v>6870</v>
      </c>
      <c r="M85" s="68" t="s">
        <v>861</v>
      </c>
      <c r="N85" s="13" t="s">
        <v>872</v>
      </c>
      <c r="O85" s="13" t="s">
        <v>124</v>
      </c>
      <c r="P85" s="13">
        <v>26293</v>
      </c>
      <c r="Q85" s="13">
        <v>0</v>
      </c>
      <c r="R85" s="13">
        <v>0</v>
      </c>
      <c r="S85" s="13">
        <v>0</v>
      </c>
      <c r="T85" s="13">
        <v>0</v>
      </c>
      <c r="U85" s="13">
        <v>14651</v>
      </c>
      <c r="V85" s="69">
        <v>6870</v>
      </c>
    </row>
    <row r="86" spans="1:22" x14ac:dyDescent="0.25">
      <c r="A86" s="27" t="s">
        <v>823</v>
      </c>
      <c r="B86" s="27" t="s">
        <v>872</v>
      </c>
      <c r="C86" s="27" t="s">
        <v>125</v>
      </c>
      <c r="D86" s="32">
        <f>97925+1+2+988+20003</f>
        <v>118919</v>
      </c>
      <c r="E86" s="32">
        <f>6+91</f>
        <v>97</v>
      </c>
      <c r="F86" s="32">
        <v>0</v>
      </c>
      <c r="G86" s="32">
        <v>0</v>
      </c>
      <c r="H86" s="32">
        <v>0</v>
      </c>
      <c r="I86" s="32">
        <v>11090</v>
      </c>
      <c r="J86" s="32">
        <v>13677</v>
      </c>
      <c r="M86" s="65" t="s">
        <v>823</v>
      </c>
      <c r="N86" s="66" t="s">
        <v>872</v>
      </c>
      <c r="O86" s="66" t="s">
        <v>125</v>
      </c>
      <c r="P86" s="66">
        <v>118919</v>
      </c>
      <c r="Q86" s="66">
        <v>97</v>
      </c>
      <c r="R86" s="66">
        <v>0</v>
      </c>
      <c r="S86" s="66">
        <v>0</v>
      </c>
      <c r="T86" s="66">
        <v>0</v>
      </c>
      <c r="U86" s="66">
        <v>11090</v>
      </c>
      <c r="V86" s="67">
        <v>13677</v>
      </c>
    </row>
    <row r="87" spans="1:22" x14ac:dyDescent="0.25">
      <c r="A87" s="27" t="s">
        <v>248</v>
      </c>
      <c r="B87" s="27" t="s">
        <v>872</v>
      </c>
      <c r="C87" s="27" t="s">
        <v>126</v>
      </c>
      <c r="D87" s="32">
        <f>30617+1+2+2+10735</f>
        <v>41357</v>
      </c>
      <c r="E87" s="32">
        <f>123+5+22+1</f>
        <v>151</v>
      </c>
      <c r="F87" s="32">
        <v>0</v>
      </c>
      <c r="G87" s="32">
        <v>0</v>
      </c>
      <c r="H87" s="32">
        <v>0</v>
      </c>
      <c r="I87" s="32">
        <v>59254</v>
      </c>
      <c r="J87" s="32">
        <v>8638</v>
      </c>
      <c r="M87" s="68" t="s">
        <v>248</v>
      </c>
      <c r="N87" s="13" t="s">
        <v>872</v>
      </c>
      <c r="O87" s="13" t="s">
        <v>126</v>
      </c>
      <c r="P87" s="13">
        <v>41357</v>
      </c>
      <c r="Q87" s="13">
        <v>151</v>
      </c>
      <c r="R87" s="13">
        <v>0</v>
      </c>
      <c r="S87" s="13">
        <v>0</v>
      </c>
      <c r="T87" s="13">
        <v>0</v>
      </c>
      <c r="U87" s="13">
        <v>59254</v>
      </c>
      <c r="V87" s="69">
        <v>8638</v>
      </c>
    </row>
    <row r="88" spans="1:22" x14ac:dyDescent="0.25">
      <c r="A88" s="27" t="s">
        <v>862</v>
      </c>
      <c r="B88" s="27" t="s">
        <v>872</v>
      </c>
      <c r="C88" s="27" t="s">
        <v>127</v>
      </c>
      <c r="D88" s="32">
        <f>8537+4427</f>
        <v>12964</v>
      </c>
      <c r="E88" s="32">
        <f>102+28</f>
        <v>130</v>
      </c>
      <c r="F88" s="32">
        <v>0</v>
      </c>
      <c r="G88" s="32">
        <v>0</v>
      </c>
      <c r="H88" s="32">
        <v>0</v>
      </c>
      <c r="I88" s="32">
        <v>8721</v>
      </c>
      <c r="J88" s="32">
        <v>4364</v>
      </c>
      <c r="M88" s="65" t="s">
        <v>862</v>
      </c>
      <c r="N88" s="66" t="s">
        <v>872</v>
      </c>
      <c r="O88" s="66" t="s">
        <v>127</v>
      </c>
      <c r="P88" s="66">
        <v>12964</v>
      </c>
      <c r="Q88" s="66">
        <v>130</v>
      </c>
      <c r="R88" s="66">
        <v>0</v>
      </c>
      <c r="S88" s="66">
        <v>0</v>
      </c>
      <c r="T88" s="66">
        <v>0</v>
      </c>
      <c r="U88" s="66">
        <v>8721</v>
      </c>
      <c r="V88" s="67">
        <v>4364</v>
      </c>
    </row>
    <row r="89" spans="1:22" x14ac:dyDescent="0.25">
      <c r="A89" s="27" t="s">
        <v>863</v>
      </c>
      <c r="B89" s="27" t="s">
        <v>872</v>
      </c>
      <c r="C89" s="27" t="s">
        <v>129</v>
      </c>
      <c r="D89" s="32">
        <f>19171+12991</f>
        <v>32162</v>
      </c>
      <c r="E89" s="32">
        <f>382+33+1</f>
        <v>416</v>
      </c>
      <c r="F89" s="32">
        <v>0</v>
      </c>
      <c r="G89" s="32">
        <v>0</v>
      </c>
      <c r="H89" s="32">
        <v>0</v>
      </c>
      <c r="I89" s="32">
        <v>12959</v>
      </c>
      <c r="J89" s="32">
        <v>9253</v>
      </c>
      <c r="M89" s="68" t="s">
        <v>863</v>
      </c>
      <c r="N89" s="13" t="s">
        <v>872</v>
      </c>
      <c r="O89" s="13" t="s">
        <v>129</v>
      </c>
      <c r="P89" s="13">
        <v>32162</v>
      </c>
      <c r="Q89" s="13">
        <v>416</v>
      </c>
      <c r="R89" s="13">
        <v>0</v>
      </c>
      <c r="S89" s="13">
        <v>0</v>
      </c>
      <c r="T89" s="13">
        <v>0</v>
      </c>
      <c r="U89" s="13">
        <v>12959</v>
      </c>
      <c r="V89" s="69">
        <v>9253</v>
      </c>
    </row>
    <row r="90" spans="1:22" x14ac:dyDescent="0.25">
      <c r="A90" s="27" t="s">
        <v>794</v>
      </c>
      <c r="B90" s="27" t="s">
        <v>872</v>
      </c>
      <c r="C90" s="27" t="s">
        <v>130</v>
      </c>
      <c r="D90" s="32">
        <f>62085+2+3196+1+18+8981+3</f>
        <v>74286</v>
      </c>
      <c r="E90" s="32">
        <f>94+69+10+8</f>
        <v>181</v>
      </c>
      <c r="F90" s="32">
        <v>0</v>
      </c>
      <c r="G90" s="32">
        <v>0</v>
      </c>
      <c r="H90" s="32">
        <v>0</v>
      </c>
      <c r="I90" s="32">
        <v>8637</v>
      </c>
      <c r="J90" s="32">
        <v>8084</v>
      </c>
      <c r="M90" s="65" t="s">
        <v>794</v>
      </c>
      <c r="N90" s="66" t="s">
        <v>872</v>
      </c>
      <c r="O90" s="66" t="s">
        <v>130</v>
      </c>
      <c r="P90" s="66">
        <v>74286</v>
      </c>
      <c r="Q90" s="66">
        <v>181</v>
      </c>
      <c r="R90" s="66">
        <v>0</v>
      </c>
      <c r="S90" s="66">
        <v>0</v>
      </c>
      <c r="T90" s="66">
        <v>0</v>
      </c>
      <c r="U90" s="66">
        <v>8637</v>
      </c>
      <c r="V90" s="67">
        <v>8084</v>
      </c>
    </row>
    <row r="91" spans="1:22" x14ac:dyDescent="0.25">
      <c r="A91" s="27" t="s">
        <v>803</v>
      </c>
      <c r="B91" s="27" t="s">
        <v>872</v>
      </c>
      <c r="C91" s="27" t="s">
        <v>132</v>
      </c>
      <c r="D91" s="32"/>
      <c r="E91" s="32"/>
      <c r="F91" s="32"/>
      <c r="G91" s="32"/>
      <c r="H91" s="32"/>
      <c r="I91" s="32"/>
      <c r="J91" s="32"/>
      <c r="M91" s="68" t="s">
        <v>803</v>
      </c>
      <c r="N91" s="13" t="s">
        <v>872</v>
      </c>
      <c r="O91" s="13" t="s">
        <v>132</v>
      </c>
      <c r="P91" s="13"/>
      <c r="Q91" s="13"/>
      <c r="R91" s="13"/>
      <c r="S91" s="13"/>
      <c r="T91" s="13"/>
      <c r="U91" s="13"/>
      <c r="V91" s="69"/>
    </row>
    <row r="92" spans="1:22" x14ac:dyDescent="0.25">
      <c r="A92" s="27" t="s">
        <v>512</v>
      </c>
      <c r="B92" s="27" t="s">
        <v>872</v>
      </c>
      <c r="C92" s="27" t="s">
        <v>133</v>
      </c>
      <c r="D92" s="32">
        <f>12447+2+4319</f>
        <v>16768</v>
      </c>
      <c r="E92" s="32">
        <f>639+61</f>
        <v>700</v>
      </c>
      <c r="F92" s="32">
        <v>0</v>
      </c>
      <c r="G92" s="32">
        <v>0</v>
      </c>
      <c r="H92" s="32">
        <v>0</v>
      </c>
      <c r="I92" s="32">
        <v>11928</v>
      </c>
      <c r="J92" s="32">
        <v>3430</v>
      </c>
      <c r="M92" s="65" t="s">
        <v>512</v>
      </c>
      <c r="N92" s="66" t="s">
        <v>872</v>
      </c>
      <c r="O92" s="66" t="s">
        <v>133</v>
      </c>
      <c r="P92" s="66">
        <v>16768</v>
      </c>
      <c r="Q92" s="66">
        <v>700</v>
      </c>
      <c r="R92" s="66">
        <v>0</v>
      </c>
      <c r="S92" s="66">
        <v>0</v>
      </c>
      <c r="T92" s="66">
        <v>0</v>
      </c>
      <c r="U92" s="66">
        <v>11928</v>
      </c>
      <c r="V92" s="67">
        <v>3430</v>
      </c>
    </row>
    <row r="93" spans="1:22" x14ac:dyDescent="0.25">
      <c r="A93" s="27" t="s">
        <v>134</v>
      </c>
      <c r="B93" s="27" t="s">
        <v>872</v>
      </c>
      <c r="C93" s="27" t="s">
        <v>135</v>
      </c>
      <c r="D93" s="32">
        <f>29417+63+71+13745</f>
        <v>43296</v>
      </c>
      <c r="E93" s="32">
        <f>37+3</f>
        <v>40</v>
      </c>
      <c r="F93" s="32">
        <v>0</v>
      </c>
      <c r="G93" s="32">
        <v>0</v>
      </c>
      <c r="H93" s="32">
        <v>0</v>
      </c>
      <c r="I93" s="32">
        <v>48197</v>
      </c>
      <c r="J93" s="32">
        <v>11363</v>
      </c>
      <c r="M93" s="68" t="s">
        <v>134</v>
      </c>
      <c r="N93" s="13" t="s">
        <v>872</v>
      </c>
      <c r="O93" s="13" t="s">
        <v>135</v>
      </c>
      <c r="P93" s="13">
        <v>43296</v>
      </c>
      <c r="Q93" s="13">
        <v>40</v>
      </c>
      <c r="R93" s="13">
        <v>0</v>
      </c>
      <c r="S93" s="13">
        <v>0</v>
      </c>
      <c r="T93" s="13">
        <v>0</v>
      </c>
      <c r="U93" s="13">
        <v>48197</v>
      </c>
      <c r="V93" s="69">
        <v>11363</v>
      </c>
    </row>
    <row r="94" spans="1:22" x14ac:dyDescent="0.25">
      <c r="A94" s="27" t="s">
        <v>795</v>
      </c>
      <c r="B94" s="27" t="s">
        <v>872</v>
      </c>
      <c r="C94" s="27" t="s">
        <v>136</v>
      </c>
      <c r="D94" s="32">
        <f>17037+16+4+9026</f>
        <v>26083</v>
      </c>
      <c r="E94" s="32">
        <f>318+36+102+7</f>
        <v>463</v>
      </c>
      <c r="F94" s="32">
        <v>0</v>
      </c>
      <c r="G94" s="32">
        <v>0</v>
      </c>
      <c r="H94" s="32">
        <v>0</v>
      </c>
      <c r="I94" s="32">
        <v>23518</v>
      </c>
      <c r="J94" s="32">
        <v>8090</v>
      </c>
      <c r="M94" s="65" t="s">
        <v>795</v>
      </c>
      <c r="N94" s="66" t="s">
        <v>872</v>
      </c>
      <c r="O94" s="66" t="s">
        <v>136</v>
      </c>
      <c r="P94" s="66">
        <v>26083</v>
      </c>
      <c r="Q94" s="66">
        <v>463</v>
      </c>
      <c r="R94" s="66">
        <v>0</v>
      </c>
      <c r="S94" s="66">
        <v>0</v>
      </c>
      <c r="T94" s="66">
        <v>0</v>
      </c>
      <c r="U94" s="66">
        <v>23518</v>
      </c>
      <c r="V94" s="67">
        <v>8090</v>
      </c>
    </row>
    <row r="95" spans="1:22" x14ac:dyDescent="0.25">
      <c r="A95" s="27" t="s">
        <v>120</v>
      </c>
      <c r="B95" s="27" t="s">
        <v>872</v>
      </c>
      <c r="C95" s="27" t="s">
        <v>137</v>
      </c>
      <c r="D95" s="32">
        <f>57243+1+9181+1+55+18+99+10570+8</f>
        <v>77176</v>
      </c>
      <c r="E95" s="32">
        <f>92+2+3</f>
        <v>97</v>
      </c>
      <c r="F95" s="32">
        <v>0</v>
      </c>
      <c r="G95" s="32">
        <v>0</v>
      </c>
      <c r="H95" s="32">
        <v>0</v>
      </c>
      <c r="I95" s="32">
        <v>30910</v>
      </c>
      <c r="J95" s="32">
        <v>5908</v>
      </c>
      <c r="M95" s="68" t="s">
        <v>120</v>
      </c>
      <c r="N95" s="13" t="s">
        <v>872</v>
      </c>
      <c r="O95" s="13" t="s">
        <v>137</v>
      </c>
      <c r="P95" s="13">
        <v>77176</v>
      </c>
      <c r="Q95" s="13">
        <v>97</v>
      </c>
      <c r="R95" s="13">
        <v>0</v>
      </c>
      <c r="S95" s="13">
        <v>0</v>
      </c>
      <c r="T95" s="13">
        <v>0</v>
      </c>
      <c r="U95" s="13">
        <v>30910</v>
      </c>
      <c r="V95" s="69">
        <v>5908</v>
      </c>
    </row>
    <row r="96" spans="1:22" x14ac:dyDescent="0.25">
      <c r="A96" s="27" t="s">
        <v>890</v>
      </c>
      <c r="B96" s="27" t="s">
        <v>872</v>
      </c>
      <c r="C96" s="27" t="s">
        <v>139</v>
      </c>
      <c r="D96" s="32">
        <f>50433+26+5+1215+4+131+15792+3</f>
        <v>67609</v>
      </c>
      <c r="E96" s="32">
        <f>38+86+1+24</f>
        <v>149</v>
      </c>
      <c r="F96" s="32">
        <v>0</v>
      </c>
      <c r="G96" s="32">
        <v>0</v>
      </c>
      <c r="H96" s="32">
        <v>0</v>
      </c>
      <c r="I96" s="32">
        <v>69130</v>
      </c>
      <c r="J96" s="32">
        <v>14102</v>
      </c>
      <c r="M96" s="65" t="s">
        <v>890</v>
      </c>
      <c r="N96" s="66" t="s">
        <v>872</v>
      </c>
      <c r="O96" s="66" t="s">
        <v>139</v>
      </c>
      <c r="P96" s="66">
        <v>67609</v>
      </c>
      <c r="Q96" s="66">
        <v>149</v>
      </c>
      <c r="R96" s="66">
        <v>0</v>
      </c>
      <c r="S96" s="66">
        <v>0</v>
      </c>
      <c r="T96" s="66">
        <v>0</v>
      </c>
      <c r="U96" s="66">
        <v>69130</v>
      </c>
      <c r="V96" s="67">
        <v>14102</v>
      </c>
    </row>
    <row r="97" spans="1:22" x14ac:dyDescent="0.25">
      <c r="A97" s="27" t="s">
        <v>868</v>
      </c>
      <c r="B97" s="27" t="s">
        <v>872</v>
      </c>
      <c r="C97" s="27" t="s">
        <v>141</v>
      </c>
      <c r="D97" s="32">
        <f>4365+57+16+6+527</f>
        <v>4971</v>
      </c>
      <c r="E97" s="32">
        <f>6+1</f>
        <v>7</v>
      </c>
      <c r="F97" s="32">
        <v>0</v>
      </c>
      <c r="G97" s="32">
        <v>0</v>
      </c>
      <c r="H97" s="32">
        <v>0</v>
      </c>
      <c r="I97" s="32">
        <v>2469</v>
      </c>
      <c r="J97" s="32">
        <v>464</v>
      </c>
      <c r="M97" s="68" t="s">
        <v>868</v>
      </c>
      <c r="N97" s="13" t="s">
        <v>872</v>
      </c>
      <c r="O97" s="13" t="s">
        <v>141</v>
      </c>
      <c r="P97" s="13">
        <v>4971</v>
      </c>
      <c r="Q97" s="13">
        <v>7</v>
      </c>
      <c r="R97" s="13">
        <v>0</v>
      </c>
      <c r="S97" s="13">
        <v>0</v>
      </c>
      <c r="T97" s="13">
        <v>0</v>
      </c>
      <c r="U97" s="13">
        <v>2469</v>
      </c>
      <c r="V97" s="69">
        <v>464</v>
      </c>
    </row>
    <row r="98" spans="1:22" x14ac:dyDescent="0.25">
      <c r="A98" s="27" t="s">
        <v>67</v>
      </c>
      <c r="B98" s="27" t="s">
        <v>872</v>
      </c>
      <c r="C98" s="27" t="s">
        <v>142</v>
      </c>
      <c r="D98" s="32">
        <f>44213+2+1751+1+37+5688</f>
        <v>51692</v>
      </c>
      <c r="E98" s="32">
        <f>111+1+4+2+2</f>
        <v>120</v>
      </c>
      <c r="F98" s="32">
        <v>0</v>
      </c>
      <c r="G98" s="32">
        <v>0</v>
      </c>
      <c r="H98" s="32">
        <v>0</v>
      </c>
      <c r="I98" s="32">
        <v>12239</v>
      </c>
      <c r="J98" s="32">
        <v>5013</v>
      </c>
      <c r="M98" s="65" t="s">
        <v>67</v>
      </c>
      <c r="N98" s="66" t="s">
        <v>872</v>
      </c>
      <c r="O98" s="66" t="s">
        <v>142</v>
      </c>
      <c r="P98" s="66">
        <v>51692</v>
      </c>
      <c r="Q98" s="66">
        <v>120</v>
      </c>
      <c r="R98" s="66">
        <v>0</v>
      </c>
      <c r="S98" s="66">
        <v>0</v>
      </c>
      <c r="T98" s="66">
        <v>0</v>
      </c>
      <c r="U98" s="66">
        <v>12239</v>
      </c>
      <c r="V98" s="67">
        <v>5013</v>
      </c>
    </row>
    <row r="99" spans="1:22" x14ac:dyDescent="0.25">
      <c r="A99" s="27" t="s">
        <v>823</v>
      </c>
      <c r="B99" s="27" t="s">
        <v>872</v>
      </c>
      <c r="C99" s="27" t="s">
        <v>143</v>
      </c>
      <c r="D99" s="32">
        <f>12464+8+20757</f>
        <v>33229</v>
      </c>
      <c r="E99" s="32">
        <v>0</v>
      </c>
      <c r="F99" s="32">
        <v>0</v>
      </c>
      <c r="G99" s="32">
        <v>0</v>
      </c>
      <c r="H99" s="32">
        <v>0</v>
      </c>
      <c r="I99" s="32">
        <v>2073</v>
      </c>
      <c r="J99" s="32">
        <v>6443</v>
      </c>
      <c r="M99" s="68" t="s">
        <v>823</v>
      </c>
      <c r="N99" s="13" t="s">
        <v>872</v>
      </c>
      <c r="O99" s="13" t="s">
        <v>143</v>
      </c>
      <c r="P99" s="13">
        <v>33229</v>
      </c>
      <c r="Q99" s="13">
        <v>0</v>
      </c>
      <c r="R99" s="13">
        <v>0</v>
      </c>
      <c r="S99" s="13">
        <v>0</v>
      </c>
      <c r="T99" s="13">
        <v>0</v>
      </c>
      <c r="U99" s="13">
        <v>2073</v>
      </c>
      <c r="V99" s="69">
        <v>6443</v>
      </c>
    </row>
    <row r="100" spans="1:22" x14ac:dyDescent="0.25">
      <c r="A100" s="27" t="s">
        <v>848</v>
      </c>
      <c r="B100" s="27" t="s">
        <v>872</v>
      </c>
      <c r="C100" s="27" t="s">
        <v>144</v>
      </c>
      <c r="D100" s="32">
        <f>10168+14+7190</f>
        <v>17372</v>
      </c>
      <c r="E100" s="32">
        <f>571+5</f>
        <v>576</v>
      </c>
      <c r="F100" s="32">
        <v>0</v>
      </c>
      <c r="G100" s="32">
        <v>0</v>
      </c>
      <c r="H100" s="32">
        <v>0</v>
      </c>
      <c r="I100" s="32">
        <v>2360</v>
      </c>
      <c r="J100" s="32">
        <v>6202</v>
      </c>
      <c r="M100" s="65" t="s">
        <v>848</v>
      </c>
      <c r="N100" s="66" t="s">
        <v>872</v>
      </c>
      <c r="O100" s="66" t="s">
        <v>144</v>
      </c>
      <c r="P100" s="66">
        <v>17372</v>
      </c>
      <c r="Q100" s="66">
        <v>576</v>
      </c>
      <c r="R100" s="66">
        <v>0</v>
      </c>
      <c r="S100" s="66">
        <v>0</v>
      </c>
      <c r="T100" s="66">
        <v>0</v>
      </c>
      <c r="U100" s="66">
        <v>2360</v>
      </c>
      <c r="V100" s="67">
        <v>6202</v>
      </c>
    </row>
    <row r="101" spans="1:22" x14ac:dyDescent="0.25">
      <c r="A101" s="27" t="s">
        <v>816</v>
      </c>
      <c r="B101" s="27" t="s">
        <v>872</v>
      </c>
      <c r="C101" s="27" t="s">
        <v>145</v>
      </c>
      <c r="D101" s="32">
        <f>52553+1+33+13+35164+1</f>
        <v>87765</v>
      </c>
      <c r="E101" s="32">
        <f>35+52+41+1</f>
        <v>129</v>
      </c>
      <c r="F101" s="32">
        <v>0</v>
      </c>
      <c r="G101" s="32">
        <v>0</v>
      </c>
      <c r="H101" s="32">
        <v>0</v>
      </c>
      <c r="I101" s="32">
        <v>69440</v>
      </c>
      <c r="J101" s="32">
        <v>30601</v>
      </c>
      <c r="M101" s="68" t="s">
        <v>816</v>
      </c>
      <c r="N101" s="13" t="s">
        <v>872</v>
      </c>
      <c r="O101" s="13" t="s">
        <v>145</v>
      </c>
      <c r="P101" s="13">
        <v>87765</v>
      </c>
      <c r="Q101" s="13">
        <v>129</v>
      </c>
      <c r="R101" s="13">
        <v>0</v>
      </c>
      <c r="S101" s="13">
        <v>0</v>
      </c>
      <c r="T101" s="13">
        <v>0</v>
      </c>
      <c r="U101" s="13">
        <v>69440</v>
      </c>
      <c r="V101" s="69">
        <v>30601</v>
      </c>
    </row>
    <row r="102" spans="1:22" x14ac:dyDescent="0.25">
      <c r="A102" s="27" t="s">
        <v>146</v>
      </c>
      <c r="B102" s="27" t="s">
        <v>872</v>
      </c>
      <c r="C102" s="27" t="s">
        <v>147</v>
      </c>
      <c r="D102" s="32">
        <f>65377+179+49027</f>
        <v>114583</v>
      </c>
      <c r="E102" s="32">
        <f>64+2+115+63</f>
        <v>244</v>
      </c>
      <c r="F102" s="32">
        <v>0</v>
      </c>
      <c r="G102" s="32">
        <v>0</v>
      </c>
      <c r="H102" s="32">
        <v>0</v>
      </c>
      <c r="I102" s="32">
        <v>68468</v>
      </c>
      <c r="J102" s="32">
        <v>35549</v>
      </c>
      <c r="M102" s="65" t="s">
        <v>146</v>
      </c>
      <c r="N102" s="66" t="s">
        <v>872</v>
      </c>
      <c r="O102" s="66" t="s">
        <v>147</v>
      </c>
      <c r="P102" s="66">
        <v>114583</v>
      </c>
      <c r="Q102" s="66">
        <v>244</v>
      </c>
      <c r="R102" s="66">
        <v>0</v>
      </c>
      <c r="S102" s="66">
        <v>0</v>
      </c>
      <c r="T102" s="66">
        <v>0</v>
      </c>
      <c r="U102" s="66">
        <v>68468</v>
      </c>
      <c r="V102" s="67">
        <v>35549</v>
      </c>
    </row>
    <row r="103" spans="1:22" x14ac:dyDescent="0.25">
      <c r="A103" s="27" t="s">
        <v>804</v>
      </c>
      <c r="B103" s="27" t="s">
        <v>872</v>
      </c>
      <c r="C103" s="27" t="s">
        <v>148</v>
      </c>
      <c r="D103" s="32">
        <f>89218+4+5+121+22+26873</f>
        <v>116243</v>
      </c>
      <c r="E103" s="32">
        <f>70+93+4+22+42+2</f>
        <v>233</v>
      </c>
      <c r="F103" s="32">
        <v>0</v>
      </c>
      <c r="G103" s="32">
        <v>0</v>
      </c>
      <c r="H103" s="32">
        <v>0</v>
      </c>
      <c r="I103" s="32">
        <v>120367</v>
      </c>
      <c r="J103" s="32">
        <v>21848</v>
      </c>
      <c r="M103" s="68" t="s">
        <v>804</v>
      </c>
      <c r="N103" s="13" t="s">
        <v>872</v>
      </c>
      <c r="O103" s="13" t="s">
        <v>148</v>
      </c>
      <c r="P103" s="13">
        <v>116243</v>
      </c>
      <c r="Q103" s="13">
        <v>233</v>
      </c>
      <c r="R103" s="13">
        <v>0</v>
      </c>
      <c r="S103" s="13">
        <v>0</v>
      </c>
      <c r="T103" s="13">
        <v>0</v>
      </c>
      <c r="U103" s="13">
        <v>120367</v>
      </c>
      <c r="V103" s="69">
        <v>21848</v>
      </c>
    </row>
    <row r="104" spans="1:22" x14ac:dyDescent="0.25">
      <c r="A104" s="27" t="s">
        <v>817</v>
      </c>
      <c r="B104" s="27" t="s">
        <v>872</v>
      </c>
      <c r="C104" s="27" t="s">
        <v>149</v>
      </c>
      <c r="D104" s="32">
        <f>17613+549+1+18651+2</f>
        <v>36816</v>
      </c>
      <c r="E104" s="32">
        <f>564+3+197+294+2</f>
        <v>1060</v>
      </c>
      <c r="F104" s="32">
        <v>0</v>
      </c>
      <c r="G104" s="32">
        <v>0</v>
      </c>
      <c r="H104" s="32">
        <v>0</v>
      </c>
      <c r="I104" s="32">
        <v>38009</v>
      </c>
      <c r="J104" s="32">
        <v>15817</v>
      </c>
      <c r="M104" s="65" t="s">
        <v>817</v>
      </c>
      <c r="N104" s="66" t="s">
        <v>872</v>
      </c>
      <c r="O104" s="66" t="s">
        <v>149</v>
      </c>
      <c r="P104" s="66">
        <v>36816</v>
      </c>
      <c r="Q104" s="66">
        <v>1060</v>
      </c>
      <c r="R104" s="66">
        <v>0</v>
      </c>
      <c r="S104" s="66">
        <v>0</v>
      </c>
      <c r="T104" s="66">
        <v>0</v>
      </c>
      <c r="U104" s="66">
        <v>38009</v>
      </c>
      <c r="V104" s="67">
        <v>15817</v>
      </c>
    </row>
    <row r="105" spans="1:22" x14ac:dyDescent="0.25">
      <c r="A105" s="27" t="s">
        <v>831</v>
      </c>
      <c r="B105" s="27" t="s">
        <v>872</v>
      </c>
      <c r="C105" s="27" t="s">
        <v>151</v>
      </c>
      <c r="D105" s="32">
        <f>5200+2+80+1+46+2642</f>
        <v>7971</v>
      </c>
      <c r="E105" s="32">
        <f>46+2+3</f>
        <v>51</v>
      </c>
      <c r="F105" s="32">
        <v>0</v>
      </c>
      <c r="G105" s="32">
        <v>0</v>
      </c>
      <c r="H105" s="32">
        <v>0</v>
      </c>
      <c r="I105" s="32">
        <v>3528</v>
      </c>
      <c r="J105" s="32">
        <v>1731</v>
      </c>
      <c r="M105" s="68" t="s">
        <v>831</v>
      </c>
      <c r="N105" s="13" t="s">
        <v>872</v>
      </c>
      <c r="O105" s="13" t="s">
        <v>151</v>
      </c>
      <c r="P105" s="13">
        <v>7971</v>
      </c>
      <c r="Q105" s="13">
        <v>51</v>
      </c>
      <c r="R105" s="13">
        <v>0</v>
      </c>
      <c r="S105" s="13">
        <v>0</v>
      </c>
      <c r="T105" s="13">
        <v>0</v>
      </c>
      <c r="U105" s="13">
        <v>3528</v>
      </c>
      <c r="V105" s="69">
        <v>1731</v>
      </c>
    </row>
    <row r="106" spans="1:22" x14ac:dyDescent="0.25">
      <c r="A106" s="27" t="s">
        <v>146</v>
      </c>
      <c r="B106" s="27" t="s">
        <v>872</v>
      </c>
      <c r="C106" s="27" t="s">
        <v>152</v>
      </c>
      <c r="D106" s="32">
        <f>20074+659+4+363+24257</f>
        <v>45357</v>
      </c>
      <c r="E106" s="32">
        <f>20+22+14+162+2</f>
        <v>220</v>
      </c>
      <c r="F106" s="32">
        <v>0</v>
      </c>
      <c r="G106" s="32">
        <v>0</v>
      </c>
      <c r="H106" s="32">
        <v>0</v>
      </c>
      <c r="I106" s="32">
        <v>54509</v>
      </c>
      <c r="J106" s="32">
        <v>17670</v>
      </c>
      <c r="M106" s="65" t="s">
        <v>146</v>
      </c>
      <c r="N106" s="66" t="s">
        <v>872</v>
      </c>
      <c r="O106" s="66" t="s">
        <v>152</v>
      </c>
      <c r="P106" s="66">
        <v>45357</v>
      </c>
      <c r="Q106" s="66">
        <v>220</v>
      </c>
      <c r="R106" s="66">
        <v>0</v>
      </c>
      <c r="S106" s="66">
        <v>0</v>
      </c>
      <c r="T106" s="66">
        <v>0</v>
      </c>
      <c r="U106" s="66">
        <v>54509</v>
      </c>
      <c r="V106" s="67">
        <v>17670</v>
      </c>
    </row>
    <row r="107" spans="1:22" x14ac:dyDescent="0.25">
      <c r="A107" s="27" t="s">
        <v>495</v>
      </c>
      <c r="B107" s="27" t="s">
        <v>872</v>
      </c>
      <c r="C107" s="27" t="s">
        <v>153</v>
      </c>
      <c r="D107" s="32">
        <f>10942+27+48+2359</f>
        <v>13376</v>
      </c>
      <c r="E107" s="32">
        <f>4+2</f>
        <v>6</v>
      </c>
      <c r="F107" s="32">
        <v>0</v>
      </c>
      <c r="G107" s="32">
        <v>0</v>
      </c>
      <c r="H107" s="32">
        <v>0</v>
      </c>
      <c r="I107" s="32">
        <v>13351</v>
      </c>
      <c r="J107" s="32">
        <v>1724</v>
      </c>
      <c r="M107" s="68" t="s">
        <v>495</v>
      </c>
      <c r="N107" s="13" t="s">
        <v>872</v>
      </c>
      <c r="O107" s="13" t="s">
        <v>153</v>
      </c>
      <c r="P107" s="13">
        <v>13376</v>
      </c>
      <c r="Q107" s="13">
        <v>6</v>
      </c>
      <c r="R107" s="13">
        <v>0</v>
      </c>
      <c r="S107" s="13">
        <v>0</v>
      </c>
      <c r="T107" s="13">
        <v>0</v>
      </c>
      <c r="U107" s="13">
        <v>13351</v>
      </c>
      <c r="V107" s="69">
        <v>1724</v>
      </c>
    </row>
    <row r="108" spans="1:22" x14ac:dyDescent="0.25">
      <c r="A108" s="27" t="s">
        <v>76</v>
      </c>
      <c r="B108" s="27" t="s">
        <v>872</v>
      </c>
      <c r="C108" s="27" t="s">
        <v>154</v>
      </c>
      <c r="D108" s="32">
        <f>34430+524+2+30760+30</f>
        <v>65746</v>
      </c>
      <c r="E108" s="32">
        <f>11+1+494+1</f>
        <v>507</v>
      </c>
      <c r="F108" s="32">
        <v>0</v>
      </c>
      <c r="G108" s="32">
        <v>0</v>
      </c>
      <c r="H108" s="32">
        <v>0</v>
      </c>
      <c r="I108" s="32">
        <v>9264</v>
      </c>
      <c r="J108" s="32">
        <v>23288</v>
      </c>
      <c r="M108" s="65" t="s">
        <v>76</v>
      </c>
      <c r="N108" s="66" t="s">
        <v>872</v>
      </c>
      <c r="O108" s="66" t="s">
        <v>154</v>
      </c>
      <c r="P108" s="66">
        <v>65746</v>
      </c>
      <c r="Q108" s="66">
        <v>507</v>
      </c>
      <c r="R108" s="66">
        <v>0</v>
      </c>
      <c r="S108" s="66">
        <v>0</v>
      </c>
      <c r="T108" s="66">
        <v>0</v>
      </c>
      <c r="U108" s="66">
        <v>9264</v>
      </c>
      <c r="V108" s="67">
        <v>23288</v>
      </c>
    </row>
    <row r="109" spans="1:22" x14ac:dyDescent="0.25">
      <c r="A109" s="27" t="s">
        <v>83</v>
      </c>
      <c r="B109" s="27" t="s">
        <v>872</v>
      </c>
      <c r="C109" s="27" t="s">
        <v>155</v>
      </c>
      <c r="D109" s="32">
        <f>16978+5643</f>
        <v>22621</v>
      </c>
      <c r="E109" s="32">
        <f>10+97</f>
        <v>107</v>
      </c>
      <c r="F109" s="32">
        <v>0</v>
      </c>
      <c r="G109" s="32">
        <v>0</v>
      </c>
      <c r="H109" s="32">
        <v>0</v>
      </c>
      <c r="I109" s="32">
        <v>72809</v>
      </c>
      <c r="J109" s="32">
        <v>4530</v>
      </c>
      <c r="M109" s="68" t="s">
        <v>83</v>
      </c>
      <c r="N109" s="13" t="s">
        <v>872</v>
      </c>
      <c r="O109" s="13" t="s">
        <v>155</v>
      </c>
      <c r="P109" s="13">
        <v>22621</v>
      </c>
      <c r="Q109" s="13">
        <v>107</v>
      </c>
      <c r="R109" s="13">
        <v>0</v>
      </c>
      <c r="S109" s="13">
        <v>0</v>
      </c>
      <c r="T109" s="13">
        <v>0</v>
      </c>
      <c r="U109" s="13">
        <v>72809</v>
      </c>
      <c r="V109" s="69">
        <v>4530</v>
      </c>
    </row>
    <row r="110" spans="1:22" x14ac:dyDescent="0.25">
      <c r="A110" s="27" t="s">
        <v>890</v>
      </c>
      <c r="B110" s="27" t="s">
        <v>872</v>
      </c>
      <c r="C110" s="27" t="s">
        <v>156</v>
      </c>
      <c r="D110" s="32">
        <f>62796+1+28248</f>
        <v>91045</v>
      </c>
      <c r="E110" s="32">
        <f>46+1+2+22+166</f>
        <v>237</v>
      </c>
      <c r="F110" s="32">
        <v>0</v>
      </c>
      <c r="G110" s="32">
        <v>0</v>
      </c>
      <c r="H110" s="32">
        <v>0</v>
      </c>
      <c r="I110" s="32">
        <v>84240</v>
      </c>
      <c r="J110" s="32">
        <v>21669</v>
      </c>
      <c r="M110" s="65" t="s">
        <v>890</v>
      </c>
      <c r="N110" s="66" t="s">
        <v>872</v>
      </c>
      <c r="O110" s="66" t="s">
        <v>156</v>
      </c>
      <c r="P110" s="66">
        <v>91045</v>
      </c>
      <c r="Q110" s="66">
        <v>237</v>
      </c>
      <c r="R110" s="66">
        <v>0</v>
      </c>
      <c r="S110" s="66">
        <v>0</v>
      </c>
      <c r="T110" s="66">
        <v>0</v>
      </c>
      <c r="U110" s="66">
        <v>84240</v>
      </c>
      <c r="V110" s="67">
        <v>21669</v>
      </c>
    </row>
    <row r="111" spans="1:22" x14ac:dyDescent="0.25">
      <c r="A111" s="27" t="s">
        <v>831</v>
      </c>
      <c r="B111" s="27" t="s">
        <v>872</v>
      </c>
      <c r="C111" s="27" t="s">
        <v>157</v>
      </c>
      <c r="D111" s="32">
        <f>7150+7+3015</f>
        <v>10172</v>
      </c>
      <c r="E111" s="32">
        <f>160+27+31</f>
        <v>218</v>
      </c>
      <c r="F111" s="32">
        <v>0</v>
      </c>
      <c r="G111" s="32">
        <v>0</v>
      </c>
      <c r="H111" s="32">
        <v>0</v>
      </c>
      <c r="I111" s="32">
        <v>4019</v>
      </c>
      <c r="J111" s="32">
        <v>2716</v>
      </c>
      <c r="M111" s="68" t="s">
        <v>831</v>
      </c>
      <c r="N111" s="13" t="s">
        <v>872</v>
      </c>
      <c r="O111" s="13" t="s">
        <v>157</v>
      </c>
      <c r="P111" s="13">
        <v>10172</v>
      </c>
      <c r="Q111" s="13">
        <v>218</v>
      </c>
      <c r="R111" s="13">
        <v>0</v>
      </c>
      <c r="S111" s="13">
        <v>0</v>
      </c>
      <c r="T111" s="13">
        <v>0</v>
      </c>
      <c r="U111" s="13">
        <v>4019</v>
      </c>
      <c r="V111" s="69">
        <v>2716</v>
      </c>
    </row>
    <row r="112" spans="1:22" x14ac:dyDescent="0.25">
      <c r="A112" s="27" t="s">
        <v>818</v>
      </c>
      <c r="B112" s="27" t="s">
        <v>872</v>
      </c>
      <c r="C112" s="27" t="s">
        <v>158</v>
      </c>
      <c r="D112" s="32">
        <f>26184+1+664+5+156+5346</f>
        <v>32356</v>
      </c>
      <c r="E112" s="32">
        <v>18</v>
      </c>
      <c r="F112" s="32">
        <v>0</v>
      </c>
      <c r="G112" s="32">
        <v>0</v>
      </c>
      <c r="H112" s="32">
        <v>0</v>
      </c>
      <c r="I112" s="32">
        <v>20789</v>
      </c>
      <c r="J112" s="32">
        <v>4689</v>
      </c>
      <c r="M112" s="65" t="s">
        <v>818</v>
      </c>
      <c r="N112" s="66" t="s">
        <v>872</v>
      </c>
      <c r="O112" s="66" t="s">
        <v>158</v>
      </c>
      <c r="P112" s="66">
        <v>32356</v>
      </c>
      <c r="Q112" s="66">
        <v>18</v>
      </c>
      <c r="R112" s="66">
        <v>0</v>
      </c>
      <c r="S112" s="66">
        <v>0</v>
      </c>
      <c r="T112" s="66">
        <v>0</v>
      </c>
      <c r="U112" s="66">
        <v>20789</v>
      </c>
      <c r="V112" s="67">
        <v>4689</v>
      </c>
    </row>
    <row r="113" spans="1:22" x14ac:dyDescent="0.25">
      <c r="A113" s="27" t="s">
        <v>134</v>
      </c>
      <c r="B113" s="27" t="s">
        <v>872</v>
      </c>
      <c r="C113" s="27" t="s">
        <v>159</v>
      </c>
      <c r="D113" s="32">
        <f>9137+1+39+1+10+3344</f>
        <v>12532</v>
      </c>
      <c r="E113" s="32">
        <f>84+6</f>
        <v>90</v>
      </c>
      <c r="F113" s="32">
        <v>0</v>
      </c>
      <c r="G113" s="32">
        <v>0</v>
      </c>
      <c r="H113" s="32">
        <v>0</v>
      </c>
      <c r="I113" s="32">
        <v>12839</v>
      </c>
      <c r="J113" s="32">
        <v>2593</v>
      </c>
      <c r="M113" s="68" t="s">
        <v>134</v>
      </c>
      <c r="N113" s="13" t="s">
        <v>872</v>
      </c>
      <c r="O113" s="13" t="s">
        <v>159</v>
      </c>
      <c r="P113" s="13">
        <v>12532</v>
      </c>
      <c r="Q113" s="13">
        <v>90</v>
      </c>
      <c r="R113" s="13">
        <v>0</v>
      </c>
      <c r="S113" s="13">
        <v>0</v>
      </c>
      <c r="T113" s="13">
        <v>0</v>
      </c>
      <c r="U113" s="13">
        <v>12839</v>
      </c>
      <c r="V113" s="69">
        <v>2593</v>
      </c>
    </row>
    <row r="114" spans="1:22" x14ac:dyDescent="0.25">
      <c r="A114" s="27" t="s">
        <v>72</v>
      </c>
      <c r="B114" s="27" t="s">
        <v>872</v>
      </c>
      <c r="C114" s="27" t="s">
        <v>160</v>
      </c>
      <c r="D114" s="32">
        <f>61246+20+31626</f>
        <v>92892</v>
      </c>
      <c r="E114" s="32">
        <f>198+56+7+131+503+889</f>
        <v>1784</v>
      </c>
      <c r="F114" s="32">
        <v>0</v>
      </c>
      <c r="G114" s="32">
        <v>0</v>
      </c>
      <c r="H114" s="32">
        <v>0</v>
      </c>
      <c r="I114" s="32">
        <v>40954</v>
      </c>
      <c r="J114" s="32">
        <v>26714</v>
      </c>
      <c r="M114" s="65" t="s">
        <v>72</v>
      </c>
      <c r="N114" s="66" t="s">
        <v>872</v>
      </c>
      <c r="O114" s="66" t="s">
        <v>160</v>
      </c>
      <c r="P114" s="66">
        <v>92892</v>
      </c>
      <c r="Q114" s="66">
        <v>1784</v>
      </c>
      <c r="R114" s="66">
        <v>0</v>
      </c>
      <c r="S114" s="66">
        <v>0</v>
      </c>
      <c r="T114" s="66">
        <v>0</v>
      </c>
      <c r="U114" s="66">
        <v>40954</v>
      </c>
      <c r="V114" s="67">
        <v>26714</v>
      </c>
    </row>
    <row r="115" spans="1:22" x14ac:dyDescent="0.25">
      <c r="A115" s="27" t="s">
        <v>226</v>
      </c>
      <c r="B115" s="27" t="s">
        <v>872</v>
      </c>
      <c r="C115" s="27" t="s">
        <v>161</v>
      </c>
      <c r="D115" s="32">
        <f>6937+26+44+327</f>
        <v>7334</v>
      </c>
      <c r="E115" s="32">
        <v>1</v>
      </c>
      <c r="F115" s="32">
        <v>0</v>
      </c>
      <c r="G115" s="32">
        <v>0</v>
      </c>
      <c r="H115" s="32">
        <v>0</v>
      </c>
      <c r="I115" s="32">
        <v>1247</v>
      </c>
      <c r="J115" s="32">
        <v>325</v>
      </c>
      <c r="M115" s="68" t="s">
        <v>226</v>
      </c>
      <c r="N115" s="13" t="s">
        <v>872</v>
      </c>
      <c r="O115" s="13" t="s">
        <v>161</v>
      </c>
      <c r="P115" s="13">
        <v>7334</v>
      </c>
      <c r="Q115" s="13">
        <v>1</v>
      </c>
      <c r="R115" s="13">
        <v>0</v>
      </c>
      <c r="S115" s="13">
        <v>0</v>
      </c>
      <c r="T115" s="13">
        <v>0</v>
      </c>
      <c r="U115" s="13">
        <v>1247</v>
      </c>
      <c r="V115" s="69">
        <v>325</v>
      </c>
    </row>
    <row r="116" spans="1:22" x14ac:dyDescent="0.25">
      <c r="A116" s="27" t="s">
        <v>791</v>
      </c>
      <c r="B116" s="27" t="s">
        <v>872</v>
      </c>
      <c r="C116" s="27" t="s">
        <v>162</v>
      </c>
      <c r="D116" s="32">
        <f>20078+1+110+1+1+3+34+1+228+10579</f>
        <v>31036</v>
      </c>
      <c r="E116" s="32">
        <f>59+32+1+138</f>
        <v>230</v>
      </c>
      <c r="F116" s="32">
        <v>0</v>
      </c>
      <c r="G116" s="32">
        <v>0</v>
      </c>
      <c r="H116" s="32">
        <v>0</v>
      </c>
      <c r="I116" s="32">
        <v>11260</v>
      </c>
      <c r="J116" s="32">
        <v>9719</v>
      </c>
      <c r="M116" s="65" t="s">
        <v>791</v>
      </c>
      <c r="N116" s="66" t="s">
        <v>872</v>
      </c>
      <c r="O116" s="66" t="s">
        <v>162</v>
      </c>
      <c r="P116" s="66">
        <v>31036</v>
      </c>
      <c r="Q116" s="66">
        <v>230</v>
      </c>
      <c r="R116" s="66">
        <v>0</v>
      </c>
      <c r="S116" s="66">
        <v>0</v>
      </c>
      <c r="T116" s="66">
        <v>0</v>
      </c>
      <c r="U116" s="66">
        <v>11260</v>
      </c>
      <c r="V116" s="67">
        <v>9719</v>
      </c>
    </row>
    <row r="117" spans="1:22" x14ac:dyDescent="0.25">
      <c r="A117" s="27" t="s">
        <v>811</v>
      </c>
      <c r="B117" s="27" t="s">
        <v>872</v>
      </c>
      <c r="C117" s="27" t="s">
        <v>163</v>
      </c>
      <c r="D117" s="32">
        <f>50979+4+2+1+8+37+33165</f>
        <v>84196</v>
      </c>
      <c r="E117" s="32">
        <f>1523+24+4+332+29</f>
        <v>1912</v>
      </c>
      <c r="F117" s="32">
        <v>0</v>
      </c>
      <c r="G117" s="32">
        <v>0</v>
      </c>
      <c r="H117" s="32">
        <v>0</v>
      </c>
      <c r="I117" s="32">
        <v>66642</v>
      </c>
      <c r="J117" s="32">
        <v>28083</v>
      </c>
      <c r="M117" s="68" t="s">
        <v>811</v>
      </c>
      <c r="N117" s="13" t="s">
        <v>872</v>
      </c>
      <c r="O117" s="13" t="s">
        <v>163</v>
      </c>
      <c r="P117" s="13">
        <v>84196</v>
      </c>
      <c r="Q117" s="13">
        <v>1912</v>
      </c>
      <c r="R117" s="13">
        <v>0</v>
      </c>
      <c r="S117" s="13">
        <v>0</v>
      </c>
      <c r="T117" s="13">
        <v>0</v>
      </c>
      <c r="U117" s="13">
        <v>66642</v>
      </c>
      <c r="V117" s="69">
        <v>28083</v>
      </c>
    </row>
    <row r="118" spans="1:22" x14ac:dyDescent="0.25">
      <c r="A118" s="27" t="s">
        <v>791</v>
      </c>
      <c r="B118" s="27" t="s">
        <v>872</v>
      </c>
      <c r="C118" s="27" t="s">
        <v>164</v>
      </c>
      <c r="D118" s="32">
        <f>51372+2+18+18930</f>
        <v>70322</v>
      </c>
      <c r="E118" s="32">
        <f>89+36+36+38</f>
        <v>199</v>
      </c>
      <c r="F118" s="32">
        <v>0</v>
      </c>
      <c r="G118" s="32">
        <v>0</v>
      </c>
      <c r="H118" s="32">
        <v>0</v>
      </c>
      <c r="I118" s="32">
        <v>34976</v>
      </c>
      <c r="J118" s="32">
        <v>16093</v>
      </c>
      <c r="M118" s="65" t="s">
        <v>791</v>
      </c>
      <c r="N118" s="66" t="s">
        <v>872</v>
      </c>
      <c r="O118" s="66" t="s">
        <v>164</v>
      </c>
      <c r="P118" s="66">
        <v>70322</v>
      </c>
      <c r="Q118" s="66">
        <v>199</v>
      </c>
      <c r="R118" s="66">
        <v>0</v>
      </c>
      <c r="S118" s="66">
        <v>0</v>
      </c>
      <c r="T118" s="66">
        <v>0</v>
      </c>
      <c r="U118" s="66">
        <v>34976</v>
      </c>
      <c r="V118" s="67">
        <v>16093</v>
      </c>
    </row>
    <row r="119" spans="1:22" x14ac:dyDescent="0.25">
      <c r="A119" s="27" t="s">
        <v>83</v>
      </c>
      <c r="B119" s="27" t="s">
        <v>872</v>
      </c>
      <c r="C119" s="27" t="s">
        <v>165</v>
      </c>
      <c r="D119" s="32">
        <f>11115+5444</f>
        <v>16559</v>
      </c>
      <c r="E119" s="32">
        <f>120+24+13</f>
        <v>157</v>
      </c>
      <c r="F119" s="32">
        <v>0</v>
      </c>
      <c r="G119" s="32">
        <v>0</v>
      </c>
      <c r="H119" s="32">
        <v>0</v>
      </c>
      <c r="I119" s="32">
        <v>6857</v>
      </c>
      <c r="J119" s="32">
        <v>2980</v>
      </c>
      <c r="M119" s="68" t="s">
        <v>83</v>
      </c>
      <c r="N119" s="13" t="s">
        <v>872</v>
      </c>
      <c r="O119" s="13" t="s">
        <v>165</v>
      </c>
      <c r="P119" s="13">
        <v>16559</v>
      </c>
      <c r="Q119" s="13">
        <v>157</v>
      </c>
      <c r="R119" s="13">
        <v>0</v>
      </c>
      <c r="S119" s="13">
        <v>0</v>
      </c>
      <c r="T119" s="13">
        <v>0</v>
      </c>
      <c r="U119" s="13">
        <v>6857</v>
      </c>
      <c r="V119" s="69">
        <v>2980</v>
      </c>
    </row>
    <row r="120" spans="1:22" x14ac:dyDescent="0.25">
      <c r="A120" s="27" t="s">
        <v>818</v>
      </c>
      <c r="B120" s="27" t="s">
        <v>872</v>
      </c>
      <c r="C120" s="27" t="s">
        <v>166</v>
      </c>
      <c r="D120" s="32">
        <f>9457+1344+2+34+1026</f>
        <v>11863</v>
      </c>
      <c r="E120" s="32">
        <f>10+8+2</f>
        <v>20</v>
      </c>
      <c r="F120" s="32">
        <v>0</v>
      </c>
      <c r="G120" s="32">
        <v>0</v>
      </c>
      <c r="H120" s="32">
        <v>0</v>
      </c>
      <c r="I120" s="32">
        <v>12156</v>
      </c>
      <c r="J120" s="32">
        <v>930</v>
      </c>
      <c r="M120" s="65" t="s">
        <v>818</v>
      </c>
      <c r="N120" s="66" t="s">
        <v>872</v>
      </c>
      <c r="O120" s="66" t="s">
        <v>166</v>
      </c>
      <c r="P120" s="66">
        <v>11863</v>
      </c>
      <c r="Q120" s="66">
        <v>20</v>
      </c>
      <c r="R120" s="66">
        <v>0</v>
      </c>
      <c r="S120" s="66">
        <v>0</v>
      </c>
      <c r="T120" s="66">
        <v>0</v>
      </c>
      <c r="U120" s="66">
        <v>12156</v>
      </c>
      <c r="V120" s="67">
        <v>930</v>
      </c>
    </row>
    <row r="121" spans="1:22" x14ac:dyDescent="0.25">
      <c r="A121" s="27" t="s">
        <v>801</v>
      </c>
      <c r="B121" s="27" t="s">
        <v>872</v>
      </c>
      <c r="C121" s="27" t="s">
        <v>167</v>
      </c>
      <c r="D121" s="32">
        <f>33956+1+468+19+4+1+4996</f>
        <v>39445</v>
      </c>
      <c r="E121" s="32">
        <f>97+2+1</f>
        <v>100</v>
      </c>
      <c r="F121" s="32">
        <v>0</v>
      </c>
      <c r="G121" s="32">
        <v>0</v>
      </c>
      <c r="H121" s="32">
        <v>0</v>
      </c>
      <c r="I121" s="32">
        <v>35550</v>
      </c>
      <c r="J121" s="32">
        <v>4573</v>
      </c>
      <c r="M121" s="68" t="s">
        <v>801</v>
      </c>
      <c r="N121" s="13" t="s">
        <v>872</v>
      </c>
      <c r="O121" s="13" t="s">
        <v>167</v>
      </c>
      <c r="P121" s="13">
        <v>39445</v>
      </c>
      <c r="Q121" s="13">
        <v>100</v>
      </c>
      <c r="R121" s="13">
        <v>0</v>
      </c>
      <c r="S121" s="13">
        <v>0</v>
      </c>
      <c r="T121" s="13">
        <v>0</v>
      </c>
      <c r="U121" s="13">
        <v>35550</v>
      </c>
      <c r="V121" s="69">
        <v>4573</v>
      </c>
    </row>
    <row r="122" spans="1:22" x14ac:dyDescent="0.25">
      <c r="A122" s="27" t="s">
        <v>826</v>
      </c>
      <c r="B122" s="27" t="s">
        <v>872</v>
      </c>
      <c r="C122" s="27" t="s">
        <v>168</v>
      </c>
      <c r="D122" s="32">
        <f>54891+7+5+42+1100+29+1+4+6+20+423+3503</f>
        <v>60031</v>
      </c>
      <c r="E122" s="32">
        <f>373+12+2+5+1</f>
        <v>393</v>
      </c>
      <c r="F122" s="32">
        <v>0</v>
      </c>
      <c r="G122" s="32">
        <v>0</v>
      </c>
      <c r="H122" s="32">
        <v>0</v>
      </c>
      <c r="I122" s="32">
        <v>21030</v>
      </c>
      <c r="J122" s="32">
        <v>3117</v>
      </c>
      <c r="M122" s="65" t="s">
        <v>826</v>
      </c>
      <c r="N122" s="66" t="s">
        <v>872</v>
      </c>
      <c r="O122" s="66" t="s">
        <v>168</v>
      </c>
      <c r="P122" s="66">
        <v>60031</v>
      </c>
      <c r="Q122" s="66">
        <v>393</v>
      </c>
      <c r="R122" s="66">
        <v>0</v>
      </c>
      <c r="S122" s="66">
        <v>0</v>
      </c>
      <c r="T122" s="66">
        <v>0</v>
      </c>
      <c r="U122" s="66">
        <v>21030</v>
      </c>
      <c r="V122" s="67">
        <v>3117</v>
      </c>
    </row>
    <row r="123" spans="1:22" x14ac:dyDescent="0.25">
      <c r="A123" s="27" t="s">
        <v>848</v>
      </c>
      <c r="B123" s="27" t="s">
        <v>872</v>
      </c>
      <c r="C123" s="27" t="s">
        <v>169</v>
      </c>
      <c r="D123" s="32">
        <f>9345+1+38+2+4+35+4712+1</f>
        <v>14138</v>
      </c>
      <c r="E123" s="32">
        <f>73+2+39+43+1</f>
        <v>158</v>
      </c>
      <c r="F123" s="32">
        <v>0</v>
      </c>
      <c r="G123" s="32">
        <v>0</v>
      </c>
      <c r="H123" s="32">
        <v>0</v>
      </c>
      <c r="I123" s="32">
        <v>2687</v>
      </c>
      <c r="J123" s="32">
        <v>4575</v>
      </c>
      <c r="M123" s="68" t="s">
        <v>848</v>
      </c>
      <c r="N123" s="13" t="s">
        <v>872</v>
      </c>
      <c r="O123" s="13" t="s">
        <v>169</v>
      </c>
      <c r="P123" s="13">
        <v>14138</v>
      </c>
      <c r="Q123" s="13">
        <v>158</v>
      </c>
      <c r="R123" s="13">
        <v>0</v>
      </c>
      <c r="S123" s="13">
        <v>0</v>
      </c>
      <c r="T123" s="13">
        <v>0</v>
      </c>
      <c r="U123" s="13">
        <v>2687</v>
      </c>
      <c r="V123" s="69">
        <v>4575</v>
      </c>
    </row>
    <row r="124" spans="1:22" x14ac:dyDescent="0.25">
      <c r="A124" s="27" t="s">
        <v>811</v>
      </c>
      <c r="B124" s="27" t="s">
        <v>872</v>
      </c>
      <c r="C124" s="27" t="s">
        <v>170</v>
      </c>
      <c r="D124" s="32">
        <f>36895+1211+80+20310</f>
        <v>58496</v>
      </c>
      <c r="E124" s="32">
        <f>1138+88+7+126+23</f>
        <v>1382</v>
      </c>
      <c r="F124" s="32">
        <v>0</v>
      </c>
      <c r="G124" s="32">
        <v>0</v>
      </c>
      <c r="H124" s="32">
        <v>0</v>
      </c>
      <c r="I124" s="32">
        <v>20759</v>
      </c>
      <c r="J124" s="32">
        <v>17862</v>
      </c>
      <c r="M124" s="65" t="s">
        <v>811</v>
      </c>
      <c r="N124" s="66" t="s">
        <v>872</v>
      </c>
      <c r="O124" s="66" t="s">
        <v>170</v>
      </c>
      <c r="P124" s="66">
        <v>58496</v>
      </c>
      <c r="Q124" s="66">
        <v>1382</v>
      </c>
      <c r="R124" s="66">
        <v>0</v>
      </c>
      <c r="S124" s="66">
        <v>0</v>
      </c>
      <c r="T124" s="66">
        <v>0</v>
      </c>
      <c r="U124" s="66">
        <v>20759</v>
      </c>
      <c r="V124" s="67">
        <v>17862</v>
      </c>
    </row>
    <row r="125" spans="1:22" x14ac:dyDescent="0.25">
      <c r="A125" s="27" t="s">
        <v>512</v>
      </c>
      <c r="B125" s="27" t="s">
        <v>872</v>
      </c>
      <c r="C125" s="27" t="s">
        <v>171</v>
      </c>
      <c r="D125" s="32">
        <f>11096+6832</f>
        <v>17928</v>
      </c>
      <c r="E125" s="32">
        <v>3</v>
      </c>
      <c r="F125" s="32">
        <v>0</v>
      </c>
      <c r="G125" s="32">
        <v>0</v>
      </c>
      <c r="H125" s="32">
        <v>0</v>
      </c>
      <c r="I125" s="32">
        <v>5717</v>
      </c>
      <c r="J125" s="32">
        <v>4377</v>
      </c>
      <c r="M125" s="68" t="s">
        <v>512</v>
      </c>
      <c r="N125" s="13" t="s">
        <v>872</v>
      </c>
      <c r="O125" s="13" t="s">
        <v>171</v>
      </c>
      <c r="P125" s="13">
        <v>17928</v>
      </c>
      <c r="Q125" s="13">
        <v>3</v>
      </c>
      <c r="R125" s="13">
        <v>0</v>
      </c>
      <c r="S125" s="13">
        <v>0</v>
      </c>
      <c r="T125" s="13">
        <v>0</v>
      </c>
      <c r="U125" s="13">
        <v>5717</v>
      </c>
      <c r="V125" s="69">
        <v>4377</v>
      </c>
    </row>
    <row r="126" spans="1:22" x14ac:dyDescent="0.25">
      <c r="A126" s="27" t="s">
        <v>848</v>
      </c>
      <c r="B126" s="27" t="s">
        <v>872</v>
      </c>
      <c r="C126" s="27" t="s">
        <v>172</v>
      </c>
      <c r="D126" s="32">
        <f>8648+4407</f>
        <v>13055</v>
      </c>
      <c r="E126" s="32">
        <f>6+9+83+154</f>
        <v>252</v>
      </c>
      <c r="F126" s="32">
        <v>0</v>
      </c>
      <c r="G126" s="32">
        <v>0</v>
      </c>
      <c r="H126" s="32">
        <v>0</v>
      </c>
      <c r="I126" s="32">
        <v>4809</v>
      </c>
      <c r="J126" s="32">
        <v>2211</v>
      </c>
      <c r="M126" s="65" t="s">
        <v>848</v>
      </c>
      <c r="N126" s="66" t="s">
        <v>872</v>
      </c>
      <c r="O126" s="66" t="s">
        <v>172</v>
      </c>
      <c r="P126" s="66">
        <v>13055</v>
      </c>
      <c r="Q126" s="66">
        <v>252</v>
      </c>
      <c r="R126" s="66">
        <v>0</v>
      </c>
      <c r="S126" s="66">
        <v>0</v>
      </c>
      <c r="T126" s="66">
        <v>0</v>
      </c>
      <c r="U126" s="66">
        <v>4809</v>
      </c>
      <c r="V126" s="67">
        <v>2211</v>
      </c>
    </row>
    <row r="127" spans="1:22" x14ac:dyDescent="0.25">
      <c r="A127" s="27" t="s">
        <v>801</v>
      </c>
      <c r="B127" s="27" t="s">
        <v>872</v>
      </c>
      <c r="C127" s="27" t="s">
        <v>173</v>
      </c>
      <c r="D127" s="32">
        <f>47045+1+1+5534+7+1+3+4+32387</f>
        <v>84983</v>
      </c>
      <c r="E127" s="32">
        <f>270+4+1+7+1533+17+47</f>
        <v>1879</v>
      </c>
      <c r="F127" s="32">
        <v>0</v>
      </c>
      <c r="G127" s="32">
        <v>0</v>
      </c>
      <c r="H127" s="32">
        <v>0</v>
      </c>
      <c r="I127" s="32">
        <v>66649</v>
      </c>
      <c r="J127" s="32">
        <v>31608</v>
      </c>
      <c r="M127" s="68" t="s">
        <v>801</v>
      </c>
      <c r="N127" s="13" t="s">
        <v>872</v>
      </c>
      <c r="O127" s="13" t="s">
        <v>173</v>
      </c>
      <c r="P127" s="13">
        <v>84983</v>
      </c>
      <c r="Q127" s="13">
        <v>1879</v>
      </c>
      <c r="R127" s="13">
        <v>0</v>
      </c>
      <c r="S127" s="13">
        <v>0</v>
      </c>
      <c r="T127" s="13">
        <v>0</v>
      </c>
      <c r="U127" s="13">
        <v>66649</v>
      </c>
      <c r="V127" s="69">
        <v>31608</v>
      </c>
    </row>
    <row r="128" spans="1:22" x14ac:dyDescent="0.25">
      <c r="A128" s="27" t="s">
        <v>864</v>
      </c>
      <c r="B128" s="27" t="s">
        <v>872</v>
      </c>
      <c r="C128" s="27" t="s">
        <v>174</v>
      </c>
      <c r="D128" s="32">
        <f>23160+3+70+6+7890+2</f>
        <v>31131</v>
      </c>
      <c r="E128" s="32">
        <f>25+26+35+18</f>
        <v>104</v>
      </c>
      <c r="F128" s="32">
        <v>0</v>
      </c>
      <c r="G128" s="32">
        <v>0</v>
      </c>
      <c r="H128" s="32">
        <v>0</v>
      </c>
      <c r="I128" s="32">
        <v>24419</v>
      </c>
      <c r="J128" s="32">
        <v>6508</v>
      </c>
      <c r="M128" s="65" t="s">
        <v>864</v>
      </c>
      <c r="N128" s="66" t="s">
        <v>872</v>
      </c>
      <c r="O128" s="66" t="s">
        <v>174</v>
      </c>
      <c r="P128" s="66">
        <v>31131</v>
      </c>
      <c r="Q128" s="66">
        <v>104</v>
      </c>
      <c r="R128" s="66">
        <v>0</v>
      </c>
      <c r="S128" s="66">
        <v>0</v>
      </c>
      <c r="T128" s="66">
        <v>0</v>
      </c>
      <c r="U128" s="66">
        <v>24419</v>
      </c>
      <c r="V128" s="67">
        <v>6508</v>
      </c>
    </row>
    <row r="129" spans="1:22" x14ac:dyDescent="0.25">
      <c r="A129" s="27" t="s">
        <v>226</v>
      </c>
      <c r="B129" s="27" t="s">
        <v>872</v>
      </c>
      <c r="C129" s="27" t="s">
        <v>175</v>
      </c>
      <c r="D129" s="32">
        <f>4099+24+18+1244</f>
        <v>5385</v>
      </c>
      <c r="E129" s="32">
        <v>344</v>
      </c>
      <c r="F129" s="32">
        <v>0</v>
      </c>
      <c r="G129" s="32">
        <v>0</v>
      </c>
      <c r="H129" s="32">
        <v>0</v>
      </c>
      <c r="I129" s="32">
        <v>1958</v>
      </c>
      <c r="J129" s="32">
        <v>1051</v>
      </c>
      <c r="M129" s="68" t="s">
        <v>226</v>
      </c>
      <c r="N129" s="13" t="s">
        <v>872</v>
      </c>
      <c r="O129" s="13" t="s">
        <v>175</v>
      </c>
      <c r="P129" s="13">
        <v>5385</v>
      </c>
      <c r="Q129" s="13">
        <v>344</v>
      </c>
      <c r="R129" s="13">
        <v>0</v>
      </c>
      <c r="S129" s="13">
        <v>0</v>
      </c>
      <c r="T129" s="13">
        <v>0</v>
      </c>
      <c r="U129" s="13">
        <v>1958</v>
      </c>
      <c r="V129" s="69">
        <v>1051</v>
      </c>
    </row>
    <row r="130" spans="1:22" x14ac:dyDescent="0.25">
      <c r="A130" s="27" t="s">
        <v>794</v>
      </c>
      <c r="B130" s="27" t="s">
        <v>872</v>
      </c>
      <c r="C130" s="27" t="s">
        <v>176</v>
      </c>
      <c r="D130" s="32">
        <f>104129+347+12+11155</f>
        <v>115643</v>
      </c>
      <c r="E130" s="32">
        <f>107+3+11+4</f>
        <v>125</v>
      </c>
      <c r="F130" s="32">
        <v>0</v>
      </c>
      <c r="G130" s="32">
        <v>0</v>
      </c>
      <c r="H130" s="32">
        <v>0</v>
      </c>
      <c r="I130" s="32">
        <v>27690</v>
      </c>
      <c r="J130" s="32">
        <v>9118</v>
      </c>
      <c r="M130" s="65" t="s">
        <v>794</v>
      </c>
      <c r="N130" s="66" t="s">
        <v>872</v>
      </c>
      <c r="O130" s="66" t="s">
        <v>176</v>
      </c>
      <c r="P130" s="66">
        <v>115643</v>
      </c>
      <c r="Q130" s="66">
        <v>125</v>
      </c>
      <c r="R130" s="66">
        <v>0</v>
      </c>
      <c r="S130" s="66">
        <v>0</v>
      </c>
      <c r="T130" s="66">
        <v>0</v>
      </c>
      <c r="U130" s="66">
        <v>27690</v>
      </c>
      <c r="V130" s="67">
        <v>9118</v>
      </c>
    </row>
    <row r="131" spans="1:22" x14ac:dyDescent="0.25">
      <c r="A131" s="27" t="s">
        <v>248</v>
      </c>
      <c r="B131" s="27" t="s">
        <v>872</v>
      </c>
      <c r="C131" s="27" t="s">
        <v>177</v>
      </c>
      <c r="D131" s="32">
        <f>23169+3+1+12+2+19+5+64+12731</f>
        <v>36006</v>
      </c>
      <c r="E131" s="32">
        <f>25+2+14+107+61</f>
        <v>209</v>
      </c>
      <c r="F131" s="32">
        <v>0</v>
      </c>
      <c r="G131" s="32">
        <v>0</v>
      </c>
      <c r="H131" s="32">
        <v>0</v>
      </c>
      <c r="I131" s="32">
        <v>37481</v>
      </c>
      <c r="J131" s="32">
        <v>9467</v>
      </c>
      <c r="M131" s="68" t="s">
        <v>248</v>
      </c>
      <c r="N131" s="13" t="s">
        <v>872</v>
      </c>
      <c r="O131" s="13" t="s">
        <v>177</v>
      </c>
      <c r="P131" s="13">
        <v>36006</v>
      </c>
      <c r="Q131" s="13">
        <v>209</v>
      </c>
      <c r="R131" s="13">
        <v>0</v>
      </c>
      <c r="S131" s="13">
        <v>0</v>
      </c>
      <c r="T131" s="13">
        <v>0</v>
      </c>
      <c r="U131" s="13">
        <v>37481</v>
      </c>
      <c r="V131" s="69">
        <v>9467</v>
      </c>
    </row>
    <row r="132" spans="1:22" x14ac:dyDescent="0.25">
      <c r="A132" s="27" t="s">
        <v>83</v>
      </c>
      <c r="B132" s="27" t="s">
        <v>872</v>
      </c>
      <c r="C132" s="27" t="s">
        <v>178</v>
      </c>
      <c r="D132" s="32">
        <f>57650+168+34+2+1+12985</f>
        <v>70840</v>
      </c>
      <c r="E132" s="32">
        <f>612+26+41</f>
        <v>679</v>
      </c>
      <c r="F132" s="32">
        <v>0</v>
      </c>
      <c r="G132" s="32">
        <v>0</v>
      </c>
      <c r="H132" s="32">
        <v>0</v>
      </c>
      <c r="I132" s="32">
        <v>84922</v>
      </c>
      <c r="J132" s="32">
        <v>11882</v>
      </c>
      <c r="M132" s="65" t="s">
        <v>83</v>
      </c>
      <c r="N132" s="66" t="s">
        <v>872</v>
      </c>
      <c r="O132" s="66" t="s">
        <v>178</v>
      </c>
      <c r="P132" s="66">
        <v>70840</v>
      </c>
      <c r="Q132" s="66">
        <v>679</v>
      </c>
      <c r="R132" s="66">
        <v>0</v>
      </c>
      <c r="S132" s="66">
        <v>0</v>
      </c>
      <c r="T132" s="66">
        <v>0</v>
      </c>
      <c r="U132" s="66">
        <v>84922</v>
      </c>
      <c r="V132" s="67">
        <v>11882</v>
      </c>
    </row>
    <row r="133" spans="1:22" x14ac:dyDescent="0.25">
      <c r="A133" s="27" t="s">
        <v>823</v>
      </c>
      <c r="B133" s="27" t="s">
        <v>872</v>
      </c>
      <c r="C133" s="27" t="s">
        <v>179</v>
      </c>
      <c r="D133" s="32">
        <f>47114+92+3138+1+1+30735+1658</f>
        <v>82739</v>
      </c>
      <c r="E133" s="32">
        <f>156+1+45+4+97+468+180</f>
        <v>951</v>
      </c>
      <c r="F133" s="32">
        <v>0</v>
      </c>
      <c r="G133" s="32">
        <v>0</v>
      </c>
      <c r="H133" s="32">
        <v>0</v>
      </c>
      <c r="I133" s="32">
        <v>15296</v>
      </c>
      <c r="J133" s="32">
        <v>28502</v>
      </c>
      <c r="M133" s="68" t="s">
        <v>823</v>
      </c>
      <c r="N133" s="13" t="s">
        <v>872</v>
      </c>
      <c r="O133" s="13" t="s">
        <v>179</v>
      </c>
      <c r="P133" s="13">
        <v>82739</v>
      </c>
      <c r="Q133" s="13">
        <v>951</v>
      </c>
      <c r="R133" s="13">
        <v>0</v>
      </c>
      <c r="S133" s="13">
        <v>0</v>
      </c>
      <c r="T133" s="13">
        <v>0</v>
      </c>
      <c r="U133" s="13">
        <v>15296</v>
      </c>
      <c r="V133" s="69">
        <v>28502</v>
      </c>
    </row>
    <row r="134" spans="1:22" x14ac:dyDescent="0.25">
      <c r="A134" s="27" t="s">
        <v>795</v>
      </c>
      <c r="B134" s="27" t="s">
        <v>872</v>
      </c>
      <c r="C134" s="27" t="s">
        <v>180</v>
      </c>
      <c r="D134" s="32">
        <f>94265+16+51464</f>
        <v>145745</v>
      </c>
      <c r="E134" s="32">
        <f>24+69</f>
        <v>93</v>
      </c>
      <c r="F134" s="32">
        <v>0</v>
      </c>
      <c r="G134" s="32">
        <v>0</v>
      </c>
      <c r="H134" s="32">
        <v>0</v>
      </c>
      <c r="I134" s="32">
        <v>77318</v>
      </c>
      <c r="J134" s="32">
        <v>48280</v>
      </c>
      <c r="M134" s="65" t="s">
        <v>795</v>
      </c>
      <c r="N134" s="66" t="s">
        <v>872</v>
      </c>
      <c r="O134" s="66" t="s">
        <v>180</v>
      </c>
      <c r="P134" s="66">
        <v>145745</v>
      </c>
      <c r="Q134" s="66">
        <v>93</v>
      </c>
      <c r="R134" s="66">
        <v>0</v>
      </c>
      <c r="S134" s="66">
        <v>0</v>
      </c>
      <c r="T134" s="66">
        <v>0</v>
      </c>
      <c r="U134" s="66">
        <v>77318</v>
      </c>
      <c r="V134" s="67">
        <v>48280</v>
      </c>
    </row>
    <row r="135" spans="1:22" x14ac:dyDescent="0.25">
      <c r="A135" s="27" t="s">
        <v>791</v>
      </c>
      <c r="B135" s="27" t="s">
        <v>872</v>
      </c>
      <c r="C135" s="27" t="s">
        <v>181</v>
      </c>
      <c r="D135" s="32">
        <f>5461+61+4+1+8+55+8353+1</f>
        <v>13944</v>
      </c>
      <c r="E135" s="32">
        <f>5+465+81+2</f>
        <v>553</v>
      </c>
      <c r="F135" s="32">
        <v>0</v>
      </c>
      <c r="G135" s="32">
        <v>0</v>
      </c>
      <c r="H135" s="32">
        <v>0</v>
      </c>
      <c r="I135" s="32">
        <v>19417</v>
      </c>
      <c r="J135" s="32">
        <v>4047</v>
      </c>
      <c r="M135" s="68" t="s">
        <v>791</v>
      </c>
      <c r="N135" s="13" t="s">
        <v>872</v>
      </c>
      <c r="O135" s="13" t="s">
        <v>181</v>
      </c>
      <c r="P135" s="13">
        <v>13944</v>
      </c>
      <c r="Q135" s="13">
        <v>553</v>
      </c>
      <c r="R135" s="13">
        <v>0</v>
      </c>
      <c r="S135" s="13">
        <v>0</v>
      </c>
      <c r="T135" s="13">
        <v>0</v>
      </c>
      <c r="U135" s="13">
        <v>19417</v>
      </c>
      <c r="V135" s="69">
        <v>4047</v>
      </c>
    </row>
    <row r="136" spans="1:22" x14ac:dyDescent="0.25">
      <c r="A136" s="27" t="s">
        <v>83</v>
      </c>
      <c r="B136" s="27" t="s">
        <v>872</v>
      </c>
      <c r="C136" s="27" t="s">
        <v>182</v>
      </c>
      <c r="D136" s="32">
        <f>26677+9916</f>
        <v>36593</v>
      </c>
      <c r="E136" s="32">
        <f>76+5</f>
        <v>81</v>
      </c>
      <c r="F136" s="32">
        <v>0</v>
      </c>
      <c r="G136" s="32">
        <v>0</v>
      </c>
      <c r="H136" s="32">
        <v>0</v>
      </c>
      <c r="I136" s="32">
        <v>5419</v>
      </c>
      <c r="J136" s="32">
        <v>9539</v>
      </c>
      <c r="M136" s="65" t="s">
        <v>83</v>
      </c>
      <c r="N136" s="66" t="s">
        <v>872</v>
      </c>
      <c r="O136" s="66" t="s">
        <v>182</v>
      </c>
      <c r="P136" s="66">
        <v>36593</v>
      </c>
      <c r="Q136" s="66">
        <v>81</v>
      </c>
      <c r="R136" s="66">
        <v>0</v>
      </c>
      <c r="S136" s="66">
        <v>0</v>
      </c>
      <c r="T136" s="66">
        <v>0</v>
      </c>
      <c r="U136" s="66">
        <v>5419</v>
      </c>
      <c r="V136" s="67">
        <v>9539</v>
      </c>
    </row>
    <row r="137" spans="1:22" x14ac:dyDescent="0.25">
      <c r="A137" s="27" t="s">
        <v>803</v>
      </c>
      <c r="B137" s="27" t="s">
        <v>872</v>
      </c>
      <c r="C137" s="27" t="s">
        <v>183</v>
      </c>
      <c r="D137" s="32"/>
      <c r="E137" s="32"/>
      <c r="F137" s="32"/>
      <c r="G137" s="32"/>
      <c r="H137" s="32"/>
      <c r="I137" s="32"/>
      <c r="J137" s="32"/>
      <c r="M137" s="68" t="s">
        <v>803</v>
      </c>
      <c r="N137" s="13" t="s">
        <v>872</v>
      </c>
      <c r="O137" s="13" t="s">
        <v>183</v>
      </c>
      <c r="P137" s="13"/>
      <c r="Q137" s="13"/>
      <c r="R137" s="13"/>
      <c r="S137" s="13"/>
      <c r="T137" s="13"/>
      <c r="U137" s="13"/>
      <c r="V137" s="69"/>
    </row>
    <row r="138" spans="1:22" x14ac:dyDescent="0.25">
      <c r="A138" s="27" t="s">
        <v>67</v>
      </c>
      <c r="B138" s="27" t="s">
        <v>872</v>
      </c>
      <c r="C138" s="27" t="s">
        <v>184</v>
      </c>
      <c r="D138" s="32">
        <f>57090+2+1763+11+17+11839+156+9</f>
        <v>70887</v>
      </c>
      <c r="E138" s="32">
        <f>181+84+40+9+19</f>
        <v>333</v>
      </c>
      <c r="F138" s="32">
        <v>0</v>
      </c>
      <c r="G138" s="32">
        <v>0</v>
      </c>
      <c r="H138" s="32">
        <v>0</v>
      </c>
      <c r="I138" s="32">
        <v>72636</v>
      </c>
      <c r="J138" s="32">
        <v>10108</v>
      </c>
      <c r="M138" s="65" t="s">
        <v>67</v>
      </c>
      <c r="N138" s="66" t="s">
        <v>872</v>
      </c>
      <c r="O138" s="66" t="s">
        <v>184</v>
      </c>
      <c r="P138" s="66">
        <v>70887</v>
      </c>
      <c r="Q138" s="66">
        <v>333</v>
      </c>
      <c r="R138" s="66">
        <v>0</v>
      </c>
      <c r="S138" s="66">
        <v>0</v>
      </c>
      <c r="T138" s="66">
        <v>0</v>
      </c>
      <c r="U138" s="66">
        <v>72636</v>
      </c>
      <c r="V138" s="67">
        <v>10108</v>
      </c>
    </row>
    <row r="139" spans="1:22" x14ac:dyDescent="0.25">
      <c r="A139" s="27" t="s">
        <v>865</v>
      </c>
      <c r="B139" s="27" t="s">
        <v>872</v>
      </c>
      <c r="C139" s="27" t="s">
        <v>186</v>
      </c>
      <c r="D139" s="32">
        <f>17501+1+1+7+12+12204</f>
        <v>29726</v>
      </c>
      <c r="E139" s="32">
        <f>11+1+14+4+16</f>
        <v>46</v>
      </c>
      <c r="F139" s="32">
        <v>0</v>
      </c>
      <c r="G139" s="32">
        <v>0</v>
      </c>
      <c r="H139" s="32">
        <v>0</v>
      </c>
      <c r="I139" s="32">
        <v>40434</v>
      </c>
      <c r="J139" s="32">
        <v>7138</v>
      </c>
      <c r="M139" s="68" t="s">
        <v>865</v>
      </c>
      <c r="N139" s="13" t="s">
        <v>872</v>
      </c>
      <c r="O139" s="13" t="s">
        <v>186</v>
      </c>
      <c r="P139" s="13">
        <v>29726</v>
      </c>
      <c r="Q139" s="13">
        <v>46</v>
      </c>
      <c r="R139" s="13">
        <v>0</v>
      </c>
      <c r="S139" s="13">
        <v>0</v>
      </c>
      <c r="T139" s="13">
        <v>0</v>
      </c>
      <c r="U139" s="13">
        <v>40434</v>
      </c>
      <c r="V139" s="69">
        <v>7138</v>
      </c>
    </row>
    <row r="140" spans="1:22" x14ac:dyDescent="0.25">
      <c r="A140" s="27" t="s">
        <v>512</v>
      </c>
      <c r="B140" s="27" t="s">
        <v>872</v>
      </c>
      <c r="C140" s="27" t="s">
        <v>187</v>
      </c>
      <c r="D140" s="32">
        <f>35541+1+3+512+29+77+8039</f>
        <v>44202</v>
      </c>
      <c r="E140" s="32">
        <f>1+5+5+2</f>
        <v>13</v>
      </c>
      <c r="F140" s="32">
        <v>0</v>
      </c>
      <c r="G140" s="32">
        <v>0</v>
      </c>
      <c r="H140" s="32">
        <v>0</v>
      </c>
      <c r="I140" s="32">
        <v>18943</v>
      </c>
      <c r="J140" s="32">
        <v>6780</v>
      </c>
      <c r="M140" s="65" t="s">
        <v>512</v>
      </c>
      <c r="N140" s="66" t="s">
        <v>872</v>
      </c>
      <c r="O140" s="66" t="s">
        <v>187</v>
      </c>
      <c r="P140" s="66">
        <v>44202</v>
      </c>
      <c r="Q140" s="66">
        <v>13</v>
      </c>
      <c r="R140" s="66">
        <v>0</v>
      </c>
      <c r="S140" s="66">
        <v>0</v>
      </c>
      <c r="T140" s="66">
        <v>0</v>
      </c>
      <c r="U140" s="66">
        <v>18943</v>
      </c>
      <c r="V140" s="67">
        <v>6780</v>
      </c>
    </row>
    <row r="141" spans="1:22" x14ac:dyDescent="0.25">
      <c r="A141" s="27" t="s">
        <v>824</v>
      </c>
      <c r="B141" s="27" t="s">
        <v>872</v>
      </c>
      <c r="C141" s="27" t="s">
        <v>189</v>
      </c>
      <c r="D141" s="32">
        <f>45325+8+1082+45+3+12+53+11236</f>
        <v>57764</v>
      </c>
      <c r="E141" s="32">
        <f>2+119+40</f>
        <v>161</v>
      </c>
      <c r="F141" s="32">
        <v>0</v>
      </c>
      <c r="G141" s="32">
        <v>0</v>
      </c>
      <c r="H141" s="32">
        <v>0</v>
      </c>
      <c r="I141" s="32">
        <v>9861</v>
      </c>
      <c r="J141" s="32">
        <v>8126</v>
      </c>
      <c r="M141" s="68" t="s">
        <v>824</v>
      </c>
      <c r="N141" s="13" t="s">
        <v>872</v>
      </c>
      <c r="O141" s="13" t="s">
        <v>189</v>
      </c>
      <c r="P141" s="13">
        <v>57764</v>
      </c>
      <c r="Q141" s="13">
        <v>161</v>
      </c>
      <c r="R141" s="13">
        <v>0</v>
      </c>
      <c r="S141" s="13">
        <v>0</v>
      </c>
      <c r="T141" s="13">
        <v>0</v>
      </c>
      <c r="U141" s="13">
        <v>9861</v>
      </c>
      <c r="V141" s="69">
        <v>8126</v>
      </c>
    </row>
    <row r="142" spans="1:22" x14ac:dyDescent="0.25">
      <c r="A142" s="27" t="s">
        <v>83</v>
      </c>
      <c r="B142" s="27" t="s">
        <v>872</v>
      </c>
      <c r="C142" s="27" t="s">
        <v>190</v>
      </c>
      <c r="D142" s="32">
        <f>32242+106+1+12+1798</f>
        <v>34159</v>
      </c>
      <c r="E142" s="32">
        <f>105+8+18</f>
        <v>131</v>
      </c>
      <c r="F142" s="32">
        <v>0</v>
      </c>
      <c r="G142" s="32">
        <v>0</v>
      </c>
      <c r="H142" s="32">
        <v>0</v>
      </c>
      <c r="I142" s="32">
        <v>3696</v>
      </c>
      <c r="J142" s="32">
        <v>1897</v>
      </c>
      <c r="M142" s="65" t="s">
        <v>83</v>
      </c>
      <c r="N142" s="66" t="s">
        <v>872</v>
      </c>
      <c r="O142" s="66" t="s">
        <v>190</v>
      </c>
      <c r="P142" s="66">
        <v>34159</v>
      </c>
      <c r="Q142" s="66">
        <v>131</v>
      </c>
      <c r="R142" s="66">
        <v>0</v>
      </c>
      <c r="S142" s="66">
        <v>0</v>
      </c>
      <c r="T142" s="66">
        <v>0</v>
      </c>
      <c r="U142" s="66">
        <v>3696</v>
      </c>
      <c r="V142" s="67">
        <v>1897</v>
      </c>
    </row>
    <row r="143" spans="1:22" x14ac:dyDescent="0.25">
      <c r="A143" s="27" t="s">
        <v>76</v>
      </c>
      <c r="B143" s="27" t="s">
        <v>872</v>
      </c>
      <c r="C143" s="27" t="s">
        <v>191</v>
      </c>
      <c r="D143" s="32">
        <f>74328+137+29123</f>
        <v>103588</v>
      </c>
      <c r="E143" s="32">
        <f>8+1+2539+257+4</f>
        <v>2809</v>
      </c>
      <c r="F143" s="32">
        <v>0</v>
      </c>
      <c r="G143" s="32">
        <v>0</v>
      </c>
      <c r="H143" s="32">
        <v>0</v>
      </c>
      <c r="I143" s="32">
        <v>5586</v>
      </c>
      <c r="J143" s="32">
        <v>21038</v>
      </c>
      <c r="M143" s="68" t="s">
        <v>76</v>
      </c>
      <c r="N143" s="13" t="s">
        <v>872</v>
      </c>
      <c r="O143" s="13" t="s">
        <v>191</v>
      </c>
      <c r="P143" s="13">
        <v>103588</v>
      </c>
      <c r="Q143" s="13">
        <v>2809</v>
      </c>
      <c r="R143" s="13">
        <v>0</v>
      </c>
      <c r="S143" s="13">
        <v>0</v>
      </c>
      <c r="T143" s="13">
        <v>0</v>
      </c>
      <c r="U143" s="13">
        <v>5586</v>
      </c>
      <c r="V143" s="69">
        <v>21038</v>
      </c>
    </row>
    <row r="144" spans="1:22" x14ac:dyDescent="0.25">
      <c r="A144" s="27" t="s">
        <v>101</v>
      </c>
      <c r="B144" s="27" t="s">
        <v>872</v>
      </c>
      <c r="C144" s="27" t="s">
        <v>192</v>
      </c>
      <c r="D144" s="32">
        <f>60268+98+8+12462</f>
        <v>72836</v>
      </c>
      <c r="E144" s="32">
        <f>402+13+15</f>
        <v>430</v>
      </c>
      <c r="F144" s="32">
        <v>0</v>
      </c>
      <c r="G144" s="32">
        <v>0</v>
      </c>
      <c r="H144" s="32">
        <v>0</v>
      </c>
      <c r="I144" s="32">
        <v>90659</v>
      </c>
      <c r="J144" s="32">
        <v>9639</v>
      </c>
      <c r="M144" s="65" t="s">
        <v>101</v>
      </c>
      <c r="N144" s="66" t="s">
        <v>872</v>
      </c>
      <c r="O144" s="66" t="s">
        <v>192</v>
      </c>
      <c r="P144" s="66">
        <v>72836</v>
      </c>
      <c r="Q144" s="66">
        <v>430</v>
      </c>
      <c r="R144" s="66">
        <v>0</v>
      </c>
      <c r="S144" s="66">
        <v>0</v>
      </c>
      <c r="T144" s="66">
        <v>0</v>
      </c>
      <c r="U144" s="66">
        <v>90659</v>
      </c>
      <c r="V144" s="67">
        <v>9639</v>
      </c>
    </row>
    <row r="145" spans="1:22" x14ac:dyDescent="0.25">
      <c r="A145" s="27" t="s">
        <v>831</v>
      </c>
      <c r="B145" s="27" t="s">
        <v>872</v>
      </c>
      <c r="C145" s="27" t="s">
        <v>193</v>
      </c>
      <c r="D145" s="32">
        <f>2504+525</f>
        <v>3029</v>
      </c>
      <c r="E145" s="32">
        <v>0</v>
      </c>
      <c r="F145" s="32">
        <v>0</v>
      </c>
      <c r="G145" s="32">
        <v>0</v>
      </c>
      <c r="H145" s="32">
        <v>0</v>
      </c>
      <c r="I145" s="32">
        <v>1479</v>
      </c>
      <c r="J145" s="32">
        <v>396</v>
      </c>
      <c r="M145" s="68" t="s">
        <v>831</v>
      </c>
      <c r="N145" s="13" t="s">
        <v>872</v>
      </c>
      <c r="O145" s="13" t="s">
        <v>193</v>
      </c>
      <c r="P145" s="13">
        <v>3029</v>
      </c>
      <c r="Q145" s="13">
        <v>0</v>
      </c>
      <c r="R145" s="13">
        <v>0</v>
      </c>
      <c r="S145" s="13">
        <v>0</v>
      </c>
      <c r="T145" s="13">
        <v>0</v>
      </c>
      <c r="U145" s="13">
        <v>1479</v>
      </c>
      <c r="V145" s="69">
        <v>396</v>
      </c>
    </row>
    <row r="146" spans="1:22" x14ac:dyDescent="0.25">
      <c r="A146" s="27" t="s">
        <v>811</v>
      </c>
      <c r="B146" s="27" t="s">
        <v>872</v>
      </c>
      <c r="C146" s="27" t="s">
        <v>194</v>
      </c>
      <c r="D146" s="32">
        <f>120855+95+2+7+17390</f>
        <v>138349</v>
      </c>
      <c r="E146" s="32">
        <f>589+274+220+4</f>
        <v>1087</v>
      </c>
      <c r="F146" s="32">
        <v>0</v>
      </c>
      <c r="G146" s="32">
        <v>0</v>
      </c>
      <c r="H146" s="32">
        <v>0</v>
      </c>
      <c r="I146" s="32">
        <v>3565</v>
      </c>
      <c r="J146" s="32">
        <v>13266</v>
      </c>
      <c r="M146" s="65" t="s">
        <v>811</v>
      </c>
      <c r="N146" s="66" t="s">
        <v>872</v>
      </c>
      <c r="O146" s="66" t="s">
        <v>194</v>
      </c>
      <c r="P146" s="66">
        <v>138349</v>
      </c>
      <c r="Q146" s="66">
        <v>1087</v>
      </c>
      <c r="R146" s="66">
        <v>0</v>
      </c>
      <c r="S146" s="66">
        <v>0</v>
      </c>
      <c r="T146" s="66">
        <v>0</v>
      </c>
      <c r="U146" s="66">
        <v>3565</v>
      </c>
      <c r="V146" s="67">
        <v>13266</v>
      </c>
    </row>
    <row r="147" spans="1:22" x14ac:dyDescent="0.25">
      <c r="A147" s="27" t="s">
        <v>76</v>
      </c>
      <c r="B147" s="27" t="s">
        <v>872</v>
      </c>
      <c r="C147" s="27" t="s">
        <v>195</v>
      </c>
      <c r="D147" s="32">
        <f>71212+45+8+56+21441</f>
        <v>92762</v>
      </c>
      <c r="E147" s="32">
        <f>354+26+147+582+21</f>
        <v>1130</v>
      </c>
      <c r="F147" s="32">
        <v>0</v>
      </c>
      <c r="G147" s="32">
        <v>0</v>
      </c>
      <c r="H147" s="32">
        <v>0</v>
      </c>
      <c r="I147" s="32">
        <v>66198</v>
      </c>
      <c r="J147" s="32">
        <v>18636</v>
      </c>
      <c r="M147" s="68" t="s">
        <v>76</v>
      </c>
      <c r="N147" s="13" t="s">
        <v>872</v>
      </c>
      <c r="O147" s="13" t="s">
        <v>195</v>
      </c>
      <c r="P147" s="13">
        <v>92762</v>
      </c>
      <c r="Q147" s="13">
        <v>1130</v>
      </c>
      <c r="R147" s="13">
        <v>0</v>
      </c>
      <c r="S147" s="13">
        <v>0</v>
      </c>
      <c r="T147" s="13">
        <v>0</v>
      </c>
      <c r="U147" s="13">
        <v>66198</v>
      </c>
      <c r="V147" s="69">
        <v>18636</v>
      </c>
    </row>
    <row r="148" spans="1:22" x14ac:dyDescent="0.25">
      <c r="A148" s="27" t="s">
        <v>788</v>
      </c>
      <c r="B148" s="27" t="s">
        <v>872</v>
      </c>
      <c r="C148" s="27" t="s">
        <v>196</v>
      </c>
      <c r="D148" s="32">
        <f>34475+343+5+13+1+30662</f>
        <v>65499</v>
      </c>
      <c r="E148" s="32">
        <f>34+2+323+526</f>
        <v>885</v>
      </c>
      <c r="F148" s="32">
        <v>0</v>
      </c>
      <c r="G148" s="32">
        <v>0</v>
      </c>
      <c r="H148" s="32">
        <v>0</v>
      </c>
      <c r="I148" s="32">
        <v>113227</v>
      </c>
      <c r="J148" s="32">
        <v>25881</v>
      </c>
      <c r="M148" s="65" t="s">
        <v>788</v>
      </c>
      <c r="N148" s="66" t="s">
        <v>872</v>
      </c>
      <c r="O148" s="66" t="s">
        <v>196</v>
      </c>
      <c r="P148" s="66">
        <v>65499</v>
      </c>
      <c r="Q148" s="66">
        <v>885</v>
      </c>
      <c r="R148" s="66">
        <v>0</v>
      </c>
      <c r="S148" s="66">
        <v>0</v>
      </c>
      <c r="T148" s="66">
        <v>0</v>
      </c>
      <c r="U148" s="66">
        <v>113227</v>
      </c>
      <c r="V148" s="67">
        <v>25881</v>
      </c>
    </row>
    <row r="149" spans="1:22" x14ac:dyDescent="0.25">
      <c r="A149" s="27" t="s">
        <v>817</v>
      </c>
      <c r="B149" s="27" t="s">
        <v>872</v>
      </c>
      <c r="C149" s="27" t="s">
        <v>197</v>
      </c>
      <c r="D149" s="32">
        <f>8213+2+30+43+29669</f>
        <v>37957</v>
      </c>
      <c r="E149" s="32">
        <f>17+5+25+101</f>
        <v>148</v>
      </c>
      <c r="F149" s="32">
        <v>0</v>
      </c>
      <c r="G149" s="32">
        <v>0</v>
      </c>
      <c r="H149" s="32">
        <v>0</v>
      </c>
      <c r="I149" s="32">
        <v>80727</v>
      </c>
      <c r="J149" s="32">
        <v>26059</v>
      </c>
      <c r="M149" s="68" t="s">
        <v>817</v>
      </c>
      <c r="N149" s="13" t="s">
        <v>872</v>
      </c>
      <c r="O149" s="13" t="s">
        <v>197</v>
      </c>
      <c r="P149" s="13">
        <v>37957</v>
      </c>
      <c r="Q149" s="13">
        <v>148</v>
      </c>
      <c r="R149" s="13">
        <v>0</v>
      </c>
      <c r="S149" s="13">
        <v>0</v>
      </c>
      <c r="T149" s="13">
        <v>0</v>
      </c>
      <c r="U149" s="13">
        <v>80727</v>
      </c>
      <c r="V149" s="69">
        <v>26059</v>
      </c>
    </row>
    <row r="150" spans="1:22" x14ac:dyDescent="0.25">
      <c r="A150" s="27" t="s">
        <v>817</v>
      </c>
      <c r="B150" s="27" t="s">
        <v>872</v>
      </c>
      <c r="C150" s="27" t="s">
        <v>198</v>
      </c>
      <c r="D150" s="32">
        <f>11719+6+1+5+18287</f>
        <v>30018</v>
      </c>
      <c r="E150" s="32">
        <f>48+3+27+533+133</f>
        <v>744</v>
      </c>
      <c r="F150" s="32">
        <v>0</v>
      </c>
      <c r="G150" s="32">
        <v>0</v>
      </c>
      <c r="H150" s="32">
        <v>0</v>
      </c>
      <c r="I150" s="32">
        <v>33091</v>
      </c>
      <c r="J150" s="32">
        <v>18335</v>
      </c>
      <c r="M150" s="65" t="s">
        <v>817</v>
      </c>
      <c r="N150" s="66" t="s">
        <v>872</v>
      </c>
      <c r="O150" s="66" t="s">
        <v>198</v>
      </c>
      <c r="P150" s="66">
        <v>30018</v>
      </c>
      <c r="Q150" s="66">
        <v>744</v>
      </c>
      <c r="R150" s="66">
        <v>0</v>
      </c>
      <c r="S150" s="66">
        <v>0</v>
      </c>
      <c r="T150" s="66">
        <v>0</v>
      </c>
      <c r="U150" s="66">
        <v>33091</v>
      </c>
      <c r="V150" s="67">
        <v>18335</v>
      </c>
    </row>
    <row r="151" spans="1:22" x14ac:dyDescent="0.25">
      <c r="A151" s="27" t="s">
        <v>69</v>
      </c>
      <c r="B151" s="27" t="s">
        <v>872</v>
      </c>
      <c r="C151" s="27" t="s">
        <v>199</v>
      </c>
      <c r="D151" s="32">
        <f>67560+17+2+12+16+1+74+25770</f>
        <v>93452</v>
      </c>
      <c r="E151" s="32">
        <f>16+75+14</f>
        <v>105</v>
      </c>
      <c r="F151" s="32">
        <v>0</v>
      </c>
      <c r="G151" s="32">
        <v>0</v>
      </c>
      <c r="H151" s="32">
        <v>0</v>
      </c>
      <c r="I151" s="32">
        <v>150696</v>
      </c>
      <c r="J151" s="32">
        <v>21165</v>
      </c>
      <c r="M151" s="68" t="s">
        <v>69</v>
      </c>
      <c r="N151" s="13" t="s">
        <v>872</v>
      </c>
      <c r="O151" s="13" t="s">
        <v>199</v>
      </c>
      <c r="P151" s="13">
        <v>93452</v>
      </c>
      <c r="Q151" s="13">
        <v>105</v>
      </c>
      <c r="R151" s="13">
        <v>0</v>
      </c>
      <c r="S151" s="13">
        <v>0</v>
      </c>
      <c r="T151" s="13">
        <v>0</v>
      </c>
      <c r="U151" s="13">
        <v>150696</v>
      </c>
      <c r="V151" s="69">
        <v>21165</v>
      </c>
    </row>
    <row r="152" spans="1:22" x14ac:dyDescent="0.25">
      <c r="A152" s="27" t="s">
        <v>76</v>
      </c>
      <c r="B152" s="27" t="s">
        <v>872</v>
      </c>
      <c r="C152" s="27" t="s">
        <v>200</v>
      </c>
      <c r="D152" s="32">
        <f>30543+331+26+5+11766+21</f>
        <v>42692</v>
      </c>
      <c r="E152" s="32">
        <f>264+2+15+13+4+2</f>
        <v>300</v>
      </c>
      <c r="F152" s="32">
        <v>0</v>
      </c>
      <c r="G152" s="32">
        <v>0</v>
      </c>
      <c r="H152" s="32">
        <v>0</v>
      </c>
      <c r="I152" s="32">
        <v>30026</v>
      </c>
      <c r="J152" s="32">
        <v>9787</v>
      </c>
      <c r="M152" s="65" t="s">
        <v>76</v>
      </c>
      <c r="N152" s="66" t="s">
        <v>872</v>
      </c>
      <c r="O152" s="66" t="s">
        <v>200</v>
      </c>
      <c r="P152" s="66">
        <v>42692</v>
      </c>
      <c r="Q152" s="66">
        <v>300</v>
      </c>
      <c r="R152" s="66">
        <v>0</v>
      </c>
      <c r="S152" s="66">
        <v>0</v>
      </c>
      <c r="T152" s="66">
        <v>0</v>
      </c>
      <c r="U152" s="66">
        <v>30026</v>
      </c>
      <c r="V152" s="67">
        <v>9787</v>
      </c>
    </row>
    <row r="153" spans="1:22" x14ac:dyDescent="0.25">
      <c r="A153" s="27" t="s">
        <v>120</v>
      </c>
      <c r="B153" s="27" t="s">
        <v>872</v>
      </c>
      <c r="C153" s="27" t="s">
        <v>201</v>
      </c>
      <c r="D153" s="32">
        <f>27260+2+764+10222</f>
        <v>38248</v>
      </c>
      <c r="E153" s="32">
        <f>215+193+21</f>
        <v>429</v>
      </c>
      <c r="F153" s="32">
        <v>0</v>
      </c>
      <c r="G153" s="32">
        <v>0</v>
      </c>
      <c r="H153" s="32">
        <v>0</v>
      </c>
      <c r="I153" s="32">
        <v>10115</v>
      </c>
      <c r="J153" s="32">
        <v>5349</v>
      </c>
      <c r="M153" s="68" t="s">
        <v>120</v>
      </c>
      <c r="N153" s="13" t="s">
        <v>872</v>
      </c>
      <c r="O153" s="13" t="s">
        <v>201</v>
      </c>
      <c r="P153" s="13">
        <v>38248</v>
      </c>
      <c r="Q153" s="13">
        <v>429</v>
      </c>
      <c r="R153" s="13">
        <v>0</v>
      </c>
      <c r="S153" s="13">
        <v>0</v>
      </c>
      <c r="T153" s="13">
        <v>0</v>
      </c>
      <c r="U153" s="13">
        <v>10115</v>
      </c>
      <c r="V153" s="69">
        <v>5349</v>
      </c>
    </row>
    <row r="154" spans="1:22" x14ac:dyDescent="0.25">
      <c r="A154" s="27" t="s">
        <v>495</v>
      </c>
      <c r="B154" s="27" t="s">
        <v>872</v>
      </c>
      <c r="C154" s="27" t="s">
        <v>202</v>
      </c>
      <c r="D154" s="32">
        <f>74018+2+42+361+1+476+26793+2+44</f>
        <v>101739</v>
      </c>
      <c r="E154" s="32">
        <f>343+5+2+48+11</f>
        <v>409</v>
      </c>
      <c r="F154" s="32">
        <v>0</v>
      </c>
      <c r="G154" s="32">
        <v>0</v>
      </c>
      <c r="H154" s="32">
        <v>0</v>
      </c>
      <c r="I154" s="32">
        <v>45537</v>
      </c>
      <c r="J154" s="32">
        <v>20389</v>
      </c>
      <c r="M154" s="65" t="s">
        <v>495</v>
      </c>
      <c r="N154" s="66" t="s">
        <v>872</v>
      </c>
      <c r="O154" s="66" t="s">
        <v>202</v>
      </c>
      <c r="P154" s="66">
        <v>101739</v>
      </c>
      <c r="Q154" s="66">
        <v>409</v>
      </c>
      <c r="R154" s="66">
        <v>0</v>
      </c>
      <c r="S154" s="66">
        <v>0</v>
      </c>
      <c r="T154" s="66">
        <v>0</v>
      </c>
      <c r="U154" s="66">
        <v>45537</v>
      </c>
      <c r="V154" s="67">
        <v>20389</v>
      </c>
    </row>
    <row r="155" spans="1:22" x14ac:dyDescent="0.25">
      <c r="A155" s="27" t="s">
        <v>788</v>
      </c>
      <c r="B155" s="27" t="s">
        <v>872</v>
      </c>
      <c r="C155" s="27" t="s">
        <v>203</v>
      </c>
      <c r="D155" s="32">
        <f>59963+9+1+1897+14+2+3+6+11+5+45216+15+30+11</f>
        <v>107183</v>
      </c>
      <c r="E155" s="32">
        <f>139+10+3+9+19+13+10</f>
        <v>203</v>
      </c>
      <c r="F155" s="32">
        <v>0</v>
      </c>
      <c r="G155" s="32">
        <v>0</v>
      </c>
      <c r="H155" s="32">
        <v>0</v>
      </c>
      <c r="I155" s="32">
        <v>32089</v>
      </c>
      <c r="J155" s="32">
        <v>17660</v>
      </c>
      <c r="M155" s="68" t="s">
        <v>788</v>
      </c>
      <c r="N155" s="13" t="s">
        <v>872</v>
      </c>
      <c r="O155" s="13" t="s">
        <v>203</v>
      </c>
      <c r="P155" s="13">
        <v>107183</v>
      </c>
      <c r="Q155" s="13">
        <v>203</v>
      </c>
      <c r="R155" s="13">
        <v>0</v>
      </c>
      <c r="S155" s="13">
        <v>0</v>
      </c>
      <c r="T155" s="13">
        <v>0</v>
      </c>
      <c r="U155" s="13">
        <v>32089</v>
      </c>
      <c r="V155" s="69">
        <v>17660</v>
      </c>
    </row>
    <row r="156" spans="1:22" x14ac:dyDescent="0.25">
      <c r="A156" s="27" t="s">
        <v>72</v>
      </c>
      <c r="B156" s="27" t="s">
        <v>872</v>
      </c>
      <c r="C156" s="27" t="s">
        <v>204</v>
      </c>
      <c r="D156" s="32">
        <f>26383+5+1+64+36+2+28+6455</f>
        <v>32974</v>
      </c>
      <c r="E156" s="32">
        <f>136+10+37</f>
        <v>183</v>
      </c>
      <c r="F156" s="32">
        <v>0</v>
      </c>
      <c r="G156" s="32">
        <v>0</v>
      </c>
      <c r="H156" s="32">
        <v>0</v>
      </c>
      <c r="I156" s="32">
        <v>10189</v>
      </c>
      <c r="J156" s="32">
        <v>4788</v>
      </c>
      <c r="M156" s="65" t="s">
        <v>72</v>
      </c>
      <c r="N156" s="66" t="s">
        <v>872</v>
      </c>
      <c r="O156" s="66" t="s">
        <v>204</v>
      </c>
      <c r="P156" s="66">
        <v>32974</v>
      </c>
      <c r="Q156" s="66">
        <v>183</v>
      </c>
      <c r="R156" s="66">
        <v>0</v>
      </c>
      <c r="S156" s="66">
        <v>0</v>
      </c>
      <c r="T156" s="66">
        <v>0</v>
      </c>
      <c r="U156" s="66">
        <v>10189</v>
      </c>
      <c r="V156" s="67">
        <v>4788</v>
      </c>
    </row>
    <row r="157" spans="1:22" x14ac:dyDescent="0.25">
      <c r="A157" s="27" t="s">
        <v>76</v>
      </c>
      <c r="B157" s="27" t="s">
        <v>873</v>
      </c>
      <c r="C157" s="27" t="s">
        <v>205</v>
      </c>
      <c r="D157" s="32">
        <f>15246+18+58+1+5+33268+2+1+4</f>
        <v>48603</v>
      </c>
      <c r="E157" s="32">
        <f>46+164</f>
        <v>210</v>
      </c>
      <c r="F157" s="32">
        <v>0</v>
      </c>
      <c r="G157" s="32">
        <v>0</v>
      </c>
      <c r="H157" s="32">
        <v>0</v>
      </c>
      <c r="I157" s="32">
        <v>26576</v>
      </c>
      <c r="J157" s="32">
        <v>22691</v>
      </c>
      <c r="M157" s="68" t="s">
        <v>76</v>
      </c>
      <c r="N157" s="13" t="s">
        <v>873</v>
      </c>
      <c r="O157" s="13" t="s">
        <v>205</v>
      </c>
      <c r="P157" s="13">
        <v>48603</v>
      </c>
      <c r="Q157" s="13">
        <v>210</v>
      </c>
      <c r="R157" s="13">
        <v>0</v>
      </c>
      <c r="S157" s="13">
        <v>0</v>
      </c>
      <c r="T157" s="13">
        <v>0</v>
      </c>
      <c r="U157" s="13">
        <v>26576</v>
      </c>
      <c r="V157" s="69">
        <v>22691</v>
      </c>
    </row>
    <row r="158" spans="1:22" x14ac:dyDescent="0.25">
      <c r="A158" s="27" t="s">
        <v>864</v>
      </c>
      <c r="B158" s="27" t="s">
        <v>872</v>
      </c>
      <c r="C158" s="27" t="s">
        <v>206</v>
      </c>
      <c r="D158" s="32">
        <f>23833+284+8+35637+1017</f>
        <v>60779</v>
      </c>
      <c r="E158" s="32">
        <f>3+2+4+9+3</f>
        <v>21</v>
      </c>
      <c r="F158" s="32">
        <v>0</v>
      </c>
      <c r="G158" s="32">
        <v>0</v>
      </c>
      <c r="H158" s="32">
        <v>0</v>
      </c>
      <c r="I158" s="32">
        <v>32666</v>
      </c>
      <c r="J158" s="32">
        <v>34267</v>
      </c>
      <c r="M158" s="65" t="s">
        <v>864</v>
      </c>
      <c r="N158" s="66" t="s">
        <v>872</v>
      </c>
      <c r="O158" s="66" t="s">
        <v>206</v>
      </c>
      <c r="P158" s="66">
        <v>60779</v>
      </c>
      <c r="Q158" s="66">
        <v>21</v>
      </c>
      <c r="R158" s="66">
        <v>0</v>
      </c>
      <c r="S158" s="66">
        <v>0</v>
      </c>
      <c r="T158" s="66">
        <v>0</v>
      </c>
      <c r="U158" s="66">
        <v>32666</v>
      </c>
      <c r="V158" s="67">
        <v>34267</v>
      </c>
    </row>
    <row r="159" spans="1:22" x14ac:dyDescent="0.25">
      <c r="A159" s="27" t="s">
        <v>76</v>
      </c>
      <c r="B159" s="27" t="s">
        <v>872</v>
      </c>
      <c r="C159" s="27" t="s">
        <v>207</v>
      </c>
      <c r="D159" s="32">
        <f>38397+2+11+25561</f>
        <v>63971</v>
      </c>
      <c r="E159" s="32">
        <f>17+2+26+8</f>
        <v>53</v>
      </c>
      <c r="F159" s="32">
        <v>0</v>
      </c>
      <c r="G159" s="32">
        <v>0</v>
      </c>
      <c r="H159" s="32">
        <v>0</v>
      </c>
      <c r="I159" s="32">
        <v>57609</v>
      </c>
      <c r="J159" s="32">
        <v>22765</v>
      </c>
      <c r="M159" s="68" t="s">
        <v>76</v>
      </c>
      <c r="N159" s="13" t="s">
        <v>872</v>
      </c>
      <c r="O159" s="13" t="s">
        <v>207</v>
      </c>
      <c r="P159" s="13">
        <v>63971</v>
      </c>
      <c r="Q159" s="13">
        <v>53</v>
      </c>
      <c r="R159" s="13">
        <v>0</v>
      </c>
      <c r="S159" s="13">
        <v>0</v>
      </c>
      <c r="T159" s="13">
        <v>0</v>
      </c>
      <c r="U159" s="13">
        <v>57609</v>
      </c>
      <c r="V159" s="69">
        <v>22765</v>
      </c>
    </row>
    <row r="160" spans="1:22" x14ac:dyDescent="0.25">
      <c r="A160" s="27" t="s">
        <v>265</v>
      </c>
      <c r="B160" s="27" t="s">
        <v>872</v>
      </c>
      <c r="C160" s="27" t="s">
        <v>208</v>
      </c>
      <c r="D160" s="32">
        <f>18941+6+1+6+4846</f>
        <v>23800</v>
      </c>
      <c r="E160" s="32">
        <v>238</v>
      </c>
      <c r="F160" s="32">
        <v>0</v>
      </c>
      <c r="G160" s="32">
        <v>0</v>
      </c>
      <c r="H160" s="32">
        <v>0</v>
      </c>
      <c r="I160" s="32">
        <v>10821</v>
      </c>
      <c r="J160" s="32">
        <v>4565</v>
      </c>
      <c r="M160" s="65" t="s">
        <v>265</v>
      </c>
      <c r="N160" s="66" t="s">
        <v>872</v>
      </c>
      <c r="O160" s="66" t="s">
        <v>208</v>
      </c>
      <c r="P160" s="66">
        <v>23800</v>
      </c>
      <c r="Q160" s="66">
        <v>238</v>
      </c>
      <c r="R160" s="66">
        <v>0</v>
      </c>
      <c r="S160" s="66">
        <v>0</v>
      </c>
      <c r="T160" s="66">
        <v>0</v>
      </c>
      <c r="U160" s="66">
        <v>10821</v>
      </c>
      <c r="V160" s="67">
        <v>4565</v>
      </c>
    </row>
    <row r="161" spans="1:22" x14ac:dyDescent="0.25">
      <c r="A161" s="27" t="s">
        <v>801</v>
      </c>
      <c r="B161" s="27" t="s">
        <v>872</v>
      </c>
      <c r="C161" s="27" t="s">
        <v>209</v>
      </c>
      <c r="D161" s="32">
        <f>24058+39+14+28202+2</f>
        <v>52315</v>
      </c>
      <c r="E161" s="32">
        <f>139+2+269+6+84</f>
        <v>500</v>
      </c>
      <c r="F161" s="32">
        <v>0</v>
      </c>
      <c r="G161" s="32">
        <v>0</v>
      </c>
      <c r="H161" s="32">
        <v>0</v>
      </c>
      <c r="I161" s="32">
        <v>74373</v>
      </c>
      <c r="J161" s="32">
        <v>26028</v>
      </c>
      <c r="M161" s="68" t="s">
        <v>801</v>
      </c>
      <c r="N161" s="13" t="s">
        <v>872</v>
      </c>
      <c r="O161" s="13" t="s">
        <v>209</v>
      </c>
      <c r="P161" s="13">
        <v>52315</v>
      </c>
      <c r="Q161" s="13">
        <v>500</v>
      </c>
      <c r="R161" s="13">
        <v>0</v>
      </c>
      <c r="S161" s="13">
        <v>0</v>
      </c>
      <c r="T161" s="13">
        <v>0</v>
      </c>
      <c r="U161" s="13">
        <v>74373</v>
      </c>
      <c r="V161" s="69">
        <v>26028</v>
      </c>
    </row>
    <row r="162" spans="1:22" x14ac:dyDescent="0.25">
      <c r="A162" s="27" t="s">
        <v>72</v>
      </c>
      <c r="B162" s="27" t="s">
        <v>872</v>
      </c>
      <c r="C162" s="27" t="s">
        <v>210</v>
      </c>
      <c r="D162" s="32">
        <f>40823+4+69+5+1+17+20719</f>
        <v>61638</v>
      </c>
      <c r="E162" s="32">
        <f>45+9+34+8+12</f>
        <v>108</v>
      </c>
      <c r="F162" s="32">
        <v>0</v>
      </c>
      <c r="G162" s="32">
        <v>0</v>
      </c>
      <c r="H162" s="32">
        <v>0</v>
      </c>
      <c r="I162" s="32">
        <v>43886</v>
      </c>
      <c r="J162" s="32">
        <v>18931</v>
      </c>
      <c r="M162" s="65" t="s">
        <v>72</v>
      </c>
      <c r="N162" s="66" t="s">
        <v>872</v>
      </c>
      <c r="O162" s="66" t="s">
        <v>210</v>
      </c>
      <c r="P162" s="66">
        <v>61638</v>
      </c>
      <c r="Q162" s="66">
        <v>108</v>
      </c>
      <c r="R162" s="66">
        <v>0</v>
      </c>
      <c r="S162" s="66">
        <v>0</v>
      </c>
      <c r="T162" s="66">
        <v>0</v>
      </c>
      <c r="U162" s="66">
        <v>43886</v>
      </c>
      <c r="V162" s="67">
        <v>18931</v>
      </c>
    </row>
    <row r="163" spans="1:22" x14ac:dyDescent="0.25">
      <c r="A163" s="27" t="s">
        <v>817</v>
      </c>
      <c r="B163" s="27" t="s">
        <v>872</v>
      </c>
      <c r="C163" s="27" t="s">
        <v>211</v>
      </c>
      <c r="D163" s="32">
        <f>2586+42+6+122255+1</f>
        <v>124890</v>
      </c>
      <c r="E163" s="32">
        <f>143+204+36</f>
        <v>383</v>
      </c>
      <c r="F163" s="32">
        <v>0</v>
      </c>
      <c r="G163" s="32">
        <v>0</v>
      </c>
      <c r="H163" s="32">
        <v>0</v>
      </c>
      <c r="I163" s="32">
        <v>90312</v>
      </c>
      <c r="J163" s="32">
        <v>111960</v>
      </c>
      <c r="M163" s="68" t="s">
        <v>817</v>
      </c>
      <c r="N163" s="13" t="s">
        <v>872</v>
      </c>
      <c r="O163" s="13" t="s">
        <v>211</v>
      </c>
      <c r="P163" s="13">
        <v>124890</v>
      </c>
      <c r="Q163" s="13">
        <v>383</v>
      </c>
      <c r="R163" s="13">
        <v>0</v>
      </c>
      <c r="S163" s="13">
        <v>0</v>
      </c>
      <c r="T163" s="13">
        <v>0</v>
      </c>
      <c r="U163" s="13">
        <v>90312</v>
      </c>
      <c r="V163" s="69">
        <v>111960</v>
      </c>
    </row>
    <row r="164" spans="1:22" x14ac:dyDescent="0.25">
      <c r="A164" s="27" t="s">
        <v>72</v>
      </c>
      <c r="B164" s="27" t="s">
        <v>872</v>
      </c>
      <c r="C164" s="27" t="s">
        <v>212</v>
      </c>
      <c r="D164" s="32">
        <f>36997+14+7+4128+2</f>
        <v>41148</v>
      </c>
      <c r="E164" s="32">
        <v>1</v>
      </c>
      <c r="F164" s="32">
        <v>0</v>
      </c>
      <c r="G164" s="32">
        <v>0</v>
      </c>
      <c r="H164" s="32">
        <v>0</v>
      </c>
      <c r="I164" s="32">
        <v>5036</v>
      </c>
      <c r="J164" s="32">
        <v>4058</v>
      </c>
      <c r="M164" s="65" t="s">
        <v>72</v>
      </c>
      <c r="N164" s="66" t="s">
        <v>872</v>
      </c>
      <c r="O164" s="66" t="s">
        <v>212</v>
      </c>
      <c r="P164" s="66">
        <v>41148</v>
      </c>
      <c r="Q164" s="66">
        <v>1</v>
      </c>
      <c r="R164" s="66">
        <v>0</v>
      </c>
      <c r="S164" s="66">
        <v>0</v>
      </c>
      <c r="T164" s="66">
        <v>0</v>
      </c>
      <c r="U164" s="66">
        <v>5036</v>
      </c>
      <c r="V164" s="67">
        <v>4058</v>
      </c>
    </row>
    <row r="165" spans="1:22" x14ac:dyDescent="0.25">
      <c r="A165" s="27" t="s">
        <v>134</v>
      </c>
      <c r="B165" s="27" t="s">
        <v>872</v>
      </c>
      <c r="C165" s="27" t="s">
        <v>213</v>
      </c>
      <c r="D165" s="32">
        <f>34534+1472</f>
        <v>36006</v>
      </c>
      <c r="E165" s="32">
        <v>0</v>
      </c>
      <c r="F165" s="32">
        <v>0</v>
      </c>
      <c r="G165" s="32">
        <v>0</v>
      </c>
      <c r="H165" s="32">
        <v>0</v>
      </c>
      <c r="I165" s="32">
        <v>62290</v>
      </c>
      <c r="J165" s="32">
        <v>1332</v>
      </c>
      <c r="M165" s="68" t="s">
        <v>134</v>
      </c>
      <c r="N165" s="13" t="s">
        <v>872</v>
      </c>
      <c r="O165" s="13" t="s">
        <v>213</v>
      </c>
      <c r="P165" s="13">
        <v>36006</v>
      </c>
      <c r="Q165" s="13">
        <v>0</v>
      </c>
      <c r="R165" s="13">
        <v>0</v>
      </c>
      <c r="S165" s="13">
        <v>0</v>
      </c>
      <c r="T165" s="13">
        <v>0</v>
      </c>
      <c r="U165" s="13">
        <v>62290</v>
      </c>
      <c r="V165" s="69">
        <v>1332</v>
      </c>
    </row>
    <row r="166" spans="1:22" x14ac:dyDescent="0.25">
      <c r="A166" s="27" t="s">
        <v>495</v>
      </c>
      <c r="B166" s="27" t="s">
        <v>872</v>
      </c>
      <c r="C166" s="27" t="s">
        <v>214</v>
      </c>
      <c r="D166" s="32">
        <f>57973+1+2+52+6222+1+49+24172+1+6</f>
        <v>88479</v>
      </c>
      <c r="E166" s="32">
        <f>3896+11+73+165+339+15</f>
        <v>4499</v>
      </c>
      <c r="F166" s="32">
        <v>0</v>
      </c>
      <c r="G166" s="32">
        <v>0</v>
      </c>
      <c r="H166" s="32">
        <v>0</v>
      </c>
      <c r="I166" s="32">
        <v>41945</v>
      </c>
      <c r="J166" s="32">
        <v>19364</v>
      </c>
      <c r="M166" s="65" t="s">
        <v>495</v>
      </c>
      <c r="N166" s="66" t="s">
        <v>872</v>
      </c>
      <c r="O166" s="66" t="s">
        <v>214</v>
      </c>
      <c r="P166" s="66">
        <v>88479</v>
      </c>
      <c r="Q166" s="66">
        <v>4499</v>
      </c>
      <c r="R166" s="66">
        <v>0</v>
      </c>
      <c r="S166" s="66">
        <v>0</v>
      </c>
      <c r="T166" s="66">
        <v>0</v>
      </c>
      <c r="U166" s="66">
        <v>41945</v>
      </c>
      <c r="V166" s="67">
        <v>19364</v>
      </c>
    </row>
    <row r="167" spans="1:22" x14ac:dyDescent="0.25">
      <c r="A167" s="27" t="s">
        <v>146</v>
      </c>
      <c r="B167" s="27" t="s">
        <v>872</v>
      </c>
      <c r="C167" s="27" t="s">
        <v>215</v>
      </c>
      <c r="D167" s="32">
        <f>63988+392+5+1+5+13+24307+6</f>
        <v>88717</v>
      </c>
      <c r="E167" s="32">
        <f>10478+159+36+36+252+19</f>
        <v>10980</v>
      </c>
      <c r="F167" s="32">
        <v>0</v>
      </c>
      <c r="G167" s="32">
        <v>0</v>
      </c>
      <c r="H167" s="32">
        <v>0</v>
      </c>
      <c r="I167" s="32">
        <v>76771</v>
      </c>
      <c r="J167" s="32">
        <v>22083</v>
      </c>
      <c r="M167" s="68" t="s">
        <v>146</v>
      </c>
      <c r="N167" s="13" t="s">
        <v>872</v>
      </c>
      <c r="O167" s="13" t="s">
        <v>215</v>
      </c>
      <c r="P167" s="13">
        <v>88717</v>
      </c>
      <c r="Q167" s="13">
        <v>10980</v>
      </c>
      <c r="R167" s="13">
        <v>0</v>
      </c>
      <c r="S167" s="13">
        <v>0</v>
      </c>
      <c r="T167" s="13">
        <v>0</v>
      </c>
      <c r="U167" s="13">
        <v>76771</v>
      </c>
      <c r="V167" s="69">
        <v>22083</v>
      </c>
    </row>
    <row r="168" spans="1:22" x14ac:dyDescent="0.25">
      <c r="A168" s="27" t="s">
        <v>890</v>
      </c>
      <c r="B168" s="27" t="s">
        <v>872</v>
      </c>
      <c r="C168" s="27" t="s">
        <v>216</v>
      </c>
      <c r="D168" s="32">
        <f>28937+1+152+24+13093</f>
        <v>42207</v>
      </c>
      <c r="E168" s="32">
        <f>69+3+8</f>
        <v>80</v>
      </c>
      <c r="F168" s="32">
        <v>0</v>
      </c>
      <c r="G168" s="32">
        <v>0</v>
      </c>
      <c r="H168" s="32">
        <v>0</v>
      </c>
      <c r="I168" s="32">
        <v>75454</v>
      </c>
      <c r="J168" s="32">
        <v>12082</v>
      </c>
      <c r="M168" s="65" t="s">
        <v>890</v>
      </c>
      <c r="N168" s="66" t="s">
        <v>872</v>
      </c>
      <c r="O168" s="66" t="s">
        <v>216</v>
      </c>
      <c r="P168" s="66">
        <v>42207</v>
      </c>
      <c r="Q168" s="66">
        <v>80</v>
      </c>
      <c r="R168" s="66">
        <v>0</v>
      </c>
      <c r="S168" s="66">
        <v>0</v>
      </c>
      <c r="T168" s="66">
        <v>0</v>
      </c>
      <c r="U168" s="66">
        <v>75454</v>
      </c>
      <c r="V168" s="67">
        <v>12082</v>
      </c>
    </row>
    <row r="169" spans="1:22" x14ac:dyDescent="0.25">
      <c r="A169" s="27" t="s">
        <v>794</v>
      </c>
      <c r="B169" s="27" t="s">
        <v>872</v>
      </c>
      <c r="C169" s="27" t="s">
        <v>217</v>
      </c>
      <c r="D169" s="32">
        <f>20539+1+7824</f>
        <v>28364</v>
      </c>
      <c r="E169" s="32">
        <v>5</v>
      </c>
      <c r="F169" s="32">
        <v>0</v>
      </c>
      <c r="G169" s="32">
        <v>0</v>
      </c>
      <c r="H169" s="32">
        <v>0</v>
      </c>
      <c r="I169" s="32">
        <v>36768</v>
      </c>
      <c r="J169" s="32">
        <v>5568</v>
      </c>
      <c r="M169" s="68" t="s">
        <v>794</v>
      </c>
      <c r="N169" s="13" t="s">
        <v>872</v>
      </c>
      <c r="O169" s="13" t="s">
        <v>217</v>
      </c>
      <c r="P169" s="13">
        <v>28364</v>
      </c>
      <c r="Q169" s="13">
        <v>5</v>
      </c>
      <c r="R169" s="13">
        <v>0</v>
      </c>
      <c r="S169" s="13">
        <v>0</v>
      </c>
      <c r="T169" s="13">
        <v>0</v>
      </c>
      <c r="U169" s="13">
        <v>36768</v>
      </c>
      <c r="V169" s="69">
        <v>5568</v>
      </c>
    </row>
    <row r="170" spans="1:22" x14ac:dyDescent="0.25">
      <c r="A170" s="27" t="s">
        <v>265</v>
      </c>
      <c r="B170" s="27" t="s">
        <v>872</v>
      </c>
      <c r="C170" s="27" t="s">
        <v>218</v>
      </c>
      <c r="D170" s="32">
        <f>22138+2+5+3+4+1+1+8105</f>
        <v>30259</v>
      </c>
      <c r="E170" s="32">
        <v>18</v>
      </c>
      <c r="F170" s="32">
        <v>0</v>
      </c>
      <c r="G170" s="32">
        <v>0</v>
      </c>
      <c r="H170" s="32">
        <v>0</v>
      </c>
      <c r="I170" s="32">
        <v>64984</v>
      </c>
      <c r="J170" s="32">
        <v>6581</v>
      </c>
      <c r="M170" s="65" t="s">
        <v>265</v>
      </c>
      <c r="N170" s="66" t="s">
        <v>872</v>
      </c>
      <c r="O170" s="66" t="s">
        <v>218</v>
      </c>
      <c r="P170" s="66">
        <v>30259</v>
      </c>
      <c r="Q170" s="66">
        <v>18</v>
      </c>
      <c r="R170" s="66">
        <v>0</v>
      </c>
      <c r="S170" s="66">
        <v>0</v>
      </c>
      <c r="T170" s="66">
        <v>0</v>
      </c>
      <c r="U170" s="66">
        <v>64984</v>
      </c>
      <c r="V170" s="67">
        <v>6581</v>
      </c>
    </row>
    <row r="171" spans="1:22" x14ac:dyDescent="0.25">
      <c r="A171" s="27" t="s">
        <v>801</v>
      </c>
      <c r="B171" s="27" t="s">
        <v>872</v>
      </c>
      <c r="C171" s="27" t="s">
        <v>219</v>
      </c>
      <c r="D171" s="32">
        <f>59529+2+2+497+7+12552</f>
        <v>72589</v>
      </c>
      <c r="E171" s="32">
        <f>320+27+120+30</f>
        <v>497</v>
      </c>
      <c r="F171" s="32">
        <v>0</v>
      </c>
      <c r="G171" s="32">
        <v>0</v>
      </c>
      <c r="H171" s="32">
        <v>0</v>
      </c>
      <c r="I171" s="32">
        <v>44652</v>
      </c>
      <c r="J171" s="32">
        <v>10480</v>
      </c>
      <c r="M171" s="68" t="s">
        <v>801</v>
      </c>
      <c r="N171" s="13" t="s">
        <v>872</v>
      </c>
      <c r="O171" s="13" t="s">
        <v>219</v>
      </c>
      <c r="P171" s="13">
        <v>72589</v>
      </c>
      <c r="Q171" s="13">
        <v>497</v>
      </c>
      <c r="R171" s="13">
        <v>0</v>
      </c>
      <c r="S171" s="13">
        <v>0</v>
      </c>
      <c r="T171" s="13">
        <v>0</v>
      </c>
      <c r="U171" s="13">
        <v>44652</v>
      </c>
      <c r="V171" s="69">
        <v>10480</v>
      </c>
    </row>
    <row r="172" spans="1:22" x14ac:dyDescent="0.25">
      <c r="A172" s="27" t="s">
        <v>831</v>
      </c>
      <c r="B172" s="27" t="s">
        <v>872</v>
      </c>
      <c r="C172" s="27" t="s">
        <v>220</v>
      </c>
      <c r="D172" s="32">
        <f>5096+5+1290</f>
        <v>6391</v>
      </c>
      <c r="E172" s="32">
        <f>30+3</f>
        <v>33</v>
      </c>
      <c r="F172" s="32">
        <v>0</v>
      </c>
      <c r="G172" s="32">
        <v>0</v>
      </c>
      <c r="H172" s="32">
        <v>0</v>
      </c>
      <c r="I172" s="32">
        <v>8072</v>
      </c>
      <c r="J172" s="32">
        <v>1191</v>
      </c>
      <c r="M172" s="65" t="s">
        <v>831</v>
      </c>
      <c r="N172" s="66" t="s">
        <v>872</v>
      </c>
      <c r="O172" s="66" t="s">
        <v>220</v>
      </c>
      <c r="P172" s="66">
        <v>6391</v>
      </c>
      <c r="Q172" s="66">
        <v>33</v>
      </c>
      <c r="R172" s="66">
        <v>0</v>
      </c>
      <c r="S172" s="66">
        <v>0</v>
      </c>
      <c r="T172" s="66">
        <v>0</v>
      </c>
      <c r="U172" s="66">
        <v>8072</v>
      </c>
      <c r="V172" s="67">
        <v>1191</v>
      </c>
    </row>
    <row r="173" spans="1:22" x14ac:dyDescent="0.25">
      <c r="A173" s="27" t="s">
        <v>794</v>
      </c>
      <c r="B173" s="27" t="s">
        <v>872</v>
      </c>
      <c r="C173" s="27" t="s">
        <v>221</v>
      </c>
      <c r="D173" s="32">
        <f>37318+1+4+25+4+107+20+169+29122+2</f>
        <v>66772</v>
      </c>
      <c r="E173" s="32">
        <f>1+12+13+41</f>
        <v>67</v>
      </c>
      <c r="F173" s="32">
        <v>0</v>
      </c>
      <c r="G173" s="32">
        <v>0</v>
      </c>
      <c r="H173" s="32">
        <v>0</v>
      </c>
      <c r="I173" s="32">
        <v>33261</v>
      </c>
      <c r="J173" s="32">
        <v>22708</v>
      </c>
      <c r="M173" s="68" t="s">
        <v>794</v>
      </c>
      <c r="N173" s="13" t="s">
        <v>872</v>
      </c>
      <c r="O173" s="13" t="s">
        <v>221</v>
      </c>
      <c r="P173" s="13">
        <v>66772</v>
      </c>
      <c r="Q173" s="13">
        <v>67</v>
      </c>
      <c r="R173" s="13">
        <v>0</v>
      </c>
      <c r="S173" s="13">
        <v>0</v>
      </c>
      <c r="T173" s="13">
        <v>0</v>
      </c>
      <c r="U173" s="13">
        <v>33261</v>
      </c>
      <c r="V173" s="69">
        <v>22708</v>
      </c>
    </row>
    <row r="174" spans="1:22" x14ac:dyDescent="0.25">
      <c r="A174" s="27" t="s">
        <v>120</v>
      </c>
      <c r="B174" s="27" t="s">
        <v>872</v>
      </c>
      <c r="C174" s="27" t="s">
        <v>222</v>
      </c>
      <c r="D174" s="32">
        <f>85704+1+1+4455+6+6+12726</f>
        <v>102899</v>
      </c>
      <c r="E174" s="32">
        <f>53+1+84</f>
        <v>138</v>
      </c>
      <c r="F174" s="32">
        <v>0</v>
      </c>
      <c r="G174" s="32">
        <v>0</v>
      </c>
      <c r="H174" s="32">
        <v>0</v>
      </c>
      <c r="I174" s="32">
        <v>11045</v>
      </c>
      <c r="J174" s="32">
        <v>7784</v>
      </c>
      <c r="M174" s="65" t="s">
        <v>120</v>
      </c>
      <c r="N174" s="66" t="s">
        <v>872</v>
      </c>
      <c r="O174" s="66" t="s">
        <v>222</v>
      </c>
      <c r="P174" s="66">
        <v>102899</v>
      </c>
      <c r="Q174" s="66">
        <v>138</v>
      </c>
      <c r="R174" s="66">
        <v>0</v>
      </c>
      <c r="S174" s="66">
        <v>0</v>
      </c>
      <c r="T174" s="66">
        <v>0</v>
      </c>
      <c r="U174" s="66">
        <v>11045</v>
      </c>
      <c r="V174" s="67">
        <v>7784</v>
      </c>
    </row>
    <row r="175" spans="1:22" x14ac:dyDescent="0.25">
      <c r="A175" s="27" t="s">
        <v>848</v>
      </c>
      <c r="B175" s="27" t="s">
        <v>872</v>
      </c>
      <c r="C175" s="27" t="s">
        <v>223</v>
      </c>
      <c r="D175" s="32">
        <f>18417+6+4112</f>
        <v>22535</v>
      </c>
      <c r="E175" s="32">
        <v>13</v>
      </c>
      <c r="F175" s="32">
        <v>0</v>
      </c>
      <c r="G175" s="32">
        <v>0</v>
      </c>
      <c r="H175" s="32">
        <v>0</v>
      </c>
      <c r="I175" s="32">
        <v>2781</v>
      </c>
      <c r="J175" s="32">
        <v>3359</v>
      </c>
      <c r="M175" s="68" t="s">
        <v>848</v>
      </c>
      <c r="N175" s="13" t="s">
        <v>872</v>
      </c>
      <c r="O175" s="13" t="s">
        <v>223</v>
      </c>
      <c r="P175" s="13">
        <v>22535</v>
      </c>
      <c r="Q175" s="13">
        <v>13</v>
      </c>
      <c r="R175" s="13">
        <v>0</v>
      </c>
      <c r="S175" s="13">
        <v>0</v>
      </c>
      <c r="T175" s="13">
        <v>0</v>
      </c>
      <c r="U175" s="13">
        <v>2781</v>
      </c>
      <c r="V175" s="69">
        <v>3359</v>
      </c>
    </row>
    <row r="176" spans="1:22" x14ac:dyDescent="0.25">
      <c r="A176" s="27" t="s">
        <v>825</v>
      </c>
      <c r="B176" s="27" t="s">
        <v>872</v>
      </c>
      <c r="C176" s="27" t="s">
        <v>224</v>
      </c>
      <c r="D176" s="32">
        <f>15898+1529+15+3013</f>
        <v>20455</v>
      </c>
      <c r="E176" s="32">
        <f>82+21+24+3</f>
        <v>130</v>
      </c>
      <c r="F176" s="32">
        <v>0</v>
      </c>
      <c r="G176" s="32">
        <v>0</v>
      </c>
      <c r="H176" s="32">
        <v>0</v>
      </c>
      <c r="I176" s="32">
        <v>11239</v>
      </c>
      <c r="J176" s="32">
        <v>2299</v>
      </c>
      <c r="M176" s="65" t="s">
        <v>825</v>
      </c>
      <c r="N176" s="66" t="s">
        <v>872</v>
      </c>
      <c r="O176" s="66" t="s">
        <v>224</v>
      </c>
      <c r="P176" s="66">
        <v>20455</v>
      </c>
      <c r="Q176" s="66">
        <v>130</v>
      </c>
      <c r="R176" s="66">
        <v>0</v>
      </c>
      <c r="S176" s="66">
        <v>0</v>
      </c>
      <c r="T176" s="66">
        <v>0</v>
      </c>
      <c r="U176" s="66">
        <v>11239</v>
      </c>
      <c r="V176" s="67">
        <v>2299</v>
      </c>
    </row>
    <row r="177" spans="1:22" x14ac:dyDescent="0.25">
      <c r="A177" s="27" t="s">
        <v>788</v>
      </c>
      <c r="B177" s="27" t="s">
        <v>872</v>
      </c>
      <c r="C177" s="27" t="s">
        <v>225</v>
      </c>
      <c r="D177" s="32">
        <f>30366+1+2+38031</f>
        <v>68400</v>
      </c>
      <c r="E177" s="32">
        <f>1+42+2</f>
        <v>45</v>
      </c>
      <c r="F177" s="32">
        <v>0</v>
      </c>
      <c r="G177" s="32">
        <v>0</v>
      </c>
      <c r="H177" s="32">
        <v>0</v>
      </c>
      <c r="I177" s="32">
        <v>133295</v>
      </c>
      <c r="J177" s="32">
        <v>31482</v>
      </c>
      <c r="M177" s="68" t="s">
        <v>788</v>
      </c>
      <c r="N177" s="13" t="s">
        <v>872</v>
      </c>
      <c r="O177" s="13" t="s">
        <v>225</v>
      </c>
      <c r="P177" s="13">
        <v>68400</v>
      </c>
      <c r="Q177" s="13">
        <v>45</v>
      </c>
      <c r="R177" s="13">
        <v>0</v>
      </c>
      <c r="S177" s="13">
        <v>0</v>
      </c>
      <c r="T177" s="13">
        <v>0</v>
      </c>
      <c r="U177" s="13">
        <v>133295</v>
      </c>
      <c r="V177" s="69">
        <v>31482</v>
      </c>
    </row>
    <row r="178" spans="1:22" x14ac:dyDescent="0.25">
      <c r="A178" s="27" t="s">
        <v>226</v>
      </c>
      <c r="B178" s="27" t="s">
        <v>872</v>
      </c>
      <c r="C178" s="27" t="s">
        <v>227</v>
      </c>
      <c r="D178" s="32">
        <f>28195+1+3+9867</f>
        <v>38066</v>
      </c>
      <c r="E178" s="32">
        <v>17</v>
      </c>
      <c r="F178" s="32">
        <v>0</v>
      </c>
      <c r="G178" s="32">
        <v>0</v>
      </c>
      <c r="H178" s="32">
        <v>0</v>
      </c>
      <c r="I178" s="32">
        <v>16284</v>
      </c>
      <c r="J178" s="32">
        <v>8504</v>
      </c>
      <c r="M178" s="65" t="s">
        <v>226</v>
      </c>
      <c r="N178" s="66" t="s">
        <v>872</v>
      </c>
      <c r="O178" s="66" t="s">
        <v>227</v>
      </c>
      <c r="P178" s="66">
        <v>38066</v>
      </c>
      <c r="Q178" s="66">
        <v>17</v>
      </c>
      <c r="R178" s="66">
        <v>0</v>
      </c>
      <c r="S178" s="66">
        <v>0</v>
      </c>
      <c r="T178" s="66">
        <v>0</v>
      </c>
      <c r="U178" s="66">
        <v>16284</v>
      </c>
      <c r="V178" s="67">
        <v>8504</v>
      </c>
    </row>
    <row r="179" spans="1:22" x14ac:dyDescent="0.25">
      <c r="A179" s="27" t="s">
        <v>226</v>
      </c>
      <c r="B179" s="27" t="s">
        <v>872</v>
      </c>
      <c r="C179" s="27" t="s">
        <v>228</v>
      </c>
      <c r="D179" s="32">
        <f>14779+4+1+12+4318</f>
        <v>19114</v>
      </c>
      <c r="E179" s="32">
        <f>20+6+1</f>
        <v>27</v>
      </c>
      <c r="F179" s="32">
        <v>0</v>
      </c>
      <c r="G179" s="32">
        <v>0</v>
      </c>
      <c r="H179" s="32">
        <v>0</v>
      </c>
      <c r="I179" s="32">
        <v>15921</v>
      </c>
      <c r="J179" s="32">
        <v>3206</v>
      </c>
      <c r="M179" s="68" t="s">
        <v>226</v>
      </c>
      <c r="N179" s="13" t="s">
        <v>872</v>
      </c>
      <c r="O179" s="13" t="s">
        <v>228</v>
      </c>
      <c r="P179" s="13">
        <v>19114</v>
      </c>
      <c r="Q179" s="13">
        <v>27</v>
      </c>
      <c r="R179" s="13">
        <v>0</v>
      </c>
      <c r="S179" s="13">
        <v>0</v>
      </c>
      <c r="T179" s="13">
        <v>0</v>
      </c>
      <c r="U179" s="13">
        <v>15921</v>
      </c>
      <c r="V179" s="69">
        <v>3206</v>
      </c>
    </row>
    <row r="180" spans="1:22" x14ac:dyDescent="0.25">
      <c r="A180" s="27" t="s">
        <v>229</v>
      </c>
      <c r="B180" s="27" t="s">
        <v>872</v>
      </c>
      <c r="C180" s="27" t="s">
        <v>230</v>
      </c>
      <c r="D180" s="32">
        <f>23330+1+10328</f>
        <v>33659</v>
      </c>
      <c r="E180" s="32">
        <f>13+11+1+2</f>
        <v>27</v>
      </c>
      <c r="F180" s="32">
        <v>0</v>
      </c>
      <c r="G180" s="32">
        <v>0</v>
      </c>
      <c r="H180" s="32">
        <v>0</v>
      </c>
      <c r="I180" s="32">
        <v>19754</v>
      </c>
      <c r="J180" s="32">
        <v>8526</v>
      </c>
      <c r="M180" s="65" t="s">
        <v>229</v>
      </c>
      <c r="N180" s="66" t="s">
        <v>872</v>
      </c>
      <c r="O180" s="66" t="s">
        <v>230</v>
      </c>
      <c r="P180" s="66">
        <v>33659</v>
      </c>
      <c r="Q180" s="66">
        <v>27</v>
      </c>
      <c r="R180" s="66">
        <v>0</v>
      </c>
      <c r="S180" s="66">
        <v>0</v>
      </c>
      <c r="T180" s="66">
        <v>0</v>
      </c>
      <c r="U180" s="66">
        <v>19754</v>
      </c>
      <c r="V180" s="67">
        <v>8526</v>
      </c>
    </row>
    <row r="181" spans="1:22" x14ac:dyDescent="0.25">
      <c r="A181" s="27" t="s">
        <v>231</v>
      </c>
      <c r="B181" s="27" t="s">
        <v>872</v>
      </c>
      <c r="C181" s="27" t="s">
        <v>232</v>
      </c>
      <c r="D181" s="32">
        <f>27134+32+1+6+3407</f>
        <v>30580</v>
      </c>
      <c r="E181" s="32">
        <f>10+2+1+1</f>
        <v>14</v>
      </c>
      <c r="F181" s="32">
        <v>0</v>
      </c>
      <c r="G181" s="32">
        <v>0</v>
      </c>
      <c r="H181" s="32">
        <v>0</v>
      </c>
      <c r="I181" s="32">
        <v>3834</v>
      </c>
      <c r="J181" s="32">
        <v>2821</v>
      </c>
      <c r="M181" s="68" t="s">
        <v>231</v>
      </c>
      <c r="N181" s="13" t="s">
        <v>872</v>
      </c>
      <c r="O181" s="13" t="s">
        <v>232</v>
      </c>
      <c r="P181" s="13">
        <v>30580</v>
      </c>
      <c r="Q181" s="13">
        <v>14</v>
      </c>
      <c r="R181" s="13">
        <v>0</v>
      </c>
      <c r="S181" s="13">
        <v>0</v>
      </c>
      <c r="T181" s="13">
        <v>0</v>
      </c>
      <c r="U181" s="13">
        <v>3834</v>
      </c>
      <c r="V181" s="69">
        <v>2821</v>
      </c>
    </row>
    <row r="182" spans="1:22" x14ac:dyDescent="0.25">
      <c r="A182" s="27" t="s">
        <v>248</v>
      </c>
      <c r="B182" s="27" t="s">
        <v>872</v>
      </c>
      <c r="C182" s="27" t="s">
        <v>233</v>
      </c>
      <c r="D182" s="32">
        <f>19178+25+644+2336+36</f>
        <v>22219</v>
      </c>
      <c r="E182" s="32">
        <v>81</v>
      </c>
      <c r="F182" s="32">
        <v>0</v>
      </c>
      <c r="G182" s="32">
        <v>0</v>
      </c>
      <c r="H182" s="32">
        <v>0</v>
      </c>
      <c r="I182" s="32">
        <v>30579</v>
      </c>
      <c r="J182" s="32">
        <v>1824</v>
      </c>
      <c r="M182" s="65" t="s">
        <v>248</v>
      </c>
      <c r="N182" s="66" t="s">
        <v>872</v>
      </c>
      <c r="O182" s="66" t="s">
        <v>233</v>
      </c>
      <c r="P182" s="66">
        <v>22219</v>
      </c>
      <c r="Q182" s="66">
        <v>81</v>
      </c>
      <c r="R182" s="66">
        <v>0</v>
      </c>
      <c r="S182" s="66">
        <v>0</v>
      </c>
      <c r="T182" s="66">
        <v>0</v>
      </c>
      <c r="U182" s="66">
        <v>30579</v>
      </c>
      <c r="V182" s="67">
        <v>1824</v>
      </c>
    </row>
    <row r="183" spans="1:22" x14ac:dyDescent="0.25">
      <c r="A183" s="27" t="s">
        <v>69</v>
      </c>
      <c r="B183" s="27" t="s">
        <v>872</v>
      </c>
      <c r="C183" s="27" t="s">
        <v>234</v>
      </c>
      <c r="D183" s="32">
        <f>114567+37+93+293+23791</f>
        <v>138781</v>
      </c>
      <c r="E183" s="32">
        <f>30+12+39+1+59</f>
        <v>141</v>
      </c>
      <c r="F183" s="32">
        <v>0</v>
      </c>
      <c r="G183" s="32">
        <v>0</v>
      </c>
      <c r="H183" s="32">
        <v>0</v>
      </c>
      <c r="I183" s="32">
        <v>332799</v>
      </c>
      <c r="J183" s="32">
        <v>19996</v>
      </c>
      <c r="M183" s="68" t="s">
        <v>69</v>
      </c>
      <c r="N183" s="13" t="s">
        <v>872</v>
      </c>
      <c r="O183" s="13" t="s">
        <v>234</v>
      </c>
      <c r="P183" s="13">
        <v>138781</v>
      </c>
      <c r="Q183" s="13">
        <v>141</v>
      </c>
      <c r="R183" s="13">
        <v>0</v>
      </c>
      <c r="S183" s="13">
        <v>0</v>
      </c>
      <c r="T183" s="13">
        <v>0</v>
      </c>
      <c r="U183" s="13">
        <v>332799</v>
      </c>
      <c r="V183" s="69">
        <v>19996</v>
      </c>
    </row>
    <row r="184" spans="1:22" x14ac:dyDescent="0.25">
      <c r="A184" s="27" t="s">
        <v>795</v>
      </c>
      <c r="B184" s="27" t="s">
        <v>872</v>
      </c>
      <c r="C184" s="27" t="s">
        <v>235</v>
      </c>
      <c r="D184" s="32">
        <f>23735+20+31762+7</f>
        <v>55524</v>
      </c>
      <c r="E184" s="32">
        <f>29+1</f>
        <v>30</v>
      </c>
      <c r="F184" s="32">
        <v>0</v>
      </c>
      <c r="G184" s="32">
        <v>0</v>
      </c>
      <c r="H184" s="32">
        <v>0</v>
      </c>
      <c r="I184" s="32">
        <v>975</v>
      </c>
      <c r="J184" s="32">
        <v>29967</v>
      </c>
      <c r="M184" s="65" t="s">
        <v>795</v>
      </c>
      <c r="N184" s="66" t="s">
        <v>872</v>
      </c>
      <c r="O184" s="66" t="s">
        <v>235</v>
      </c>
      <c r="P184" s="66">
        <v>55524</v>
      </c>
      <c r="Q184" s="66">
        <v>30</v>
      </c>
      <c r="R184" s="66">
        <v>0</v>
      </c>
      <c r="S184" s="66">
        <v>0</v>
      </c>
      <c r="T184" s="66">
        <v>0</v>
      </c>
      <c r="U184" s="66">
        <v>975</v>
      </c>
      <c r="V184" s="67">
        <v>29967</v>
      </c>
    </row>
    <row r="185" spans="1:22" x14ac:dyDescent="0.25">
      <c r="A185" s="27" t="s">
        <v>795</v>
      </c>
      <c r="B185" s="27" t="s">
        <v>872</v>
      </c>
      <c r="C185" s="27" t="s">
        <v>236</v>
      </c>
      <c r="D185" s="32">
        <f>17727+1+1+308+2+2+25112+1</f>
        <v>43154</v>
      </c>
      <c r="E185" s="32">
        <f>35+1+23+187+6</f>
        <v>252</v>
      </c>
      <c r="F185" s="32">
        <v>0</v>
      </c>
      <c r="G185" s="32">
        <v>0</v>
      </c>
      <c r="H185" s="32">
        <v>0</v>
      </c>
      <c r="I185" s="32">
        <v>36459</v>
      </c>
      <c r="J185" s="32">
        <v>19400</v>
      </c>
      <c r="M185" s="68" t="s">
        <v>795</v>
      </c>
      <c r="N185" s="13" t="s">
        <v>872</v>
      </c>
      <c r="O185" s="13" t="s">
        <v>236</v>
      </c>
      <c r="P185" s="13">
        <v>43154</v>
      </c>
      <c r="Q185" s="13">
        <v>252</v>
      </c>
      <c r="R185" s="13">
        <v>0</v>
      </c>
      <c r="S185" s="13">
        <v>0</v>
      </c>
      <c r="T185" s="13">
        <v>0</v>
      </c>
      <c r="U185" s="13">
        <v>36459</v>
      </c>
      <c r="V185" s="69">
        <v>19400</v>
      </c>
    </row>
    <row r="186" spans="1:22" x14ac:dyDescent="0.25">
      <c r="A186" s="27" t="s">
        <v>801</v>
      </c>
      <c r="B186" s="27" t="s">
        <v>872</v>
      </c>
      <c r="C186" s="27" t="s">
        <v>237</v>
      </c>
      <c r="D186" s="32">
        <f>49360+1+2310+2+8+1+7210</f>
        <v>58892</v>
      </c>
      <c r="E186" s="32">
        <f>297+1+6+14+41</f>
        <v>359</v>
      </c>
      <c r="F186" s="32">
        <v>0</v>
      </c>
      <c r="G186" s="32">
        <v>0</v>
      </c>
      <c r="H186" s="32">
        <v>0</v>
      </c>
      <c r="I186" s="32">
        <v>46947</v>
      </c>
      <c r="J186" s="32">
        <v>6095</v>
      </c>
      <c r="M186" s="65" t="s">
        <v>801</v>
      </c>
      <c r="N186" s="66" t="s">
        <v>872</v>
      </c>
      <c r="O186" s="66" t="s">
        <v>237</v>
      </c>
      <c r="P186" s="66">
        <v>58892</v>
      </c>
      <c r="Q186" s="66">
        <v>359</v>
      </c>
      <c r="R186" s="66">
        <v>0</v>
      </c>
      <c r="S186" s="66">
        <v>0</v>
      </c>
      <c r="T186" s="66">
        <v>0</v>
      </c>
      <c r="U186" s="66">
        <v>46947</v>
      </c>
      <c r="V186" s="67">
        <v>6095</v>
      </c>
    </row>
    <row r="187" spans="1:22" x14ac:dyDescent="0.25">
      <c r="A187" s="27" t="s">
        <v>788</v>
      </c>
      <c r="B187" s="27" t="s">
        <v>872</v>
      </c>
      <c r="C187" s="27" t="s">
        <v>238</v>
      </c>
      <c r="D187" s="32">
        <f>32893+91+1234+2+12+5+9597+76</f>
        <v>43910</v>
      </c>
      <c r="E187" s="32">
        <f>54+9+2+6</f>
        <v>71</v>
      </c>
      <c r="F187" s="32">
        <v>0</v>
      </c>
      <c r="G187" s="32">
        <v>0</v>
      </c>
      <c r="H187" s="32">
        <v>0</v>
      </c>
      <c r="I187" s="32">
        <v>25241</v>
      </c>
      <c r="J187" s="32">
        <v>8755</v>
      </c>
      <c r="M187" s="68" t="s">
        <v>788</v>
      </c>
      <c r="N187" s="13" t="s">
        <v>872</v>
      </c>
      <c r="O187" s="13" t="s">
        <v>238</v>
      </c>
      <c r="P187" s="13">
        <v>43910</v>
      </c>
      <c r="Q187" s="13">
        <v>71</v>
      </c>
      <c r="R187" s="13">
        <v>0</v>
      </c>
      <c r="S187" s="13">
        <v>0</v>
      </c>
      <c r="T187" s="13">
        <v>0</v>
      </c>
      <c r="U187" s="13">
        <v>25241</v>
      </c>
      <c r="V187" s="69">
        <v>8755</v>
      </c>
    </row>
    <row r="188" spans="1:22" x14ac:dyDescent="0.25">
      <c r="A188" s="27" t="s">
        <v>791</v>
      </c>
      <c r="B188" s="27" t="s">
        <v>872</v>
      </c>
      <c r="C188" s="27" t="s">
        <v>239</v>
      </c>
      <c r="D188" s="32">
        <f>11009+1+197+12+6347</f>
        <v>17566</v>
      </c>
      <c r="E188" s="32">
        <f>67+8</f>
        <v>75</v>
      </c>
      <c r="F188" s="32">
        <v>0</v>
      </c>
      <c r="G188" s="32">
        <v>0</v>
      </c>
      <c r="H188" s="32">
        <v>0</v>
      </c>
      <c r="I188" s="32">
        <v>7892</v>
      </c>
      <c r="J188" s="32">
        <v>4975</v>
      </c>
      <c r="M188" s="65" t="s">
        <v>791</v>
      </c>
      <c r="N188" s="66" t="s">
        <v>872</v>
      </c>
      <c r="O188" s="66" t="s">
        <v>239</v>
      </c>
      <c r="P188" s="66">
        <v>17566</v>
      </c>
      <c r="Q188" s="66">
        <v>75</v>
      </c>
      <c r="R188" s="66">
        <v>0</v>
      </c>
      <c r="S188" s="66">
        <v>0</v>
      </c>
      <c r="T188" s="66">
        <v>0</v>
      </c>
      <c r="U188" s="66">
        <v>7892</v>
      </c>
      <c r="V188" s="67">
        <v>4975</v>
      </c>
    </row>
    <row r="189" spans="1:22" x14ac:dyDescent="0.25">
      <c r="A189" s="27" t="s">
        <v>801</v>
      </c>
      <c r="B189" s="27" t="s">
        <v>872</v>
      </c>
      <c r="C189" s="27" t="s">
        <v>240</v>
      </c>
      <c r="D189" s="32">
        <f>68429+7+3556+3</f>
        <v>71995</v>
      </c>
      <c r="E189" s="32">
        <f>178+10+4+50+22</f>
        <v>264</v>
      </c>
      <c r="F189" s="32">
        <v>0</v>
      </c>
      <c r="G189" s="32">
        <v>0</v>
      </c>
      <c r="H189" s="32">
        <v>0</v>
      </c>
      <c r="I189" s="32">
        <v>23135</v>
      </c>
      <c r="J189" s="32">
        <v>2996</v>
      </c>
      <c r="M189" s="68" t="s">
        <v>801</v>
      </c>
      <c r="N189" s="13" t="s">
        <v>872</v>
      </c>
      <c r="O189" s="13" t="s">
        <v>240</v>
      </c>
      <c r="P189" s="13">
        <v>71995</v>
      </c>
      <c r="Q189" s="13">
        <v>264</v>
      </c>
      <c r="R189" s="13">
        <v>0</v>
      </c>
      <c r="S189" s="13">
        <v>0</v>
      </c>
      <c r="T189" s="13">
        <v>0</v>
      </c>
      <c r="U189" s="13">
        <v>23135</v>
      </c>
      <c r="V189" s="69">
        <v>2996</v>
      </c>
    </row>
    <row r="190" spans="1:22" x14ac:dyDescent="0.25">
      <c r="A190" s="27" t="s">
        <v>788</v>
      </c>
      <c r="B190" s="27" t="s">
        <v>872</v>
      </c>
      <c r="C190" s="27" t="s">
        <v>241</v>
      </c>
      <c r="D190" s="32">
        <f>82079+1+26+528+5+31054</f>
        <v>113693</v>
      </c>
      <c r="E190" s="32">
        <f>44+12</f>
        <v>56</v>
      </c>
      <c r="F190" s="32">
        <v>0</v>
      </c>
      <c r="G190" s="32">
        <v>0</v>
      </c>
      <c r="H190" s="32">
        <v>0</v>
      </c>
      <c r="I190" s="32">
        <v>71837</v>
      </c>
      <c r="J190" s="32">
        <v>26335</v>
      </c>
      <c r="M190" s="65" t="s">
        <v>788</v>
      </c>
      <c r="N190" s="66" t="s">
        <v>872</v>
      </c>
      <c r="O190" s="66" t="s">
        <v>241</v>
      </c>
      <c r="P190" s="66">
        <v>113693</v>
      </c>
      <c r="Q190" s="66">
        <v>56</v>
      </c>
      <c r="R190" s="66">
        <v>0</v>
      </c>
      <c r="S190" s="66">
        <v>0</v>
      </c>
      <c r="T190" s="66">
        <v>0</v>
      </c>
      <c r="U190" s="66">
        <v>71837</v>
      </c>
      <c r="V190" s="67">
        <v>26335</v>
      </c>
    </row>
    <row r="191" spans="1:22" x14ac:dyDescent="0.25">
      <c r="A191" s="27" t="s">
        <v>890</v>
      </c>
      <c r="B191" s="27" t="s">
        <v>872</v>
      </c>
      <c r="C191" s="27" t="s">
        <v>242</v>
      </c>
      <c r="D191" s="32">
        <f>64277+1+5+10+13+542+2+9+14769+1</f>
        <v>79629</v>
      </c>
      <c r="E191" s="32">
        <f>75+4+15+7</f>
        <v>101</v>
      </c>
      <c r="F191" s="32">
        <v>0</v>
      </c>
      <c r="G191" s="32">
        <v>0</v>
      </c>
      <c r="H191" s="32">
        <v>0</v>
      </c>
      <c r="I191" s="32">
        <v>20508</v>
      </c>
      <c r="J191" s="32">
        <v>8331</v>
      </c>
      <c r="M191" s="68" t="s">
        <v>890</v>
      </c>
      <c r="N191" s="13" t="s">
        <v>872</v>
      </c>
      <c r="O191" s="13" t="s">
        <v>242</v>
      </c>
      <c r="P191" s="13">
        <v>79629</v>
      </c>
      <c r="Q191" s="13">
        <v>101</v>
      </c>
      <c r="R191" s="13">
        <v>0</v>
      </c>
      <c r="S191" s="13">
        <v>0</v>
      </c>
      <c r="T191" s="13">
        <v>0</v>
      </c>
      <c r="U191" s="13">
        <v>20508</v>
      </c>
      <c r="V191" s="69">
        <v>8331</v>
      </c>
    </row>
    <row r="192" spans="1:22" x14ac:dyDescent="0.25">
      <c r="A192" s="27" t="s">
        <v>512</v>
      </c>
      <c r="B192" s="27" t="s">
        <v>872</v>
      </c>
      <c r="C192" s="27" t="s">
        <v>243</v>
      </c>
      <c r="D192" s="32">
        <f>14726+1+2848</f>
        <v>17575</v>
      </c>
      <c r="E192" s="32">
        <v>39</v>
      </c>
      <c r="F192" s="32">
        <v>0</v>
      </c>
      <c r="G192" s="32">
        <v>0</v>
      </c>
      <c r="H192" s="32">
        <v>0</v>
      </c>
      <c r="I192" s="32">
        <v>1160</v>
      </c>
      <c r="J192" s="32">
        <v>1858</v>
      </c>
      <c r="M192" s="65" t="s">
        <v>512</v>
      </c>
      <c r="N192" s="66" t="s">
        <v>872</v>
      </c>
      <c r="O192" s="66" t="s">
        <v>243</v>
      </c>
      <c r="P192" s="66">
        <v>17575</v>
      </c>
      <c r="Q192" s="66">
        <v>39</v>
      </c>
      <c r="R192" s="66">
        <v>0</v>
      </c>
      <c r="S192" s="66">
        <v>0</v>
      </c>
      <c r="T192" s="66">
        <v>0</v>
      </c>
      <c r="U192" s="66">
        <v>1160</v>
      </c>
      <c r="V192" s="67">
        <v>1858</v>
      </c>
    </row>
    <row r="193" spans="1:22" x14ac:dyDescent="0.25">
      <c r="A193" s="27" t="s">
        <v>796</v>
      </c>
      <c r="B193" s="27" t="s">
        <v>872</v>
      </c>
      <c r="C193" s="27" t="s">
        <v>244</v>
      </c>
      <c r="D193" s="32">
        <f>62724+963+5+5+13+18554+25</f>
        <v>82289</v>
      </c>
      <c r="E193" s="32">
        <f>531+9+19+4+115+124+120</f>
        <v>922</v>
      </c>
      <c r="F193" s="32">
        <v>0</v>
      </c>
      <c r="G193" s="32">
        <v>0</v>
      </c>
      <c r="H193" s="32">
        <v>0</v>
      </c>
      <c r="I193" s="32">
        <v>101768</v>
      </c>
      <c r="J193" s="32">
        <v>16690</v>
      </c>
      <c r="M193" s="68" t="s">
        <v>796</v>
      </c>
      <c r="N193" s="13" t="s">
        <v>872</v>
      </c>
      <c r="O193" s="13" t="s">
        <v>244</v>
      </c>
      <c r="P193" s="13">
        <v>82289</v>
      </c>
      <c r="Q193" s="13">
        <v>922</v>
      </c>
      <c r="R193" s="13">
        <v>0</v>
      </c>
      <c r="S193" s="13">
        <v>0</v>
      </c>
      <c r="T193" s="13">
        <v>0</v>
      </c>
      <c r="U193" s="13">
        <v>101768</v>
      </c>
      <c r="V193" s="69">
        <v>16690</v>
      </c>
    </row>
    <row r="194" spans="1:22" x14ac:dyDescent="0.25">
      <c r="A194" s="27" t="s">
        <v>146</v>
      </c>
      <c r="B194" s="27" t="s">
        <v>872</v>
      </c>
      <c r="C194" s="27" t="s">
        <v>245</v>
      </c>
      <c r="D194" s="32">
        <f>31382+155+5+11584+149</f>
        <v>43275</v>
      </c>
      <c r="E194" s="32">
        <f>72+21+4+81+12</f>
        <v>190</v>
      </c>
      <c r="F194" s="32">
        <v>0</v>
      </c>
      <c r="G194" s="32">
        <v>0</v>
      </c>
      <c r="H194" s="32">
        <v>0</v>
      </c>
      <c r="I194" s="32">
        <v>45416</v>
      </c>
      <c r="J194" s="32">
        <v>10840</v>
      </c>
      <c r="M194" s="65" t="s">
        <v>146</v>
      </c>
      <c r="N194" s="66" t="s">
        <v>872</v>
      </c>
      <c r="O194" s="66" t="s">
        <v>245</v>
      </c>
      <c r="P194" s="66">
        <v>43275</v>
      </c>
      <c r="Q194" s="66">
        <v>190</v>
      </c>
      <c r="R194" s="66">
        <v>0</v>
      </c>
      <c r="S194" s="66">
        <v>0</v>
      </c>
      <c r="T194" s="66">
        <v>0</v>
      </c>
      <c r="U194" s="66">
        <v>45416</v>
      </c>
      <c r="V194" s="67">
        <v>10840</v>
      </c>
    </row>
    <row r="195" spans="1:22" x14ac:dyDescent="0.25">
      <c r="A195" s="27" t="s">
        <v>831</v>
      </c>
      <c r="B195" s="27" t="s">
        <v>872</v>
      </c>
      <c r="C195" s="27" t="s">
        <v>246</v>
      </c>
      <c r="D195" s="32">
        <f>3911+2035</f>
        <v>5946</v>
      </c>
      <c r="E195" s="32">
        <v>13</v>
      </c>
      <c r="F195" s="32">
        <v>0</v>
      </c>
      <c r="G195" s="32">
        <v>0</v>
      </c>
      <c r="H195" s="32">
        <v>0</v>
      </c>
      <c r="I195" s="32">
        <v>1979</v>
      </c>
      <c r="J195" s="32">
        <v>1608</v>
      </c>
      <c r="M195" s="68" t="s">
        <v>831</v>
      </c>
      <c r="N195" s="13" t="s">
        <v>872</v>
      </c>
      <c r="O195" s="13" t="s">
        <v>246</v>
      </c>
      <c r="P195" s="13">
        <v>5946</v>
      </c>
      <c r="Q195" s="13">
        <v>13</v>
      </c>
      <c r="R195" s="13">
        <v>0</v>
      </c>
      <c r="S195" s="13">
        <v>0</v>
      </c>
      <c r="T195" s="13">
        <v>0</v>
      </c>
      <c r="U195" s="13">
        <v>1979</v>
      </c>
      <c r="V195" s="69">
        <v>1608</v>
      </c>
    </row>
    <row r="196" spans="1:22" x14ac:dyDescent="0.25">
      <c r="A196" s="27" t="s">
        <v>791</v>
      </c>
      <c r="B196" s="27" t="s">
        <v>872</v>
      </c>
      <c r="C196" s="27" t="s">
        <v>247</v>
      </c>
      <c r="D196" s="32">
        <f>2362+9004</f>
        <v>11366</v>
      </c>
      <c r="E196" s="32">
        <f>3+306</f>
        <v>309</v>
      </c>
      <c r="F196" s="32">
        <v>0</v>
      </c>
      <c r="G196" s="32">
        <v>0</v>
      </c>
      <c r="H196" s="32">
        <v>0</v>
      </c>
      <c r="I196" s="32">
        <v>3462</v>
      </c>
      <c r="J196" s="32">
        <v>5587</v>
      </c>
      <c r="M196" s="65" t="s">
        <v>791</v>
      </c>
      <c r="N196" s="66" t="s">
        <v>872</v>
      </c>
      <c r="O196" s="66" t="s">
        <v>247</v>
      </c>
      <c r="P196" s="66">
        <v>11366</v>
      </c>
      <c r="Q196" s="66">
        <v>309</v>
      </c>
      <c r="R196" s="66">
        <v>0</v>
      </c>
      <c r="S196" s="66">
        <v>0</v>
      </c>
      <c r="T196" s="66">
        <v>0</v>
      </c>
      <c r="U196" s="66">
        <v>3462</v>
      </c>
      <c r="V196" s="67">
        <v>5587</v>
      </c>
    </row>
    <row r="197" spans="1:22" x14ac:dyDescent="0.25">
      <c r="A197" s="27" t="s">
        <v>248</v>
      </c>
      <c r="B197" s="27" t="s">
        <v>872</v>
      </c>
      <c r="C197" s="27" t="s">
        <v>249</v>
      </c>
      <c r="D197" s="32">
        <f>54719+1+136+1+10+3+17069+2+1</f>
        <v>71942</v>
      </c>
      <c r="E197" s="32">
        <f>213+4+33+131+11</f>
        <v>392</v>
      </c>
      <c r="F197" s="32">
        <v>0</v>
      </c>
      <c r="G197" s="32">
        <v>0</v>
      </c>
      <c r="H197" s="32">
        <v>0</v>
      </c>
      <c r="I197" s="32">
        <v>90272</v>
      </c>
      <c r="J197" s="32">
        <v>14124</v>
      </c>
      <c r="M197" s="68" t="s">
        <v>248</v>
      </c>
      <c r="N197" s="13" t="s">
        <v>872</v>
      </c>
      <c r="O197" s="13" t="s">
        <v>249</v>
      </c>
      <c r="P197" s="13">
        <v>71942</v>
      </c>
      <c r="Q197" s="13">
        <v>392</v>
      </c>
      <c r="R197" s="13">
        <v>0</v>
      </c>
      <c r="S197" s="13">
        <v>0</v>
      </c>
      <c r="T197" s="13">
        <v>0</v>
      </c>
      <c r="U197" s="13">
        <v>90272</v>
      </c>
      <c r="V197" s="69">
        <v>14124</v>
      </c>
    </row>
    <row r="198" spans="1:22" x14ac:dyDescent="0.25">
      <c r="A198" s="27" t="s">
        <v>865</v>
      </c>
      <c r="B198" s="27" t="s">
        <v>872</v>
      </c>
      <c r="C198" s="27" t="s">
        <v>250</v>
      </c>
      <c r="D198" s="32">
        <f>21842+8+19+1+3959</f>
        <v>25829</v>
      </c>
      <c r="E198" s="32">
        <f>26+2+7+1</f>
        <v>36</v>
      </c>
      <c r="F198" s="32">
        <v>0</v>
      </c>
      <c r="G198" s="32">
        <v>0</v>
      </c>
      <c r="H198" s="32">
        <v>0</v>
      </c>
      <c r="I198" s="32">
        <v>11943</v>
      </c>
      <c r="J198" s="32">
        <v>3312</v>
      </c>
      <c r="M198" s="65" t="s">
        <v>865</v>
      </c>
      <c r="N198" s="66" t="s">
        <v>872</v>
      </c>
      <c r="O198" s="66" t="s">
        <v>250</v>
      </c>
      <c r="P198" s="66">
        <v>25829</v>
      </c>
      <c r="Q198" s="66">
        <v>36</v>
      </c>
      <c r="R198" s="66">
        <v>0</v>
      </c>
      <c r="S198" s="66">
        <v>0</v>
      </c>
      <c r="T198" s="66">
        <v>0</v>
      </c>
      <c r="U198" s="66">
        <v>11943</v>
      </c>
      <c r="V198" s="67">
        <v>3312</v>
      </c>
    </row>
    <row r="199" spans="1:22" x14ac:dyDescent="0.25">
      <c r="A199" s="27" t="s">
        <v>248</v>
      </c>
      <c r="B199" s="27" t="s">
        <v>872</v>
      </c>
      <c r="C199" s="27" t="s">
        <v>251</v>
      </c>
      <c r="D199" s="32">
        <f>34768+6+3+9727</f>
        <v>44504</v>
      </c>
      <c r="E199" s="32">
        <f>466+2+192+36+11</f>
        <v>707</v>
      </c>
      <c r="F199" s="32">
        <v>0</v>
      </c>
      <c r="G199" s="32">
        <v>0</v>
      </c>
      <c r="H199" s="32">
        <v>0</v>
      </c>
      <c r="I199" s="32">
        <v>50679</v>
      </c>
      <c r="J199" s="32">
        <v>7739</v>
      </c>
      <c r="M199" s="68" t="s">
        <v>248</v>
      </c>
      <c r="N199" s="13" t="s">
        <v>872</v>
      </c>
      <c r="O199" s="13" t="s">
        <v>251</v>
      </c>
      <c r="P199" s="13">
        <v>44504</v>
      </c>
      <c r="Q199" s="13">
        <v>707</v>
      </c>
      <c r="R199" s="13">
        <v>0</v>
      </c>
      <c r="S199" s="13">
        <v>0</v>
      </c>
      <c r="T199" s="13">
        <v>0</v>
      </c>
      <c r="U199" s="13">
        <v>50679</v>
      </c>
      <c r="V199" s="69">
        <v>7739</v>
      </c>
    </row>
    <row r="200" spans="1:22" x14ac:dyDescent="0.25">
      <c r="A200" s="27" t="s">
        <v>795</v>
      </c>
      <c r="B200" s="27" t="s">
        <v>872</v>
      </c>
      <c r="C200" s="27" t="s">
        <v>252</v>
      </c>
      <c r="D200" s="32">
        <f>30065+74+29+556+2+19023</f>
        <v>49749</v>
      </c>
      <c r="E200" s="32">
        <f>12+14+16+1+57</f>
        <v>100</v>
      </c>
      <c r="F200" s="32">
        <v>0</v>
      </c>
      <c r="G200" s="32">
        <v>0</v>
      </c>
      <c r="H200" s="32">
        <v>0</v>
      </c>
      <c r="I200" s="32">
        <v>18821</v>
      </c>
      <c r="J200" s="32">
        <v>14442</v>
      </c>
      <c r="M200" s="65" t="s">
        <v>795</v>
      </c>
      <c r="N200" s="66" t="s">
        <v>872</v>
      </c>
      <c r="O200" s="66" t="s">
        <v>252</v>
      </c>
      <c r="P200" s="66">
        <v>49749</v>
      </c>
      <c r="Q200" s="66">
        <v>100</v>
      </c>
      <c r="R200" s="66">
        <v>0</v>
      </c>
      <c r="S200" s="66">
        <v>0</v>
      </c>
      <c r="T200" s="66">
        <v>0</v>
      </c>
      <c r="U200" s="66">
        <v>18821</v>
      </c>
      <c r="V200" s="67">
        <v>14442</v>
      </c>
    </row>
    <row r="201" spans="1:22" x14ac:dyDescent="0.25">
      <c r="A201" s="27" t="s">
        <v>248</v>
      </c>
      <c r="B201" s="27" t="s">
        <v>872</v>
      </c>
      <c r="C201" s="27" t="s">
        <v>253</v>
      </c>
      <c r="D201" s="32">
        <f>74644+4+386+9+70+22907</f>
        <v>98020</v>
      </c>
      <c r="E201" s="32">
        <f>144+1+167+79+1</f>
        <v>392</v>
      </c>
      <c r="F201" s="32">
        <v>0</v>
      </c>
      <c r="G201" s="32">
        <v>0</v>
      </c>
      <c r="H201" s="32">
        <v>0</v>
      </c>
      <c r="I201" s="32">
        <v>45703</v>
      </c>
      <c r="J201" s="32">
        <v>18186</v>
      </c>
      <c r="M201" s="68" t="s">
        <v>248</v>
      </c>
      <c r="N201" s="13" t="s">
        <v>872</v>
      </c>
      <c r="O201" s="13" t="s">
        <v>253</v>
      </c>
      <c r="P201" s="13">
        <v>98020</v>
      </c>
      <c r="Q201" s="13">
        <v>392</v>
      </c>
      <c r="R201" s="13">
        <v>0</v>
      </c>
      <c r="S201" s="13">
        <v>0</v>
      </c>
      <c r="T201" s="13">
        <v>0</v>
      </c>
      <c r="U201" s="13">
        <v>45703</v>
      </c>
      <c r="V201" s="69">
        <v>18186</v>
      </c>
    </row>
    <row r="202" spans="1:22" x14ac:dyDescent="0.25">
      <c r="A202" s="27" t="s">
        <v>823</v>
      </c>
      <c r="B202" s="27" t="s">
        <v>872</v>
      </c>
      <c r="C202" s="27" t="s">
        <v>254</v>
      </c>
      <c r="D202" s="32">
        <f>35571+7+27+2+30635</f>
        <v>66242</v>
      </c>
      <c r="E202" s="32">
        <f>285+1+21+43</f>
        <v>350</v>
      </c>
      <c r="F202" s="32">
        <v>0</v>
      </c>
      <c r="G202" s="32">
        <v>0</v>
      </c>
      <c r="H202" s="32">
        <v>0</v>
      </c>
      <c r="I202" s="32">
        <v>14967</v>
      </c>
      <c r="J202" s="32">
        <v>21434</v>
      </c>
      <c r="M202" s="65" t="s">
        <v>823</v>
      </c>
      <c r="N202" s="66" t="s">
        <v>872</v>
      </c>
      <c r="O202" s="66" t="s">
        <v>254</v>
      </c>
      <c r="P202" s="66">
        <v>66242</v>
      </c>
      <c r="Q202" s="66">
        <v>350</v>
      </c>
      <c r="R202" s="66">
        <v>0</v>
      </c>
      <c r="S202" s="66">
        <v>0</v>
      </c>
      <c r="T202" s="66">
        <v>0</v>
      </c>
      <c r="U202" s="66">
        <v>14967</v>
      </c>
      <c r="V202" s="67">
        <v>21434</v>
      </c>
    </row>
    <row r="203" spans="1:22" x14ac:dyDescent="0.25">
      <c r="A203" s="27" t="s">
        <v>67</v>
      </c>
      <c r="B203" s="27" t="s">
        <v>872</v>
      </c>
      <c r="C203" s="27" t="s">
        <v>255</v>
      </c>
      <c r="D203" s="32">
        <f>36952+5+19+8750</f>
        <v>45726</v>
      </c>
      <c r="E203" s="32">
        <f>83+43+20</f>
        <v>146</v>
      </c>
      <c r="F203" s="32">
        <v>0</v>
      </c>
      <c r="G203" s="32">
        <v>0</v>
      </c>
      <c r="H203" s="32">
        <v>0</v>
      </c>
      <c r="I203" s="32">
        <v>46921</v>
      </c>
      <c r="J203" s="32">
        <v>8020</v>
      </c>
      <c r="M203" s="68" t="s">
        <v>67</v>
      </c>
      <c r="N203" s="13" t="s">
        <v>872</v>
      </c>
      <c r="O203" s="13" t="s">
        <v>255</v>
      </c>
      <c r="P203" s="13">
        <v>45726</v>
      </c>
      <c r="Q203" s="13">
        <v>146</v>
      </c>
      <c r="R203" s="13">
        <v>0</v>
      </c>
      <c r="S203" s="13">
        <v>0</v>
      </c>
      <c r="T203" s="13">
        <v>0</v>
      </c>
      <c r="U203" s="13">
        <v>46921</v>
      </c>
      <c r="V203" s="69">
        <v>8020</v>
      </c>
    </row>
    <row r="204" spans="1:22" x14ac:dyDescent="0.25">
      <c r="A204" s="27" t="s">
        <v>72</v>
      </c>
      <c r="B204" s="27" t="s">
        <v>872</v>
      </c>
      <c r="C204" s="27" t="s">
        <v>256</v>
      </c>
      <c r="D204" s="32">
        <f>21425+475+1+2+28+5209</f>
        <v>27140</v>
      </c>
      <c r="E204" s="32">
        <f>18+4</f>
        <v>22</v>
      </c>
      <c r="F204" s="32">
        <v>0</v>
      </c>
      <c r="G204" s="32">
        <v>0</v>
      </c>
      <c r="H204" s="32">
        <v>0</v>
      </c>
      <c r="I204" s="32">
        <v>26287</v>
      </c>
      <c r="J204" s="32">
        <v>4840</v>
      </c>
      <c r="M204" s="65" t="s">
        <v>72</v>
      </c>
      <c r="N204" s="66" t="s">
        <v>872</v>
      </c>
      <c r="O204" s="66" t="s">
        <v>256</v>
      </c>
      <c r="P204" s="66">
        <v>27140</v>
      </c>
      <c r="Q204" s="66">
        <v>22</v>
      </c>
      <c r="R204" s="66">
        <v>0</v>
      </c>
      <c r="S204" s="66">
        <v>0</v>
      </c>
      <c r="T204" s="66">
        <v>0</v>
      </c>
      <c r="U204" s="66">
        <v>26287</v>
      </c>
      <c r="V204" s="67">
        <v>4840</v>
      </c>
    </row>
    <row r="205" spans="1:22" x14ac:dyDescent="0.25">
      <c r="A205" s="27" t="s">
        <v>890</v>
      </c>
      <c r="B205" s="27" t="s">
        <v>872</v>
      </c>
      <c r="C205" s="27" t="s">
        <v>257</v>
      </c>
      <c r="D205" s="32">
        <f>54701+1+26+13568</f>
        <v>68296</v>
      </c>
      <c r="E205" s="32">
        <f>254+74+70+777+64+1553</f>
        <v>2792</v>
      </c>
      <c r="F205" s="32">
        <v>0</v>
      </c>
      <c r="G205" s="32">
        <v>0</v>
      </c>
      <c r="H205" s="32">
        <v>0</v>
      </c>
      <c r="I205" s="32">
        <v>11728</v>
      </c>
      <c r="J205" s="32">
        <v>12132</v>
      </c>
      <c r="M205" s="68" t="s">
        <v>890</v>
      </c>
      <c r="N205" s="13" t="s">
        <v>872</v>
      </c>
      <c r="O205" s="13" t="s">
        <v>257</v>
      </c>
      <c r="P205" s="13">
        <v>68296</v>
      </c>
      <c r="Q205" s="13">
        <v>2792</v>
      </c>
      <c r="R205" s="13">
        <v>0</v>
      </c>
      <c r="S205" s="13">
        <v>0</v>
      </c>
      <c r="T205" s="13">
        <v>0</v>
      </c>
      <c r="U205" s="13">
        <v>11728</v>
      </c>
      <c r="V205" s="69">
        <v>12132</v>
      </c>
    </row>
    <row r="206" spans="1:22" x14ac:dyDescent="0.25">
      <c r="A206" s="27" t="s">
        <v>817</v>
      </c>
      <c r="B206" s="27" t="s">
        <v>872</v>
      </c>
      <c r="C206" s="27" t="s">
        <v>258</v>
      </c>
      <c r="D206" s="32">
        <f>32643+680+7+1+22091+1</f>
        <v>55423</v>
      </c>
      <c r="E206" s="32">
        <f>825+4+2+19+21+28</f>
        <v>899</v>
      </c>
      <c r="F206" s="32">
        <v>0</v>
      </c>
      <c r="G206" s="32">
        <v>0</v>
      </c>
      <c r="H206" s="32">
        <v>0</v>
      </c>
      <c r="I206" s="32">
        <v>91805</v>
      </c>
      <c r="J206" s="32">
        <v>17812</v>
      </c>
      <c r="M206" s="65" t="s">
        <v>817</v>
      </c>
      <c r="N206" s="66" t="s">
        <v>872</v>
      </c>
      <c r="O206" s="66" t="s">
        <v>258</v>
      </c>
      <c r="P206" s="66">
        <v>55423</v>
      </c>
      <c r="Q206" s="66">
        <v>899</v>
      </c>
      <c r="R206" s="66">
        <v>0</v>
      </c>
      <c r="S206" s="66">
        <v>0</v>
      </c>
      <c r="T206" s="66">
        <v>0</v>
      </c>
      <c r="U206" s="66">
        <v>91805</v>
      </c>
      <c r="V206" s="67">
        <v>17812</v>
      </c>
    </row>
    <row r="207" spans="1:22" x14ac:dyDescent="0.25">
      <c r="A207" s="27" t="s">
        <v>795</v>
      </c>
      <c r="B207" s="27" t="s">
        <v>872</v>
      </c>
      <c r="C207" s="27" t="s">
        <v>259</v>
      </c>
      <c r="D207" s="32">
        <f>51571+15743+30086+858</f>
        <v>98258</v>
      </c>
      <c r="E207" s="32">
        <f>483+3+9+40</f>
        <v>535</v>
      </c>
      <c r="F207" s="32">
        <v>0</v>
      </c>
      <c r="G207" s="32">
        <v>0</v>
      </c>
      <c r="H207" s="32">
        <v>0</v>
      </c>
      <c r="I207" s="32">
        <v>28812</v>
      </c>
      <c r="J207" s="32">
        <v>25199</v>
      </c>
      <c r="M207" s="68" t="s">
        <v>795</v>
      </c>
      <c r="N207" s="13" t="s">
        <v>872</v>
      </c>
      <c r="O207" s="13" t="s">
        <v>259</v>
      </c>
      <c r="P207" s="13">
        <v>98258</v>
      </c>
      <c r="Q207" s="13">
        <v>535</v>
      </c>
      <c r="R207" s="13">
        <v>0</v>
      </c>
      <c r="S207" s="13">
        <v>0</v>
      </c>
      <c r="T207" s="13">
        <v>0</v>
      </c>
      <c r="U207" s="13">
        <v>28812</v>
      </c>
      <c r="V207" s="69">
        <v>25199</v>
      </c>
    </row>
    <row r="208" spans="1:22" x14ac:dyDescent="0.25">
      <c r="A208" s="27" t="s">
        <v>864</v>
      </c>
      <c r="B208" s="27" t="s">
        <v>872</v>
      </c>
      <c r="C208" s="27" t="s">
        <v>260</v>
      </c>
      <c r="D208" s="32">
        <f>28419+4+1367+2+4+11+2+8+23189+2</f>
        <v>53008</v>
      </c>
      <c r="E208" s="32">
        <f>213+1+233+41+169</f>
        <v>657</v>
      </c>
      <c r="F208" s="32">
        <v>0</v>
      </c>
      <c r="G208" s="32">
        <v>0</v>
      </c>
      <c r="H208" s="32">
        <v>0</v>
      </c>
      <c r="I208" s="32">
        <v>47985</v>
      </c>
      <c r="J208" s="32">
        <v>19003</v>
      </c>
      <c r="M208" s="65" t="s">
        <v>864</v>
      </c>
      <c r="N208" s="66" t="s">
        <v>872</v>
      </c>
      <c r="O208" s="66" t="s">
        <v>260</v>
      </c>
      <c r="P208" s="66">
        <v>53008</v>
      </c>
      <c r="Q208" s="66">
        <v>657</v>
      </c>
      <c r="R208" s="66">
        <v>0</v>
      </c>
      <c r="S208" s="66">
        <v>0</v>
      </c>
      <c r="T208" s="66">
        <v>0</v>
      </c>
      <c r="U208" s="66">
        <v>47985</v>
      </c>
      <c r="V208" s="67">
        <v>19003</v>
      </c>
    </row>
    <row r="209" spans="1:22" x14ac:dyDescent="0.25">
      <c r="A209" s="27" t="s">
        <v>826</v>
      </c>
      <c r="B209" s="27" t="s">
        <v>872</v>
      </c>
      <c r="C209" s="27" t="s">
        <v>261</v>
      </c>
      <c r="D209" s="32">
        <f>911+1+4+126+2793</f>
        <v>3835</v>
      </c>
      <c r="E209" s="32">
        <f>5+17</f>
        <v>22</v>
      </c>
      <c r="F209" s="32">
        <v>0</v>
      </c>
      <c r="G209" s="32">
        <v>0</v>
      </c>
      <c r="H209" s="32">
        <v>0</v>
      </c>
      <c r="I209" s="32">
        <v>1629</v>
      </c>
      <c r="J209" s="32">
        <v>2089</v>
      </c>
      <c r="M209" s="68" t="s">
        <v>826</v>
      </c>
      <c r="N209" s="13" t="s">
        <v>872</v>
      </c>
      <c r="O209" s="13" t="s">
        <v>261</v>
      </c>
      <c r="P209" s="13">
        <v>3835</v>
      </c>
      <c r="Q209" s="13">
        <v>22</v>
      </c>
      <c r="R209" s="13">
        <v>0</v>
      </c>
      <c r="S209" s="13">
        <v>0</v>
      </c>
      <c r="T209" s="13">
        <v>0</v>
      </c>
      <c r="U209" s="13">
        <v>1629</v>
      </c>
      <c r="V209" s="69">
        <v>2089</v>
      </c>
    </row>
    <row r="210" spans="1:22" x14ac:dyDescent="0.25">
      <c r="A210" s="27" t="s">
        <v>801</v>
      </c>
      <c r="B210" s="27" t="s">
        <v>872</v>
      </c>
      <c r="C210" s="27" t="s">
        <v>262</v>
      </c>
      <c r="D210" s="32">
        <f>48151+1+2+1416+1+25+16+1+1+11+24936</f>
        <v>74561</v>
      </c>
      <c r="E210" s="32">
        <f>300+22+236+385+22+2</f>
        <v>967</v>
      </c>
      <c r="F210" s="32">
        <v>0</v>
      </c>
      <c r="G210" s="32">
        <v>0</v>
      </c>
      <c r="H210" s="32">
        <v>0</v>
      </c>
      <c r="I210" s="32">
        <v>115312</v>
      </c>
      <c r="J210" s="32">
        <v>21674</v>
      </c>
      <c r="M210" s="65" t="s">
        <v>801</v>
      </c>
      <c r="N210" s="66" t="s">
        <v>872</v>
      </c>
      <c r="O210" s="66" t="s">
        <v>262</v>
      </c>
      <c r="P210" s="66">
        <v>74561</v>
      </c>
      <c r="Q210" s="66">
        <v>967</v>
      </c>
      <c r="R210" s="66">
        <v>0</v>
      </c>
      <c r="S210" s="66">
        <v>0</v>
      </c>
      <c r="T210" s="66">
        <v>0</v>
      </c>
      <c r="U210" s="66">
        <v>115312</v>
      </c>
      <c r="V210" s="67">
        <v>21674</v>
      </c>
    </row>
    <row r="211" spans="1:22" x14ac:dyDescent="0.25">
      <c r="A211" s="27" t="s">
        <v>120</v>
      </c>
      <c r="B211" s="27" t="s">
        <v>872</v>
      </c>
      <c r="C211" s="27" t="s">
        <v>263</v>
      </c>
      <c r="D211" s="32">
        <f>38641+52+5+1042+3+19+4013</f>
        <v>43775</v>
      </c>
      <c r="E211" s="32">
        <f>25+1</f>
        <v>26</v>
      </c>
      <c r="F211" s="32">
        <v>0</v>
      </c>
      <c r="G211" s="32">
        <v>0</v>
      </c>
      <c r="H211" s="32">
        <v>0</v>
      </c>
      <c r="I211" s="32">
        <v>5201</v>
      </c>
      <c r="J211" s="32">
        <v>3194</v>
      </c>
      <c r="M211" s="68" t="s">
        <v>120</v>
      </c>
      <c r="N211" s="13" t="s">
        <v>872</v>
      </c>
      <c r="O211" s="13" t="s">
        <v>263</v>
      </c>
      <c r="P211" s="13">
        <v>43775</v>
      </c>
      <c r="Q211" s="13">
        <v>26</v>
      </c>
      <c r="R211" s="13">
        <v>0</v>
      </c>
      <c r="S211" s="13">
        <v>0</v>
      </c>
      <c r="T211" s="13">
        <v>0</v>
      </c>
      <c r="U211" s="13">
        <v>5201</v>
      </c>
      <c r="V211" s="69">
        <v>3194</v>
      </c>
    </row>
    <row r="212" spans="1:22" x14ac:dyDescent="0.25">
      <c r="A212" s="27" t="s">
        <v>868</v>
      </c>
      <c r="B212" s="27" t="s">
        <v>872</v>
      </c>
      <c r="C212" s="27" t="s">
        <v>264</v>
      </c>
      <c r="D212" s="32">
        <f>17540+1+8+6+2111+30+127+3898</f>
        <v>23721</v>
      </c>
      <c r="E212" s="32">
        <f>78+108+1</f>
        <v>187</v>
      </c>
      <c r="F212" s="32">
        <v>0</v>
      </c>
      <c r="G212" s="32">
        <v>0</v>
      </c>
      <c r="H212" s="32">
        <v>0</v>
      </c>
      <c r="I212" s="32">
        <v>8463</v>
      </c>
      <c r="J212" s="32">
        <v>3342</v>
      </c>
      <c r="M212" s="65" t="s">
        <v>868</v>
      </c>
      <c r="N212" s="66" t="s">
        <v>872</v>
      </c>
      <c r="O212" s="66" t="s">
        <v>264</v>
      </c>
      <c r="P212" s="66">
        <v>23721</v>
      </c>
      <c r="Q212" s="66">
        <v>187</v>
      </c>
      <c r="R212" s="66">
        <v>0</v>
      </c>
      <c r="S212" s="66">
        <v>0</v>
      </c>
      <c r="T212" s="66">
        <v>0</v>
      </c>
      <c r="U212" s="66">
        <v>8463</v>
      </c>
      <c r="V212" s="67">
        <v>3342</v>
      </c>
    </row>
    <row r="213" spans="1:22" x14ac:dyDescent="0.25">
      <c r="A213" s="27" t="s">
        <v>265</v>
      </c>
      <c r="B213" s="27" t="s">
        <v>872</v>
      </c>
      <c r="C213" s="27" t="s">
        <v>266</v>
      </c>
      <c r="D213" s="32">
        <f>86597+4+1+126+16+2+1+92+24890</f>
        <v>111729</v>
      </c>
      <c r="E213" s="32">
        <f>220+6+280</f>
        <v>506</v>
      </c>
      <c r="F213" s="32">
        <v>0</v>
      </c>
      <c r="G213" s="32">
        <v>0</v>
      </c>
      <c r="H213" s="32">
        <v>0</v>
      </c>
      <c r="I213" s="32">
        <v>63548</v>
      </c>
      <c r="J213" s="32">
        <v>22264</v>
      </c>
      <c r="M213" s="68" t="s">
        <v>265</v>
      </c>
      <c r="N213" s="13" t="s">
        <v>872</v>
      </c>
      <c r="O213" s="13" t="s">
        <v>266</v>
      </c>
      <c r="P213" s="13">
        <v>111729</v>
      </c>
      <c r="Q213" s="13">
        <v>506</v>
      </c>
      <c r="R213" s="13">
        <v>0</v>
      </c>
      <c r="S213" s="13">
        <v>0</v>
      </c>
      <c r="T213" s="13">
        <v>0</v>
      </c>
      <c r="U213" s="13">
        <v>63548</v>
      </c>
      <c r="V213" s="69">
        <v>22264</v>
      </c>
    </row>
    <row r="214" spans="1:22" x14ac:dyDescent="0.25">
      <c r="A214" s="27" t="s">
        <v>797</v>
      </c>
      <c r="B214" s="27" t="s">
        <v>872</v>
      </c>
      <c r="C214" s="27" t="s">
        <v>267</v>
      </c>
      <c r="D214" s="32">
        <f>32205+3+1+37+1+1+51846</f>
        <v>84094</v>
      </c>
      <c r="E214" s="32">
        <f>301+1+53+1181+27</f>
        <v>1563</v>
      </c>
      <c r="F214" s="32">
        <v>0</v>
      </c>
      <c r="G214" s="32">
        <v>0</v>
      </c>
      <c r="H214" s="32">
        <v>0</v>
      </c>
      <c r="I214" s="32">
        <v>54322</v>
      </c>
      <c r="J214" s="32">
        <v>44210</v>
      </c>
      <c r="M214" s="65" t="s">
        <v>797</v>
      </c>
      <c r="N214" s="66" t="s">
        <v>872</v>
      </c>
      <c r="O214" s="66" t="s">
        <v>267</v>
      </c>
      <c r="P214" s="66">
        <v>84094</v>
      </c>
      <c r="Q214" s="66">
        <v>1563</v>
      </c>
      <c r="R214" s="66">
        <v>0</v>
      </c>
      <c r="S214" s="66">
        <v>0</v>
      </c>
      <c r="T214" s="66">
        <v>0</v>
      </c>
      <c r="U214" s="66">
        <v>54322</v>
      </c>
      <c r="V214" s="67">
        <v>44210</v>
      </c>
    </row>
    <row r="215" spans="1:22" x14ac:dyDescent="0.25">
      <c r="A215" s="27" t="s">
        <v>831</v>
      </c>
      <c r="B215" s="27" t="s">
        <v>872</v>
      </c>
      <c r="C215" s="27" t="s">
        <v>268</v>
      </c>
      <c r="D215" s="32">
        <f>22261+3+3+9363</f>
        <v>31630</v>
      </c>
      <c r="E215" s="32">
        <f>272+53</f>
        <v>325</v>
      </c>
      <c r="F215" s="32">
        <v>0</v>
      </c>
      <c r="G215" s="32">
        <v>0</v>
      </c>
      <c r="H215" s="32">
        <v>0</v>
      </c>
      <c r="I215" s="32">
        <v>45155</v>
      </c>
      <c r="J215" s="32">
        <v>8405</v>
      </c>
      <c r="M215" s="68" t="s">
        <v>831</v>
      </c>
      <c r="N215" s="13" t="s">
        <v>872</v>
      </c>
      <c r="O215" s="13" t="s">
        <v>268</v>
      </c>
      <c r="P215" s="13">
        <v>31630</v>
      </c>
      <c r="Q215" s="13">
        <v>325</v>
      </c>
      <c r="R215" s="13">
        <v>0</v>
      </c>
      <c r="S215" s="13">
        <v>0</v>
      </c>
      <c r="T215" s="13">
        <v>0</v>
      </c>
      <c r="U215" s="13">
        <v>45155</v>
      </c>
      <c r="V215" s="69">
        <v>8405</v>
      </c>
    </row>
    <row r="216" spans="1:22" x14ac:dyDescent="0.25">
      <c r="A216" s="27" t="s">
        <v>794</v>
      </c>
      <c r="B216" s="27" t="s">
        <v>872</v>
      </c>
      <c r="C216" s="27" t="s">
        <v>269</v>
      </c>
      <c r="D216" s="32">
        <f>38556+4+1+327+3+48+10783</f>
        <v>49722</v>
      </c>
      <c r="E216" s="32">
        <f>163+4+3+2+2</f>
        <v>174</v>
      </c>
      <c r="F216" s="32">
        <v>0</v>
      </c>
      <c r="G216" s="32">
        <v>0</v>
      </c>
      <c r="H216" s="32">
        <v>0</v>
      </c>
      <c r="I216" s="32">
        <v>24420</v>
      </c>
      <c r="J216" s="32">
        <v>9050</v>
      </c>
      <c r="M216" s="65" t="s">
        <v>794</v>
      </c>
      <c r="N216" s="66" t="s">
        <v>872</v>
      </c>
      <c r="O216" s="66" t="s">
        <v>269</v>
      </c>
      <c r="P216" s="66">
        <v>49722</v>
      </c>
      <c r="Q216" s="66">
        <v>174</v>
      </c>
      <c r="R216" s="66">
        <v>0</v>
      </c>
      <c r="S216" s="66">
        <v>0</v>
      </c>
      <c r="T216" s="66">
        <v>0</v>
      </c>
      <c r="U216" s="66">
        <v>24420</v>
      </c>
      <c r="V216" s="67">
        <v>9050</v>
      </c>
    </row>
    <row r="217" spans="1:22" x14ac:dyDescent="0.25">
      <c r="A217" s="27" t="s">
        <v>809</v>
      </c>
      <c r="B217" s="27" t="s">
        <v>872</v>
      </c>
      <c r="C217" s="27" t="s">
        <v>270</v>
      </c>
      <c r="D217" s="32">
        <f>21478+1+15+1+1+1+90+14972</f>
        <v>36559</v>
      </c>
      <c r="E217" s="32">
        <f>24+99+2</f>
        <v>125</v>
      </c>
      <c r="F217" s="32">
        <v>0</v>
      </c>
      <c r="G217" s="32">
        <v>0</v>
      </c>
      <c r="H217" s="32">
        <v>0</v>
      </c>
      <c r="I217" s="32">
        <v>17082</v>
      </c>
      <c r="J217" s="32">
        <v>8481</v>
      </c>
      <c r="M217" s="68" t="s">
        <v>809</v>
      </c>
      <c r="N217" s="13" t="s">
        <v>872</v>
      </c>
      <c r="O217" s="13" t="s">
        <v>270</v>
      </c>
      <c r="P217" s="13">
        <v>36559</v>
      </c>
      <c r="Q217" s="13">
        <v>125</v>
      </c>
      <c r="R217" s="13">
        <v>0</v>
      </c>
      <c r="S217" s="13">
        <v>0</v>
      </c>
      <c r="T217" s="13">
        <v>0</v>
      </c>
      <c r="U217" s="13">
        <v>17082</v>
      </c>
      <c r="V217" s="69">
        <v>8481</v>
      </c>
    </row>
    <row r="218" spans="1:22" x14ac:dyDescent="0.25">
      <c r="A218" s="27" t="s">
        <v>265</v>
      </c>
      <c r="B218" s="27" t="s">
        <v>872</v>
      </c>
      <c r="C218" s="27" t="s">
        <v>271</v>
      </c>
      <c r="D218" s="32">
        <f>117720+36+871+59+8+1+1+2+1+4+14+33972</f>
        <v>152689</v>
      </c>
      <c r="E218" s="32">
        <f>2150+10+14+28+16+4</f>
        <v>2222</v>
      </c>
      <c r="F218" s="32">
        <v>0</v>
      </c>
      <c r="G218" s="32">
        <v>0</v>
      </c>
      <c r="H218" s="32">
        <v>0</v>
      </c>
      <c r="I218" s="32">
        <v>157068</v>
      </c>
      <c r="J218" s="32">
        <v>23804</v>
      </c>
      <c r="M218" s="65" t="s">
        <v>265</v>
      </c>
      <c r="N218" s="66" t="s">
        <v>872</v>
      </c>
      <c r="O218" s="66" t="s">
        <v>271</v>
      </c>
      <c r="P218" s="66">
        <v>152689</v>
      </c>
      <c r="Q218" s="66">
        <v>2222</v>
      </c>
      <c r="R218" s="66">
        <v>0</v>
      </c>
      <c r="S218" s="66">
        <v>0</v>
      </c>
      <c r="T218" s="66">
        <v>0</v>
      </c>
      <c r="U218" s="66">
        <v>157068</v>
      </c>
      <c r="V218" s="67">
        <v>23804</v>
      </c>
    </row>
    <row r="219" spans="1:22" x14ac:dyDescent="0.25">
      <c r="A219" s="27" t="s">
        <v>823</v>
      </c>
      <c r="B219" s="27" t="s">
        <v>872</v>
      </c>
      <c r="C219" s="27" t="s">
        <v>272</v>
      </c>
      <c r="D219" s="32">
        <f>43772+1+55+1+20+71+37281+2</f>
        <v>81203</v>
      </c>
      <c r="E219" s="32">
        <f>158+11+186+97</f>
        <v>452</v>
      </c>
      <c r="F219" s="32">
        <v>0</v>
      </c>
      <c r="G219" s="32">
        <v>0</v>
      </c>
      <c r="H219" s="32">
        <v>0</v>
      </c>
      <c r="I219" s="32">
        <v>38352</v>
      </c>
      <c r="J219" s="32">
        <v>28095</v>
      </c>
      <c r="M219" s="68" t="s">
        <v>823</v>
      </c>
      <c r="N219" s="13" t="s">
        <v>872</v>
      </c>
      <c r="O219" s="13" t="s">
        <v>272</v>
      </c>
      <c r="P219" s="13">
        <v>81203</v>
      </c>
      <c r="Q219" s="13">
        <v>452</v>
      </c>
      <c r="R219" s="13">
        <v>0</v>
      </c>
      <c r="S219" s="13">
        <v>0</v>
      </c>
      <c r="T219" s="13">
        <v>0</v>
      </c>
      <c r="U219" s="13">
        <v>38352</v>
      </c>
      <c r="V219" s="69">
        <v>28095</v>
      </c>
    </row>
    <row r="220" spans="1:22" x14ac:dyDescent="0.25">
      <c r="A220" s="27" t="s">
        <v>146</v>
      </c>
      <c r="B220" s="27" t="s">
        <v>872</v>
      </c>
      <c r="C220" s="27" t="s">
        <v>273</v>
      </c>
      <c r="D220" s="32">
        <f>20073+1+6256+9+28749+3+2+1</f>
        <v>55094</v>
      </c>
      <c r="E220" s="32">
        <f>153+394+2+9</f>
        <v>558</v>
      </c>
      <c r="F220" s="32">
        <v>0</v>
      </c>
      <c r="G220" s="32">
        <v>0</v>
      </c>
      <c r="H220" s="32">
        <v>0</v>
      </c>
      <c r="I220" s="32">
        <v>120600</v>
      </c>
      <c r="J220" s="32">
        <v>25192</v>
      </c>
      <c r="M220" s="65" t="s">
        <v>146</v>
      </c>
      <c r="N220" s="66" t="s">
        <v>872</v>
      </c>
      <c r="O220" s="66" t="s">
        <v>273</v>
      </c>
      <c r="P220" s="66">
        <v>55094</v>
      </c>
      <c r="Q220" s="66">
        <v>558</v>
      </c>
      <c r="R220" s="66">
        <v>0</v>
      </c>
      <c r="S220" s="66">
        <v>0</v>
      </c>
      <c r="T220" s="66">
        <v>0</v>
      </c>
      <c r="U220" s="66">
        <v>120600</v>
      </c>
      <c r="V220" s="67">
        <v>25192</v>
      </c>
    </row>
    <row r="221" spans="1:22" x14ac:dyDescent="0.25">
      <c r="A221" s="27" t="s">
        <v>788</v>
      </c>
      <c r="B221" s="27" t="s">
        <v>872</v>
      </c>
      <c r="C221" s="27" t="s">
        <v>274</v>
      </c>
      <c r="D221" s="32">
        <f>31344+668+10+17140+1</f>
        <v>49163</v>
      </c>
      <c r="E221" s="32">
        <f>29+3+1+12</f>
        <v>45</v>
      </c>
      <c r="F221" s="32">
        <v>0</v>
      </c>
      <c r="G221" s="32">
        <v>0</v>
      </c>
      <c r="H221" s="32">
        <v>0</v>
      </c>
      <c r="I221" s="32">
        <v>41849</v>
      </c>
      <c r="J221" s="32">
        <v>12406</v>
      </c>
      <c r="M221" s="68" t="s">
        <v>788</v>
      </c>
      <c r="N221" s="13" t="s">
        <v>872</v>
      </c>
      <c r="O221" s="13" t="s">
        <v>274</v>
      </c>
      <c r="P221" s="13">
        <v>49163</v>
      </c>
      <c r="Q221" s="13">
        <v>45</v>
      </c>
      <c r="R221" s="13">
        <v>0</v>
      </c>
      <c r="S221" s="13">
        <v>0</v>
      </c>
      <c r="T221" s="13">
        <v>0</v>
      </c>
      <c r="U221" s="13">
        <v>41849</v>
      </c>
      <c r="V221" s="69">
        <v>12406</v>
      </c>
    </row>
    <row r="222" spans="1:22" x14ac:dyDescent="0.25">
      <c r="A222" s="27" t="s">
        <v>495</v>
      </c>
      <c r="B222" s="27" t="s">
        <v>874</v>
      </c>
      <c r="C222" s="27" t="s">
        <v>275</v>
      </c>
      <c r="D222" s="32">
        <f>388994+382+18+4+9846+1+2+11+186911+2940+77+6117+1</f>
        <v>595304</v>
      </c>
      <c r="E222" s="32">
        <f>3135+111+4+3+751+267+90+65+23+3</f>
        <v>4452</v>
      </c>
      <c r="F222" s="32">
        <v>0</v>
      </c>
      <c r="G222" s="32">
        <v>0</v>
      </c>
      <c r="H222" s="32">
        <v>0</v>
      </c>
      <c r="I222" s="32">
        <v>79058</v>
      </c>
      <c r="J222" s="32">
        <v>172784</v>
      </c>
      <c r="M222" s="65" t="s">
        <v>495</v>
      </c>
      <c r="N222" s="66" t="s">
        <v>874</v>
      </c>
      <c r="O222" s="66" t="s">
        <v>275</v>
      </c>
      <c r="P222" s="66">
        <v>595304</v>
      </c>
      <c r="Q222" s="66">
        <v>4452</v>
      </c>
      <c r="R222" s="66">
        <v>0</v>
      </c>
      <c r="S222" s="66">
        <v>0</v>
      </c>
      <c r="T222" s="66">
        <v>0</v>
      </c>
      <c r="U222" s="66">
        <v>79058</v>
      </c>
      <c r="V222" s="67">
        <v>172784</v>
      </c>
    </row>
    <row r="223" spans="1:22" x14ac:dyDescent="0.25">
      <c r="A223" s="27" t="s">
        <v>120</v>
      </c>
      <c r="B223" s="27" t="s">
        <v>874</v>
      </c>
      <c r="C223" s="27" t="s">
        <v>276</v>
      </c>
      <c r="D223" s="32">
        <f>200969+14245+2+298+40+102045+1889+1+5+4</f>
        <v>319498</v>
      </c>
      <c r="E223" s="32">
        <f>114+143+172+20+1272+48+78+684+12+1+689</f>
        <v>3233</v>
      </c>
      <c r="F223" s="32">
        <v>0</v>
      </c>
      <c r="G223" s="32">
        <v>0</v>
      </c>
      <c r="H223" s="32">
        <v>0</v>
      </c>
      <c r="I223" s="32">
        <v>63941</v>
      </c>
      <c r="J223" s="32">
        <v>83319</v>
      </c>
      <c r="M223" s="68" t="s">
        <v>120</v>
      </c>
      <c r="N223" s="13" t="s">
        <v>874</v>
      </c>
      <c r="O223" s="13" t="s">
        <v>276</v>
      </c>
      <c r="P223" s="13">
        <v>319498</v>
      </c>
      <c r="Q223" s="13">
        <v>3233</v>
      </c>
      <c r="R223" s="13">
        <v>0</v>
      </c>
      <c r="S223" s="13">
        <v>0</v>
      </c>
      <c r="T223" s="13">
        <v>0</v>
      </c>
      <c r="U223" s="13">
        <v>63941</v>
      </c>
      <c r="V223" s="69">
        <v>83319</v>
      </c>
    </row>
    <row r="224" spans="1:22" x14ac:dyDescent="0.25">
      <c r="A224" s="27" t="s">
        <v>76</v>
      </c>
      <c r="B224" s="27" t="s">
        <v>875</v>
      </c>
      <c r="C224" s="27" t="s">
        <v>277</v>
      </c>
      <c r="D224" s="32">
        <f>115068+2+1+6726+8+5943</f>
        <v>127748</v>
      </c>
      <c r="E224" s="32">
        <f>559+2+53</f>
        <v>614</v>
      </c>
      <c r="F224" s="32">
        <v>0</v>
      </c>
      <c r="G224" s="32">
        <v>0</v>
      </c>
      <c r="H224" s="32">
        <v>0</v>
      </c>
      <c r="I224" s="32">
        <v>0</v>
      </c>
      <c r="J224" s="32">
        <v>0</v>
      </c>
      <c r="M224" s="65" t="s">
        <v>76</v>
      </c>
      <c r="N224" s="66" t="s">
        <v>875</v>
      </c>
      <c r="O224" s="66" t="s">
        <v>277</v>
      </c>
      <c r="P224" s="66">
        <v>127748</v>
      </c>
      <c r="Q224" s="66">
        <v>614</v>
      </c>
      <c r="R224" s="66">
        <v>0</v>
      </c>
      <c r="S224" s="66">
        <v>0</v>
      </c>
      <c r="T224" s="66">
        <v>0</v>
      </c>
      <c r="U224" s="66">
        <v>0</v>
      </c>
      <c r="V224" s="67">
        <v>0</v>
      </c>
    </row>
    <row r="225" spans="1:22" x14ac:dyDescent="0.25">
      <c r="A225" s="27" t="s">
        <v>823</v>
      </c>
      <c r="B225" s="27" t="s">
        <v>875</v>
      </c>
      <c r="C225" s="27" t="s">
        <v>278</v>
      </c>
      <c r="D225" s="32">
        <v>93312</v>
      </c>
      <c r="E225" s="32">
        <v>0</v>
      </c>
      <c r="F225" s="32">
        <v>0</v>
      </c>
      <c r="G225" s="32">
        <v>0</v>
      </c>
      <c r="H225" s="32">
        <v>0</v>
      </c>
      <c r="I225" s="32">
        <v>0</v>
      </c>
      <c r="J225" s="32">
        <v>0</v>
      </c>
      <c r="M225" s="68" t="s">
        <v>823</v>
      </c>
      <c r="N225" s="13" t="s">
        <v>875</v>
      </c>
      <c r="O225" s="13" t="s">
        <v>278</v>
      </c>
      <c r="P225" s="13">
        <v>93312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69">
        <v>0</v>
      </c>
    </row>
    <row r="226" spans="1:22" x14ac:dyDescent="0.25">
      <c r="A226" s="27" t="s">
        <v>120</v>
      </c>
      <c r="B226" s="27" t="s">
        <v>876</v>
      </c>
      <c r="C226" s="27" t="s">
        <v>279</v>
      </c>
      <c r="D226" s="32">
        <v>0</v>
      </c>
      <c r="E226" s="32">
        <v>0</v>
      </c>
      <c r="F226" s="32">
        <v>0</v>
      </c>
      <c r="G226" s="32">
        <v>0</v>
      </c>
      <c r="H226" s="32">
        <v>0</v>
      </c>
      <c r="I226" s="32">
        <f>38877+42530+5580</f>
        <v>86987</v>
      </c>
      <c r="J226" s="32">
        <v>0</v>
      </c>
      <c r="M226" s="65" t="s">
        <v>120</v>
      </c>
      <c r="N226" s="66" t="s">
        <v>876</v>
      </c>
      <c r="O226" s="66" t="s">
        <v>279</v>
      </c>
      <c r="P226" s="66">
        <v>0</v>
      </c>
      <c r="Q226" s="66">
        <v>0</v>
      </c>
      <c r="R226" s="66">
        <v>0</v>
      </c>
      <c r="S226" s="66">
        <v>0</v>
      </c>
      <c r="T226" s="66">
        <v>0</v>
      </c>
      <c r="U226" s="66">
        <v>86987</v>
      </c>
      <c r="V226" s="67">
        <v>0</v>
      </c>
    </row>
    <row r="227" spans="1:22" x14ac:dyDescent="0.25">
      <c r="A227" s="27" t="s">
        <v>817</v>
      </c>
      <c r="B227" s="27" t="s">
        <v>875</v>
      </c>
      <c r="C227" s="27" t="s">
        <v>280</v>
      </c>
      <c r="D227" s="32">
        <f>322123+1+236+400</f>
        <v>322760</v>
      </c>
      <c r="E227" s="32">
        <f>543+9+16</f>
        <v>568</v>
      </c>
      <c r="F227" s="32">
        <v>0</v>
      </c>
      <c r="G227" s="32">
        <v>0</v>
      </c>
      <c r="H227" s="32">
        <v>0</v>
      </c>
      <c r="I227" s="32">
        <v>0</v>
      </c>
      <c r="J227" s="32">
        <v>0</v>
      </c>
      <c r="M227" s="68" t="s">
        <v>817</v>
      </c>
      <c r="N227" s="13" t="s">
        <v>875</v>
      </c>
      <c r="O227" s="13" t="s">
        <v>280</v>
      </c>
      <c r="P227" s="13">
        <v>322760</v>
      </c>
      <c r="Q227" s="13">
        <v>568</v>
      </c>
      <c r="R227" s="13">
        <v>0</v>
      </c>
      <c r="S227" s="13">
        <v>0</v>
      </c>
      <c r="T227" s="13">
        <v>0</v>
      </c>
      <c r="U227" s="13">
        <v>0</v>
      </c>
      <c r="V227" s="69">
        <v>0</v>
      </c>
    </row>
    <row r="228" spans="1:22" x14ac:dyDescent="0.25">
      <c r="A228" s="27" t="s">
        <v>791</v>
      </c>
      <c r="B228" s="27" t="s">
        <v>875</v>
      </c>
      <c r="C228" s="27" t="s">
        <v>281</v>
      </c>
      <c r="D228" s="32">
        <f>23855+44+2+48</f>
        <v>23949</v>
      </c>
      <c r="E228" s="32">
        <v>6</v>
      </c>
      <c r="F228" s="32">
        <v>0</v>
      </c>
      <c r="G228" s="32">
        <v>0</v>
      </c>
      <c r="H228" s="32">
        <v>0</v>
      </c>
      <c r="I228" s="32">
        <v>0</v>
      </c>
      <c r="J228" s="32">
        <v>0</v>
      </c>
      <c r="M228" s="65" t="s">
        <v>791</v>
      </c>
      <c r="N228" s="66" t="s">
        <v>875</v>
      </c>
      <c r="O228" s="66" t="s">
        <v>281</v>
      </c>
      <c r="P228" s="66">
        <v>23949</v>
      </c>
      <c r="Q228" s="66">
        <v>6</v>
      </c>
      <c r="R228" s="66">
        <v>0</v>
      </c>
      <c r="S228" s="66">
        <v>0</v>
      </c>
      <c r="T228" s="66">
        <v>0</v>
      </c>
      <c r="U228" s="66">
        <v>0</v>
      </c>
      <c r="V228" s="67">
        <v>0</v>
      </c>
    </row>
    <row r="229" spans="1:22" x14ac:dyDescent="0.25">
      <c r="A229" s="27" t="s">
        <v>801</v>
      </c>
      <c r="B229" s="27" t="s">
        <v>875</v>
      </c>
      <c r="C229" s="27" t="s">
        <v>282</v>
      </c>
      <c r="D229" s="32">
        <f>22910+40</f>
        <v>22950</v>
      </c>
      <c r="E229" s="32">
        <v>138</v>
      </c>
      <c r="F229" s="32">
        <v>0</v>
      </c>
      <c r="G229" s="32">
        <v>0</v>
      </c>
      <c r="H229" s="32">
        <v>0</v>
      </c>
      <c r="I229" s="32">
        <v>0</v>
      </c>
      <c r="J229" s="32">
        <v>0</v>
      </c>
      <c r="M229" s="68" t="s">
        <v>801</v>
      </c>
      <c r="N229" s="13" t="s">
        <v>875</v>
      </c>
      <c r="O229" s="13" t="s">
        <v>282</v>
      </c>
      <c r="P229" s="13">
        <v>22950</v>
      </c>
      <c r="Q229" s="13">
        <v>138</v>
      </c>
      <c r="R229" s="13">
        <v>0</v>
      </c>
      <c r="S229" s="13">
        <v>0</v>
      </c>
      <c r="T229" s="13">
        <v>0</v>
      </c>
      <c r="U229" s="13">
        <v>0</v>
      </c>
      <c r="V229" s="69">
        <v>0</v>
      </c>
    </row>
    <row r="230" spans="1:22" x14ac:dyDescent="0.25">
      <c r="A230" s="27" t="s">
        <v>795</v>
      </c>
      <c r="B230" s="27" t="s">
        <v>875</v>
      </c>
      <c r="C230" s="27" t="s">
        <v>283</v>
      </c>
      <c r="D230" s="32">
        <f>231342+1+99+270</f>
        <v>231712</v>
      </c>
      <c r="E230" s="32">
        <f>174+39+4</f>
        <v>217</v>
      </c>
      <c r="F230" s="32">
        <v>0</v>
      </c>
      <c r="G230" s="32">
        <v>0</v>
      </c>
      <c r="H230" s="32">
        <v>0</v>
      </c>
      <c r="I230" s="32">
        <v>0</v>
      </c>
      <c r="J230" s="32">
        <v>0</v>
      </c>
      <c r="M230" s="65" t="s">
        <v>795</v>
      </c>
      <c r="N230" s="66" t="s">
        <v>875</v>
      </c>
      <c r="O230" s="66" t="s">
        <v>283</v>
      </c>
      <c r="P230" s="66">
        <v>231712</v>
      </c>
      <c r="Q230" s="66">
        <v>217</v>
      </c>
      <c r="R230" s="66">
        <v>0</v>
      </c>
      <c r="S230" s="66">
        <v>0</v>
      </c>
      <c r="T230" s="66">
        <v>0</v>
      </c>
      <c r="U230" s="66">
        <v>0</v>
      </c>
      <c r="V230" s="67">
        <v>0</v>
      </c>
    </row>
    <row r="231" spans="1:22" x14ac:dyDescent="0.25">
      <c r="A231" s="27" t="s">
        <v>811</v>
      </c>
      <c r="B231" s="27" t="s">
        <v>875</v>
      </c>
      <c r="C231" s="27" t="s">
        <v>284</v>
      </c>
      <c r="D231" s="32">
        <f>153218+21</f>
        <v>153239</v>
      </c>
      <c r="E231" s="32">
        <f>2443+168+2178</f>
        <v>4789</v>
      </c>
      <c r="F231" s="32">
        <v>0</v>
      </c>
      <c r="G231" s="32">
        <v>0</v>
      </c>
      <c r="H231" s="32">
        <v>0</v>
      </c>
      <c r="I231" s="32">
        <v>0</v>
      </c>
      <c r="J231" s="32">
        <v>0</v>
      </c>
      <c r="M231" s="68" t="s">
        <v>811</v>
      </c>
      <c r="N231" s="13" t="s">
        <v>875</v>
      </c>
      <c r="O231" s="13" t="s">
        <v>284</v>
      </c>
      <c r="P231" s="13">
        <v>153239</v>
      </c>
      <c r="Q231" s="13">
        <v>4789</v>
      </c>
      <c r="R231" s="13">
        <v>0</v>
      </c>
      <c r="S231" s="13">
        <v>0</v>
      </c>
      <c r="T231" s="13">
        <v>0</v>
      </c>
      <c r="U231" s="13">
        <v>0</v>
      </c>
      <c r="V231" s="69">
        <v>0</v>
      </c>
    </row>
    <row r="232" spans="1:22" x14ac:dyDescent="0.25">
      <c r="A232" s="27" t="s">
        <v>495</v>
      </c>
      <c r="B232" s="27" t="s">
        <v>875</v>
      </c>
      <c r="C232" s="27" t="s">
        <v>285</v>
      </c>
      <c r="D232" s="32">
        <f>31910+2239+4+3+33</f>
        <v>34189</v>
      </c>
      <c r="E232" s="32">
        <v>165</v>
      </c>
      <c r="F232" s="32">
        <v>0</v>
      </c>
      <c r="G232" s="32">
        <v>0</v>
      </c>
      <c r="H232" s="32">
        <v>0</v>
      </c>
      <c r="I232" s="32">
        <v>0</v>
      </c>
      <c r="J232" s="32">
        <v>0</v>
      </c>
      <c r="M232" s="65" t="s">
        <v>495</v>
      </c>
      <c r="N232" s="66" t="s">
        <v>875</v>
      </c>
      <c r="O232" s="66" t="s">
        <v>285</v>
      </c>
      <c r="P232" s="66">
        <v>34189</v>
      </c>
      <c r="Q232" s="66">
        <v>165</v>
      </c>
      <c r="R232" s="66">
        <v>0</v>
      </c>
      <c r="S232" s="66">
        <v>0</v>
      </c>
      <c r="T232" s="66">
        <v>0</v>
      </c>
      <c r="U232" s="66">
        <v>0</v>
      </c>
      <c r="V232" s="67">
        <v>0</v>
      </c>
    </row>
    <row r="233" spans="1:22" x14ac:dyDescent="0.25">
      <c r="A233" s="27" t="s">
        <v>101</v>
      </c>
      <c r="B233" s="27" t="s">
        <v>875</v>
      </c>
      <c r="C233" s="27" t="s">
        <v>286</v>
      </c>
      <c r="D233" s="32">
        <f>43817+996+2+11</f>
        <v>44826</v>
      </c>
      <c r="E233" s="32">
        <f>297+20</f>
        <v>317</v>
      </c>
      <c r="F233" s="32">
        <v>0</v>
      </c>
      <c r="G233" s="32">
        <v>0</v>
      </c>
      <c r="H233" s="32">
        <v>0</v>
      </c>
      <c r="I233" s="32">
        <v>0</v>
      </c>
      <c r="J233" s="32">
        <v>0</v>
      </c>
      <c r="M233" s="68" t="s">
        <v>101</v>
      </c>
      <c r="N233" s="13" t="s">
        <v>875</v>
      </c>
      <c r="O233" s="13" t="s">
        <v>286</v>
      </c>
      <c r="P233" s="13">
        <v>44826</v>
      </c>
      <c r="Q233" s="13">
        <v>317</v>
      </c>
      <c r="R233" s="13">
        <v>0</v>
      </c>
      <c r="S233" s="13">
        <v>0</v>
      </c>
      <c r="T233" s="13">
        <v>0</v>
      </c>
      <c r="U233" s="13">
        <v>0</v>
      </c>
      <c r="V233" s="69">
        <v>0</v>
      </c>
    </row>
    <row r="234" spans="1:22" x14ac:dyDescent="0.25">
      <c r="A234" s="27" t="s">
        <v>226</v>
      </c>
      <c r="B234" s="27" t="s">
        <v>875</v>
      </c>
      <c r="C234" s="27" t="s">
        <v>287</v>
      </c>
      <c r="D234" s="32">
        <f>16947+24+3+12+5</f>
        <v>16991</v>
      </c>
      <c r="E234" s="32">
        <v>0</v>
      </c>
      <c r="F234" s="32">
        <v>0</v>
      </c>
      <c r="G234" s="32">
        <v>0</v>
      </c>
      <c r="H234" s="32">
        <v>0</v>
      </c>
      <c r="I234" s="32">
        <v>0</v>
      </c>
      <c r="J234" s="32">
        <v>0</v>
      </c>
      <c r="M234" s="65" t="s">
        <v>226</v>
      </c>
      <c r="N234" s="66" t="s">
        <v>875</v>
      </c>
      <c r="O234" s="66" t="s">
        <v>287</v>
      </c>
      <c r="P234" s="66">
        <v>16991</v>
      </c>
      <c r="Q234" s="66">
        <v>0</v>
      </c>
      <c r="R234" s="66">
        <v>0</v>
      </c>
      <c r="S234" s="66">
        <v>0</v>
      </c>
      <c r="T234" s="66">
        <v>0</v>
      </c>
      <c r="U234" s="66">
        <v>0</v>
      </c>
      <c r="V234" s="67">
        <v>0</v>
      </c>
    </row>
    <row r="235" spans="1:22" x14ac:dyDescent="0.25">
      <c r="A235" s="27" t="s">
        <v>120</v>
      </c>
      <c r="B235" s="27" t="s">
        <v>877</v>
      </c>
      <c r="C235" s="27" t="s">
        <v>288</v>
      </c>
      <c r="D235" s="32">
        <v>10253</v>
      </c>
      <c r="E235" s="32">
        <v>2</v>
      </c>
      <c r="F235" s="32">
        <v>0</v>
      </c>
      <c r="G235" s="32">
        <f>85770+2+3+8</f>
        <v>85783</v>
      </c>
      <c r="H235" s="32">
        <v>46</v>
      </c>
      <c r="I235" s="32">
        <v>0</v>
      </c>
      <c r="J235" s="32">
        <v>0</v>
      </c>
      <c r="M235" s="68" t="s">
        <v>120</v>
      </c>
      <c r="N235" s="13" t="s">
        <v>877</v>
      </c>
      <c r="O235" s="13" t="s">
        <v>288</v>
      </c>
      <c r="P235" s="13">
        <v>10253</v>
      </c>
      <c r="Q235" s="13">
        <v>2</v>
      </c>
      <c r="R235" s="13">
        <v>0</v>
      </c>
      <c r="S235" s="13">
        <v>85783</v>
      </c>
      <c r="T235" s="13">
        <v>46</v>
      </c>
      <c r="U235" s="13">
        <v>0</v>
      </c>
      <c r="V235" s="69">
        <v>0</v>
      </c>
    </row>
    <row r="236" spans="1:22" x14ac:dyDescent="0.25">
      <c r="A236" s="27" t="s">
        <v>826</v>
      </c>
      <c r="B236" s="27" t="s">
        <v>877</v>
      </c>
      <c r="C236" s="27" t="s">
        <v>289</v>
      </c>
      <c r="D236" s="32">
        <f>2803+50+10</f>
        <v>2863</v>
      </c>
      <c r="E236" s="32">
        <f>121+8</f>
        <v>129</v>
      </c>
      <c r="F236" s="32">
        <v>0</v>
      </c>
      <c r="G236" s="32">
        <f>9562+51+34</f>
        <v>9647</v>
      </c>
      <c r="H236" s="32">
        <f>197+2</f>
        <v>199</v>
      </c>
      <c r="I236" s="32">
        <v>0</v>
      </c>
      <c r="J236" s="32">
        <v>0</v>
      </c>
      <c r="M236" s="65" t="s">
        <v>826</v>
      </c>
      <c r="N236" s="66" t="s">
        <v>877</v>
      </c>
      <c r="O236" s="66" t="s">
        <v>289</v>
      </c>
      <c r="P236" s="66">
        <v>2863</v>
      </c>
      <c r="Q236" s="66">
        <v>129</v>
      </c>
      <c r="R236" s="66">
        <v>0</v>
      </c>
      <c r="S236" s="66">
        <v>9647</v>
      </c>
      <c r="T236" s="66">
        <v>199</v>
      </c>
      <c r="U236" s="66">
        <v>0</v>
      </c>
      <c r="V236" s="67">
        <v>0</v>
      </c>
    </row>
    <row r="237" spans="1:22" x14ac:dyDescent="0.25">
      <c r="A237" s="27" t="s">
        <v>791</v>
      </c>
      <c r="B237" s="27" t="s">
        <v>877</v>
      </c>
      <c r="C237" s="27" t="s">
        <v>290</v>
      </c>
      <c r="D237" s="32">
        <f>6505+3+16+2+3+3+28</f>
        <v>6560</v>
      </c>
      <c r="E237" s="32">
        <f>1648+5</f>
        <v>1653</v>
      </c>
      <c r="F237" s="32">
        <v>0</v>
      </c>
      <c r="G237" s="32">
        <f>19236+7+33+19+12+15+142+2+1+7+676</f>
        <v>20150</v>
      </c>
      <c r="H237" s="32">
        <f>61+230</f>
        <v>291</v>
      </c>
      <c r="I237" s="32">
        <v>0</v>
      </c>
      <c r="J237" s="32">
        <v>0</v>
      </c>
      <c r="M237" s="68" t="s">
        <v>791</v>
      </c>
      <c r="N237" s="13" t="s">
        <v>877</v>
      </c>
      <c r="O237" s="13" t="s">
        <v>290</v>
      </c>
      <c r="P237" s="13">
        <v>6560</v>
      </c>
      <c r="Q237" s="13">
        <v>1653</v>
      </c>
      <c r="R237" s="13">
        <v>0</v>
      </c>
      <c r="S237" s="13">
        <v>20150</v>
      </c>
      <c r="T237" s="13">
        <v>291</v>
      </c>
      <c r="U237" s="13">
        <v>0</v>
      </c>
      <c r="V237" s="69">
        <v>0</v>
      </c>
    </row>
    <row r="238" spans="1:22" x14ac:dyDescent="0.25">
      <c r="A238" s="27" t="s">
        <v>826</v>
      </c>
      <c r="B238" s="27" t="s">
        <v>877</v>
      </c>
      <c r="C238" s="27" t="s">
        <v>291</v>
      </c>
      <c r="D238" s="32">
        <f>2310+13+2</f>
        <v>2325</v>
      </c>
      <c r="E238" s="32">
        <v>69</v>
      </c>
      <c r="F238" s="32">
        <v>0</v>
      </c>
      <c r="G238" s="32">
        <f>13204+12+2+15+13+48</f>
        <v>13294</v>
      </c>
      <c r="H238" s="32">
        <v>87</v>
      </c>
      <c r="I238" s="32">
        <v>0</v>
      </c>
      <c r="J238" s="32">
        <v>0</v>
      </c>
      <c r="M238" s="65" t="s">
        <v>826</v>
      </c>
      <c r="N238" s="66" t="s">
        <v>877</v>
      </c>
      <c r="O238" s="66" t="s">
        <v>291</v>
      </c>
      <c r="P238" s="66">
        <v>2325</v>
      </c>
      <c r="Q238" s="66">
        <v>69</v>
      </c>
      <c r="R238" s="66">
        <v>0</v>
      </c>
      <c r="S238" s="66">
        <v>13294</v>
      </c>
      <c r="T238" s="66">
        <v>87</v>
      </c>
      <c r="U238" s="66">
        <v>0</v>
      </c>
      <c r="V238" s="67">
        <v>0</v>
      </c>
    </row>
    <row r="239" spans="1:22" x14ac:dyDescent="0.25">
      <c r="A239" s="27" t="s">
        <v>226</v>
      </c>
      <c r="B239" s="27" t="s">
        <v>877</v>
      </c>
      <c r="C239" s="27" t="s">
        <v>292</v>
      </c>
      <c r="D239" s="32">
        <f>1479+2+1+1</f>
        <v>1483</v>
      </c>
      <c r="E239" s="32">
        <v>36</v>
      </c>
      <c r="F239" s="32">
        <v>0</v>
      </c>
      <c r="G239" s="32">
        <f>17487+7+1+100+127+2+5+2+32</f>
        <v>17763</v>
      </c>
      <c r="H239" s="32">
        <v>92</v>
      </c>
      <c r="I239" s="32">
        <v>0</v>
      </c>
      <c r="J239" s="32">
        <v>0</v>
      </c>
      <c r="M239" s="68" t="s">
        <v>226</v>
      </c>
      <c r="N239" s="13" t="s">
        <v>877</v>
      </c>
      <c r="O239" s="13" t="s">
        <v>292</v>
      </c>
      <c r="P239" s="13">
        <v>1483</v>
      </c>
      <c r="Q239" s="13">
        <v>36</v>
      </c>
      <c r="R239" s="13">
        <v>0</v>
      </c>
      <c r="S239" s="13">
        <v>17763</v>
      </c>
      <c r="T239" s="13">
        <v>92</v>
      </c>
      <c r="U239" s="13">
        <v>0</v>
      </c>
      <c r="V239" s="69">
        <v>0</v>
      </c>
    </row>
    <row r="240" spans="1:22" x14ac:dyDescent="0.25">
      <c r="A240" s="27" t="s">
        <v>495</v>
      </c>
      <c r="B240" s="27" t="s">
        <v>877</v>
      </c>
      <c r="C240" s="27" t="s">
        <v>293</v>
      </c>
      <c r="D240" s="32">
        <f>14635+25+22+31</f>
        <v>14713</v>
      </c>
      <c r="E240" s="32">
        <f>11+26+25</f>
        <v>62</v>
      </c>
      <c r="F240" s="32">
        <v>0</v>
      </c>
      <c r="G240" s="32">
        <f>16478+6+8+164</f>
        <v>16656</v>
      </c>
      <c r="H240" s="32">
        <f>16+5+47</f>
        <v>68</v>
      </c>
      <c r="I240" s="32">
        <v>0</v>
      </c>
      <c r="J240" s="32">
        <v>0</v>
      </c>
      <c r="M240" s="65" t="s">
        <v>495</v>
      </c>
      <c r="N240" s="66" t="s">
        <v>877</v>
      </c>
      <c r="O240" s="66" t="s">
        <v>293</v>
      </c>
      <c r="P240" s="66">
        <v>14713</v>
      </c>
      <c r="Q240" s="66">
        <v>62</v>
      </c>
      <c r="R240" s="66">
        <v>0</v>
      </c>
      <c r="S240" s="66">
        <v>16656</v>
      </c>
      <c r="T240" s="66">
        <v>68</v>
      </c>
      <c r="U240" s="66">
        <v>0</v>
      </c>
      <c r="V240" s="67">
        <v>0</v>
      </c>
    </row>
    <row r="241" spans="1:22" x14ac:dyDescent="0.25">
      <c r="A241" s="27" t="s">
        <v>248</v>
      </c>
      <c r="B241" s="27" t="s">
        <v>877</v>
      </c>
      <c r="C241" s="27" t="s">
        <v>294</v>
      </c>
      <c r="D241" s="32">
        <v>4383</v>
      </c>
      <c r="E241" s="32">
        <v>30</v>
      </c>
      <c r="F241" s="32">
        <v>0</v>
      </c>
      <c r="G241" s="32">
        <f>18594+7+2+85</f>
        <v>18688</v>
      </c>
      <c r="H241" s="32">
        <f>66+8</f>
        <v>74</v>
      </c>
      <c r="I241" s="32">
        <v>0</v>
      </c>
      <c r="J241" s="32">
        <v>0</v>
      </c>
      <c r="M241" s="68" t="s">
        <v>248</v>
      </c>
      <c r="N241" s="13" t="s">
        <v>877</v>
      </c>
      <c r="O241" s="13" t="s">
        <v>294</v>
      </c>
      <c r="P241" s="13">
        <v>4383</v>
      </c>
      <c r="Q241" s="13">
        <v>30</v>
      </c>
      <c r="R241" s="13">
        <v>0</v>
      </c>
      <c r="S241" s="13">
        <v>18688</v>
      </c>
      <c r="T241" s="13">
        <v>74</v>
      </c>
      <c r="U241" s="13">
        <v>0</v>
      </c>
      <c r="V241" s="69">
        <v>0</v>
      </c>
    </row>
    <row r="242" spans="1:22" x14ac:dyDescent="0.25">
      <c r="A242" s="27" t="s">
        <v>865</v>
      </c>
      <c r="B242" s="27" t="s">
        <v>877</v>
      </c>
      <c r="C242" s="27" t="s">
        <v>295</v>
      </c>
      <c r="D242" s="32">
        <f>1746+12+2</f>
        <v>1760</v>
      </c>
      <c r="E242" s="32">
        <v>42</v>
      </c>
      <c r="F242" s="32">
        <v>0</v>
      </c>
      <c r="G242" s="32">
        <f>28052+6+4+11+2+203</f>
        <v>28278</v>
      </c>
      <c r="H242" s="32">
        <f>80+12+6</f>
        <v>98</v>
      </c>
      <c r="I242" s="32">
        <v>0</v>
      </c>
      <c r="J242" s="32">
        <v>0</v>
      </c>
      <c r="M242" s="65" t="s">
        <v>865</v>
      </c>
      <c r="N242" s="66" t="s">
        <v>877</v>
      </c>
      <c r="O242" s="66" t="s">
        <v>295</v>
      </c>
      <c r="P242" s="66">
        <v>1760</v>
      </c>
      <c r="Q242" s="66">
        <v>42</v>
      </c>
      <c r="R242" s="66">
        <v>0</v>
      </c>
      <c r="S242" s="66">
        <v>28278</v>
      </c>
      <c r="T242" s="66">
        <v>98</v>
      </c>
      <c r="U242" s="66">
        <v>0</v>
      </c>
      <c r="V242" s="67">
        <v>0</v>
      </c>
    </row>
    <row r="243" spans="1:22" x14ac:dyDescent="0.25">
      <c r="A243" s="27" t="s">
        <v>831</v>
      </c>
      <c r="B243" s="27" t="s">
        <v>877</v>
      </c>
      <c r="C243" s="27" t="s">
        <v>296</v>
      </c>
      <c r="D243" s="32">
        <f>1679+1+2+5+13</f>
        <v>1700</v>
      </c>
      <c r="E243" s="32">
        <v>13</v>
      </c>
      <c r="F243" s="32">
        <v>0</v>
      </c>
      <c r="G243" s="32">
        <f>24391+9+5+1+32+57+255</f>
        <v>24750</v>
      </c>
      <c r="H243" s="32">
        <f>59+2</f>
        <v>61</v>
      </c>
      <c r="I243" s="32">
        <v>0</v>
      </c>
      <c r="J243" s="32">
        <v>0</v>
      </c>
      <c r="M243" s="68" t="s">
        <v>831</v>
      </c>
      <c r="N243" s="13" t="s">
        <v>877</v>
      </c>
      <c r="O243" s="13" t="s">
        <v>296</v>
      </c>
      <c r="P243" s="13">
        <v>1700</v>
      </c>
      <c r="Q243" s="13">
        <v>13</v>
      </c>
      <c r="R243" s="13">
        <v>0</v>
      </c>
      <c r="S243" s="13">
        <v>24750</v>
      </c>
      <c r="T243" s="13">
        <v>61</v>
      </c>
      <c r="U243" s="13">
        <v>0</v>
      </c>
      <c r="V243" s="69">
        <v>0</v>
      </c>
    </row>
    <row r="244" spans="1:22" x14ac:dyDescent="0.25">
      <c r="A244" s="27" t="s">
        <v>818</v>
      </c>
      <c r="B244" s="27" t="s">
        <v>877</v>
      </c>
      <c r="C244" s="27" t="s">
        <v>297</v>
      </c>
      <c r="D244" s="32">
        <f>6862+47+1</f>
        <v>6910</v>
      </c>
      <c r="E244" s="32">
        <v>0</v>
      </c>
      <c r="F244" s="32">
        <v>0</v>
      </c>
      <c r="G244" s="32">
        <f>19778+10+196+1+1+30</f>
        <v>20016</v>
      </c>
      <c r="H244" s="32">
        <f>2+1+51</f>
        <v>54</v>
      </c>
      <c r="I244" s="32">
        <v>0</v>
      </c>
      <c r="J244" s="32">
        <v>0</v>
      </c>
      <c r="M244" s="65" t="s">
        <v>818</v>
      </c>
      <c r="N244" s="66" t="s">
        <v>877</v>
      </c>
      <c r="O244" s="66" t="s">
        <v>297</v>
      </c>
      <c r="P244" s="66">
        <v>6910</v>
      </c>
      <c r="Q244" s="66">
        <v>0</v>
      </c>
      <c r="R244" s="66">
        <v>0</v>
      </c>
      <c r="S244" s="66">
        <v>20016</v>
      </c>
      <c r="T244" s="66">
        <v>54</v>
      </c>
      <c r="U244" s="66">
        <v>0</v>
      </c>
      <c r="V244" s="67">
        <v>0</v>
      </c>
    </row>
    <row r="245" spans="1:22" x14ac:dyDescent="0.25">
      <c r="A245" s="27" t="s">
        <v>811</v>
      </c>
      <c r="B245" s="27" t="s">
        <v>877</v>
      </c>
      <c r="C245" s="27" t="s">
        <v>298</v>
      </c>
      <c r="D245" s="32">
        <f>16558+2+47+30+1+1+1+71</f>
        <v>16711</v>
      </c>
      <c r="E245" s="32">
        <f>293+4</f>
        <v>297</v>
      </c>
      <c r="F245" s="32">
        <v>0</v>
      </c>
      <c r="G245" s="32">
        <f>15445+4+13+2+378+22+1+2+3+1+9+1+1+218</f>
        <v>16100</v>
      </c>
      <c r="H245" s="32">
        <f>426+6+8</f>
        <v>440</v>
      </c>
      <c r="I245" s="32">
        <v>0</v>
      </c>
      <c r="J245" s="32">
        <v>0</v>
      </c>
      <c r="M245" s="68" t="s">
        <v>811</v>
      </c>
      <c r="N245" s="13" t="s">
        <v>877</v>
      </c>
      <c r="O245" s="13" t="s">
        <v>298</v>
      </c>
      <c r="P245" s="13">
        <v>16711</v>
      </c>
      <c r="Q245" s="13">
        <v>297</v>
      </c>
      <c r="R245" s="13">
        <v>0</v>
      </c>
      <c r="S245" s="13">
        <v>16100</v>
      </c>
      <c r="T245" s="13">
        <v>440</v>
      </c>
      <c r="U245" s="13">
        <v>0</v>
      </c>
      <c r="V245" s="69">
        <v>0</v>
      </c>
    </row>
    <row r="246" spans="1:22" x14ac:dyDescent="0.25">
      <c r="A246" s="27" t="s">
        <v>72</v>
      </c>
      <c r="B246" s="27" t="s">
        <v>877</v>
      </c>
      <c r="C246" s="27" t="s">
        <v>299</v>
      </c>
      <c r="D246" s="32">
        <f>3603+510</f>
        <v>4113</v>
      </c>
      <c r="E246" s="32">
        <v>0</v>
      </c>
      <c r="F246" s="32">
        <v>0</v>
      </c>
      <c r="G246" s="32">
        <f>16470+1+4+1037+16</f>
        <v>17528</v>
      </c>
      <c r="H246" s="32">
        <f>114+1</f>
        <v>115</v>
      </c>
      <c r="I246" s="32">
        <v>0</v>
      </c>
      <c r="J246" s="32">
        <v>0</v>
      </c>
      <c r="M246" s="65" t="s">
        <v>72</v>
      </c>
      <c r="N246" s="66" t="s">
        <v>877</v>
      </c>
      <c r="O246" s="66" t="s">
        <v>299</v>
      </c>
      <c r="P246" s="66">
        <v>4113</v>
      </c>
      <c r="Q246" s="66">
        <v>0</v>
      </c>
      <c r="R246" s="66">
        <v>0</v>
      </c>
      <c r="S246" s="66">
        <v>17528</v>
      </c>
      <c r="T246" s="66">
        <v>115</v>
      </c>
      <c r="U246" s="66">
        <v>0</v>
      </c>
      <c r="V246" s="67">
        <v>0</v>
      </c>
    </row>
    <row r="247" spans="1:22" x14ac:dyDescent="0.25">
      <c r="A247" s="27" t="s">
        <v>67</v>
      </c>
      <c r="B247" s="27" t="s">
        <v>877</v>
      </c>
      <c r="C247" s="27" t="s">
        <v>300</v>
      </c>
      <c r="D247" s="32">
        <v>2961</v>
      </c>
      <c r="E247" s="32">
        <v>0</v>
      </c>
      <c r="F247" s="32">
        <v>0</v>
      </c>
      <c r="G247" s="32">
        <f>7447+5</f>
        <v>7452</v>
      </c>
      <c r="H247" s="32">
        <v>8</v>
      </c>
      <c r="I247" s="32">
        <v>0</v>
      </c>
      <c r="J247" s="32">
        <v>0</v>
      </c>
      <c r="M247" s="68" t="s">
        <v>67</v>
      </c>
      <c r="N247" s="13" t="s">
        <v>877</v>
      </c>
      <c r="O247" s="13" t="s">
        <v>300</v>
      </c>
      <c r="P247" s="13">
        <v>2961</v>
      </c>
      <c r="Q247" s="13">
        <v>0</v>
      </c>
      <c r="R247" s="13">
        <v>0</v>
      </c>
      <c r="S247" s="13">
        <v>7452</v>
      </c>
      <c r="T247" s="13">
        <v>8</v>
      </c>
      <c r="U247" s="13">
        <v>0</v>
      </c>
      <c r="V247" s="69">
        <v>0</v>
      </c>
    </row>
    <row r="248" spans="1:22" x14ac:dyDescent="0.25">
      <c r="A248" s="27" t="s">
        <v>798</v>
      </c>
      <c r="B248" s="27" t="s">
        <v>877</v>
      </c>
      <c r="C248" s="27" t="s">
        <v>301</v>
      </c>
      <c r="D248" s="32">
        <v>3784</v>
      </c>
      <c r="E248" s="32">
        <v>26</v>
      </c>
      <c r="F248" s="32">
        <v>0</v>
      </c>
      <c r="G248" s="32">
        <f>24325+1</f>
        <v>24326</v>
      </c>
      <c r="H248" s="32">
        <f>152+1+1</f>
        <v>154</v>
      </c>
      <c r="I248" s="32">
        <v>0</v>
      </c>
      <c r="J248" s="32">
        <v>0</v>
      </c>
      <c r="M248" s="65" t="s">
        <v>798</v>
      </c>
      <c r="N248" s="66" t="s">
        <v>877</v>
      </c>
      <c r="O248" s="66" t="s">
        <v>301</v>
      </c>
      <c r="P248" s="66">
        <v>3784</v>
      </c>
      <c r="Q248" s="66">
        <v>26</v>
      </c>
      <c r="R248" s="66">
        <v>0</v>
      </c>
      <c r="S248" s="66">
        <v>24326</v>
      </c>
      <c r="T248" s="66">
        <v>154</v>
      </c>
      <c r="U248" s="66">
        <v>0</v>
      </c>
      <c r="V248" s="67">
        <v>0</v>
      </c>
    </row>
    <row r="249" spans="1:22" x14ac:dyDescent="0.25">
      <c r="A249" s="27" t="s">
        <v>824</v>
      </c>
      <c r="B249" s="27" t="s">
        <v>877</v>
      </c>
      <c r="C249" s="27" t="s">
        <v>302</v>
      </c>
      <c r="D249" s="32">
        <f>11654+1+1151+88</f>
        <v>12894</v>
      </c>
      <c r="E249" s="32">
        <v>18</v>
      </c>
      <c r="F249" s="32">
        <v>0</v>
      </c>
      <c r="G249" s="32">
        <f>44696+3+7+15+2800+15+1+1+826</f>
        <v>48364</v>
      </c>
      <c r="H249" s="32">
        <f>52+14</f>
        <v>66</v>
      </c>
      <c r="I249" s="32">
        <v>0</v>
      </c>
      <c r="J249" s="32">
        <v>0</v>
      </c>
      <c r="M249" s="68" t="s">
        <v>824</v>
      </c>
      <c r="N249" s="13" t="s">
        <v>877</v>
      </c>
      <c r="O249" s="13" t="s">
        <v>302</v>
      </c>
      <c r="P249" s="13">
        <v>12894</v>
      </c>
      <c r="Q249" s="13">
        <v>18</v>
      </c>
      <c r="R249" s="13">
        <v>0</v>
      </c>
      <c r="S249" s="13">
        <v>48364</v>
      </c>
      <c r="T249" s="13">
        <v>66</v>
      </c>
      <c r="U249" s="13">
        <v>0</v>
      </c>
      <c r="V249" s="69">
        <v>0</v>
      </c>
    </row>
    <row r="250" spans="1:22" x14ac:dyDescent="0.25">
      <c r="A250" s="27" t="s">
        <v>788</v>
      </c>
      <c r="B250" s="27" t="s">
        <v>877</v>
      </c>
      <c r="C250" s="27" t="s">
        <v>303</v>
      </c>
      <c r="D250" s="32">
        <v>3142</v>
      </c>
      <c r="E250" s="32">
        <f>4+2</f>
        <v>6</v>
      </c>
      <c r="F250" s="32">
        <v>0</v>
      </c>
      <c r="G250" s="32">
        <f>29284+11+57+2+37</f>
        <v>29391</v>
      </c>
      <c r="H250" s="32">
        <f>15+73+5</f>
        <v>93</v>
      </c>
      <c r="I250" s="32">
        <v>0</v>
      </c>
      <c r="J250" s="32">
        <v>0</v>
      </c>
      <c r="M250" s="65" t="s">
        <v>788</v>
      </c>
      <c r="N250" s="66" t="s">
        <v>877</v>
      </c>
      <c r="O250" s="66" t="s">
        <v>303</v>
      </c>
      <c r="P250" s="66">
        <v>3142</v>
      </c>
      <c r="Q250" s="66">
        <v>6</v>
      </c>
      <c r="R250" s="66">
        <v>0</v>
      </c>
      <c r="S250" s="66">
        <v>29391</v>
      </c>
      <c r="T250" s="66">
        <v>93</v>
      </c>
      <c r="U250" s="66">
        <v>0</v>
      </c>
      <c r="V250" s="67">
        <v>0</v>
      </c>
    </row>
    <row r="251" spans="1:22" x14ac:dyDescent="0.25">
      <c r="A251" s="27" t="s">
        <v>120</v>
      </c>
      <c r="B251" s="27" t="s">
        <v>877</v>
      </c>
      <c r="C251" s="27" t="s">
        <v>304</v>
      </c>
      <c r="D251" s="32">
        <f>6408+23</f>
        <v>6431</v>
      </c>
      <c r="E251" s="32">
        <v>6</v>
      </c>
      <c r="F251" s="32">
        <v>0</v>
      </c>
      <c r="G251" s="32">
        <f>43645+4+1+52+976+1+1+1+14</f>
        <v>44695</v>
      </c>
      <c r="H251" s="32">
        <v>87</v>
      </c>
      <c r="I251" s="32">
        <v>0</v>
      </c>
      <c r="J251" s="32">
        <v>0</v>
      </c>
      <c r="M251" s="68" t="s">
        <v>120</v>
      </c>
      <c r="N251" s="13" t="s">
        <v>877</v>
      </c>
      <c r="O251" s="13" t="s">
        <v>304</v>
      </c>
      <c r="P251" s="13">
        <v>6431</v>
      </c>
      <c r="Q251" s="13">
        <v>6</v>
      </c>
      <c r="R251" s="13">
        <v>0</v>
      </c>
      <c r="S251" s="13">
        <v>44695</v>
      </c>
      <c r="T251" s="13">
        <v>87</v>
      </c>
      <c r="U251" s="13">
        <v>0</v>
      </c>
      <c r="V251" s="69">
        <v>0</v>
      </c>
    </row>
    <row r="252" spans="1:22" x14ac:dyDescent="0.25">
      <c r="A252" s="27" t="s">
        <v>229</v>
      </c>
      <c r="B252" s="27" t="s">
        <v>877</v>
      </c>
      <c r="C252" s="27" t="s">
        <v>306</v>
      </c>
      <c r="D252" s="32">
        <f>6090+10+1+22+1</f>
        <v>6124</v>
      </c>
      <c r="E252" s="32">
        <v>0</v>
      </c>
      <c r="F252" s="32">
        <v>0</v>
      </c>
      <c r="G252" s="32">
        <f>13881+25+33+124+2</f>
        <v>14065</v>
      </c>
      <c r="H252" s="32">
        <v>59</v>
      </c>
      <c r="I252" s="32">
        <v>0</v>
      </c>
      <c r="J252" s="32">
        <v>0</v>
      </c>
      <c r="M252" s="65" t="s">
        <v>229</v>
      </c>
      <c r="N252" s="66" t="s">
        <v>877</v>
      </c>
      <c r="O252" s="66" t="s">
        <v>306</v>
      </c>
      <c r="P252" s="66">
        <v>6124</v>
      </c>
      <c r="Q252" s="66">
        <v>0</v>
      </c>
      <c r="R252" s="66">
        <v>0</v>
      </c>
      <c r="S252" s="66">
        <v>14065</v>
      </c>
      <c r="T252" s="66">
        <v>59</v>
      </c>
      <c r="U252" s="66">
        <v>0</v>
      </c>
      <c r="V252" s="67">
        <v>0</v>
      </c>
    </row>
    <row r="253" spans="1:22" x14ac:dyDescent="0.25">
      <c r="A253" s="27" t="s">
        <v>512</v>
      </c>
      <c r="B253" s="27" t="s">
        <v>877</v>
      </c>
      <c r="C253" s="27" t="s">
        <v>307</v>
      </c>
      <c r="D253" s="32">
        <f>1239+4</f>
        <v>1243</v>
      </c>
      <c r="E253" s="32">
        <v>9</v>
      </c>
      <c r="F253" s="32">
        <v>0</v>
      </c>
      <c r="G253" s="32">
        <f>14119+13+8</f>
        <v>14140</v>
      </c>
      <c r="H253" s="32">
        <f>39+4</f>
        <v>43</v>
      </c>
      <c r="I253" s="32">
        <v>0</v>
      </c>
      <c r="J253" s="32">
        <v>0</v>
      </c>
      <c r="M253" s="68" t="s">
        <v>512</v>
      </c>
      <c r="N253" s="13" t="s">
        <v>877</v>
      </c>
      <c r="O253" s="13" t="s">
        <v>307</v>
      </c>
      <c r="P253" s="13">
        <v>1243</v>
      </c>
      <c r="Q253" s="13">
        <v>9</v>
      </c>
      <c r="R253" s="13">
        <v>0</v>
      </c>
      <c r="S253" s="13">
        <v>14140</v>
      </c>
      <c r="T253" s="13">
        <v>43</v>
      </c>
      <c r="U253" s="13">
        <v>0</v>
      </c>
      <c r="V253" s="69">
        <v>0</v>
      </c>
    </row>
    <row r="254" spans="1:22" x14ac:dyDescent="0.25">
      <c r="A254" s="27" t="s">
        <v>791</v>
      </c>
      <c r="B254" s="27" t="s">
        <v>877</v>
      </c>
      <c r="C254" s="27" t="s">
        <v>308</v>
      </c>
      <c r="D254" s="32">
        <f>1590+3+6+1+22</f>
        <v>1622</v>
      </c>
      <c r="E254" s="32">
        <v>0</v>
      </c>
      <c r="F254" s="32">
        <v>0</v>
      </c>
      <c r="G254" s="32">
        <f>10102+1+1+12+2+414</f>
        <v>10532</v>
      </c>
      <c r="H254" s="32">
        <v>25</v>
      </c>
      <c r="I254" s="32">
        <v>0</v>
      </c>
      <c r="J254" s="32">
        <v>0</v>
      </c>
      <c r="M254" s="65" t="s">
        <v>791</v>
      </c>
      <c r="N254" s="66" t="s">
        <v>877</v>
      </c>
      <c r="O254" s="66" t="s">
        <v>308</v>
      </c>
      <c r="P254" s="66">
        <v>1622</v>
      </c>
      <c r="Q254" s="66">
        <v>0</v>
      </c>
      <c r="R254" s="66">
        <v>0</v>
      </c>
      <c r="S254" s="66">
        <v>10532</v>
      </c>
      <c r="T254" s="66">
        <v>25</v>
      </c>
      <c r="U254" s="66">
        <v>0</v>
      </c>
      <c r="V254" s="67">
        <v>0</v>
      </c>
    </row>
    <row r="255" spans="1:22" x14ac:dyDescent="0.25">
      <c r="A255" s="27" t="s">
        <v>841</v>
      </c>
      <c r="B255" s="27" t="s">
        <v>877</v>
      </c>
      <c r="C255" s="27" t="s">
        <v>309</v>
      </c>
      <c r="D255" s="32">
        <f>6565+2</f>
        <v>6567</v>
      </c>
      <c r="E255" s="32">
        <v>3</v>
      </c>
      <c r="F255" s="32">
        <v>0</v>
      </c>
      <c r="G255" s="32">
        <f>52369+25+10+2+1+4</f>
        <v>52411</v>
      </c>
      <c r="H255" s="32">
        <f>7+20</f>
        <v>27</v>
      </c>
      <c r="I255" s="32">
        <v>0</v>
      </c>
      <c r="J255" s="32">
        <v>0</v>
      </c>
      <c r="M255" s="68" t="s">
        <v>841</v>
      </c>
      <c r="N255" s="13" t="s">
        <v>877</v>
      </c>
      <c r="O255" s="13" t="s">
        <v>309</v>
      </c>
      <c r="P255" s="13">
        <v>6567</v>
      </c>
      <c r="Q255" s="13">
        <v>3</v>
      </c>
      <c r="R255" s="13">
        <v>0</v>
      </c>
      <c r="S255" s="13">
        <v>52411</v>
      </c>
      <c r="T255" s="13">
        <v>27</v>
      </c>
      <c r="U255" s="13">
        <v>0</v>
      </c>
      <c r="V255" s="69">
        <v>0</v>
      </c>
    </row>
    <row r="256" spans="1:22" x14ac:dyDescent="0.25">
      <c r="A256" s="27" t="s">
        <v>831</v>
      </c>
      <c r="B256" s="27" t="s">
        <v>877</v>
      </c>
      <c r="C256" s="27" t="s">
        <v>310</v>
      </c>
      <c r="D256" s="32">
        <v>519</v>
      </c>
      <c r="E256" s="32">
        <v>0</v>
      </c>
      <c r="F256" s="32">
        <v>0</v>
      </c>
      <c r="G256" s="32">
        <f>4354+4</f>
        <v>4358</v>
      </c>
      <c r="H256" s="32">
        <f>10+2</f>
        <v>12</v>
      </c>
      <c r="I256" s="32">
        <v>0</v>
      </c>
      <c r="J256" s="32">
        <v>0</v>
      </c>
      <c r="M256" s="65" t="s">
        <v>831</v>
      </c>
      <c r="N256" s="66" t="s">
        <v>877</v>
      </c>
      <c r="O256" s="66" t="s">
        <v>310</v>
      </c>
      <c r="P256" s="66">
        <v>519</v>
      </c>
      <c r="Q256" s="66">
        <v>0</v>
      </c>
      <c r="R256" s="66">
        <v>0</v>
      </c>
      <c r="S256" s="66">
        <v>4358</v>
      </c>
      <c r="T256" s="66">
        <v>12</v>
      </c>
      <c r="U256" s="66">
        <v>0</v>
      </c>
      <c r="V256" s="67">
        <v>0</v>
      </c>
    </row>
    <row r="257" spans="1:22" x14ac:dyDescent="0.25">
      <c r="A257" s="27" t="s">
        <v>864</v>
      </c>
      <c r="B257" s="27" t="s">
        <v>877</v>
      </c>
      <c r="C257" s="27" t="s">
        <v>311</v>
      </c>
      <c r="D257" s="32">
        <f>2776+18</f>
        <v>2794</v>
      </c>
      <c r="E257" s="32">
        <v>0</v>
      </c>
      <c r="F257" s="32">
        <v>0</v>
      </c>
      <c r="G257" s="32">
        <f>15014+2+145+17+56</f>
        <v>15234</v>
      </c>
      <c r="H257" s="32">
        <f>4+1</f>
        <v>5</v>
      </c>
      <c r="I257" s="32">
        <v>0</v>
      </c>
      <c r="J257" s="32">
        <v>0</v>
      </c>
      <c r="M257" s="68" t="s">
        <v>864</v>
      </c>
      <c r="N257" s="13" t="s">
        <v>877</v>
      </c>
      <c r="O257" s="13" t="s">
        <v>311</v>
      </c>
      <c r="P257" s="13">
        <v>2794</v>
      </c>
      <c r="Q257" s="13">
        <v>0</v>
      </c>
      <c r="R257" s="13">
        <v>0</v>
      </c>
      <c r="S257" s="13">
        <v>15234</v>
      </c>
      <c r="T257" s="13">
        <v>5</v>
      </c>
      <c r="U257" s="13">
        <v>0</v>
      </c>
      <c r="V257" s="69">
        <v>0</v>
      </c>
    </row>
    <row r="258" spans="1:22" x14ac:dyDescent="0.25">
      <c r="A258" s="27" t="s">
        <v>838</v>
      </c>
      <c r="B258" s="27" t="s">
        <v>877</v>
      </c>
      <c r="C258" s="27" t="s">
        <v>312</v>
      </c>
      <c r="D258" s="32">
        <f>16850+29</f>
        <v>16879</v>
      </c>
      <c r="E258" s="32">
        <v>25</v>
      </c>
      <c r="F258" s="32">
        <v>0</v>
      </c>
      <c r="G258" s="32">
        <v>2225</v>
      </c>
      <c r="H258" s="32">
        <v>0</v>
      </c>
      <c r="I258" s="32">
        <v>0</v>
      </c>
      <c r="J258" s="32">
        <v>0</v>
      </c>
      <c r="M258" s="65" t="s">
        <v>838</v>
      </c>
      <c r="N258" s="66" t="s">
        <v>877</v>
      </c>
      <c r="O258" s="66" t="s">
        <v>312</v>
      </c>
      <c r="P258" s="66">
        <v>16879</v>
      </c>
      <c r="Q258" s="66">
        <v>25</v>
      </c>
      <c r="R258" s="66">
        <v>0</v>
      </c>
      <c r="S258" s="66">
        <v>2225</v>
      </c>
      <c r="T258" s="66">
        <v>0</v>
      </c>
      <c r="U258" s="66">
        <v>0</v>
      </c>
      <c r="V258" s="67">
        <v>0</v>
      </c>
    </row>
    <row r="259" spans="1:22" x14ac:dyDescent="0.25">
      <c r="A259" s="27" t="s">
        <v>794</v>
      </c>
      <c r="B259" s="27" t="s">
        <v>877</v>
      </c>
      <c r="C259" s="27" t="s">
        <v>313</v>
      </c>
      <c r="D259" s="32">
        <f>7996+2</f>
        <v>7998</v>
      </c>
      <c r="E259" s="32">
        <v>0</v>
      </c>
      <c r="F259" s="32">
        <v>0</v>
      </c>
      <c r="G259" s="32">
        <f>18676+10+68+2+430</f>
        <v>19186</v>
      </c>
      <c r="H259" s="32">
        <f>366+6</f>
        <v>372</v>
      </c>
      <c r="I259" s="32">
        <v>0</v>
      </c>
      <c r="J259" s="32">
        <v>0</v>
      </c>
      <c r="M259" s="68" t="s">
        <v>794</v>
      </c>
      <c r="N259" s="13" t="s">
        <v>877</v>
      </c>
      <c r="O259" s="13" t="s">
        <v>313</v>
      </c>
      <c r="P259" s="13">
        <v>7998</v>
      </c>
      <c r="Q259" s="13">
        <v>0</v>
      </c>
      <c r="R259" s="13">
        <v>0</v>
      </c>
      <c r="S259" s="13">
        <v>19186</v>
      </c>
      <c r="T259" s="13">
        <v>372</v>
      </c>
      <c r="U259" s="13">
        <v>0</v>
      </c>
      <c r="V259" s="69">
        <v>0</v>
      </c>
    </row>
    <row r="260" spans="1:22" x14ac:dyDescent="0.25">
      <c r="A260" s="27" t="s">
        <v>830</v>
      </c>
      <c r="B260" s="27" t="s">
        <v>877</v>
      </c>
      <c r="C260" s="27" t="s">
        <v>314</v>
      </c>
      <c r="D260" s="32">
        <f>3794+145+3</f>
        <v>3942</v>
      </c>
      <c r="E260" s="32">
        <f>230+505</f>
        <v>735</v>
      </c>
      <c r="F260" s="32">
        <v>0</v>
      </c>
      <c r="G260" s="32">
        <f>3756+4+179+26</f>
        <v>3965</v>
      </c>
      <c r="H260" s="32">
        <f>58+39+6</f>
        <v>103</v>
      </c>
      <c r="I260" s="32">
        <v>0</v>
      </c>
      <c r="J260" s="32">
        <v>0</v>
      </c>
      <c r="M260" s="65" t="s">
        <v>830</v>
      </c>
      <c r="N260" s="66" t="s">
        <v>877</v>
      </c>
      <c r="O260" s="66" t="s">
        <v>314</v>
      </c>
      <c r="P260" s="66">
        <v>3942</v>
      </c>
      <c r="Q260" s="66">
        <v>735</v>
      </c>
      <c r="R260" s="66">
        <v>0</v>
      </c>
      <c r="S260" s="66">
        <v>3965</v>
      </c>
      <c r="T260" s="66">
        <v>103</v>
      </c>
      <c r="U260" s="66">
        <v>0</v>
      </c>
      <c r="V260" s="67">
        <v>0</v>
      </c>
    </row>
    <row r="261" spans="1:22" x14ac:dyDescent="0.25">
      <c r="A261" s="27" t="s">
        <v>844</v>
      </c>
      <c r="B261" s="27" t="s">
        <v>877</v>
      </c>
      <c r="C261" s="27" t="s">
        <v>315</v>
      </c>
      <c r="D261" s="32">
        <v>1666</v>
      </c>
      <c r="E261" s="32">
        <v>8</v>
      </c>
      <c r="F261" s="32">
        <v>0</v>
      </c>
      <c r="G261" s="32">
        <f>8809+7</f>
        <v>8816</v>
      </c>
      <c r="H261" s="32">
        <v>22</v>
      </c>
      <c r="I261" s="32">
        <v>0</v>
      </c>
      <c r="J261" s="32">
        <v>0</v>
      </c>
      <c r="M261" s="68" t="s">
        <v>844</v>
      </c>
      <c r="N261" s="13" t="s">
        <v>877</v>
      </c>
      <c r="O261" s="13" t="s">
        <v>315</v>
      </c>
      <c r="P261" s="13">
        <v>1666</v>
      </c>
      <c r="Q261" s="13">
        <v>8</v>
      </c>
      <c r="R261" s="13">
        <v>0</v>
      </c>
      <c r="S261" s="13">
        <v>8816</v>
      </c>
      <c r="T261" s="13">
        <v>22</v>
      </c>
      <c r="U261" s="13">
        <v>0</v>
      </c>
      <c r="V261" s="69">
        <v>0</v>
      </c>
    </row>
    <row r="262" spans="1:22" x14ac:dyDescent="0.25">
      <c r="A262" s="27" t="s">
        <v>836</v>
      </c>
      <c r="B262" s="27" t="s">
        <v>877</v>
      </c>
      <c r="C262" s="27" t="s">
        <v>316</v>
      </c>
      <c r="D262" s="32">
        <f>2044+14</f>
        <v>2058</v>
      </c>
      <c r="E262" s="32">
        <v>0</v>
      </c>
      <c r="F262" s="32">
        <v>0</v>
      </c>
      <c r="G262" s="32">
        <f>10514+1+677+3</f>
        <v>11195</v>
      </c>
      <c r="H262" s="32">
        <v>18</v>
      </c>
      <c r="I262" s="32">
        <v>0</v>
      </c>
      <c r="J262" s="32">
        <v>0</v>
      </c>
      <c r="M262" s="65" t="s">
        <v>836</v>
      </c>
      <c r="N262" s="66" t="s">
        <v>877</v>
      </c>
      <c r="O262" s="66" t="s">
        <v>316</v>
      </c>
      <c r="P262" s="66">
        <v>2058</v>
      </c>
      <c r="Q262" s="66">
        <v>0</v>
      </c>
      <c r="R262" s="66">
        <v>0</v>
      </c>
      <c r="S262" s="66">
        <v>11195</v>
      </c>
      <c r="T262" s="66">
        <v>18</v>
      </c>
      <c r="U262" s="66">
        <v>0</v>
      </c>
      <c r="V262" s="67">
        <v>0</v>
      </c>
    </row>
    <row r="263" spans="1:22" x14ac:dyDescent="0.25">
      <c r="A263" s="27" t="s">
        <v>845</v>
      </c>
      <c r="B263" s="27" t="s">
        <v>877</v>
      </c>
      <c r="C263" s="27" t="s">
        <v>317</v>
      </c>
      <c r="D263" s="32">
        <f>10048+1+119+2</f>
        <v>10170</v>
      </c>
      <c r="E263" s="32">
        <f>7+2</f>
        <v>9</v>
      </c>
      <c r="F263" s="32">
        <v>0</v>
      </c>
      <c r="G263" s="32">
        <f>6163+2+146+10+1</f>
        <v>6322</v>
      </c>
      <c r="H263" s="32">
        <f>28+14</f>
        <v>42</v>
      </c>
      <c r="I263" s="32">
        <v>0</v>
      </c>
      <c r="J263" s="32">
        <v>0</v>
      </c>
      <c r="M263" s="68" t="s">
        <v>845</v>
      </c>
      <c r="N263" s="13" t="s">
        <v>877</v>
      </c>
      <c r="O263" s="13" t="s">
        <v>317</v>
      </c>
      <c r="P263" s="13">
        <v>10170</v>
      </c>
      <c r="Q263" s="13">
        <v>9</v>
      </c>
      <c r="R263" s="13">
        <v>0</v>
      </c>
      <c r="S263" s="13">
        <v>6322</v>
      </c>
      <c r="T263" s="13">
        <v>42</v>
      </c>
      <c r="U263" s="13">
        <v>0</v>
      </c>
      <c r="V263" s="69">
        <v>0</v>
      </c>
    </row>
    <row r="264" spans="1:22" x14ac:dyDescent="0.25">
      <c r="A264" s="27" t="s">
        <v>846</v>
      </c>
      <c r="B264" s="27" t="s">
        <v>877</v>
      </c>
      <c r="C264" s="27" t="s">
        <v>318</v>
      </c>
      <c r="D264" s="32">
        <f>3203+28</f>
        <v>3231</v>
      </c>
      <c r="E264" s="32">
        <v>13</v>
      </c>
      <c r="F264" s="32">
        <v>0</v>
      </c>
      <c r="G264" s="32">
        <f>7229+31</f>
        <v>7260</v>
      </c>
      <c r="H264" s="32">
        <v>6</v>
      </c>
      <c r="I264" s="32">
        <v>0</v>
      </c>
      <c r="J264" s="32">
        <v>0</v>
      </c>
      <c r="M264" s="65" t="s">
        <v>846</v>
      </c>
      <c r="N264" s="66" t="s">
        <v>877</v>
      </c>
      <c r="O264" s="66" t="s">
        <v>318</v>
      </c>
      <c r="P264" s="66">
        <v>3231</v>
      </c>
      <c r="Q264" s="66">
        <v>13</v>
      </c>
      <c r="R264" s="66">
        <v>0</v>
      </c>
      <c r="S264" s="66">
        <v>7260</v>
      </c>
      <c r="T264" s="66">
        <v>6</v>
      </c>
      <c r="U264" s="66">
        <v>0</v>
      </c>
      <c r="V264" s="67">
        <v>0</v>
      </c>
    </row>
    <row r="265" spans="1:22" x14ac:dyDescent="0.25">
      <c r="A265" s="27" t="s">
        <v>804</v>
      </c>
      <c r="B265" s="27" t="s">
        <v>877</v>
      </c>
      <c r="C265" s="27" t="s">
        <v>319</v>
      </c>
      <c r="D265" s="32">
        <f>8097+2</f>
        <v>8099</v>
      </c>
      <c r="E265" s="32">
        <v>23</v>
      </c>
      <c r="F265" s="32">
        <v>0</v>
      </c>
      <c r="G265" s="32">
        <f>21927+2+1+4+10</f>
        <v>21944</v>
      </c>
      <c r="H265" s="32">
        <v>55</v>
      </c>
      <c r="I265" s="32">
        <v>0</v>
      </c>
      <c r="J265" s="32">
        <v>0</v>
      </c>
      <c r="M265" s="68" t="s">
        <v>804</v>
      </c>
      <c r="N265" s="13" t="s">
        <v>877</v>
      </c>
      <c r="O265" s="13" t="s">
        <v>319</v>
      </c>
      <c r="P265" s="13">
        <v>8099</v>
      </c>
      <c r="Q265" s="13">
        <v>23</v>
      </c>
      <c r="R265" s="13">
        <v>0</v>
      </c>
      <c r="S265" s="13">
        <v>21944</v>
      </c>
      <c r="T265" s="13">
        <v>55</v>
      </c>
      <c r="U265" s="13">
        <v>0</v>
      </c>
      <c r="V265" s="69">
        <v>0</v>
      </c>
    </row>
    <row r="266" spans="1:22" x14ac:dyDescent="0.25">
      <c r="A266" s="27" t="s">
        <v>809</v>
      </c>
      <c r="B266" s="27" t="s">
        <v>877</v>
      </c>
      <c r="C266" s="27" t="s">
        <v>320</v>
      </c>
      <c r="D266" s="32">
        <f>12767+1+2</f>
        <v>12770</v>
      </c>
      <c r="E266" s="32">
        <v>10</v>
      </c>
      <c r="F266" s="32">
        <v>0</v>
      </c>
      <c r="G266" s="32">
        <f>15367+8+9+1+393</f>
        <v>15778</v>
      </c>
      <c r="H266" s="32">
        <f>39+14+4+14</f>
        <v>71</v>
      </c>
      <c r="I266" s="32">
        <v>0</v>
      </c>
      <c r="J266" s="32">
        <v>0</v>
      </c>
      <c r="M266" s="65" t="s">
        <v>809</v>
      </c>
      <c r="N266" s="66" t="s">
        <v>877</v>
      </c>
      <c r="O266" s="66" t="s">
        <v>320</v>
      </c>
      <c r="P266" s="66">
        <v>12770</v>
      </c>
      <c r="Q266" s="66">
        <v>10</v>
      </c>
      <c r="R266" s="66">
        <v>0</v>
      </c>
      <c r="S266" s="66">
        <v>15778</v>
      </c>
      <c r="T266" s="66">
        <v>71</v>
      </c>
      <c r="U266" s="66">
        <v>0</v>
      </c>
      <c r="V266" s="67">
        <v>0</v>
      </c>
    </row>
    <row r="267" spans="1:22" x14ac:dyDescent="0.25">
      <c r="A267" s="27" t="s">
        <v>801</v>
      </c>
      <c r="B267" s="27" t="s">
        <v>877</v>
      </c>
      <c r="C267" s="27" t="s">
        <v>321</v>
      </c>
      <c r="D267" s="32">
        <f>9636+2+42+1+1</f>
        <v>9682</v>
      </c>
      <c r="E267" s="32">
        <f>51+4</f>
        <v>55</v>
      </c>
      <c r="F267" s="32">
        <v>0</v>
      </c>
      <c r="G267" s="32">
        <f>33977+1+14+1+1+1+114+12+16+4+35</f>
        <v>34176</v>
      </c>
      <c r="H267" s="32">
        <f>450+19+4</f>
        <v>473</v>
      </c>
      <c r="I267" s="32">
        <v>0</v>
      </c>
      <c r="J267" s="32">
        <v>0</v>
      </c>
      <c r="M267" s="68" t="s">
        <v>801</v>
      </c>
      <c r="N267" s="13" t="s">
        <v>877</v>
      </c>
      <c r="O267" s="13" t="s">
        <v>321</v>
      </c>
      <c r="P267" s="13">
        <v>9682</v>
      </c>
      <c r="Q267" s="13">
        <v>55</v>
      </c>
      <c r="R267" s="13">
        <v>0</v>
      </c>
      <c r="S267" s="13">
        <v>34176</v>
      </c>
      <c r="T267" s="13">
        <v>473</v>
      </c>
      <c r="U267" s="13">
        <v>0</v>
      </c>
      <c r="V267" s="69">
        <v>0</v>
      </c>
    </row>
    <row r="268" spans="1:22" x14ac:dyDescent="0.25">
      <c r="A268" s="27" t="s">
        <v>890</v>
      </c>
      <c r="B268" s="27" t="s">
        <v>877</v>
      </c>
      <c r="C268" s="27" t="s">
        <v>322</v>
      </c>
      <c r="D268" s="32">
        <f>14883+3+2</f>
        <v>14888</v>
      </c>
      <c r="E268" s="32">
        <v>35</v>
      </c>
      <c r="F268" s="32">
        <v>0</v>
      </c>
      <c r="G268" s="32">
        <f>93795+4+5+17+2+2+1+1+424</f>
        <v>94251</v>
      </c>
      <c r="H268" s="32">
        <f>369+20+47</f>
        <v>436</v>
      </c>
      <c r="I268" s="32">
        <v>0</v>
      </c>
      <c r="J268" s="32">
        <v>0</v>
      </c>
      <c r="M268" s="65" t="s">
        <v>890</v>
      </c>
      <c r="N268" s="66" t="s">
        <v>877</v>
      </c>
      <c r="O268" s="66" t="s">
        <v>322</v>
      </c>
      <c r="P268" s="66">
        <v>14888</v>
      </c>
      <c r="Q268" s="66">
        <v>35</v>
      </c>
      <c r="R268" s="66">
        <v>0</v>
      </c>
      <c r="S268" s="66">
        <v>94251</v>
      </c>
      <c r="T268" s="66">
        <v>436</v>
      </c>
      <c r="U268" s="66">
        <v>0</v>
      </c>
      <c r="V268" s="67">
        <v>0</v>
      </c>
    </row>
    <row r="269" spans="1:22" x14ac:dyDescent="0.25">
      <c r="A269" s="27" t="s">
        <v>83</v>
      </c>
      <c r="B269" s="27" t="s">
        <v>877</v>
      </c>
      <c r="C269" s="27" t="s">
        <v>323</v>
      </c>
      <c r="D269" s="32">
        <f>16755+1+137+5</f>
        <v>16898</v>
      </c>
      <c r="E269" s="32">
        <f>40+21</f>
        <v>61</v>
      </c>
      <c r="F269" s="32">
        <v>0</v>
      </c>
      <c r="G269" s="32">
        <f>10474+147+1+201</f>
        <v>10823</v>
      </c>
      <c r="H269" s="32">
        <f>112+4+11</f>
        <v>127</v>
      </c>
      <c r="I269" s="32">
        <v>0</v>
      </c>
      <c r="J269" s="32">
        <v>0</v>
      </c>
      <c r="M269" s="68" t="s">
        <v>83</v>
      </c>
      <c r="N269" s="13" t="s">
        <v>877</v>
      </c>
      <c r="O269" s="13" t="s">
        <v>323</v>
      </c>
      <c r="P269" s="13">
        <v>16898</v>
      </c>
      <c r="Q269" s="13">
        <v>61</v>
      </c>
      <c r="R269" s="13">
        <v>0</v>
      </c>
      <c r="S269" s="13">
        <v>10823</v>
      </c>
      <c r="T269" s="13">
        <v>127</v>
      </c>
      <c r="U269" s="13">
        <v>0</v>
      </c>
      <c r="V269" s="69">
        <v>0</v>
      </c>
    </row>
    <row r="270" spans="1:22" x14ac:dyDescent="0.25">
      <c r="A270" s="27" t="s">
        <v>825</v>
      </c>
      <c r="B270" s="27" t="s">
        <v>877</v>
      </c>
      <c r="C270" s="27" t="s">
        <v>324</v>
      </c>
      <c r="D270" s="32">
        <f>4397+240</f>
        <v>4637</v>
      </c>
      <c r="E270" s="32">
        <v>40</v>
      </c>
      <c r="F270" s="32">
        <v>0</v>
      </c>
      <c r="G270" s="32">
        <f>13105+3+1+2202+18</f>
        <v>15329</v>
      </c>
      <c r="H270" s="32">
        <f>226+6</f>
        <v>232</v>
      </c>
      <c r="I270" s="32">
        <v>0</v>
      </c>
      <c r="J270" s="32">
        <v>0</v>
      </c>
      <c r="M270" s="65" t="s">
        <v>825</v>
      </c>
      <c r="N270" s="66" t="s">
        <v>877</v>
      </c>
      <c r="O270" s="66" t="s">
        <v>324</v>
      </c>
      <c r="P270" s="66">
        <v>4637</v>
      </c>
      <c r="Q270" s="66">
        <v>40</v>
      </c>
      <c r="R270" s="66">
        <v>0</v>
      </c>
      <c r="S270" s="66">
        <v>15329</v>
      </c>
      <c r="T270" s="66">
        <v>232</v>
      </c>
      <c r="U270" s="66">
        <v>0</v>
      </c>
      <c r="V270" s="67">
        <v>0</v>
      </c>
    </row>
    <row r="271" spans="1:22" x14ac:dyDescent="0.25">
      <c r="A271" s="27" t="s">
        <v>248</v>
      </c>
      <c r="B271" s="27" t="s">
        <v>877</v>
      </c>
      <c r="C271" s="27" t="s">
        <v>325</v>
      </c>
      <c r="D271" s="32">
        <f>1767+1+1+1+19</f>
        <v>1789</v>
      </c>
      <c r="E271" s="32">
        <v>0</v>
      </c>
      <c r="F271" s="32">
        <v>0</v>
      </c>
      <c r="G271" s="32">
        <f>8712+77+18</f>
        <v>8807</v>
      </c>
      <c r="H271" s="32">
        <v>45</v>
      </c>
      <c r="I271" s="32">
        <v>0</v>
      </c>
      <c r="J271" s="32">
        <v>0</v>
      </c>
      <c r="M271" s="68" t="s">
        <v>248</v>
      </c>
      <c r="N271" s="13" t="s">
        <v>877</v>
      </c>
      <c r="O271" s="13" t="s">
        <v>325</v>
      </c>
      <c r="P271" s="13">
        <v>1789</v>
      </c>
      <c r="Q271" s="13">
        <v>0</v>
      </c>
      <c r="R271" s="13">
        <v>0</v>
      </c>
      <c r="S271" s="13">
        <v>8807</v>
      </c>
      <c r="T271" s="13">
        <v>45</v>
      </c>
      <c r="U271" s="13">
        <v>0</v>
      </c>
      <c r="V271" s="69">
        <v>0</v>
      </c>
    </row>
    <row r="272" spans="1:22" x14ac:dyDescent="0.25">
      <c r="A272" s="27" t="s">
        <v>83</v>
      </c>
      <c r="B272" s="27" t="s">
        <v>877</v>
      </c>
      <c r="C272" s="27" t="s">
        <v>326</v>
      </c>
      <c r="D272" s="32">
        <v>1453</v>
      </c>
      <c r="E272" s="32">
        <v>0</v>
      </c>
      <c r="F272" s="32">
        <v>0</v>
      </c>
      <c r="G272" s="32">
        <f>6379+135</f>
        <v>6514</v>
      </c>
      <c r="H272" s="32">
        <f>38+2</f>
        <v>40</v>
      </c>
      <c r="I272" s="32">
        <v>0</v>
      </c>
      <c r="J272" s="32">
        <v>0</v>
      </c>
      <c r="M272" s="65" t="s">
        <v>83</v>
      </c>
      <c r="N272" s="66" t="s">
        <v>877</v>
      </c>
      <c r="O272" s="66" t="s">
        <v>326</v>
      </c>
      <c r="P272" s="66">
        <v>1453</v>
      </c>
      <c r="Q272" s="66">
        <v>0</v>
      </c>
      <c r="R272" s="66">
        <v>0</v>
      </c>
      <c r="S272" s="66">
        <v>6514</v>
      </c>
      <c r="T272" s="66">
        <v>40</v>
      </c>
      <c r="U272" s="66">
        <v>0</v>
      </c>
      <c r="V272" s="67">
        <v>0</v>
      </c>
    </row>
    <row r="273" spans="1:22" x14ac:dyDescent="0.25">
      <c r="A273" s="27" t="s">
        <v>795</v>
      </c>
      <c r="B273" s="27" t="s">
        <v>877</v>
      </c>
      <c r="C273" s="27" t="s">
        <v>327</v>
      </c>
      <c r="D273" s="32">
        <v>8652</v>
      </c>
      <c r="E273" s="32">
        <v>2</v>
      </c>
      <c r="F273" s="32">
        <v>0</v>
      </c>
      <c r="G273" s="32">
        <v>2278</v>
      </c>
      <c r="H273" s="32">
        <v>52</v>
      </c>
      <c r="I273" s="32">
        <v>0</v>
      </c>
      <c r="J273" s="32">
        <v>0</v>
      </c>
      <c r="M273" s="68" t="s">
        <v>795</v>
      </c>
      <c r="N273" s="13" t="s">
        <v>877</v>
      </c>
      <c r="O273" s="13" t="s">
        <v>327</v>
      </c>
      <c r="P273" s="13">
        <v>8652</v>
      </c>
      <c r="Q273" s="13">
        <v>2</v>
      </c>
      <c r="R273" s="13">
        <v>0</v>
      </c>
      <c r="S273" s="13">
        <v>2278</v>
      </c>
      <c r="T273" s="13">
        <v>52</v>
      </c>
      <c r="U273" s="13">
        <v>0</v>
      </c>
      <c r="V273" s="69">
        <v>0</v>
      </c>
    </row>
    <row r="274" spans="1:22" x14ac:dyDescent="0.25">
      <c r="A274" s="27" t="s">
        <v>76</v>
      </c>
      <c r="B274" s="27" t="s">
        <v>877</v>
      </c>
      <c r="C274" s="27" t="s">
        <v>329</v>
      </c>
      <c r="D274" s="32">
        <f>5565+33+4+1</f>
        <v>5603</v>
      </c>
      <c r="E274" s="32">
        <f>21+19</f>
        <v>40</v>
      </c>
      <c r="F274" s="32">
        <v>0</v>
      </c>
      <c r="G274" s="32">
        <f>32640+28+1+2+1+2+545</f>
        <v>33219</v>
      </c>
      <c r="H274" s="32">
        <f>661+52+8</f>
        <v>721</v>
      </c>
      <c r="I274" s="32">
        <v>0</v>
      </c>
      <c r="J274" s="32">
        <v>0</v>
      </c>
      <c r="M274" s="65" t="s">
        <v>76</v>
      </c>
      <c r="N274" s="66" t="s">
        <v>877</v>
      </c>
      <c r="O274" s="66" t="s">
        <v>329</v>
      </c>
      <c r="P274" s="66">
        <v>5603</v>
      </c>
      <c r="Q274" s="66">
        <v>40</v>
      </c>
      <c r="R274" s="66">
        <v>0</v>
      </c>
      <c r="S274" s="66">
        <v>33219</v>
      </c>
      <c r="T274" s="66">
        <v>721</v>
      </c>
      <c r="U274" s="66">
        <v>0</v>
      </c>
      <c r="V274" s="67">
        <v>0</v>
      </c>
    </row>
    <row r="275" spans="1:22" x14ac:dyDescent="0.25">
      <c r="A275" s="27" t="s">
        <v>809</v>
      </c>
      <c r="B275" s="27" t="s">
        <v>877</v>
      </c>
      <c r="C275" s="27" t="s">
        <v>330</v>
      </c>
      <c r="D275" s="32">
        <f>9099+1+2+1+1+1+11+4+4+286</f>
        <v>9410</v>
      </c>
      <c r="E275" s="32">
        <f>672+72</f>
        <v>744</v>
      </c>
      <c r="F275" s="32">
        <v>0</v>
      </c>
      <c r="G275" s="32">
        <f>59140+1+2+12+24+2+34+2+2+5+1+4+573</f>
        <v>59802</v>
      </c>
      <c r="H275" s="32">
        <f>804+2+1</f>
        <v>807</v>
      </c>
      <c r="I275" s="32">
        <v>0</v>
      </c>
      <c r="J275" s="32">
        <v>0</v>
      </c>
      <c r="M275" s="68" t="s">
        <v>809</v>
      </c>
      <c r="N275" s="13" t="s">
        <v>877</v>
      </c>
      <c r="O275" s="13" t="s">
        <v>330</v>
      </c>
      <c r="P275" s="13">
        <v>9410</v>
      </c>
      <c r="Q275" s="13">
        <v>744</v>
      </c>
      <c r="R275" s="13">
        <v>0</v>
      </c>
      <c r="S275" s="13">
        <v>59802</v>
      </c>
      <c r="T275" s="13">
        <v>807</v>
      </c>
      <c r="U275" s="13">
        <v>0</v>
      </c>
      <c r="V275" s="69">
        <v>0</v>
      </c>
    </row>
    <row r="276" spans="1:22" x14ac:dyDescent="0.25">
      <c r="A276" s="27" t="s">
        <v>839</v>
      </c>
      <c r="B276" s="27" t="s">
        <v>877</v>
      </c>
      <c r="C276" s="27" t="s">
        <v>331</v>
      </c>
      <c r="D276" s="32">
        <f>2577+17</f>
        <v>2594</v>
      </c>
      <c r="E276" s="32">
        <v>2</v>
      </c>
      <c r="F276" s="32">
        <v>0</v>
      </c>
      <c r="G276" s="32">
        <f>13428+6+10+188+1</f>
        <v>13633</v>
      </c>
      <c r="H276" s="32">
        <f>22+7</f>
        <v>29</v>
      </c>
      <c r="I276" s="32">
        <v>0</v>
      </c>
      <c r="J276" s="32">
        <v>0</v>
      </c>
      <c r="M276" s="65" t="s">
        <v>839</v>
      </c>
      <c r="N276" s="66" t="s">
        <v>877</v>
      </c>
      <c r="O276" s="66" t="s">
        <v>331</v>
      </c>
      <c r="P276" s="66">
        <v>2594</v>
      </c>
      <c r="Q276" s="66">
        <v>2</v>
      </c>
      <c r="R276" s="66">
        <v>0</v>
      </c>
      <c r="S276" s="66">
        <v>13633</v>
      </c>
      <c r="T276" s="66">
        <v>29</v>
      </c>
      <c r="U276" s="66">
        <v>0</v>
      </c>
      <c r="V276" s="67">
        <v>0</v>
      </c>
    </row>
    <row r="277" spans="1:22" x14ac:dyDescent="0.25">
      <c r="A277" s="27" t="s">
        <v>248</v>
      </c>
      <c r="B277" s="27" t="s">
        <v>877</v>
      </c>
      <c r="C277" s="27" t="s">
        <v>332</v>
      </c>
      <c r="D277" s="32">
        <f>10791+5+5+9</f>
        <v>10810</v>
      </c>
      <c r="E277" s="32">
        <v>7</v>
      </c>
      <c r="F277" s="32">
        <v>0</v>
      </c>
      <c r="G277" s="32">
        <f>20627+2+339+3+646+5+37+10</f>
        <v>21669</v>
      </c>
      <c r="H277" s="32">
        <v>123</v>
      </c>
      <c r="I277" s="32">
        <v>0</v>
      </c>
      <c r="J277" s="32">
        <v>0</v>
      </c>
      <c r="M277" s="68" t="s">
        <v>248</v>
      </c>
      <c r="N277" s="13" t="s">
        <v>877</v>
      </c>
      <c r="O277" s="13" t="s">
        <v>332</v>
      </c>
      <c r="P277" s="13">
        <v>10810</v>
      </c>
      <c r="Q277" s="13">
        <v>7</v>
      </c>
      <c r="R277" s="13">
        <v>0</v>
      </c>
      <c r="S277" s="13">
        <v>21669</v>
      </c>
      <c r="T277" s="13">
        <v>123</v>
      </c>
      <c r="U277" s="13">
        <v>0</v>
      </c>
      <c r="V277" s="69">
        <v>0</v>
      </c>
    </row>
    <row r="278" spans="1:22" x14ac:dyDescent="0.25">
      <c r="A278" s="27" t="s">
        <v>862</v>
      </c>
      <c r="B278" s="27" t="s">
        <v>877</v>
      </c>
      <c r="C278" s="27" t="s">
        <v>333</v>
      </c>
      <c r="D278" s="32">
        <v>657</v>
      </c>
      <c r="E278" s="32">
        <v>0</v>
      </c>
      <c r="F278" s="32">
        <v>0</v>
      </c>
      <c r="G278" s="32">
        <v>10269</v>
      </c>
      <c r="H278" s="32">
        <v>0</v>
      </c>
      <c r="I278" s="32">
        <v>0</v>
      </c>
      <c r="J278" s="32">
        <v>0</v>
      </c>
      <c r="M278" s="65" t="s">
        <v>862</v>
      </c>
      <c r="N278" s="66" t="s">
        <v>877</v>
      </c>
      <c r="O278" s="66" t="s">
        <v>333</v>
      </c>
      <c r="P278" s="66">
        <v>657</v>
      </c>
      <c r="Q278" s="66">
        <v>0</v>
      </c>
      <c r="R278" s="66">
        <v>0</v>
      </c>
      <c r="S278" s="66">
        <v>10269</v>
      </c>
      <c r="T278" s="66">
        <v>0</v>
      </c>
      <c r="U278" s="66">
        <v>0</v>
      </c>
      <c r="V278" s="67">
        <v>0</v>
      </c>
    </row>
    <row r="279" spans="1:22" x14ac:dyDescent="0.25">
      <c r="A279" s="27" t="s">
        <v>857</v>
      </c>
      <c r="B279" s="27" t="s">
        <v>877</v>
      </c>
      <c r="C279" s="27" t="s">
        <v>334</v>
      </c>
      <c r="D279" s="32">
        <v>8627</v>
      </c>
      <c r="E279" s="32">
        <v>0</v>
      </c>
      <c r="F279" s="32">
        <v>0</v>
      </c>
      <c r="G279" s="32">
        <v>3194</v>
      </c>
      <c r="H279" s="32">
        <v>0</v>
      </c>
      <c r="I279" s="32">
        <v>0</v>
      </c>
      <c r="J279" s="32">
        <v>0</v>
      </c>
      <c r="M279" s="68" t="s">
        <v>857</v>
      </c>
      <c r="N279" s="13" t="s">
        <v>877</v>
      </c>
      <c r="O279" s="13" t="s">
        <v>334</v>
      </c>
      <c r="P279" s="13">
        <v>8627</v>
      </c>
      <c r="Q279" s="13">
        <v>0</v>
      </c>
      <c r="R279" s="13">
        <v>0</v>
      </c>
      <c r="S279" s="13">
        <v>3194</v>
      </c>
      <c r="T279" s="13">
        <v>0</v>
      </c>
      <c r="U279" s="13">
        <v>0</v>
      </c>
      <c r="V279" s="69">
        <v>0</v>
      </c>
    </row>
    <row r="280" spans="1:22" x14ac:dyDescent="0.25">
      <c r="A280" s="27" t="s">
        <v>265</v>
      </c>
      <c r="B280" s="27" t="s">
        <v>877</v>
      </c>
      <c r="C280" s="27" t="s">
        <v>335</v>
      </c>
      <c r="D280" s="32">
        <f>7829+2+2+12</f>
        <v>7845</v>
      </c>
      <c r="E280" s="32">
        <v>0</v>
      </c>
      <c r="F280" s="32">
        <v>0</v>
      </c>
      <c r="G280" s="32">
        <f>27799+1+1+10+14+2+137</f>
        <v>27964</v>
      </c>
      <c r="H280" s="32">
        <f>39+13</f>
        <v>52</v>
      </c>
      <c r="I280" s="32">
        <v>0</v>
      </c>
      <c r="J280" s="32">
        <v>0</v>
      </c>
      <c r="M280" s="65" t="s">
        <v>265</v>
      </c>
      <c r="N280" s="66" t="s">
        <v>877</v>
      </c>
      <c r="O280" s="66" t="s">
        <v>335</v>
      </c>
      <c r="P280" s="66">
        <v>7845</v>
      </c>
      <c r="Q280" s="66">
        <v>0</v>
      </c>
      <c r="R280" s="66">
        <v>0</v>
      </c>
      <c r="S280" s="66">
        <v>27964</v>
      </c>
      <c r="T280" s="66">
        <v>52</v>
      </c>
      <c r="U280" s="66">
        <v>0</v>
      </c>
      <c r="V280" s="67">
        <v>0</v>
      </c>
    </row>
    <row r="281" spans="1:22" x14ac:dyDescent="0.25">
      <c r="A281" s="27" t="s">
        <v>855</v>
      </c>
      <c r="B281" s="27" t="s">
        <v>877</v>
      </c>
      <c r="C281" s="27" t="s">
        <v>336</v>
      </c>
      <c r="D281" s="32">
        <f>3496+78</f>
        <v>3574</v>
      </c>
      <c r="E281" s="32">
        <f>23+46</f>
        <v>69</v>
      </c>
      <c r="F281" s="32">
        <v>0</v>
      </c>
      <c r="G281" s="32">
        <f>12519+81</f>
        <v>12600</v>
      </c>
      <c r="H281" s="32">
        <v>17</v>
      </c>
      <c r="I281" s="32">
        <v>0</v>
      </c>
      <c r="J281" s="32">
        <v>0</v>
      </c>
      <c r="M281" s="68" t="s">
        <v>855</v>
      </c>
      <c r="N281" s="13" t="s">
        <v>877</v>
      </c>
      <c r="O281" s="13" t="s">
        <v>336</v>
      </c>
      <c r="P281" s="13">
        <v>3574</v>
      </c>
      <c r="Q281" s="13">
        <v>69</v>
      </c>
      <c r="R281" s="13">
        <v>0</v>
      </c>
      <c r="S281" s="13">
        <v>12600</v>
      </c>
      <c r="T281" s="13">
        <v>17</v>
      </c>
      <c r="U281" s="13">
        <v>0</v>
      </c>
      <c r="V281" s="69">
        <v>0</v>
      </c>
    </row>
    <row r="282" spans="1:22" x14ac:dyDescent="0.25">
      <c r="A282" s="27" t="s">
        <v>868</v>
      </c>
      <c r="B282" s="27" t="s">
        <v>877</v>
      </c>
      <c r="C282" s="27" t="s">
        <v>337</v>
      </c>
      <c r="D282" s="32">
        <f>7617+1+39+23+21</f>
        <v>7701</v>
      </c>
      <c r="E282" s="32">
        <v>51</v>
      </c>
      <c r="F282" s="32">
        <v>0</v>
      </c>
      <c r="G282" s="32">
        <f>38485+2+11+507+29+3+1+1+3+2+33</f>
        <v>39077</v>
      </c>
      <c r="H282" s="32">
        <f>194+10+14+23</f>
        <v>241</v>
      </c>
      <c r="I282" s="32">
        <v>0</v>
      </c>
      <c r="J282" s="32">
        <v>0</v>
      </c>
      <c r="M282" s="65" t="s">
        <v>868</v>
      </c>
      <c r="N282" s="66" t="s">
        <v>877</v>
      </c>
      <c r="O282" s="66" t="s">
        <v>337</v>
      </c>
      <c r="P282" s="66">
        <v>7701</v>
      </c>
      <c r="Q282" s="66">
        <v>51</v>
      </c>
      <c r="R282" s="66">
        <v>0</v>
      </c>
      <c r="S282" s="66">
        <v>39077</v>
      </c>
      <c r="T282" s="66">
        <v>241</v>
      </c>
      <c r="U282" s="66">
        <v>0</v>
      </c>
      <c r="V282" s="67">
        <v>0</v>
      </c>
    </row>
    <row r="283" spans="1:22" x14ac:dyDescent="0.25">
      <c r="A283" s="27" t="s">
        <v>852</v>
      </c>
      <c r="B283" s="27" t="s">
        <v>877</v>
      </c>
      <c r="C283" s="27" t="s">
        <v>338</v>
      </c>
      <c r="D283" s="32">
        <f>1274+3</f>
        <v>1277</v>
      </c>
      <c r="E283" s="32">
        <v>1</v>
      </c>
      <c r="F283" s="32">
        <v>0</v>
      </c>
      <c r="G283" s="32">
        <f>13684+2+26+29</f>
        <v>13741</v>
      </c>
      <c r="H283" s="32">
        <f>48+2</f>
        <v>50</v>
      </c>
      <c r="I283" s="32">
        <v>0</v>
      </c>
      <c r="J283" s="32">
        <v>0</v>
      </c>
      <c r="M283" s="68" t="s">
        <v>852</v>
      </c>
      <c r="N283" s="13" t="s">
        <v>877</v>
      </c>
      <c r="O283" s="13" t="s">
        <v>338</v>
      </c>
      <c r="P283" s="13">
        <v>1277</v>
      </c>
      <c r="Q283" s="13">
        <v>1</v>
      </c>
      <c r="R283" s="13">
        <v>0</v>
      </c>
      <c r="S283" s="13">
        <v>13741</v>
      </c>
      <c r="T283" s="13">
        <v>50</v>
      </c>
      <c r="U283" s="13">
        <v>0</v>
      </c>
      <c r="V283" s="69">
        <v>0</v>
      </c>
    </row>
    <row r="284" spans="1:22" x14ac:dyDescent="0.25">
      <c r="A284" s="27" t="s">
        <v>860</v>
      </c>
      <c r="B284" s="27" t="s">
        <v>877</v>
      </c>
      <c r="C284" s="27" t="s">
        <v>339</v>
      </c>
      <c r="D284" s="32">
        <f>6099+4+24</f>
        <v>6127</v>
      </c>
      <c r="E284" s="32">
        <v>0</v>
      </c>
      <c r="F284" s="32">
        <v>0</v>
      </c>
      <c r="G284" s="32">
        <f>5847+1+1+2+3</f>
        <v>5854</v>
      </c>
      <c r="H284" s="32">
        <f>3+74</f>
        <v>77</v>
      </c>
      <c r="I284" s="32">
        <v>0</v>
      </c>
      <c r="J284" s="32">
        <v>0</v>
      </c>
      <c r="M284" s="65" t="s">
        <v>860</v>
      </c>
      <c r="N284" s="66" t="s">
        <v>877</v>
      </c>
      <c r="O284" s="66" t="s">
        <v>339</v>
      </c>
      <c r="P284" s="66">
        <v>6127</v>
      </c>
      <c r="Q284" s="66">
        <v>0</v>
      </c>
      <c r="R284" s="66">
        <v>0</v>
      </c>
      <c r="S284" s="66">
        <v>5854</v>
      </c>
      <c r="T284" s="66">
        <v>77</v>
      </c>
      <c r="U284" s="66">
        <v>0</v>
      </c>
      <c r="V284" s="67">
        <v>0</v>
      </c>
    </row>
    <row r="285" spans="1:22" x14ac:dyDescent="0.25">
      <c r="A285" s="27" t="s">
        <v>861</v>
      </c>
      <c r="B285" s="27" t="s">
        <v>877</v>
      </c>
      <c r="C285" s="27" t="s">
        <v>340</v>
      </c>
      <c r="D285" s="32">
        <v>1648</v>
      </c>
      <c r="E285" s="32">
        <v>0</v>
      </c>
      <c r="F285" s="32">
        <v>0</v>
      </c>
      <c r="G285" s="32">
        <f>6143+6</f>
        <v>6149</v>
      </c>
      <c r="H285" s="32">
        <f>6+1</f>
        <v>7</v>
      </c>
      <c r="I285" s="32">
        <v>0</v>
      </c>
      <c r="J285" s="32">
        <v>0</v>
      </c>
      <c r="M285" s="68" t="s">
        <v>861</v>
      </c>
      <c r="N285" s="13" t="s">
        <v>877</v>
      </c>
      <c r="O285" s="13" t="s">
        <v>340</v>
      </c>
      <c r="P285" s="13">
        <v>1648</v>
      </c>
      <c r="Q285" s="13">
        <v>0</v>
      </c>
      <c r="R285" s="13">
        <v>0</v>
      </c>
      <c r="S285" s="13">
        <v>6149</v>
      </c>
      <c r="T285" s="13">
        <v>7</v>
      </c>
      <c r="U285" s="13">
        <v>0</v>
      </c>
      <c r="V285" s="69">
        <v>0</v>
      </c>
    </row>
    <row r="286" spans="1:22" x14ac:dyDescent="0.25">
      <c r="A286" s="27" t="s">
        <v>834</v>
      </c>
      <c r="B286" s="27" t="s">
        <v>877</v>
      </c>
      <c r="C286" s="27" t="s">
        <v>341</v>
      </c>
      <c r="D286" s="32">
        <v>2491</v>
      </c>
      <c r="E286" s="32">
        <v>0</v>
      </c>
      <c r="F286" s="32">
        <v>0</v>
      </c>
      <c r="G286" s="32">
        <v>16139</v>
      </c>
      <c r="H286" s="32">
        <v>6</v>
      </c>
      <c r="I286" s="32">
        <v>0</v>
      </c>
      <c r="J286" s="32">
        <v>0</v>
      </c>
      <c r="M286" s="65" t="s">
        <v>834</v>
      </c>
      <c r="N286" s="66" t="s">
        <v>877</v>
      </c>
      <c r="O286" s="66" t="s">
        <v>341</v>
      </c>
      <c r="P286" s="66">
        <v>2491</v>
      </c>
      <c r="Q286" s="66">
        <v>0</v>
      </c>
      <c r="R286" s="66">
        <v>0</v>
      </c>
      <c r="S286" s="66">
        <v>16139</v>
      </c>
      <c r="T286" s="66">
        <v>6</v>
      </c>
      <c r="U286" s="66">
        <v>0</v>
      </c>
      <c r="V286" s="67">
        <v>0</v>
      </c>
    </row>
    <row r="287" spans="1:22" x14ac:dyDescent="0.25">
      <c r="A287" s="27" t="s">
        <v>850</v>
      </c>
      <c r="B287" s="27" t="s">
        <v>877</v>
      </c>
      <c r="C287" s="27" t="s">
        <v>342</v>
      </c>
      <c r="D287" s="32">
        <v>1392</v>
      </c>
      <c r="E287" s="32">
        <v>16</v>
      </c>
      <c r="F287" s="32">
        <v>0</v>
      </c>
      <c r="G287" s="32">
        <f>3563+38</f>
        <v>3601</v>
      </c>
      <c r="H287" s="32">
        <v>76</v>
      </c>
      <c r="I287" s="32">
        <v>0</v>
      </c>
      <c r="J287" s="32">
        <v>0</v>
      </c>
      <c r="M287" s="68" t="s">
        <v>850</v>
      </c>
      <c r="N287" s="13" t="s">
        <v>877</v>
      </c>
      <c r="O287" s="13" t="s">
        <v>342</v>
      </c>
      <c r="P287" s="13">
        <v>1392</v>
      </c>
      <c r="Q287" s="13">
        <v>16</v>
      </c>
      <c r="R287" s="13">
        <v>0</v>
      </c>
      <c r="S287" s="13">
        <v>3601</v>
      </c>
      <c r="T287" s="13">
        <v>76</v>
      </c>
      <c r="U287" s="13">
        <v>0</v>
      </c>
      <c r="V287" s="69">
        <v>0</v>
      </c>
    </row>
    <row r="288" spans="1:22" x14ac:dyDescent="0.25">
      <c r="A288" s="27" t="s">
        <v>801</v>
      </c>
      <c r="B288" s="27" t="s">
        <v>877</v>
      </c>
      <c r="C288" s="27" t="s">
        <v>343</v>
      </c>
      <c r="D288" s="32">
        <v>1330</v>
      </c>
      <c r="E288" s="32">
        <v>0</v>
      </c>
      <c r="F288" s="32">
        <v>0</v>
      </c>
      <c r="G288" s="32">
        <f>4889+4+19</f>
        <v>4912</v>
      </c>
      <c r="H288" s="32">
        <v>1</v>
      </c>
      <c r="I288" s="32">
        <v>0</v>
      </c>
      <c r="J288" s="32">
        <v>0</v>
      </c>
      <c r="M288" s="65" t="s">
        <v>801</v>
      </c>
      <c r="N288" s="66" t="s">
        <v>877</v>
      </c>
      <c r="O288" s="66" t="s">
        <v>343</v>
      </c>
      <c r="P288" s="66">
        <v>1330</v>
      </c>
      <c r="Q288" s="66">
        <v>0</v>
      </c>
      <c r="R288" s="66">
        <v>0</v>
      </c>
      <c r="S288" s="66">
        <v>4912</v>
      </c>
      <c r="T288" s="66">
        <v>1</v>
      </c>
      <c r="U288" s="66">
        <v>0</v>
      </c>
      <c r="V288" s="67">
        <v>0</v>
      </c>
    </row>
    <row r="289" spans="1:22" x14ac:dyDescent="0.25">
      <c r="A289" s="27" t="s">
        <v>890</v>
      </c>
      <c r="B289" s="27" t="s">
        <v>877</v>
      </c>
      <c r="C289" s="27" t="s">
        <v>344</v>
      </c>
      <c r="D289" s="32">
        <f>11104+10+5</f>
        <v>11119</v>
      </c>
      <c r="E289" s="32">
        <v>5</v>
      </c>
      <c r="F289" s="32">
        <v>0</v>
      </c>
      <c r="G289" s="32">
        <f>45759+4+66+4+119</f>
        <v>45952</v>
      </c>
      <c r="H289" s="32">
        <f>449+2</f>
        <v>451</v>
      </c>
      <c r="I289" s="32">
        <v>0</v>
      </c>
      <c r="J289" s="32">
        <v>0</v>
      </c>
      <c r="M289" s="68" t="s">
        <v>890</v>
      </c>
      <c r="N289" s="13" t="s">
        <v>877</v>
      </c>
      <c r="O289" s="13" t="s">
        <v>344</v>
      </c>
      <c r="P289" s="13">
        <v>11119</v>
      </c>
      <c r="Q289" s="13">
        <v>5</v>
      </c>
      <c r="R289" s="13">
        <v>0</v>
      </c>
      <c r="S289" s="13">
        <v>45952</v>
      </c>
      <c r="T289" s="13">
        <v>451</v>
      </c>
      <c r="U289" s="13">
        <v>0</v>
      </c>
      <c r="V289" s="69">
        <v>0</v>
      </c>
    </row>
    <row r="290" spans="1:22" x14ac:dyDescent="0.25">
      <c r="A290" s="27" t="s">
        <v>868</v>
      </c>
      <c r="B290" s="27" t="s">
        <v>877</v>
      </c>
      <c r="C290" s="27" t="s">
        <v>345</v>
      </c>
      <c r="D290" s="32">
        <f>1129+3</f>
        <v>1132</v>
      </c>
      <c r="E290" s="32">
        <v>0</v>
      </c>
      <c r="F290" s="32">
        <v>0</v>
      </c>
      <c r="G290" s="32">
        <f>8432+3+10</f>
        <v>8445</v>
      </c>
      <c r="H290" s="32">
        <v>0</v>
      </c>
      <c r="I290" s="32">
        <v>0</v>
      </c>
      <c r="J290" s="32">
        <v>0</v>
      </c>
      <c r="M290" s="65" t="s">
        <v>868</v>
      </c>
      <c r="N290" s="66" t="s">
        <v>877</v>
      </c>
      <c r="O290" s="66" t="s">
        <v>345</v>
      </c>
      <c r="P290" s="66">
        <v>1132</v>
      </c>
      <c r="Q290" s="66">
        <v>0</v>
      </c>
      <c r="R290" s="66">
        <v>0</v>
      </c>
      <c r="S290" s="66">
        <v>8445</v>
      </c>
      <c r="T290" s="66">
        <v>0</v>
      </c>
      <c r="U290" s="66">
        <v>0</v>
      </c>
      <c r="V290" s="67">
        <v>0</v>
      </c>
    </row>
    <row r="291" spans="1:22" x14ac:dyDescent="0.25">
      <c r="A291" s="27" t="s">
        <v>69</v>
      </c>
      <c r="B291" s="27" t="s">
        <v>877</v>
      </c>
      <c r="C291" s="27" t="s">
        <v>346</v>
      </c>
      <c r="D291" s="32">
        <f>8341+2+2+2+59+1+7</f>
        <v>8414</v>
      </c>
      <c r="E291" s="32">
        <f>47+26+4</f>
        <v>77</v>
      </c>
      <c r="F291" s="32">
        <v>0</v>
      </c>
      <c r="G291" s="32">
        <f>64619+2+4+2+2+29+64+4+6+199</f>
        <v>64931</v>
      </c>
      <c r="H291" s="32">
        <f>1133+55+17</f>
        <v>1205</v>
      </c>
      <c r="I291" s="32">
        <v>0</v>
      </c>
      <c r="J291" s="32">
        <v>0</v>
      </c>
      <c r="M291" s="68" t="s">
        <v>69</v>
      </c>
      <c r="N291" s="13" t="s">
        <v>877</v>
      </c>
      <c r="O291" s="13" t="s">
        <v>346</v>
      </c>
      <c r="P291" s="13">
        <v>8414</v>
      </c>
      <c r="Q291" s="13">
        <v>77</v>
      </c>
      <c r="R291" s="13">
        <v>0</v>
      </c>
      <c r="S291" s="13">
        <v>64931</v>
      </c>
      <c r="T291" s="13">
        <v>1205</v>
      </c>
      <c r="U291" s="13">
        <v>0</v>
      </c>
      <c r="V291" s="69">
        <v>0</v>
      </c>
    </row>
    <row r="292" spans="1:22" x14ac:dyDescent="0.25">
      <c r="A292" s="27" t="s">
        <v>83</v>
      </c>
      <c r="B292" s="27" t="s">
        <v>877</v>
      </c>
      <c r="C292" s="27" t="s">
        <v>347</v>
      </c>
      <c r="D292" s="32">
        <v>33</v>
      </c>
      <c r="E292" s="32">
        <v>0</v>
      </c>
      <c r="F292" s="32">
        <v>0</v>
      </c>
      <c r="G292" s="32">
        <v>17</v>
      </c>
      <c r="H292" s="32">
        <v>0</v>
      </c>
      <c r="I292" s="32">
        <v>0</v>
      </c>
      <c r="J292" s="32">
        <v>0</v>
      </c>
      <c r="M292" s="65" t="s">
        <v>83</v>
      </c>
      <c r="N292" s="66" t="s">
        <v>877</v>
      </c>
      <c r="O292" s="66" t="s">
        <v>347</v>
      </c>
      <c r="P292" s="66">
        <v>33</v>
      </c>
      <c r="Q292" s="66">
        <v>0</v>
      </c>
      <c r="R292" s="66">
        <v>0</v>
      </c>
      <c r="S292" s="66">
        <v>17</v>
      </c>
      <c r="T292" s="66">
        <v>0</v>
      </c>
      <c r="U292" s="66">
        <v>0</v>
      </c>
      <c r="V292" s="67">
        <v>0</v>
      </c>
    </row>
    <row r="293" spans="1:22" x14ac:dyDescent="0.25">
      <c r="A293" s="27" t="s">
        <v>101</v>
      </c>
      <c r="B293" s="27" t="s">
        <v>877</v>
      </c>
      <c r="C293" s="27" t="s">
        <v>348</v>
      </c>
      <c r="D293" s="32">
        <v>5057</v>
      </c>
      <c r="E293" s="32">
        <v>51</v>
      </c>
      <c r="F293" s="32">
        <v>0</v>
      </c>
      <c r="G293" s="32">
        <f>22630+1+58+12+81</f>
        <v>22782</v>
      </c>
      <c r="H293" s="32">
        <f>30+1</f>
        <v>31</v>
      </c>
      <c r="I293" s="32">
        <v>0</v>
      </c>
      <c r="J293" s="32">
        <v>0</v>
      </c>
      <c r="M293" s="68" t="s">
        <v>101</v>
      </c>
      <c r="N293" s="13" t="s">
        <v>877</v>
      </c>
      <c r="O293" s="13" t="s">
        <v>348</v>
      </c>
      <c r="P293" s="13">
        <v>5057</v>
      </c>
      <c r="Q293" s="13">
        <v>51</v>
      </c>
      <c r="R293" s="13">
        <v>0</v>
      </c>
      <c r="S293" s="13">
        <v>22782</v>
      </c>
      <c r="T293" s="13">
        <v>31</v>
      </c>
      <c r="U293" s="13">
        <v>0</v>
      </c>
      <c r="V293" s="69">
        <v>0</v>
      </c>
    </row>
    <row r="294" spans="1:22" x14ac:dyDescent="0.25">
      <c r="A294" s="27" t="s">
        <v>797</v>
      </c>
      <c r="B294" s="27" t="s">
        <v>877</v>
      </c>
      <c r="C294" s="27" t="s">
        <v>349</v>
      </c>
      <c r="D294" s="32">
        <v>1617</v>
      </c>
      <c r="E294" s="32">
        <v>0</v>
      </c>
      <c r="F294" s="32">
        <v>0</v>
      </c>
      <c r="G294" s="32">
        <v>9950</v>
      </c>
      <c r="H294" s="32">
        <v>16</v>
      </c>
      <c r="I294" s="32">
        <v>0</v>
      </c>
      <c r="J294" s="32">
        <v>0</v>
      </c>
      <c r="M294" s="65" t="s">
        <v>797</v>
      </c>
      <c r="N294" s="66" t="s">
        <v>877</v>
      </c>
      <c r="O294" s="66" t="s">
        <v>349</v>
      </c>
      <c r="P294" s="66">
        <v>1617</v>
      </c>
      <c r="Q294" s="66">
        <v>0</v>
      </c>
      <c r="R294" s="66">
        <v>0</v>
      </c>
      <c r="S294" s="66">
        <v>9950</v>
      </c>
      <c r="T294" s="66">
        <v>16</v>
      </c>
      <c r="U294" s="66">
        <v>0</v>
      </c>
      <c r="V294" s="67">
        <v>0</v>
      </c>
    </row>
    <row r="295" spans="1:22" x14ac:dyDescent="0.25">
      <c r="A295" s="27" t="s">
        <v>811</v>
      </c>
      <c r="B295" s="27" t="s">
        <v>877</v>
      </c>
      <c r="C295" s="27" t="s">
        <v>350</v>
      </c>
      <c r="D295" s="32">
        <f>8660+18</f>
        <v>8678</v>
      </c>
      <c r="E295" s="32">
        <v>231</v>
      </c>
      <c r="F295" s="32">
        <v>0</v>
      </c>
      <c r="G295" s="32">
        <f>37491+2+1+1+58+35</f>
        <v>37588</v>
      </c>
      <c r="H295" s="32">
        <f>141+1+1</f>
        <v>143</v>
      </c>
      <c r="I295" s="32">
        <v>0</v>
      </c>
      <c r="J295" s="32">
        <v>0</v>
      </c>
      <c r="M295" s="68" t="s">
        <v>811</v>
      </c>
      <c r="N295" s="13" t="s">
        <v>877</v>
      </c>
      <c r="O295" s="13" t="s">
        <v>350</v>
      </c>
      <c r="P295" s="13">
        <v>8678</v>
      </c>
      <c r="Q295" s="13">
        <v>231</v>
      </c>
      <c r="R295" s="13">
        <v>0</v>
      </c>
      <c r="S295" s="13">
        <v>37588</v>
      </c>
      <c r="T295" s="13">
        <v>143</v>
      </c>
      <c r="U295" s="13">
        <v>0</v>
      </c>
      <c r="V295" s="69">
        <v>0</v>
      </c>
    </row>
    <row r="296" spans="1:22" x14ac:dyDescent="0.25">
      <c r="A296" s="27" t="s">
        <v>837</v>
      </c>
      <c r="B296" s="27" t="s">
        <v>877</v>
      </c>
      <c r="C296" s="27" t="s">
        <v>351</v>
      </c>
      <c r="D296" s="32">
        <f>3341+3</f>
        <v>3344</v>
      </c>
      <c r="E296" s="32">
        <f>30+2</f>
        <v>32</v>
      </c>
      <c r="F296" s="32">
        <v>0</v>
      </c>
      <c r="G296" s="32">
        <f>12745+1+49+3</f>
        <v>12798</v>
      </c>
      <c r="H296" s="32">
        <f>78+20</f>
        <v>98</v>
      </c>
      <c r="I296" s="32">
        <v>0</v>
      </c>
      <c r="J296" s="32">
        <v>0</v>
      </c>
      <c r="M296" s="65" t="s">
        <v>837</v>
      </c>
      <c r="N296" s="66" t="s">
        <v>877</v>
      </c>
      <c r="O296" s="66" t="s">
        <v>351</v>
      </c>
      <c r="P296" s="66">
        <v>3344</v>
      </c>
      <c r="Q296" s="66">
        <v>32</v>
      </c>
      <c r="R296" s="66">
        <v>0</v>
      </c>
      <c r="S296" s="66">
        <v>12798</v>
      </c>
      <c r="T296" s="66">
        <v>98</v>
      </c>
      <c r="U296" s="66">
        <v>0</v>
      </c>
      <c r="V296" s="67">
        <v>0</v>
      </c>
    </row>
    <row r="297" spans="1:22" x14ac:dyDescent="0.25">
      <c r="A297" s="27" t="s">
        <v>824</v>
      </c>
      <c r="B297" s="27" t="s">
        <v>877</v>
      </c>
      <c r="C297" s="27" t="s">
        <v>352</v>
      </c>
      <c r="D297" s="32">
        <f>2498+65+6</f>
        <v>2569</v>
      </c>
      <c r="E297" s="32">
        <v>0</v>
      </c>
      <c r="F297" s="32">
        <v>0</v>
      </c>
      <c r="G297" s="32">
        <f>11978+365+111</f>
        <v>12454</v>
      </c>
      <c r="H297" s="32">
        <f>4+6</f>
        <v>10</v>
      </c>
      <c r="I297" s="32">
        <v>0</v>
      </c>
      <c r="J297" s="32">
        <v>0</v>
      </c>
      <c r="M297" s="68" t="s">
        <v>824</v>
      </c>
      <c r="N297" s="13" t="s">
        <v>877</v>
      </c>
      <c r="O297" s="13" t="s">
        <v>352</v>
      </c>
      <c r="P297" s="13">
        <v>2569</v>
      </c>
      <c r="Q297" s="13">
        <v>0</v>
      </c>
      <c r="R297" s="13">
        <v>0</v>
      </c>
      <c r="S297" s="13">
        <v>12454</v>
      </c>
      <c r="T297" s="13">
        <v>10</v>
      </c>
      <c r="U297" s="13">
        <v>0</v>
      </c>
      <c r="V297" s="69">
        <v>0</v>
      </c>
    </row>
    <row r="298" spans="1:22" x14ac:dyDescent="0.25">
      <c r="A298" s="27" t="s">
        <v>829</v>
      </c>
      <c r="B298" s="27" t="s">
        <v>877</v>
      </c>
      <c r="C298" s="27" t="s">
        <v>353</v>
      </c>
      <c r="D298" s="32">
        <f>12896+16</f>
        <v>12912</v>
      </c>
      <c r="E298" s="32">
        <v>3</v>
      </c>
      <c r="F298" s="32">
        <v>0</v>
      </c>
      <c r="G298" s="32">
        <f>14472+62+25</f>
        <v>14559</v>
      </c>
      <c r="H298" s="32">
        <f>178+15</f>
        <v>193</v>
      </c>
      <c r="I298" s="32">
        <v>0</v>
      </c>
      <c r="J298" s="32">
        <v>0</v>
      </c>
      <c r="M298" s="65" t="s">
        <v>829</v>
      </c>
      <c r="N298" s="66" t="s">
        <v>877</v>
      </c>
      <c r="O298" s="66" t="s">
        <v>353</v>
      </c>
      <c r="P298" s="66">
        <v>12912</v>
      </c>
      <c r="Q298" s="66">
        <v>3</v>
      </c>
      <c r="R298" s="66">
        <v>0</v>
      </c>
      <c r="S298" s="66">
        <v>14559</v>
      </c>
      <c r="T298" s="66">
        <v>193</v>
      </c>
      <c r="U298" s="66">
        <v>0</v>
      </c>
      <c r="V298" s="67">
        <v>0</v>
      </c>
    </row>
    <row r="299" spans="1:22" x14ac:dyDescent="0.25">
      <c r="A299" s="27" t="s">
        <v>832</v>
      </c>
      <c r="B299" s="27" t="s">
        <v>877</v>
      </c>
      <c r="C299" s="27" t="s">
        <v>354</v>
      </c>
      <c r="D299" s="32">
        <f>2027+8</f>
        <v>2035</v>
      </c>
      <c r="E299" s="32">
        <v>0</v>
      </c>
      <c r="F299" s="32">
        <v>0</v>
      </c>
      <c r="G299" s="32">
        <f>6187+2+3</f>
        <v>6192</v>
      </c>
      <c r="H299" s="32">
        <f>10+2</f>
        <v>12</v>
      </c>
      <c r="I299" s="32">
        <v>0</v>
      </c>
      <c r="J299" s="32">
        <v>0</v>
      </c>
      <c r="M299" s="68" t="s">
        <v>832</v>
      </c>
      <c r="N299" s="13" t="s">
        <v>877</v>
      </c>
      <c r="O299" s="13" t="s">
        <v>354</v>
      </c>
      <c r="P299" s="13">
        <v>2035</v>
      </c>
      <c r="Q299" s="13">
        <v>0</v>
      </c>
      <c r="R299" s="13">
        <v>0</v>
      </c>
      <c r="S299" s="13">
        <v>6192</v>
      </c>
      <c r="T299" s="13">
        <v>12</v>
      </c>
      <c r="U299" s="13">
        <v>0</v>
      </c>
      <c r="V299" s="69">
        <v>0</v>
      </c>
    </row>
    <row r="300" spans="1:22" x14ac:dyDescent="0.25">
      <c r="A300" s="27" t="s">
        <v>833</v>
      </c>
      <c r="B300" s="27" t="s">
        <v>877</v>
      </c>
      <c r="C300" s="27" t="s">
        <v>355</v>
      </c>
      <c r="D300" s="32">
        <f>4709+5</f>
        <v>4714</v>
      </c>
      <c r="E300" s="32">
        <v>0</v>
      </c>
      <c r="F300" s="32">
        <v>0</v>
      </c>
      <c r="G300" s="32">
        <f>6769+2</f>
        <v>6771</v>
      </c>
      <c r="H300" s="32">
        <v>0</v>
      </c>
      <c r="I300" s="32">
        <v>0</v>
      </c>
      <c r="J300" s="32">
        <v>0</v>
      </c>
      <c r="M300" s="65" t="s">
        <v>833</v>
      </c>
      <c r="N300" s="66" t="s">
        <v>877</v>
      </c>
      <c r="O300" s="66" t="s">
        <v>355</v>
      </c>
      <c r="P300" s="66">
        <v>4714</v>
      </c>
      <c r="Q300" s="66">
        <v>0</v>
      </c>
      <c r="R300" s="66">
        <v>0</v>
      </c>
      <c r="S300" s="66">
        <v>6771</v>
      </c>
      <c r="T300" s="66">
        <v>0</v>
      </c>
      <c r="U300" s="66">
        <v>0</v>
      </c>
      <c r="V300" s="67">
        <v>0</v>
      </c>
    </row>
    <row r="301" spans="1:22" x14ac:dyDescent="0.25">
      <c r="A301" s="27" t="s">
        <v>840</v>
      </c>
      <c r="B301" s="27" t="s">
        <v>877</v>
      </c>
      <c r="C301" s="27" t="s">
        <v>356</v>
      </c>
      <c r="D301" s="32">
        <v>2746</v>
      </c>
      <c r="E301" s="32">
        <v>36</v>
      </c>
      <c r="F301" s="32">
        <v>0</v>
      </c>
      <c r="G301" s="32">
        <v>16305</v>
      </c>
      <c r="H301" s="32">
        <f>132+3</f>
        <v>135</v>
      </c>
      <c r="I301" s="32">
        <v>0</v>
      </c>
      <c r="J301" s="32">
        <v>0</v>
      </c>
      <c r="M301" s="68" t="s">
        <v>840</v>
      </c>
      <c r="N301" s="13" t="s">
        <v>877</v>
      </c>
      <c r="O301" s="13" t="s">
        <v>356</v>
      </c>
      <c r="P301" s="13">
        <v>2746</v>
      </c>
      <c r="Q301" s="13">
        <v>36</v>
      </c>
      <c r="R301" s="13">
        <v>0</v>
      </c>
      <c r="S301" s="13">
        <v>16305</v>
      </c>
      <c r="T301" s="13">
        <v>135</v>
      </c>
      <c r="U301" s="13">
        <v>0</v>
      </c>
      <c r="V301" s="69">
        <v>0</v>
      </c>
    </row>
    <row r="302" spans="1:22" x14ac:dyDescent="0.25">
      <c r="A302" s="27" t="s">
        <v>843</v>
      </c>
      <c r="B302" s="27" t="s">
        <v>877</v>
      </c>
      <c r="C302" s="27" t="s">
        <v>357</v>
      </c>
      <c r="D302" s="32">
        <f>1383+105+9</f>
        <v>1497</v>
      </c>
      <c r="E302" s="32">
        <v>26</v>
      </c>
      <c r="F302" s="32">
        <v>0</v>
      </c>
      <c r="G302" s="32">
        <f>16923+990+7+452+8+446</f>
        <v>18826</v>
      </c>
      <c r="H302" s="32">
        <v>37</v>
      </c>
      <c r="I302" s="32">
        <v>0</v>
      </c>
      <c r="J302" s="32">
        <v>0</v>
      </c>
      <c r="M302" s="65" t="s">
        <v>843</v>
      </c>
      <c r="N302" s="66" t="s">
        <v>877</v>
      </c>
      <c r="O302" s="66" t="s">
        <v>357</v>
      </c>
      <c r="P302" s="66">
        <v>1497</v>
      </c>
      <c r="Q302" s="66">
        <v>26</v>
      </c>
      <c r="R302" s="66">
        <v>0</v>
      </c>
      <c r="S302" s="66">
        <v>18826</v>
      </c>
      <c r="T302" s="66">
        <v>37</v>
      </c>
      <c r="U302" s="66">
        <v>0</v>
      </c>
      <c r="V302" s="67">
        <v>0</v>
      </c>
    </row>
    <row r="303" spans="1:22" x14ac:dyDescent="0.25">
      <c r="A303" s="27" t="s">
        <v>791</v>
      </c>
      <c r="B303" s="27" t="s">
        <v>877</v>
      </c>
      <c r="C303" s="27" t="s">
        <v>358</v>
      </c>
      <c r="D303" s="32">
        <f>18944+3+150+125+1+1+44+4+14+3+63+521</f>
        <v>19873</v>
      </c>
      <c r="E303" s="32">
        <f>25+5</f>
        <v>30</v>
      </c>
      <c r="F303" s="32">
        <v>0</v>
      </c>
      <c r="G303" s="32">
        <f>40527+2+4+199+26+2+181+79+19+3+2+1+16+1631</f>
        <v>42692</v>
      </c>
      <c r="H303" s="32">
        <f>67+50+11</f>
        <v>128</v>
      </c>
      <c r="I303" s="32">
        <v>0</v>
      </c>
      <c r="J303" s="32">
        <v>0</v>
      </c>
      <c r="M303" s="68" t="s">
        <v>791</v>
      </c>
      <c r="N303" s="13" t="s">
        <v>877</v>
      </c>
      <c r="O303" s="13" t="s">
        <v>358</v>
      </c>
      <c r="P303" s="13">
        <v>19873</v>
      </c>
      <c r="Q303" s="13">
        <v>30</v>
      </c>
      <c r="R303" s="13">
        <v>0</v>
      </c>
      <c r="S303" s="13">
        <v>42692</v>
      </c>
      <c r="T303" s="13">
        <v>128</v>
      </c>
      <c r="U303" s="13">
        <v>0</v>
      </c>
      <c r="V303" s="69">
        <v>0</v>
      </c>
    </row>
    <row r="304" spans="1:22" x14ac:dyDescent="0.25">
      <c r="A304" s="27" t="s">
        <v>842</v>
      </c>
      <c r="B304" s="27" t="s">
        <v>877</v>
      </c>
      <c r="C304" s="27" t="s">
        <v>359</v>
      </c>
      <c r="D304" s="32">
        <f>4347+6</f>
        <v>4353</v>
      </c>
      <c r="E304" s="32">
        <v>0</v>
      </c>
      <c r="F304" s="32">
        <v>0</v>
      </c>
      <c r="G304" s="32">
        <f>20992+14+34</f>
        <v>21040</v>
      </c>
      <c r="H304" s="32">
        <v>1</v>
      </c>
      <c r="I304" s="32">
        <v>0</v>
      </c>
      <c r="J304" s="32">
        <v>0</v>
      </c>
      <c r="M304" s="65" t="s">
        <v>842</v>
      </c>
      <c r="N304" s="66" t="s">
        <v>877</v>
      </c>
      <c r="O304" s="66" t="s">
        <v>359</v>
      </c>
      <c r="P304" s="66">
        <v>4353</v>
      </c>
      <c r="Q304" s="66">
        <v>0</v>
      </c>
      <c r="R304" s="66">
        <v>0</v>
      </c>
      <c r="S304" s="66">
        <v>21040</v>
      </c>
      <c r="T304" s="66">
        <v>1</v>
      </c>
      <c r="U304" s="66">
        <v>0</v>
      </c>
      <c r="V304" s="67">
        <v>0</v>
      </c>
    </row>
    <row r="305" spans="1:22" x14ac:dyDescent="0.25">
      <c r="A305" s="27" t="s">
        <v>835</v>
      </c>
      <c r="B305" s="27" t="s">
        <v>877</v>
      </c>
      <c r="C305" s="27" t="s">
        <v>360</v>
      </c>
      <c r="D305" s="32">
        <v>1583</v>
      </c>
      <c r="E305" s="32">
        <v>60</v>
      </c>
      <c r="F305" s="32">
        <v>0</v>
      </c>
      <c r="G305" s="32">
        <f>11987+2+1+3+1+8+1</f>
        <v>12003</v>
      </c>
      <c r="H305" s="32">
        <v>23</v>
      </c>
      <c r="I305" s="32">
        <v>0</v>
      </c>
      <c r="J305" s="32">
        <v>0</v>
      </c>
      <c r="M305" s="68" t="s">
        <v>835</v>
      </c>
      <c r="N305" s="13" t="s">
        <v>877</v>
      </c>
      <c r="O305" s="13" t="s">
        <v>360</v>
      </c>
      <c r="P305" s="13">
        <v>1583</v>
      </c>
      <c r="Q305" s="13">
        <v>60</v>
      </c>
      <c r="R305" s="13">
        <v>0</v>
      </c>
      <c r="S305" s="13">
        <v>12003</v>
      </c>
      <c r="T305" s="13">
        <v>23</v>
      </c>
      <c r="U305" s="13">
        <v>0</v>
      </c>
      <c r="V305" s="69">
        <v>0</v>
      </c>
    </row>
    <row r="306" spans="1:22" x14ac:dyDescent="0.25">
      <c r="A306" s="27" t="s">
        <v>826</v>
      </c>
      <c r="B306" s="27" t="s">
        <v>877</v>
      </c>
      <c r="C306" s="27" t="s">
        <v>361</v>
      </c>
      <c r="D306" s="32">
        <f>10109+9+2+146+36+54</f>
        <v>10356</v>
      </c>
      <c r="E306" s="32">
        <v>58</v>
      </c>
      <c r="F306" s="32">
        <v>0</v>
      </c>
      <c r="G306" s="32">
        <f>35947+3+2+204+1+6+215</f>
        <v>36378</v>
      </c>
      <c r="H306" s="32">
        <f>438+3</f>
        <v>441</v>
      </c>
      <c r="I306" s="32">
        <v>0</v>
      </c>
      <c r="J306" s="32">
        <v>0</v>
      </c>
      <c r="M306" s="65" t="s">
        <v>826</v>
      </c>
      <c r="N306" s="66" t="s">
        <v>877</v>
      </c>
      <c r="O306" s="66" t="s">
        <v>361</v>
      </c>
      <c r="P306" s="66">
        <v>10356</v>
      </c>
      <c r="Q306" s="66">
        <v>58</v>
      </c>
      <c r="R306" s="66">
        <v>0</v>
      </c>
      <c r="S306" s="66">
        <v>36378</v>
      </c>
      <c r="T306" s="66">
        <v>441</v>
      </c>
      <c r="U306" s="66">
        <v>0</v>
      </c>
      <c r="V306" s="67">
        <v>0</v>
      </c>
    </row>
    <row r="307" spans="1:22" x14ac:dyDescent="0.25">
      <c r="A307" s="27" t="s">
        <v>67</v>
      </c>
      <c r="B307" s="27" t="s">
        <v>877</v>
      </c>
      <c r="C307" s="27" t="s">
        <v>362</v>
      </c>
      <c r="D307" s="32">
        <f>12589+2+2+4</f>
        <v>12597</v>
      </c>
      <c r="E307" s="32">
        <v>6</v>
      </c>
      <c r="F307" s="32">
        <v>0</v>
      </c>
      <c r="G307" s="32">
        <f>50052+4+1+37+30+2+3+2+161</f>
        <v>50292</v>
      </c>
      <c r="H307" s="32">
        <f>24+4+8</f>
        <v>36</v>
      </c>
      <c r="I307" s="32">
        <v>0</v>
      </c>
      <c r="J307" s="32">
        <v>0</v>
      </c>
      <c r="M307" s="68" t="s">
        <v>67</v>
      </c>
      <c r="N307" s="13" t="s">
        <v>877</v>
      </c>
      <c r="O307" s="13" t="s">
        <v>362</v>
      </c>
      <c r="P307" s="13">
        <v>12597</v>
      </c>
      <c r="Q307" s="13">
        <v>6</v>
      </c>
      <c r="R307" s="13">
        <v>0</v>
      </c>
      <c r="S307" s="13">
        <v>50292</v>
      </c>
      <c r="T307" s="13">
        <v>36</v>
      </c>
      <c r="U307" s="13">
        <v>0</v>
      </c>
      <c r="V307" s="69">
        <v>0</v>
      </c>
    </row>
    <row r="308" spans="1:22" x14ac:dyDescent="0.25">
      <c r="A308" s="27" t="s">
        <v>831</v>
      </c>
      <c r="B308" s="27" t="s">
        <v>877</v>
      </c>
      <c r="C308" s="27" t="s">
        <v>363</v>
      </c>
      <c r="D308" s="32">
        <f>578+12</f>
        <v>590</v>
      </c>
      <c r="E308" s="32">
        <v>0</v>
      </c>
      <c r="F308" s="32">
        <v>0</v>
      </c>
      <c r="G308" s="32">
        <f>4993+132+9+113+2+1+1+4+22</f>
        <v>5277</v>
      </c>
      <c r="H308" s="32">
        <v>2</v>
      </c>
      <c r="I308" s="32">
        <v>0</v>
      </c>
      <c r="J308" s="32">
        <v>0</v>
      </c>
      <c r="M308" s="65" t="s">
        <v>831</v>
      </c>
      <c r="N308" s="66" t="s">
        <v>877</v>
      </c>
      <c r="O308" s="66" t="s">
        <v>363</v>
      </c>
      <c r="P308" s="66">
        <v>590</v>
      </c>
      <c r="Q308" s="66">
        <v>0</v>
      </c>
      <c r="R308" s="66">
        <v>0</v>
      </c>
      <c r="S308" s="66">
        <v>5277</v>
      </c>
      <c r="T308" s="66">
        <v>2</v>
      </c>
      <c r="U308" s="66">
        <v>0</v>
      </c>
      <c r="V308" s="67">
        <v>0</v>
      </c>
    </row>
    <row r="309" spans="1:22" x14ac:dyDescent="0.25">
      <c r="A309" s="27" t="s">
        <v>248</v>
      </c>
      <c r="B309" s="27" t="s">
        <v>877</v>
      </c>
      <c r="C309" s="27" t="s">
        <v>364</v>
      </c>
      <c r="D309" s="32">
        <v>1670</v>
      </c>
      <c r="E309" s="32">
        <v>0</v>
      </c>
      <c r="F309" s="32">
        <v>0</v>
      </c>
      <c r="G309" s="32">
        <f>11377+15+1</f>
        <v>11393</v>
      </c>
      <c r="H309" s="32">
        <v>0</v>
      </c>
      <c r="I309" s="32">
        <v>0</v>
      </c>
      <c r="J309" s="32">
        <v>0</v>
      </c>
      <c r="M309" s="68" t="s">
        <v>248</v>
      </c>
      <c r="N309" s="13" t="s">
        <v>877</v>
      </c>
      <c r="O309" s="13" t="s">
        <v>364</v>
      </c>
      <c r="P309" s="13">
        <v>1670</v>
      </c>
      <c r="Q309" s="13">
        <v>0</v>
      </c>
      <c r="R309" s="13">
        <v>0</v>
      </c>
      <c r="S309" s="13">
        <v>11393</v>
      </c>
      <c r="T309" s="13">
        <v>0</v>
      </c>
      <c r="U309" s="13">
        <v>0</v>
      </c>
      <c r="V309" s="69">
        <v>0</v>
      </c>
    </row>
    <row r="310" spans="1:22" x14ac:dyDescent="0.25">
      <c r="A310" s="27" t="s">
        <v>791</v>
      </c>
      <c r="B310" s="27" t="s">
        <v>877</v>
      </c>
      <c r="C310" s="27" t="s">
        <v>365</v>
      </c>
      <c r="D310" s="32">
        <f>6172+39+34+131</f>
        <v>6376</v>
      </c>
      <c r="E310" s="32">
        <f>268+46</f>
        <v>314</v>
      </c>
      <c r="F310" s="32">
        <v>0</v>
      </c>
      <c r="G310" s="32">
        <f>17430+3+7+1+37+3+1+1+18+1+157</f>
        <v>17659</v>
      </c>
      <c r="H310" s="32">
        <f>623+150</f>
        <v>773</v>
      </c>
      <c r="I310" s="32">
        <v>0</v>
      </c>
      <c r="J310" s="32">
        <v>0</v>
      </c>
      <c r="M310" s="65" t="s">
        <v>791</v>
      </c>
      <c r="N310" s="66" t="s">
        <v>877</v>
      </c>
      <c r="O310" s="66" t="s">
        <v>365</v>
      </c>
      <c r="P310" s="66">
        <v>6376</v>
      </c>
      <c r="Q310" s="66">
        <v>314</v>
      </c>
      <c r="R310" s="66">
        <v>0</v>
      </c>
      <c r="S310" s="66">
        <v>17659</v>
      </c>
      <c r="T310" s="66">
        <v>773</v>
      </c>
      <c r="U310" s="66">
        <v>0</v>
      </c>
      <c r="V310" s="67">
        <v>0</v>
      </c>
    </row>
    <row r="311" spans="1:22" x14ac:dyDescent="0.25">
      <c r="A311" s="27" t="s">
        <v>797</v>
      </c>
      <c r="B311" s="27" t="s">
        <v>877</v>
      </c>
      <c r="C311" s="27" t="s">
        <v>366</v>
      </c>
      <c r="D311" s="32">
        <f>5230+11+3</f>
        <v>5244</v>
      </c>
      <c r="E311" s="32">
        <v>12</v>
      </c>
      <c r="F311" s="32">
        <v>0</v>
      </c>
      <c r="G311" s="32">
        <f>11746+8+3+4+2+146</f>
        <v>11909</v>
      </c>
      <c r="H311" s="32">
        <f>52+4+2</f>
        <v>58</v>
      </c>
      <c r="I311" s="32">
        <v>0</v>
      </c>
      <c r="J311" s="32">
        <v>0</v>
      </c>
      <c r="M311" s="68" t="s">
        <v>797</v>
      </c>
      <c r="N311" s="13" t="s">
        <v>877</v>
      </c>
      <c r="O311" s="13" t="s">
        <v>366</v>
      </c>
      <c r="P311" s="13">
        <v>5244</v>
      </c>
      <c r="Q311" s="13">
        <v>12</v>
      </c>
      <c r="R311" s="13">
        <v>0</v>
      </c>
      <c r="S311" s="13">
        <v>11909</v>
      </c>
      <c r="T311" s="13">
        <v>58</v>
      </c>
      <c r="U311" s="13">
        <v>0</v>
      </c>
      <c r="V311" s="69">
        <v>0</v>
      </c>
    </row>
    <row r="312" spans="1:22" x14ac:dyDescent="0.25">
      <c r="A312" s="27" t="s">
        <v>120</v>
      </c>
      <c r="B312" s="27" t="s">
        <v>877</v>
      </c>
      <c r="C312" s="27" t="s">
        <v>367</v>
      </c>
      <c r="D312" s="32">
        <f>5892+17+4</f>
        <v>5913</v>
      </c>
      <c r="E312" s="32">
        <v>26</v>
      </c>
      <c r="F312" s="32">
        <v>0</v>
      </c>
      <c r="G312" s="32">
        <f>23932+7+2+1</f>
        <v>23942</v>
      </c>
      <c r="H312" s="32">
        <f>179+111+11+4</f>
        <v>305</v>
      </c>
      <c r="I312" s="32">
        <v>0</v>
      </c>
      <c r="J312" s="32">
        <v>0</v>
      </c>
      <c r="M312" s="65" t="s">
        <v>120</v>
      </c>
      <c r="N312" s="66" t="s">
        <v>877</v>
      </c>
      <c r="O312" s="66" t="s">
        <v>367</v>
      </c>
      <c r="P312" s="66">
        <v>5913</v>
      </c>
      <c r="Q312" s="66">
        <v>26</v>
      </c>
      <c r="R312" s="66">
        <v>0</v>
      </c>
      <c r="S312" s="66">
        <v>23942</v>
      </c>
      <c r="T312" s="66">
        <v>305</v>
      </c>
      <c r="U312" s="66">
        <v>0</v>
      </c>
      <c r="V312" s="67">
        <v>0</v>
      </c>
    </row>
    <row r="313" spans="1:22" x14ac:dyDescent="0.25">
      <c r="A313" s="27" t="s">
        <v>231</v>
      </c>
      <c r="B313" s="27" t="s">
        <v>877</v>
      </c>
      <c r="C313" s="27" t="s">
        <v>368</v>
      </c>
      <c r="D313" s="32">
        <f>4045+66+604+1+55+10</f>
        <v>4781</v>
      </c>
      <c r="E313" s="32">
        <v>35</v>
      </c>
      <c r="F313" s="32">
        <v>0</v>
      </c>
      <c r="G313" s="32">
        <f>21927+27+2+2+5231+54+10+30+2+4+226</f>
        <v>27515</v>
      </c>
      <c r="H313" s="32">
        <f>36+9</f>
        <v>45</v>
      </c>
      <c r="I313" s="32">
        <v>0</v>
      </c>
      <c r="J313" s="32">
        <v>0</v>
      </c>
      <c r="M313" s="68" t="s">
        <v>231</v>
      </c>
      <c r="N313" s="13" t="s">
        <v>877</v>
      </c>
      <c r="O313" s="13" t="s">
        <v>368</v>
      </c>
      <c r="P313" s="13">
        <v>4781</v>
      </c>
      <c r="Q313" s="13">
        <v>35</v>
      </c>
      <c r="R313" s="13">
        <v>0</v>
      </c>
      <c r="S313" s="13">
        <v>27515</v>
      </c>
      <c r="T313" s="13">
        <v>45</v>
      </c>
      <c r="U313" s="13">
        <v>0</v>
      </c>
      <c r="V313" s="69">
        <v>0</v>
      </c>
    </row>
    <row r="314" spans="1:22" x14ac:dyDescent="0.25">
      <c r="A314" s="27" t="s">
        <v>809</v>
      </c>
      <c r="B314" s="27" t="s">
        <v>877</v>
      </c>
      <c r="C314" s="27" t="s">
        <v>369</v>
      </c>
      <c r="D314" s="32">
        <f>10565+4+2+7+1+3+372</f>
        <v>10954</v>
      </c>
      <c r="E314" s="32">
        <f>284+2+3</f>
        <v>289</v>
      </c>
      <c r="F314" s="32">
        <v>0</v>
      </c>
      <c r="G314" s="32">
        <f>71358+2+59+2+1+61+2+2+90</f>
        <v>71577</v>
      </c>
      <c r="H314" s="32">
        <f>1120+3+12</f>
        <v>1135</v>
      </c>
      <c r="I314" s="32">
        <v>0</v>
      </c>
      <c r="J314" s="32">
        <v>0</v>
      </c>
      <c r="M314" s="65" t="s">
        <v>809</v>
      </c>
      <c r="N314" s="66" t="s">
        <v>877</v>
      </c>
      <c r="O314" s="66" t="s">
        <v>369</v>
      </c>
      <c r="P314" s="66">
        <v>10954</v>
      </c>
      <c r="Q314" s="66">
        <v>289</v>
      </c>
      <c r="R314" s="66">
        <v>0</v>
      </c>
      <c r="S314" s="66">
        <v>71577</v>
      </c>
      <c r="T314" s="66">
        <v>1135</v>
      </c>
      <c r="U314" s="66">
        <v>0</v>
      </c>
      <c r="V314" s="67">
        <v>0</v>
      </c>
    </row>
    <row r="315" spans="1:22" x14ac:dyDescent="0.25">
      <c r="A315" s="27" t="s">
        <v>848</v>
      </c>
      <c r="B315" s="27" t="s">
        <v>877</v>
      </c>
      <c r="C315" s="27" t="s">
        <v>370</v>
      </c>
      <c r="D315" s="32">
        <f>3220+43+1+2+14</f>
        <v>3280</v>
      </c>
      <c r="E315" s="32">
        <v>47</v>
      </c>
      <c r="F315" s="32">
        <v>0</v>
      </c>
      <c r="G315" s="32">
        <f>14962+1+318+15+1+127+1107</f>
        <v>16531</v>
      </c>
      <c r="H315" s="32">
        <f>38+6</f>
        <v>44</v>
      </c>
      <c r="I315" s="32">
        <v>0</v>
      </c>
      <c r="J315" s="32">
        <v>0</v>
      </c>
      <c r="M315" s="68" t="s">
        <v>848</v>
      </c>
      <c r="N315" s="13" t="s">
        <v>877</v>
      </c>
      <c r="O315" s="13" t="s">
        <v>370</v>
      </c>
      <c r="P315" s="13">
        <v>3280</v>
      </c>
      <c r="Q315" s="13">
        <v>47</v>
      </c>
      <c r="R315" s="13">
        <v>0</v>
      </c>
      <c r="S315" s="13">
        <v>16531</v>
      </c>
      <c r="T315" s="13">
        <v>44</v>
      </c>
      <c r="U315" s="13">
        <v>0</v>
      </c>
      <c r="V315" s="69">
        <v>0</v>
      </c>
    </row>
    <row r="316" spans="1:22" x14ac:dyDescent="0.25">
      <c r="A316" s="27" t="s">
        <v>226</v>
      </c>
      <c r="B316" s="27" t="s">
        <v>877</v>
      </c>
      <c r="C316" s="27" t="s">
        <v>371</v>
      </c>
      <c r="D316" s="32">
        <f>4037+9+2+95+2+1+1</f>
        <v>4147</v>
      </c>
      <c r="E316" s="32">
        <f>214+8</f>
        <v>222</v>
      </c>
      <c r="F316" s="32">
        <v>0</v>
      </c>
      <c r="G316" s="32">
        <f>34468+18+36+70+2525+39+8+4+6+386</f>
        <v>37560</v>
      </c>
      <c r="H316" s="32">
        <f>195+171</f>
        <v>366</v>
      </c>
      <c r="I316" s="32">
        <v>0</v>
      </c>
      <c r="J316" s="32">
        <v>0</v>
      </c>
      <c r="M316" s="65" t="s">
        <v>226</v>
      </c>
      <c r="N316" s="66" t="s">
        <v>877</v>
      </c>
      <c r="O316" s="66" t="s">
        <v>371</v>
      </c>
      <c r="P316" s="66">
        <v>4147</v>
      </c>
      <c r="Q316" s="66">
        <v>222</v>
      </c>
      <c r="R316" s="66">
        <v>0</v>
      </c>
      <c r="S316" s="66">
        <v>37560</v>
      </c>
      <c r="T316" s="66">
        <v>366</v>
      </c>
      <c r="U316" s="66">
        <v>0</v>
      </c>
      <c r="V316" s="67">
        <v>0</v>
      </c>
    </row>
    <row r="317" spans="1:22" x14ac:dyDescent="0.25">
      <c r="A317" s="27" t="s">
        <v>797</v>
      </c>
      <c r="B317" s="27" t="s">
        <v>877</v>
      </c>
      <c r="C317" s="27" t="s">
        <v>372</v>
      </c>
      <c r="D317" s="32">
        <f>1213+5+36+1+23</f>
        <v>1278</v>
      </c>
      <c r="E317" s="32">
        <v>12</v>
      </c>
      <c r="F317" s="32">
        <v>0</v>
      </c>
      <c r="G317" s="32">
        <f>7705+8+13+2+264</f>
        <v>7992</v>
      </c>
      <c r="H317" s="32">
        <v>214</v>
      </c>
      <c r="I317" s="32">
        <v>0</v>
      </c>
      <c r="J317" s="32">
        <v>0</v>
      </c>
      <c r="M317" s="68" t="s">
        <v>797</v>
      </c>
      <c r="N317" s="13" t="s">
        <v>877</v>
      </c>
      <c r="O317" s="13" t="s">
        <v>372</v>
      </c>
      <c r="P317" s="13">
        <v>1278</v>
      </c>
      <c r="Q317" s="13">
        <v>12</v>
      </c>
      <c r="R317" s="13">
        <v>0</v>
      </c>
      <c r="S317" s="13">
        <v>7992</v>
      </c>
      <c r="T317" s="13">
        <v>214</v>
      </c>
      <c r="U317" s="13">
        <v>0</v>
      </c>
      <c r="V317" s="69"/>
    </row>
    <row r="318" spans="1:22" x14ac:dyDescent="0.25">
      <c r="A318" s="27" t="s">
        <v>791</v>
      </c>
      <c r="B318" s="27" t="s">
        <v>877</v>
      </c>
      <c r="C318" s="27" t="s">
        <v>373</v>
      </c>
      <c r="D318" s="32">
        <f>3252+87+6+28+112+23</f>
        <v>3508</v>
      </c>
      <c r="E318" s="32">
        <v>1</v>
      </c>
      <c r="F318" s="32">
        <v>0</v>
      </c>
      <c r="G318" s="32">
        <f>15110+30+655+2+444+1789</f>
        <v>18030</v>
      </c>
      <c r="H318" s="32">
        <f>40+2+1</f>
        <v>43</v>
      </c>
      <c r="I318" s="32">
        <v>0</v>
      </c>
      <c r="J318" s="32">
        <v>0</v>
      </c>
      <c r="M318" s="65" t="s">
        <v>791</v>
      </c>
      <c r="N318" s="66" t="s">
        <v>877</v>
      </c>
      <c r="O318" s="66" t="s">
        <v>373</v>
      </c>
      <c r="P318" s="66">
        <v>3508</v>
      </c>
      <c r="Q318" s="66">
        <v>1</v>
      </c>
      <c r="R318" s="66">
        <v>0</v>
      </c>
      <c r="S318" s="66">
        <v>18030</v>
      </c>
      <c r="T318" s="66">
        <v>43</v>
      </c>
      <c r="U318" s="66">
        <v>0</v>
      </c>
      <c r="V318" s="67">
        <v>0</v>
      </c>
    </row>
    <row r="319" spans="1:22" x14ac:dyDescent="0.25">
      <c r="A319" s="27" t="s">
        <v>826</v>
      </c>
      <c r="B319" s="27" t="s">
        <v>877</v>
      </c>
      <c r="C319" s="27" t="s">
        <v>374</v>
      </c>
      <c r="D319" s="32">
        <f>7594+185+16</f>
        <v>7795</v>
      </c>
      <c r="E319" s="32">
        <v>8</v>
      </c>
      <c r="F319" s="32">
        <v>0</v>
      </c>
      <c r="G319" s="32">
        <f>22972+2+815+4+110</f>
        <v>23903</v>
      </c>
      <c r="H319" s="32">
        <f>11+57</f>
        <v>68</v>
      </c>
      <c r="I319" s="32">
        <v>0</v>
      </c>
      <c r="J319" s="32">
        <v>0</v>
      </c>
      <c r="M319" s="68" t="s">
        <v>826</v>
      </c>
      <c r="N319" s="13" t="s">
        <v>877</v>
      </c>
      <c r="O319" s="13" t="s">
        <v>374</v>
      </c>
      <c r="P319" s="13">
        <v>7795</v>
      </c>
      <c r="Q319" s="13">
        <v>8</v>
      </c>
      <c r="R319" s="13">
        <v>0</v>
      </c>
      <c r="S319" s="13">
        <v>23903</v>
      </c>
      <c r="T319" s="13">
        <v>68</v>
      </c>
      <c r="U319" s="13">
        <v>0</v>
      </c>
      <c r="V319" s="69">
        <v>0</v>
      </c>
    </row>
    <row r="320" spans="1:22" x14ac:dyDescent="0.25">
      <c r="A320" s="27" t="s">
        <v>512</v>
      </c>
      <c r="B320" s="27" t="s">
        <v>877</v>
      </c>
      <c r="C320" s="27" t="s">
        <v>375</v>
      </c>
      <c r="D320" s="32">
        <f>5277+4</f>
        <v>5281</v>
      </c>
      <c r="E320" s="32">
        <v>0</v>
      </c>
      <c r="F320" s="32">
        <v>0</v>
      </c>
      <c r="G320" s="32">
        <f>33077+95+91</f>
        <v>33263</v>
      </c>
      <c r="H320" s="32">
        <f>91+2+37</f>
        <v>130</v>
      </c>
      <c r="I320" s="32">
        <v>0</v>
      </c>
      <c r="J320" s="32">
        <v>0</v>
      </c>
      <c r="M320" s="65" t="s">
        <v>512</v>
      </c>
      <c r="N320" s="66" t="s">
        <v>877</v>
      </c>
      <c r="O320" s="66" t="s">
        <v>375</v>
      </c>
      <c r="P320" s="66">
        <v>5281</v>
      </c>
      <c r="Q320" s="66">
        <v>0</v>
      </c>
      <c r="R320" s="66">
        <v>0</v>
      </c>
      <c r="S320" s="66">
        <v>33263</v>
      </c>
      <c r="T320" s="66">
        <v>130</v>
      </c>
      <c r="U320" s="66">
        <v>0</v>
      </c>
      <c r="V320" s="67">
        <v>0</v>
      </c>
    </row>
    <row r="321" spans="1:22" x14ac:dyDescent="0.25">
      <c r="A321" s="27" t="s">
        <v>817</v>
      </c>
      <c r="B321" s="27" t="s">
        <v>877</v>
      </c>
      <c r="C321" s="27" t="s">
        <v>376</v>
      </c>
      <c r="D321" s="32">
        <f>9476+31</f>
        <v>9507</v>
      </c>
      <c r="E321" s="32">
        <v>20</v>
      </c>
      <c r="F321" s="32">
        <v>0</v>
      </c>
      <c r="G321" s="32">
        <f>9098+1+5+177+11</f>
        <v>9292</v>
      </c>
      <c r="H321" s="32">
        <f>108+8</f>
        <v>116</v>
      </c>
      <c r="I321" s="32">
        <v>0</v>
      </c>
      <c r="J321" s="32">
        <v>0</v>
      </c>
      <c r="M321" s="68" t="s">
        <v>817</v>
      </c>
      <c r="N321" s="13" t="s">
        <v>877</v>
      </c>
      <c r="O321" s="13" t="s">
        <v>376</v>
      </c>
      <c r="P321" s="13">
        <v>9507</v>
      </c>
      <c r="Q321" s="13">
        <v>20</v>
      </c>
      <c r="R321" s="13">
        <v>0</v>
      </c>
      <c r="S321" s="13">
        <v>9292</v>
      </c>
      <c r="T321" s="13">
        <v>116</v>
      </c>
      <c r="U321" s="13">
        <v>0</v>
      </c>
      <c r="V321" s="69">
        <v>0</v>
      </c>
    </row>
    <row r="322" spans="1:22" x14ac:dyDescent="0.25">
      <c r="A322" s="27" t="s">
        <v>83</v>
      </c>
      <c r="B322" s="27" t="s">
        <v>877</v>
      </c>
      <c r="C322" s="27" t="s">
        <v>377</v>
      </c>
      <c r="D322" s="32">
        <f>5442+1+41+3+94</f>
        <v>5581</v>
      </c>
      <c r="E322" s="32">
        <f>299+5</f>
        <v>304</v>
      </c>
      <c r="F322" s="32">
        <v>0</v>
      </c>
      <c r="G322" s="32">
        <f>26173+6+60+44+5+1331</f>
        <v>27619</v>
      </c>
      <c r="H322" s="32">
        <f>199+15</f>
        <v>214</v>
      </c>
      <c r="I322" s="32">
        <v>0</v>
      </c>
      <c r="J322" s="32">
        <v>0</v>
      </c>
      <c r="M322" s="65" t="s">
        <v>83</v>
      </c>
      <c r="N322" s="66" t="s">
        <v>877</v>
      </c>
      <c r="O322" s="66" t="s">
        <v>377</v>
      </c>
      <c r="P322" s="66">
        <v>5581</v>
      </c>
      <c r="Q322" s="66">
        <v>304</v>
      </c>
      <c r="R322" s="66">
        <v>0</v>
      </c>
      <c r="S322" s="66">
        <v>27619</v>
      </c>
      <c r="T322" s="66">
        <v>214</v>
      </c>
      <c r="U322" s="66">
        <v>0</v>
      </c>
      <c r="V322" s="67">
        <v>0</v>
      </c>
    </row>
    <row r="323" spans="1:22" x14ac:dyDescent="0.25">
      <c r="A323" s="27" t="s">
        <v>795</v>
      </c>
      <c r="B323" s="27" t="s">
        <v>877</v>
      </c>
      <c r="C323" s="27" t="s">
        <v>378</v>
      </c>
      <c r="D323" s="32">
        <v>25739</v>
      </c>
      <c r="E323" s="32">
        <f>62+21+28</f>
        <v>111</v>
      </c>
      <c r="F323" s="32">
        <v>0</v>
      </c>
      <c r="G323" s="32">
        <f>24354+2+20+5+1</f>
        <v>24382</v>
      </c>
      <c r="H323" s="32">
        <f>60+1+19</f>
        <v>80</v>
      </c>
      <c r="I323" s="32">
        <v>0</v>
      </c>
      <c r="J323" s="32">
        <v>0</v>
      </c>
      <c r="M323" s="68" t="s">
        <v>795</v>
      </c>
      <c r="N323" s="13" t="s">
        <v>877</v>
      </c>
      <c r="O323" s="13" t="s">
        <v>378</v>
      </c>
      <c r="P323" s="13">
        <v>25739</v>
      </c>
      <c r="Q323" s="13">
        <v>111</v>
      </c>
      <c r="R323" s="13">
        <v>0</v>
      </c>
      <c r="S323" s="13">
        <v>24382</v>
      </c>
      <c r="T323" s="13">
        <v>80</v>
      </c>
      <c r="U323" s="13">
        <v>0</v>
      </c>
      <c r="V323" s="69">
        <v>0</v>
      </c>
    </row>
    <row r="324" spans="1:22" x14ac:dyDescent="0.25">
      <c r="A324" s="27" t="s">
        <v>858</v>
      </c>
      <c r="B324" s="27" t="s">
        <v>877</v>
      </c>
      <c r="C324" s="27" t="s">
        <v>379</v>
      </c>
      <c r="D324" s="32">
        <v>3591</v>
      </c>
      <c r="E324" s="32">
        <v>1</v>
      </c>
      <c r="F324" s="32">
        <v>0</v>
      </c>
      <c r="G324" s="32">
        <f>6272+56</f>
        <v>6328</v>
      </c>
      <c r="H324" s="32">
        <f>1+4</f>
        <v>5</v>
      </c>
      <c r="I324" s="32">
        <v>0</v>
      </c>
      <c r="J324" s="32">
        <v>0</v>
      </c>
      <c r="M324" s="65" t="s">
        <v>858</v>
      </c>
      <c r="N324" s="66" t="s">
        <v>877</v>
      </c>
      <c r="O324" s="66" t="s">
        <v>379</v>
      </c>
      <c r="P324" s="66">
        <v>3591</v>
      </c>
      <c r="Q324" s="66">
        <v>1</v>
      </c>
      <c r="R324" s="66">
        <v>0</v>
      </c>
      <c r="S324" s="66">
        <v>6328</v>
      </c>
      <c r="T324" s="66">
        <v>5</v>
      </c>
      <c r="U324" s="66">
        <v>0</v>
      </c>
      <c r="V324" s="67">
        <v>0</v>
      </c>
    </row>
    <row r="325" spans="1:22" x14ac:dyDescent="0.25">
      <c r="A325" s="27" t="s">
        <v>848</v>
      </c>
      <c r="B325" s="27" t="s">
        <v>877</v>
      </c>
      <c r="C325" s="27" t="s">
        <v>380</v>
      </c>
      <c r="D325" s="32">
        <f>3837+1</f>
        <v>3838</v>
      </c>
      <c r="E325" s="32">
        <v>1</v>
      </c>
      <c r="F325" s="32">
        <v>0</v>
      </c>
      <c r="G325" s="32">
        <f>26181+244</f>
        <v>26425</v>
      </c>
      <c r="H325" s="32">
        <f>35+18</f>
        <v>53</v>
      </c>
      <c r="I325" s="32">
        <v>0</v>
      </c>
      <c r="J325" s="32">
        <v>0</v>
      </c>
      <c r="M325" s="68" t="s">
        <v>848</v>
      </c>
      <c r="N325" s="13" t="s">
        <v>877</v>
      </c>
      <c r="O325" s="13" t="s">
        <v>380</v>
      </c>
      <c r="P325" s="13">
        <v>3838</v>
      </c>
      <c r="Q325" s="13">
        <v>1</v>
      </c>
      <c r="R325" s="13">
        <v>0</v>
      </c>
      <c r="S325" s="13">
        <v>26425</v>
      </c>
      <c r="T325" s="13">
        <v>53</v>
      </c>
      <c r="U325" s="13">
        <v>0</v>
      </c>
      <c r="V325" s="69">
        <v>0</v>
      </c>
    </row>
    <row r="326" spans="1:22" x14ac:dyDescent="0.25">
      <c r="A326" s="27" t="s">
        <v>863</v>
      </c>
      <c r="B326" s="27" t="s">
        <v>877</v>
      </c>
      <c r="C326" s="27" t="s">
        <v>381</v>
      </c>
      <c r="D326" s="32">
        <v>6982</v>
      </c>
      <c r="E326" s="32">
        <v>0</v>
      </c>
      <c r="F326" s="32">
        <v>0</v>
      </c>
      <c r="G326" s="32">
        <v>16840</v>
      </c>
      <c r="H326" s="32">
        <v>0</v>
      </c>
      <c r="I326" s="32">
        <v>0</v>
      </c>
      <c r="J326" s="32">
        <v>0</v>
      </c>
      <c r="M326" s="65" t="s">
        <v>863</v>
      </c>
      <c r="N326" s="66" t="s">
        <v>877</v>
      </c>
      <c r="O326" s="66" t="s">
        <v>381</v>
      </c>
      <c r="P326" s="66">
        <v>6982</v>
      </c>
      <c r="Q326" s="66">
        <v>0</v>
      </c>
      <c r="R326" s="66">
        <v>0</v>
      </c>
      <c r="S326" s="66">
        <v>16840</v>
      </c>
      <c r="T326" s="66">
        <v>0</v>
      </c>
      <c r="U326" s="66">
        <v>0</v>
      </c>
      <c r="V326" s="67">
        <v>0</v>
      </c>
    </row>
    <row r="327" spans="1:22" x14ac:dyDescent="0.25">
      <c r="A327" s="27" t="s">
        <v>854</v>
      </c>
      <c r="B327" s="27" t="s">
        <v>877</v>
      </c>
      <c r="C327" s="27" t="s">
        <v>382</v>
      </c>
      <c r="D327" s="32">
        <f>16367+7+230</f>
        <v>16604</v>
      </c>
      <c r="E327" s="32">
        <f>190+6</f>
        <v>196</v>
      </c>
      <c r="F327" s="32">
        <v>0</v>
      </c>
      <c r="G327" s="32">
        <f>9968+2+238+112</f>
        <v>10320</v>
      </c>
      <c r="H327" s="32">
        <f>44+22</f>
        <v>66</v>
      </c>
      <c r="I327" s="32">
        <v>0</v>
      </c>
      <c r="J327" s="32">
        <v>0</v>
      </c>
      <c r="M327" s="68" t="s">
        <v>854</v>
      </c>
      <c r="N327" s="13" t="s">
        <v>877</v>
      </c>
      <c r="O327" s="13" t="s">
        <v>382</v>
      </c>
      <c r="P327" s="13">
        <v>16604</v>
      </c>
      <c r="Q327" s="13">
        <v>196</v>
      </c>
      <c r="R327" s="13">
        <v>0</v>
      </c>
      <c r="S327" s="13">
        <v>10320</v>
      </c>
      <c r="T327" s="13">
        <v>66</v>
      </c>
      <c r="U327" s="13">
        <v>0</v>
      </c>
      <c r="V327" s="69">
        <v>0</v>
      </c>
    </row>
    <row r="328" spans="1:22" x14ac:dyDescent="0.25">
      <c r="A328" s="27" t="s">
        <v>853</v>
      </c>
      <c r="B328" s="27" t="s">
        <v>877</v>
      </c>
      <c r="C328" s="27" t="s">
        <v>383</v>
      </c>
      <c r="D328" s="32">
        <f>6045+9+1076+5</f>
        <v>7135</v>
      </c>
      <c r="E328" s="32">
        <f>128+2+4</f>
        <v>134</v>
      </c>
      <c r="F328" s="32">
        <v>0</v>
      </c>
      <c r="G328" s="32">
        <f>29581+6+6942+1+1+11+2+1+106</f>
        <v>36651</v>
      </c>
      <c r="H328" s="32">
        <f>1153+2+1+40</f>
        <v>1196</v>
      </c>
      <c r="I328" s="32">
        <v>0</v>
      </c>
      <c r="J328" s="32">
        <v>0</v>
      </c>
      <c r="M328" s="65" t="s">
        <v>853</v>
      </c>
      <c r="N328" s="66" t="s">
        <v>877</v>
      </c>
      <c r="O328" s="66" t="s">
        <v>383</v>
      </c>
      <c r="P328" s="66">
        <v>7135</v>
      </c>
      <c r="Q328" s="66">
        <v>134</v>
      </c>
      <c r="R328" s="66">
        <v>0</v>
      </c>
      <c r="S328" s="66">
        <v>36651</v>
      </c>
      <c r="T328" s="66">
        <v>1196</v>
      </c>
      <c r="U328" s="66">
        <v>0</v>
      </c>
      <c r="V328" s="67">
        <v>0</v>
      </c>
    </row>
    <row r="329" spans="1:22" x14ac:dyDescent="0.25">
      <c r="A329" s="27" t="s">
        <v>851</v>
      </c>
      <c r="B329" s="27" t="s">
        <v>877</v>
      </c>
      <c r="C329" s="27" t="s">
        <v>384</v>
      </c>
      <c r="D329" s="32">
        <f>16622+3</f>
        <v>16625</v>
      </c>
      <c r="E329" s="32">
        <v>9</v>
      </c>
      <c r="F329" s="32">
        <v>0</v>
      </c>
      <c r="G329" s="32">
        <v>3725</v>
      </c>
      <c r="H329" s="32">
        <v>0</v>
      </c>
      <c r="I329" s="32">
        <v>0</v>
      </c>
      <c r="J329" s="32">
        <v>0</v>
      </c>
      <c r="M329" s="68" t="s">
        <v>851</v>
      </c>
      <c r="N329" s="13" t="s">
        <v>877</v>
      </c>
      <c r="O329" s="13" t="s">
        <v>384</v>
      </c>
      <c r="P329" s="13">
        <v>16625</v>
      </c>
      <c r="Q329" s="13">
        <v>9</v>
      </c>
      <c r="R329" s="13">
        <v>0</v>
      </c>
      <c r="S329" s="13">
        <v>3725</v>
      </c>
      <c r="T329" s="13">
        <v>0</v>
      </c>
      <c r="U329" s="13">
        <v>0</v>
      </c>
      <c r="V329" s="69">
        <v>0</v>
      </c>
    </row>
    <row r="330" spans="1:22" x14ac:dyDescent="0.25">
      <c r="A330" s="27" t="s">
        <v>856</v>
      </c>
      <c r="B330" s="27" t="s">
        <v>877</v>
      </c>
      <c r="C330" s="27" t="s">
        <v>385</v>
      </c>
      <c r="D330" s="32">
        <f>5231+4</f>
        <v>5235</v>
      </c>
      <c r="E330" s="32">
        <v>12</v>
      </c>
      <c r="F330" s="32">
        <v>0</v>
      </c>
      <c r="G330" s="32">
        <f>14210+9</f>
        <v>14219</v>
      </c>
      <c r="H330" s="32">
        <f>47+3</f>
        <v>50</v>
      </c>
      <c r="I330" s="32">
        <v>0</v>
      </c>
      <c r="J330" s="32">
        <v>0</v>
      </c>
      <c r="M330" s="65" t="s">
        <v>856</v>
      </c>
      <c r="N330" s="66" t="s">
        <v>877</v>
      </c>
      <c r="O330" s="66" t="s">
        <v>385</v>
      </c>
      <c r="P330" s="66">
        <v>5235</v>
      </c>
      <c r="Q330" s="66">
        <v>12</v>
      </c>
      <c r="R330" s="66">
        <v>0</v>
      </c>
      <c r="S330" s="66">
        <v>14219</v>
      </c>
      <c r="T330" s="66">
        <v>50</v>
      </c>
      <c r="U330" s="66">
        <v>0</v>
      </c>
      <c r="V330" s="67">
        <v>0</v>
      </c>
    </row>
    <row r="331" spans="1:22" x14ac:dyDescent="0.25">
      <c r="A331" s="27" t="s">
        <v>847</v>
      </c>
      <c r="B331" s="27" t="s">
        <v>877</v>
      </c>
      <c r="C331" s="27" t="s">
        <v>386</v>
      </c>
      <c r="D331" s="32">
        <v>14390</v>
      </c>
      <c r="E331" s="32">
        <v>0</v>
      </c>
      <c r="F331" s="32">
        <v>0</v>
      </c>
      <c r="G331" s="32">
        <f>10461+35</f>
        <v>10496</v>
      </c>
      <c r="H331" s="32">
        <v>0</v>
      </c>
      <c r="I331" s="32">
        <v>0</v>
      </c>
      <c r="J331" s="32">
        <v>0</v>
      </c>
      <c r="M331" s="68" t="s">
        <v>847</v>
      </c>
      <c r="N331" s="13" t="s">
        <v>877</v>
      </c>
      <c r="O331" s="13" t="s">
        <v>386</v>
      </c>
      <c r="P331" s="13">
        <v>14390</v>
      </c>
      <c r="Q331" s="13">
        <v>0</v>
      </c>
      <c r="R331" s="13">
        <v>0</v>
      </c>
      <c r="S331" s="13">
        <v>10496</v>
      </c>
      <c r="T331" s="13">
        <v>0</v>
      </c>
      <c r="U331" s="13">
        <v>0</v>
      </c>
      <c r="V331" s="69">
        <v>0</v>
      </c>
    </row>
    <row r="332" spans="1:22" x14ac:dyDescent="0.25">
      <c r="A332" s="27" t="s">
        <v>849</v>
      </c>
      <c r="B332" s="27" t="s">
        <v>877</v>
      </c>
      <c r="C332" s="27" t="s">
        <v>387</v>
      </c>
      <c r="D332" s="32">
        <f>4595+6</f>
        <v>4601</v>
      </c>
      <c r="E332" s="32">
        <v>2</v>
      </c>
      <c r="F332" s="32">
        <v>0</v>
      </c>
      <c r="G332" s="32">
        <f>10583+4+1+10</f>
        <v>10598</v>
      </c>
      <c r="H332" s="32">
        <f>25+2+4</f>
        <v>31</v>
      </c>
      <c r="I332" s="32">
        <v>0</v>
      </c>
      <c r="J332" s="32">
        <v>0</v>
      </c>
      <c r="M332" s="65" t="s">
        <v>849</v>
      </c>
      <c r="N332" s="66" t="s">
        <v>877</v>
      </c>
      <c r="O332" s="66" t="s">
        <v>387</v>
      </c>
      <c r="P332" s="66">
        <v>4601</v>
      </c>
      <c r="Q332" s="66">
        <v>2</v>
      </c>
      <c r="R332" s="66">
        <v>0</v>
      </c>
      <c r="S332" s="66">
        <v>10598</v>
      </c>
      <c r="T332" s="66">
        <v>31</v>
      </c>
      <c r="U332" s="66">
        <v>0</v>
      </c>
      <c r="V332" s="67">
        <v>0</v>
      </c>
    </row>
    <row r="333" spans="1:22" x14ac:dyDescent="0.25">
      <c r="A333" s="27" t="s">
        <v>794</v>
      </c>
      <c r="B333" s="27" t="s">
        <v>874</v>
      </c>
      <c r="C333" s="27" t="s">
        <v>388</v>
      </c>
      <c r="D333" s="32">
        <f>230560+758+1+1+4+47+49864+2</f>
        <v>281237</v>
      </c>
      <c r="E333" s="32">
        <f>160+17+45+5</f>
        <v>227</v>
      </c>
      <c r="F333" s="32">
        <v>0</v>
      </c>
      <c r="G333" s="32">
        <v>0</v>
      </c>
      <c r="H333" s="32">
        <v>0</v>
      </c>
      <c r="I333" s="32">
        <v>212909</v>
      </c>
      <c r="J333" s="32">
        <v>38591</v>
      </c>
      <c r="M333" s="68" t="s">
        <v>794</v>
      </c>
      <c r="N333" s="13" t="s">
        <v>874</v>
      </c>
      <c r="O333" s="13" t="s">
        <v>388</v>
      </c>
      <c r="P333" s="13">
        <v>281237</v>
      </c>
      <c r="Q333" s="13">
        <v>227</v>
      </c>
      <c r="R333" s="13">
        <v>0</v>
      </c>
      <c r="S333" s="13">
        <v>0</v>
      </c>
      <c r="T333" s="13">
        <v>0</v>
      </c>
      <c r="U333" s="13">
        <v>212909</v>
      </c>
      <c r="V333" s="69">
        <v>38591</v>
      </c>
    </row>
    <row r="334" spans="1:22" x14ac:dyDescent="0.25">
      <c r="A334" s="27" t="s">
        <v>231</v>
      </c>
      <c r="B334" s="27" t="s">
        <v>874</v>
      </c>
      <c r="C334" s="27" t="s">
        <v>389</v>
      </c>
      <c r="D334" s="32">
        <f>73999+5+568+4+3+3+1+71+103538</f>
        <v>178192</v>
      </c>
      <c r="E334" s="32">
        <f>619+1+966+82+99</f>
        <v>1767</v>
      </c>
      <c r="F334" s="32">
        <v>0</v>
      </c>
      <c r="G334" s="32">
        <v>0</v>
      </c>
      <c r="H334" s="32">
        <v>0</v>
      </c>
      <c r="I334" s="32">
        <v>40298</v>
      </c>
      <c r="J334" s="32">
        <v>87922</v>
      </c>
      <c r="M334" s="65" t="s">
        <v>231</v>
      </c>
      <c r="N334" s="66" t="s">
        <v>874</v>
      </c>
      <c r="O334" s="66" t="s">
        <v>389</v>
      </c>
      <c r="P334" s="66">
        <v>178192</v>
      </c>
      <c r="Q334" s="66">
        <v>1767</v>
      </c>
      <c r="R334" s="66">
        <v>0</v>
      </c>
      <c r="S334" s="66">
        <v>0</v>
      </c>
      <c r="T334" s="66">
        <v>0</v>
      </c>
      <c r="U334" s="66">
        <v>40298</v>
      </c>
      <c r="V334" s="67">
        <v>87922</v>
      </c>
    </row>
    <row r="335" spans="1:22" x14ac:dyDescent="0.25">
      <c r="A335" s="27" t="s">
        <v>824</v>
      </c>
      <c r="B335" s="27" t="s">
        <v>874</v>
      </c>
      <c r="C335" s="27" t="s">
        <v>390</v>
      </c>
      <c r="D335" s="32">
        <f>18462+43076</f>
        <v>61538</v>
      </c>
      <c r="E335" s="32">
        <f>105+244</f>
        <v>349</v>
      </c>
      <c r="F335" s="32">
        <v>0</v>
      </c>
      <c r="G335" s="32">
        <v>0</v>
      </c>
      <c r="H335" s="32">
        <v>0</v>
      </c>
      <c r="I335" s="32">
        <v>12834</v>
      </c>
      <c r="J335" s="32">
        <v>8983</v>
      </c>
      <c r="M335" s="68" t="s">
        <v>824</v>
      </c>
      <c r="N335" s="13" t="s">
        <v>874</v>
      </c>
      <c r="O335" s="13" t="s">
        <v>390</v>
      </c>
      <c r="P335" s="13">
        <v>61538</v>
      </c>
      <c r="Q335" s="13">
        <v>349</v>
      </c>
      <c r="R335" s="13">
        <v>0</v>
      </c>
      <c r="S335" s="13">
        <v>0</v>
      </c>
      <c r="T335" s="13">
        <v>0</v>
      </c>
      <c r="U335" s="13">
        <v>12834</v>
      </c>
      <c r="V335" s="69">
        <v>8983</v>
      </c>
    </row>
    <row r="336" spans="1:22" x14ac:dyDescent="0.25">
      <c r="A336" s="27" t="s">
        <v>226</v>
      </c>
      <c r="B336" s="27" t="s">
        <v>874</v>
      </c>
      <c r="C336" s="27" t="s">
        <v>391</v>
      </c>
      <c r="D336" s="32">
        <f>112665+1069+3+30468</f>
        <v>144205</v>
      </c>
      <c r="E336" s="32">
        <f>836+5+12+173+12</f>
        <v>1038</v>
      </c>
      <c r="F336" s="32">
        <v>0</v>
      </c>
      <c r="G336" s="32">
        <v>0</v>
      </c>
      <c r="H336" s="32">
        <v>0</v>
      </c>
      <c r="I336" s="32">
        <v>41135</v>
      </c>
      <c r="J336" s="32">
        <v>24251</v>
      </c>
      <c r="M336" s="65" t="s">
        <v>226</v>
      </c>
      <c r="N336" s="66" t="s">
        <v>874</v>
      </c>
      <c r="O336" s="66" t="s">
        <v>391</v>
      </c>
      <c r="P336" s="66">
        <v>144205</v>
      </c>
      <c r="Q336" s="66">
        <v>1038</v>
      </c>
      <c r="R336" s="66">
        <v>0</v>
      </c>
      <c r="S336" s="66">
        <v>0</v>
      </c>
      <c r="T336" s="66">
        <v>0</v>
      </c>
      <c r="U336" s="66">
        <v>41135</v>
      </c>
      <c r="V336" s="67">
        <v>24251</v>
      </c>
    </row>
    <row r="337" spans="1:22" x14ac:dyDescent="0.25">
      <c r="A337" s="27" t="s">
        <v>798</v>
      </c>
      <c r="B337" s="27" t="s">
        <v>874</v>
      </c>
      <c r="C337" s="27" t="s">
        <v>392</v>
      </c>
      <c r="D337" s="32">
        <f>94365+199+40+93993</f>
        <v>188597</v>
      </c>
      <c r="E337" s="32">
        <f>442+1+234+829+179</f>
        <v>1685</v>
      </c>
      <c r="F337" s="32">
        <v>0</v>
      </c>
      <c r="G337" s="32">
        <v>0</v>
      </c>
      <c r="H337" s="32">
        <v>0</v>
      </c>
      <c r="I337" s="32">
        <v>110332</v>
      </c>
      <c r="J337" s="32">
        <v>73469</v>
      </c>
      <c r="M337" s="68" t="s">
        <v>798</v>
      </c>
      <c r="N337" s="13" t="s">
        <v>874</v>
      </c>
      <c r="O337" s="13" t="s">
        <v>392</v>
      </c>
      <c r="P337" s="13">
        <v>188597</v>
      </c>
      <c r="Q337" s="13">
        <v>1685</v>
      </c>
      <c r="R337" s="13">
        <v>0</v>
      </c>
      <c r="S337" s="13">
        <v>0</v>
      </c>
      <c r="T337" s="13">
        <v>0</v>
      </c>
      <c r="U337" s="13">
        <v>110332</v>
      </c>
      <c r="V337" s="69">
        <v>73469</v>
      </c>
    </row>
    <row r="338" spans="1:22" x14ac:dyDescent="0.25">
      <c r="A338" s="27" t="s">
        <v>231</v>
      </c>
      <c r="B338" s="27" t="s">
        <v>874</v>
      </c>
      <c r="C338" s="27" t="s">
        <v>393</v>
      </c>
      <c r="D338" s="32">
        <f>11147+26009</f>
        <v>37156</v>
      </c>
      <c r="E338" s="32">
        <f>125+290</f>
        <v>415</v>
      </c>
      <c r="F338" s="32">
        <v>0</v>
      </c>
      <c r="G338" s="32">
        <v>0</v>
      </c>
      <c r="H338" s="32">
        <v>0</v>
      </c>
      <c r="I338" s="32">
        <v>12642</v>
      </c>
      <c r="J338" s="32">
        <v>8849</v>
      </c>
      <c r="M338" s="65" t="s">
        <v>231</v>
      </c>
      <c r="N338" s="66" t="s">
        <v>874</v>
      </c>
      <c r="O338" s="66" t="s">
        <v>393</v>
      </c>
      <c r="P338" s="66">
        <v>37156</v>
      </c>
      <c r="Q338" s="66">
        <v>415</v>
      </c>
      <c r="R338" s="66">
        <v>0</v>
      </c>
      <c r="S338" s="66">
        <v>0</v>
      </c>
      <c r="T338" s="66">
        <v>0</v>
      </c>
      <c r="U338" s="66">
        <v>12642</v>
      </c>
      <c r="V338" s="67">
        <v>8849</v>
      </c>
    </row>
    <row r="339" spans="1:22" x14ac:dyDescent="0.25">
      <c r="A339" s="27" t="s">
        <v>806</v>
      </c>
      <c r="B339" s="27" t="s">
        <v>874</v>
      </c>
      <c r="C339" s="27" t="s">
        <v>394</v>
      </c>
      <c r="D339" s="32">
        <f>7594+17718</f>
        <v>25312</v>
      </c>
      <c r="E339" s="32">
        <f>124+289</f>
        <v>413</v>
      </c>
      <c r="F339" s="32">
        <v>0</v>
      </c>
      <c r="G339" s="32">
        <v>0</v>
      </c>
      <c r="H339" s="32">
        <v>0</v>
      </c>
      <c r="I339" s="32">
        <v>12031</v>
      </c>
      <c r="J339" s="32">
        <v>8421</v>
      </c>
      <c r="M339" s="68" t="s">
        <v>806</v>
      </c>
      <c r="N339" s="13" t="s">
        <v>874</v>
      </c>
      <c r="O339" s="13" t="s">
        <v>394</v>
      </c>
      <c r="P339" s="13">
        <v>25312</v>
      </c>
      <c r="Q339" s="13">
        <v>413</v>
      </c>
      <c r="R339" s="13">
        <v>0</v>
      </c>
      <c r="S339" s="13">
        <v>0</v>
      </c>
      <c r="T339" s="13">
        <v>0</v>
      </c>
      <c r="U339" s="13">
        <v>12031</v>
      </c>
      <c r="V339" s="69">
        <v>8421</v>
      </c>
    </row>
    <row r="340" spans="1:22" x14ac:dyDescent="0.25">
      <c r="A340" s="27" t="s">
        <v>10</v>
      </c>
      <c r="B340" s="27" t="s">
        <v>874</v>
      </c>
      <c r="C340" s="27" t="s">
        <v>778</v>
      </c>
      <c r="D340" s="32"/>
      <c r="E340" s="32"/>
      <c r="F340" s="32"/>
      <c r="G340" s="32"/>
      <c r="H340" s="32"/>
      <c r="I340" s="32"/>
      <c r="J340" s="32"/>
      <c r="M340" s="65" t="s">
        <v>10</v>
      </c>
      <c r="N340" s="66" t="s">
        <v>874</v>
      </c>
      <c r="O340" s="66" t="s">
        <v>778</v>
      </c>
      <c r="P340" s="66"/>
      <c r="Q340" s="66"/>
      <c r="R340" s="66"/>
      <c r="S340" s="66"/>
      <c r="T340" s="66"/>
      <c r="U340" s="66"/>
      <c r="V340" s="67"/>
    </row>
    <row r="341" spans="1:22" x14ac:dyDescent="0.25">
      <c r="A341" s="27" t="s">
        <v>69</v>
      </c>
      <c r="B341" s="27" t="s">
        <v>874</v>
      </c>
      <c r="C341" s="27" t="s">
        <v>395</v>
      </c>
      <c r="D341" s="32">
        <f>221333+36+1+2+306+11+1+114+54300+10</f>
        <v>276114</v>
      </c>
      <c r="E341" s="32">
        <f>617+3+4+37+119+1+1</f>
        <v>782</v>
      </c>
      <c r="F341" s="32">
        <v>0</v>
      </c>
      <c r="G341" s="32">
        <v>0</v>
      </c>
      <c r="H341" s="32">
        <v>0</v>
      </c>
      <c r="I341" s="32">
        <v>134906</v>
      </c>
      <c r="J341" s="32">
        <v>41736</v>
      </c>
      <c r="M341" s="68" t="s">
        <v>69</v>
      </c>
      <c r="N341" s="13" t="s">
        <v>874</v>
      </c>
      <c r="O341" s="13" t="s">
        <v>395</v>
      </c>
      <c r="P341" s="13">
        <v>276114</v>
      </c>
      <c r="Q341" s="13">
        <v>782</v>
      </c>
      <c r="R341" s="13">
        <v>0</v>
      </c>
      <c r="S341" s="13">
        <v>0</v>
      </c>
      <c r="T341" s="13">
        <v>0</v>
      </c>
      <c r="U341" s="13">
        <v>134906</v>
      </c>
      <c r="V341" s="69">
        <v>41736</v>
      </c>
    </row>
    <row r="342" spans="1:22" x14ac:dyDescent="0.25">
      <c r="A342" s="27" t="s">
        <v>796</v>
      </c>
      <c r="B342" s="27" t="s">
        <v>874</v>
      </c>
      <c r="C342" s="27" t="s">
        <v>396</v>
      </c>
      <c r="D342" s="32">
        <f>108183+8326+12+55+39026+5</f>
        <v>155607</v>
      </c>
      <c r="E342" s="32">
        <f>721+1+2+666+130+3</f>
        <v>1523</v>
      </c>
      <c r="F342" s="32">
        <v>0</v>
      </c>
      <c r="G342" s="32">
        <v>0</v>
      </c>
      <c r="H342" s="32">
        <v>0</v>
      </c>
      <c r="I342" s="32">
        <v>59413</v>
      </c>
      <c r="J342" s="32">
        <v>36565</v>
      </c>
      <c r="M342" s="65" t="s">
        <v>796</v>
      </c>
      <c r="N342" s="66" t="s">
        <v>874</v>
      </c>
      <c r="O342" s="66" t="s">
        <v>396</v>
      </c>
      <c r="P342" s="66">
        <v>155607</v>
      </c>
      <c r="Q342" s="66">
        <v>1523</v>
      </c>
      <c r="R342" s="66">
        <v>0</v>
      </c>
      <c r="S342" s="66">
        <v>0</v>
      </c>
      <c r="T342" s="66">
        <v>0</v>
      </c>
      <c r="U342" s="66">
        <v>59413</v>
      </c>
      <c r="V342" s="67">
        <v>36565</v>
      </c>
    </row>
    <row r="343" spans="1:22" x14ac:dyDescent="0.25">
      <c r="A343" s="27" t="s">
        <v>512</v>
      </c>
      <c r="B343" s="27" t="s">
        <v>874</v>
      </c>
      <c r="C343" s="27" t="s">
        <v>397</v>
      </c>
      <c r="D343" s="32">
        <f>91505+1633+2+380+22151</f>
        <v>115671</v>
      </c>
      <c r="E343" s="32">
        <f>62+16+322+177</f>
        <v>577</v>
      </c>
      <c r="F343" s="32">
        <v>0</v>
      </c>
      <c r="G343" s="32">
        <v>0</v>
      </c>
      <c r="H343" s="32">
        <v>0</v>
      </c>
      <c r="I343" s="32">
        <v>38707</v>
      </c>
      <c r="J343" s="32">
        <v>20128</v>
      </c>
      <c r="M343" s="68" t="s">
        <v>512</v>
      </c>
      <c r="N343" s="13" t="s">
        <v>874</v>
      </c>
      <c r="O343" s="13" t="s">
        <v>397</v>
      </c>
      <c r="P343" s="13">
        <v>115671</v>
      </c>
      <c r="Q343" s="13">
        <v>577</v>
      </c>
      <c r="R343" s="13">
        <v>0</v>
      </c>
      <c r="S343" s="13">
        <v>0</v>
      </c>
      <c r="T343" s="13">
        <v>0</v>
      </c>
      <c r="U343" s="13">
        <v>38707</v>
      </c>
      <c r="V343" s="69">
        <v>20128</v>
      </c>
    </row>
    <row r="344" spans="1:22" x14ac:dyDescent="0.25">
      <c r="A344" s="27" t="s">
        <v>811</v>
      </c>
      <c r="B344" s="27" t="s">
        <v>874</v>
      </c>
      <c r="C344" s="27" t="s">
        <v>398</v>
      </c>
      <c r="D344" s="32">
        <f>26037+5+222+2+44+2+4+23073+9+4</f>
        <v>49402</v>
      </c>
      <c r="E344" s="32">
        <f>2958+698+371+2194+6089</f>
        <v>12310</v>
      </c>
      <c r="F344" s="32">
        <v>0</v>
      </c>
      <c r="G344" s="32">
        <v>0</v>
      </c>
      <c r="H344" s="32">
        <v>0</v>
      </c>
      <c r="I344" s="32">
        <v>14935</v>
      </c>
      <c r="J344" s="32">
        <v>23138</v>
      </c>
      <c r="M344" s="65" t="s">
        <v>811</v>
      </c>
      <c r="N344" s="66" t="s">
        <v>874</v>
      </c>
      <c r="O344" s="66" t="s">
        <v>398</v>
      </c>
      <c r="P344" s="66">
        <v>49402</v>
      </c>
      <c r="Q344" s="66">
        <v>12310</v>
      </c>
      <c r="R344" s="66">
        <v>0</v>
      </c>
      <c r="S344" s="66">
        <v>0</v>
      </c>
      <c r="T344" s="66">
        <v>0</v>
      </c>
      <c r="U344" s="66">
        <v>14935</v>
      </c>
      <c r="V344" s="67">
        <v>23138</v>
      </c>
    </row>
    <row r="345" spans="1:22" x14ac:dyDescent="0.25">
      <c r="A345" s="27" t="s">
        <v>811</v>
      </c>
      <c r="B345" s="27" t="s">
        <v>874</v>
      </c>
      <c r="C345" s="27" t="s">
        <v>399</v>
      </c>
      <c r="D345" s="32">
        <f>19288+45003</f>
        <v>64291</v>
      </c>
      <c r="E345" s="32">
        <f>342+795</f>
        <v>1137</v>
      </c>
      <c r="F345" s="32">
        <v>0</v>
      </c>
      <c r="G345" s="32">
        <v>0</v>
      </c>
      <c r="H345" s="32">
        <v>0</v>
      </c>
      <c r="I345" s="32">
        <v>25943</v>
      </c>
      <c r="J345" s="32">
        <v>18160</v>
      </c>
      <c r="M345" s="68" t="s">
        <v>811</v>
      </c>
      <c r="N345" s="13" t="s">
        <v>874</v>
      </c>
      <c r="O345" s="13" t="s">
        <v>399</v>
      </c>
      <c r="P345" s="13">
        <v>64291</v>
      </c>
      <c r="Q345" s="13">
        <v>1137</v>
      </c>
      <c r="R345" s="13">
        <v>0</v>
      </c>
      <c r="S345" s="13">
        <v>0</v>
      </c>
      <c r="T345" s="13">
        <v>0</v>
      </c>
      <c r="U345" s="13">
        <v>25943</v>
      </c>
      <c r="V345" s="69">
        <v>18160</v>
      </c>
    </row>
    <row r="346" spans="1:22" x14ac:dyDescent="0.25">
      <c r="A346" s="27" t="s">
        <v>811</v>
      </c>
      <c r="B346" s="27" t="s">
        <v>874</v>
      </c>
      <c r="C346" s="27" t="s">
        <v>400</v>
      </c>
      <c r="D346" s="32">
        <f>81723+10+6+10+96935+1</f>
        <v>178685</v>
      </c>
      <c r="E346" s="32">
        <f>1671+12+935+3834+92+2</f>
        <v>6546</v>
      </c>
      <c r="F346" s="32">
        <v>0</v>
      </c>
      <c r="G346" s="32">
        <v>0</v>
      </c>
      <c r="H346" s="32">
        <v>0</v>
      </c>
      <c r="I346" s="32">
        <v>53146</v>
      </c>
      <c r="J346" s="32">
        <v>72963</v>
      </c>
      <c r="M346" s="65" t="s">
        <v>811</v>
      </c>
      <c r="N346" s="66" t="s">
        <v>874</v>
      </c>
      <c r="O346" s="66" t="s">
        <v>400</v>
      </c>
      <c r="P346" s="66">
        <v>178685</v>
      </c>
      <c r="Q346" s="66">
        <v>6546</v>
      </c>
      <c r="R346" s="66">
        <v>0</v>
      </c>
      <c r="S346" s="66">
        <v>0</v>
      </c>
      <c r="T346" s="66">
        <v>0</v>
      </c>
      <c r="U346" s="66">
        <v>53146</v>
      </c>
      <c r="V346" s="67">
        <v>72963</v>
      </c>
    </row>
    <row r="347" spans="1:22" x14ac:dyDescent="0.25">
      <c r="A347" s="27" t="s">
        <v>796</v>
      </c>
      <c r="B347" s="27" t="s">
        <v>874</v>
      </c>
      <c r="C347" s="27" t="s">
        <v>401</v>
      </c>
      <c r="D347" s="32">
        <f>23677+55244</f>
        <v>78921</v>
      </c>
      <c r="E347" s="32">
        <f>98+228</f>
        <v>326</v>
      </c>
      <c r="F347" s="32">
        <v>0</v>
      </c>
      <c r="G347" s="32">
        <v>0</v>
      </c>
      <c r="H347" s="32">
        <v>0</v>
      </c>
      <c r="I347" s="32">
        <v>21620</v>
      </c>
      <c r="J347" s="32">
        <v>15134</v>
      </c>
      <c r="M347" s="68" t="s">
        <v>796</v>
      </c>
      <c r="N347" s="13" t="s">
        <v>874</v>
      </c>
      <c r="O347" s="13" t="s">
        <v>401</v>
      </c>
      <c r="P347" s="13">
        <v>78921</v>
      </c>
      <c r="Q347" s="13">
        <v>326</v>
      </c>
      <c r="R347" s="13">
        <v>0</v>
      </c>
      <c r="S347" s="13">
        <v>0</v>
      </c>
      <c r="T347" s="13">
        <v>0</v>
      </c>
      <c r="U347" s="13">
        <v>21620</v>
      </c>
      <c r="V347" s="69">
        <v>15134</v>
      </c>
    </row>
    <row r="348" spans="1:22" x14ac:dyDescent="0.25">
      <c r="A348" s="27" t="s">
        <v>795</v>
      </c>
      <c r="B348" s="27" t="s">
        <v>874</v>
      </c>
      <c r="C348" s="27" t="s">
        <v>402</v>
      </c>
      <c r="D348" s="32">
        <f>33504+5+2+8+38434+2+35</f>
        <v>71990</v>
      </c>
      <c r="E348" s="32">
        <f>674+1049+64+1145+1030</f>
        <v>3962</v>
      </c>
      <c r="F348" s="32">
        <v>0</v>
      </c>
      <c r="G348" s="32">
        <v>0</v>
      </c>
      <c r="H348" s="32">
        <v>0</v>
      </c>
      <c r="I348" s="32">
        <v>15109</v>
      </c>
      <c r="J348" s="32">
        <v>35127</v>
      </c>
      <c r="M348" s="65" t="s">
        <v>795</v>
      </c>
      <c r="N348" s="66" t="s">
        <v>874</v>
      </c>
      <c r="O348" s="66" t="s">
        <v>402</v>
      </c>
      <c r="P348" s="66">
        <v>71990</v>
      </c>
      <c r="Q348" s="66">
        <v>3962</v>
      </c>
      <c r="R348" s="66">
        <v>0</v>
      </c>
      <c r="S348" s="66">
        <v>0</v>
      </c>
      <c r="T348" s="66">
        <v>0</v>
      </c>
      <c r="U348" s="66">
        <v>15109</v>
      </c>
      <c r="V348" s="67">
        <v>35127</v>
      </c>
    </row>
    <row r="349" spans="1:22" x14ac:dyDescent="0.25">
      <c r="A349" s="27" t="s">
        <v>248</v>
      </c>
      <c r="B349" s="27" t="s">
        <v>874</v>
      </c>
      <c r="C349" s="27" t="s">
        <v>403</v>
      </c>
      <c r="D349" s="32">
        <f>27471+64096</f>
        <v>91567</v>
      </c>
      <c r="E349" s="32">
        <f>868+2023</f>
        <v>2891</v>
      </c>
      <c r="F349" s="32">
        <v>0</v>
      </c>
      <c r="G349" s="32">
        <v>0</v>
      </c>
      <c r="H349" s="32">
        <v>0</v>
      </c>
      <c r="I349" s="32">
        <v>983</v>
      </c>
      <c r="J349" s="32">
        <v>688</v>
      </c>
      <c r="M349" s="68" t="s">
        <v>248</v>
      </c>
      <c r="N349" s="13" t="s">
        <v>874</v>
      </c>
      <c r="O349" s="13" t="s">
        <v>403</v>
      </c>
      <c r="P349" s="13">
        <v>91567</v>
      </c>
      <c r="Q349" s="13">
        <v>2891</v>
      </c>
      <c r="R349" s="13">
        <v>0</v>
      </c>
      <c r="S349" s="13">
        <v>0</v>
      </c>
      <c r="T349" s="13">
        <v>0</v>
      </c>
      <c r="U349" s="13">
        <v>983</v>
      </c>
      <c r="V349" s="69">
        <v>688</v>
      </c>
    </row>
    <row r="350" spans="1:22" x14ac:dyDescent="0.25">
      <c r="A350" s="27" t="s">
        <v>797</v>
      </c>
      <c r="B350" s="27" t="s">
        <v>874</v>
      </c>
      <c r="C350" s="27" t="s">
        <v>404</v>
      </c>
      <c r="D350" s="32">
        <f>70261+2+45+2+6+1+31+32927+4</f>
        <v>103279</v>
      </c>
      <c r="E350" s="32">
        <f>1070+42+8+676+24+4</f>
        <v>1824</v>
      </c>
      <c r="F350" s="32">
        <v>0</v>
      </c>
      <c r="G350" s="32">
        <v>0</v>
      </c>
      <c r="H350" s="32">
        <v>0</v>
      </c>
      <c r="I350" s="32">
        <v>67486</v>
      </c>
      <c r="J350" s="32">
        <v>28718</v>
      </c>
      <c r="M350" s="65" t="s">
        <v>797</v>
      </c>
      <c r="N350" s="66" t="s">
        <v>874</v>
      </c>
      <c r="O350" s="66" t="s">
        <v>404</v>
      </c>
      <c r="P350" s="66">
        <v>103279</v>
      </c>
      <c r="Q350" s="66">
        <v>1824</v>
      </c>
      <c r="R350" s="66">
        <v>0</v>
      </c>
      <c r="S350" s="66">
        <v>0</v>
      </c>
      <c r="T350" s="66">
        <v>0</v>
      </c>
      <c r="U350" s="66">
        <v>67486</v>
      </c>
      <c r="V350" s="67">
        <v>28718</v>
      </c>
    </row>
    <row r="351" spans="1:22" x14ac:dyDescent="0.25">
      <c r="A351" s="27" t="s">
        <v>83</v>
      </c>
      <c r="B351" s="27" t="s">
        <v>874</v>
      </c>
      <c r="C351" s="27" t="s">
        <v>405</v>
      </c>
      <c r="D351" s="32">
        <f>8187+39+111+5197</f>
        <v>13534</v>
      </c>
      <c r="E351" s="32">
        <f>2+25</f>
        <v>27</v>
      </c>
      <c r="F351" s="32">
        <v>0</v>
      </c>
      <c r="G351" s="32">
        <v>0</v>
      </c>
      <c r="H351" s="32">
        <v>0</v>
      </c>
      <c r="I351" s="32">
        <v>8134</v>
      </c>
      <c r="J351" s="32">
        <v>3329</v>
      </c>
      <c r="M351" s="68" t="s">
        <v>83</v>
      </c>
      <c r="N351" s="13" t="s">
        <v>874</v>
      </c>
      <c r="O351" s="13" t="s">
        <v>405</v>
      </c>
      <c r="P351" s="13">
        <v>13534</v>
      </c>
      <c r="Q351" s="13">
        <v>27</v>
      </c>
      <c r="R351" s="13">
        <v>0</v>
      </c>
      <c r="S351" s="13">
        <v>0</v>
      </c>
      <c r="T351" s="13">
        <v>0</v>
      </c>
      <c r="U351" s="13">
        <v>8134</v>
      </c>
      <c r="V351" s="69">
        <v>3329</v>
      </c>
    </row>
    <row r="352" spans="1:22" x14ac:dyDescent="0.25">
      <c r="A352" s="27" t="s">
        <v>248</v>
      </c>
      <c r="B352" s="27" t="s">
        <v>874</v>
      </c>
      <c r="C352" s="27" t="s">
        <v>406</v>
      </c>
      <c r="D352" s="32">
        <f>56744+26+152+126+8+7+1+111+15761+1</f>
        <v>72937</v>
      </c>
      <c r="E352" s="32">
        <f>751+83+19+93+76+18</f>
        <v>1040</v>
      </c>
      <c r="F352" s="32">
        <v>0</v>
      </c>
      <c r="G352" s="32">
        <v>0</v>
      </c>
      <c r="H352" s="32">
        <v>0</v>
      </c>
      <c r="I352" s="32">
        <v>126867</v>
      </c>
      <c r="J352" s="32">
        <v>10451</v>
      </c>
      <c r="M352" s="65" t="s">
        <v>248</v>
      </c>
      <c r="N352" s="66" t="s">
        <v>874</v>
      </c>
      <c r="O352" s="66" t="s">
        <v>406</v>
      </c>
      <c r="P352" s="66">
        <v>72937</v>
      </c>
      <c r="Q352" s="66">
        <v>1040</v>
      </c>
      <c r="R352" s="66">
        <v>0</v>
      </c>
      <c r="S352" s="66">
        <v>0</v>
      </c>
      <c r="T352" s="66">
        <v>0</v>
      </c>
      <c r="U352" s="66">
        <v>126867</v>
      </c>
      <c r="V352" s="67">
        <v>10451</v>
      </c>
    </row>
    <row r="353" spans="1:22" x14ac:dyDescent="0.25">
      <c r="A353" s="27" t="s">
        <v>10</v>
      </c>
      <c r="B353" s="27" t="s">
        <v>874</v>
      </c>
      <c r="C353" s="27" t="s">
        <v>779</v>
      </c>
      <c r="D353" s="32"/>
      <c r="E353" s="32"/>
      <c r="F353" s="32"/>
      <c r="G353" s="32"/>
      <c r="H353" s="32"/>
      <c r="I353" s="32"/>
      <c r="J353" s="32"/>
      <c r="M353" s="68" t="s">
        <v>10</v>
      </c>
      <c r="N353" s="13" t="s">
        <v>874</v>
      </c>
      <c r="O353" s="13" t="s">
        <v>779</v>
      </c>
      <c r="P353" s="13"/>
      <c r="Q353" s="13"/>
      <c r="R353" s="13"/>
      <c r="S353" s="13"/>
      <c r="T353" s="13"/>
      <c r="U353" s="13"/>
      <c r="V353" s="69"/>
    </row>
    <row r="354" spans="1:22" x14ac:dyDescent="0.25">
      <c r="A354" s="27" t="s">
        <v>848</v>
      </c>
      <c r="B354" s="27" t="s">
        <v>874</v>
      </c>
      <c r="C354" s="27" t="s">
        <v>407</v>
      </c>
      <c r="D354" s="32">
        <f>42929+2+4+42+56+26+772+8228+409</f>
        <v>52468</v>
      </c>
      <c r="E354" s="32">
        <f>175+16+14+130</f>
        <v>335</v>
      </c>
      <c r="F354" s="32">
        <v>0</v>
      </c>
      <c r="G354" s="32">
        <v>0</v>
      </c>
      <c r="H354" s="32">
        <v>0</v>
      </c>
      <c r="I354" s="32">
        <v>7229</v>
      </c>
      <c r="J354" s="32">
        <v>8859</v>
      </c>
      <c r="M354" s="65" t="s">
        <v>848</v>
      </c>
      <c r="N354" s="66" t="s">
        <v>874</v>
      </c>
      <c r="O354" s="66" t="s">
        <v>407</v>
      </c>
      <c r="P354" s="66">
        <v>52468</v>
      </c>
      <c r="Q354" s="66">
        <v>335</v>
      </c>
      <c r="R354" s="66">
        <v>0</v>
      </c>
      <c r="S354" s="66">
        <v>0</v>
      </c>
      <c r="T354" s="66">
        <v>0</v>
      </c>
      <c r="U354" s="66">
        <v>7229</v>
      </c>
      <c r="V354" s="67">
        <v>8859</v>
      </c>
    </row>
    <row r="355" spans="1:22" x14ac:dyDescent="0.25">
      <c r="A355" s="27" t="s">
        <v>801</v>
      </c>
      <c r="B355" s="27" t="s">
        <v>874</v>
      </c>
      <c r="C355" s="27" t="s">
        <v>408</v>
      </c>
      <c r="D355" s="32">
        <f>70627+6+3+2+1+1+6434+20+52+27738+29+5+4+401+40</f>
        <v>105363</v>
      </c>
      <c r="E355" s="32">
        <f>629+8+35+34+147</f>
        <v>853</v>
      </c>
      <c r="F355" s="32">
        <v>0</v>
      </c>
      <c r="G355" s="32">
        <v>0</v>
      </c>
      <c r="H355" s="32">
        <v>0</v>
      </c>
      <c r="I355" s="32">
        <v>154807</v>
      </c>
      <c r="J355" s="32">
        <v>26913</v>
      </c>
      <c r="M355" s="68" t="s">
        <v>801</v>
      </c>
      <c r="N355" s="13" t="s">
        <v>874</v>
      </c>
      <c r="O355" s="13" t="s">
        <v>408</v>
      </c>
      <c r="P355" s="13">
        <v>105363</v>
      </c>
      <c r="Q355" s="13">
        <v>853</v>
      </c>
      <c r="R355" s="13">
        <v>0</v>
      </c>
      <c r="S355" s="13">
        <v>0</v>
      </c>
      <c r="T355" s="13">
        <v>0</v>
      </c>
      <c r="U355" s="13">
        <v>154807</v>
      </c>
      <c r="V355" s="69">
        <v>26913</v>
      </c>
    </row>
    <row r="356" spans="1:22" x14ac:dyDescent="0.25">
      <c r="A356" s="27" t="s">
        <v>811</v>
      </c>
      <c r="B356" s="27" t="s">
        <v>874</v>
      </c>
      <c r="C356" s="27" t="s">
        <v>409</v>
      </c>
      <c r="D356" s="32">
        <f>84805+1+5+618+19+10+88685+2</f>
        <v>174145</v>
      </c>
      <c r="E356" s="32">
        <f>195+270+6+126+468</f>
        <v>1065</v>
      </c>
      <c r="F356" s="32">
        <v>0</v>
      </c>
      <c r="G356" s="32">
        <v>0</v>
      </c>
      <c r="H356" s="32">
        <v>0</v>
      </c>
      <c r="I356" s="32">
        <v>109110</v>
      </c>
      <c r="J356" s="32">
        <v>73613</v>
      </c>
      <c r="M356" s="65" t="s">
        <v>811</v>
      </c>
      <c r="N356" s="66" t="s">
        <v>874</v>
      </c>
      <c r="O356" s="66" t="s">
        <v>409</v>
      </c>
      <c r="P356" s="66">
        <v>174145</v>
      </c>
      <c r="Q356" s="66">
        <v>1065</v>
      </c>
      <c r="R356" s="66">
        <v>0</v>
      </c>
      <c r="S356" s="66">
        <v>0</v>
      </c>
      <c r="T356" s="66">
        <v>0</v>
      </c>
      <c r="U356" s="66">
        <v>109110</v>
      </c>
      <c r="V356" s="67">
        <v>73613</v>
      </c>
    </row>
    <row r="357" spans="1:22" x14ac:dyDescent="0.25">
      <c r="A357" s="27" t="s">
        <v>83</v>
      </c>
      <c r="B357" s="27" t="s">
        <v>874</v>
      </c>
      <c r="C357" s="27" t="s">
        <v>410</v>
      </c>
      <c r="D357" s="32">
        <f>8027+2+2530</f>
        <v>10559</v>
      </c>
      <c r="E357" s="32">
        <f>5+67+16</f>
        <v>88</v>
      </c>
      <c r="F357" s="32">
        <v>0</v>
      </c>
      <c r="G357" s="32">
        <v>0</v>
      </c>
      <c r="H357" s="32">
        <v>0</v>
      </c>
      <c r="I357" s="32">
        <v>34947</v>
      </c>
      <c r="J357" s="32">
        <v>2287</v>
      </c>
      <c r="M357" s="68" t="s">
        <v>83</v>
      </c>
      <c r="N357" s="13" t="s">
        <v>874</v>
      </c>
      <c r="O357" s="13" t="s">
        <v>410</v>
      </c>
      <c r="P357" s="13">
        <v>10559</v>
      </c>
      <c r="Q357" s="13">
        <v>88</v>
      </c>
      <c r="R357" s="13">
        <v>0</v>
      </c>
      <c r="S357" s="13">
        <v>0</v>
      </c>
      <c r="T357" s="13">
        <v>0</v>
      </c>
      <c r="U357" s="13">
        <v>34947</v>
      </c>
      <c r="V357" s="69">
        <v>2287</v>
      </c>
    </row>
    <row r="358" spans="1:22" x14ac:dyDescent="0.25">
      <c r="A358" s="27" t="s">
        <v>120</v>
      </c>
      <c r="B358" s="27" t="s">
        <v>874</v>
      </c>
      <c r="C358" s="27" t="s">
        <v>411</v>
      </c>
      <c r="D358" s="32">
        <f>56694+871+38198</f>
        <v>95763</v>
      </c>
      <c r="E358" s="32">
        <f>4+47+1+2</f>
        <v>54</v>
      </c>
      <c r="F358" s="32">
        <v>0</v>
      </c>
      <c r="G358" s="32">
        <v>0</v>
      </c>
      <c r="H358" s="32">
        <v>0</v>
      </c>
      <c r="I358" s="32">
        <v>88123</v>
      </c>
      <c r="J358" s="32">
        <v>33079</v>
      </c>
      <c r="M358" s="65" t="s">
        <v>120</v>
      </c>
      <c r="N358" s="66" t="s">
        <v>874</v>
      </c>
      <c r="O358" s="66" t="s">
        <v>411</v>
      </c>
      <c r="P358" s="66">
        <v>95763</v>
      </c>
      <c r="Q358" s="66">
        <v>54</v>
      </c>
      <c r="R358" s="66">
        <v>0</v>
      </c>
      <c r="S358" s="66">
        <v>0</v>
      </c>
      <c r="T358" s="66">
        <v>0</v>
      </c>
      <c r="U358" s="66">
        <v>88123</v>
      </c>
      <c r="V358" s="67">
        <v>33079</v>
      </c>
    </row>
    <row r="359" spans="1:22" x14ac:dyDescent="0.25">
      <c r="A359" s="27" t="s">
        <v>134</v>
      </c>
      <c r="B359" s="27" t="s">
        <v>874</v>
      </c>
      <c r="C359" s="27" t="s">
        <v>412</v>
      </c>
      <c r="D359" s="32">
        <f>20938+2+12+6596+4</f>
        <v>27552</v>
      </c>
      <c r="E359" s="32">
        <f>14+40+50</f>
        <v>104</v>
      </c>
      <c r="F359" s="32">
        <v>0</v>
      </c>
      <c r="G359" s="32">
        <v>0</v>
      </c>
      <c r="H359" s="32">
        <v>0</v>
      </c>
      <c r="I359" s="32">
        <v>24676</v>
      </c>
      <c r="J359" s="32">
        <v>5540</v>
      </c>
      <c r="M359" s="68" t="s">
        <v>134</v>
      </c>
      <c r="N359" s="13" t="s">
        <v>874</v>
      </c>
      <c r="O359" s="13" t="s">
        <v>412</v>
      </c>
      <c r="P359" s="13">
        <v>27552</v>
      </c>
      <c r="Q359" s="13">
        <v>104</v>
      </c>
      <c r="R359" s="13">
        <v>0</v>
      </c>
      <c r="S359" s="13">
        <v>0</v>
      </c>
      <c r="T359" s="13">
        <v>0</v>
      </c>
      <c r="U359" s="13">
        <v>24676</v>
      </c>
      <c r="V359" s="69">
        <v>5540</v>
      </c>
    </row>
    <row r="360" spans="1:22" x14ac:dyDescent="0.25">
      <c r="A360" s="27" t="s">
        <v>120</v>
      </c>
      <c r="B360" s="27" t="s">
        <v>874</v>
      </c>
      <c r="C360" s="27" t="s">
        <v>413</v>
      </c>
      <c r="D360" s="32">
        <f>53484+9+2+1197+2+17+16818</f>
        <v>71529</v>
      </c>
      <c r="E360" s="32">
        <f>116+5+8+67+2</f>
        <v>198</v>
      </c>
      <c r="F360" s="32">
        <v>0</v>
      </c>
      <c r="G360" s="32">
        <v>0</v>
      </c>
      <c r="H360" s="32">
        <v>0</v>
      </c>
      <c r="I360" s="32">
        <v>22828</v>
      </c>
      <c r="J360" s="32">
        <v>9999</v>
      </c>
      <c r="M360" s="65" t="s">
        <v>120</v>
      </c>
      <c r="N360" s="66" t="s">
        <v>874</v>
      </c>
      <c r="O360" s="66" t="s">
        <v>413</v>
      </c>
      <c r="P360" s="66">
        <v>71529</v>
      </c>
      <c r="Q360" s="66">
        <v>198</v>
      </c>
      <c r="R360" s="66">
        <v>0</v>
      </c>
      <c r="S360" s="66">
        <v>0</v>
      </c>
      <c r="T360" s="66">
        <v>0</v>
      </c>
      <c r="U360" s="66">
        <v>22828</v>
      </c>
      <c r="V360" s="67">
        <v>9999</v>
      </c>
    </row>
    <row r="361" spans="1:22" x14ac:dyDescent="0.25">
      <c r="A361" s="27" t="s">
        <v>890</v>
      </c>
      <c r="B361" s="27" t="s">
        <v>874</v>
      </c>
      <c r="C361" s="27" t="s">
        <v>414</v>
      </c>
      <c r="D361" s="32">
        <f>66543+1+9+1+25+43+24509+117</f>
        <v>91248</v>
      </c>
      <c r="E361" s="32">
        <f>79+40+2+99</f>
        <v>220</v>
      </c>
      <c r="F361" s="32">
        <v>0</v>
      </c>
      <c r="G361" s="32">
        <v>0</v>
      </c>
      <c r="H361" s="32">
        <v>0</v>
      </c>
      <c r="I361" s="32">
        <v>106005</v>
      </c>
      <c r="J361" s="32">
        <v>22127</v>
      </c>
      <c r="M361" s="68" t="s">
        <v>890</v>
      </c>
      <c r="N361" s="13" t="s">
        <v>874</v>
      </c>
      <c r="O361" s="13" t="s">
        <v>414</v>
      </c>
      <c r="P361" s="13">
        <v>91248</v>
      </c>
      <c r="Q361" s="13">
        <v>220</v>
      </c>
      <c r="R361" s="13">
        <v>0</v>
      </c>
      <c r="S361" s="13">
        <v>0</v>
      </c>
      <c r="T361" s="13">
        <v>0</v>
      </c>
      <c r="U361" s="13">
        <v>106005</v>
      </c>
      <c r="V361" s="69">
        <v>22127</v>
      </c>
    </row>
    <row r="362" spans="1:22" x14ac:dyDescent="0.25">
      <c r="A362" s="27" t="s">
        <v>796</v>
      </c>
      <c r="B362" s="27" t="s">
        <v>874</v>
      </c>
      <c r="C362" s="27" t="s">
        <v>415</v>
      </c>
      <c r="D362" s="32">
        <f>54397+1+1319+4+89+24635+6</f>
        <v>80451</v>
      </c>
      <c r="E362" s="32">
        <f>256+7+97+416+69+1</f>
        <v>846</v>
      </c>
      <c r="F362" s="32">
        <v>0</v>
      </c>
      <c r="G362" s="32">
        <v>0</v>
      </c>
      <c r="H362" s="32">
        <v>0</v>
      </c>
      <c r="I362" s="32">
        <v>108031</v>
      </c>
      <c r="J362" s="32">
        <v>22384</v>
      </c>
      <c r="M362" s="65" t="s">
        <v>796</v>
      </c>
      <c r="N362" s="66" t="s">
        <v>874</v>
      </c>
      <c r="O362" s="66" t="s">
        <v>415</v>
      </c>
      <c r="P362" s="66">
        <v>80451</v>
      </c>
      <c r="Q362" s="66">
        <v>846</v>
      </c>
      <c r="R362" s="66">
        <v>0</v>
      </c>
      <c r="S362" s="66">
        <v>0</v>
      </c>
      <c r="T362" s="66">
        <v>0</v>
      </c>
      <c r="U362" s="66">
        <v>108031</v>
      </c>
      <c r="V362" s="67">
        <v>22384</v>
      </c>
    </row>
    <row r="363" spans="1:22" x14ac:dyDescent="0.25">
      <c r="A363" s="27" t="s">
        <v>226</v>
      </c>
      <c r="B363" s="27" t="s">
        <v>874</v>
      </c>
      <c r="C363" s="27" t="s">
        <v>416</v>
      </c>
      <c r="D363" s="32">
        <f>15481+14+769+5+28+5135+1</f>
        <v>21433</v>
      </c>
      <c r="E363" s="32">
        <f>1+13+22+21+50</f>
        <v>107</v>
      </c>
      <c r="F363" s="32">
        <v>0</v>
      </c>
      <c r="G363" s="32">
        <v>0</v>
      </c>
      <c r="H363" s="32">
        <v>0</v>
      </c>
      <c r="I363" s="32">
        <v>76568</v>
      </c>
      <c r="J363" s="32">
        <v>4787</v>
      </c>
      <c r="M363" s="68" t="s">
        <v>226</v>
      </c>
      <c r="N363" s="13" t="s">
        <v>874</v>
      </c>
      <c r="O363" s="13" t="s">
        <v>416</v>
      </c>
      <c r="P363" s="13">
        <v>21433</v>
      </c>
      <c r="Q363" s="13">
        <v>107</v>
      </c>
      <c r="R363" s="13">
        <v>0</v>
      </c>
      <c r="S363" s="13">
        <v>0</v>
      </c>
      <c r="T363" s="13">
        <v>0</v>
      </c>
      <c r="U363" s="13">
        <v>76568</v>
      </c>
      <c r="V363" s="69">
        <v>4787</v>
      </c>
    </row>
    <row r="364" spans="1:22" x14ac:dyDescent="0.25">
      <c r="A364" s="27" t="s">
        <v>890</v>
      </c>
      <c r="B364" s="27" t="s">
        <v>874</v>
      </c>
      <c r="C364" s="27" t="s">
        <v>417</v>
      </c>
      <c r="D364" s="32">
        <f>66080+5+3+928+123+2+19+56057+1</f>
        <v>123218</v>
      </c>
      <c r="E364" s="32">
        <f>425+1+262+102+7</f>
        <v>797</v>
      </c>
      <c r="F364" s="32">
        <v>0</v>
      </c>
      <c r="G364" s="32">
        <v>0</v>
      </c>
      <c r="H364" s="32">
        <v>0</v>
      </c>
      <c r="I364" s="32">
        <v>147425</v>
      </c>
      <c r="J364" s="32">
        <v>42674</v>
      </c>
      <c r="M364" s="65" t="s">
        <v>890</v>
      </c>
      <c r="N364" s="66" t="s">
        <v>874</v>
      </c>
      <c r="O364" s="66" t="s">
        <v>417</v>
      </c>
      <c r="P364" s="66">
        <v>123218</v>
      </c>
      <c r="Q364" s="66">
        <v>797</v>
      </c>
      <c r="R364" s="66">
        <v>0</v>
      </c>
      <c r="S364" s="66">
        <v>0</v>
      </c>
      <c r="T364" s="66">
        <v>0</v>
      </c>
      <c r="U364" s="66">
        <v>147425</v>
      </c>
      <c r="V364" s="67">
        <v>42674</v>
      </c>
    </row>
    <row r="365" spans="1:22" x14ac:dyDescent="0.25">
      <c r="A365" s="27" t="s">
        <v>890</v>
      </c>
      <c r="B365" s="27" t="s">
        <v>874</v>
      </c>
      <c r="C365" s="27" t="s">
        <v>418</v>
      </c>
      <c r="D365" s="32">
        <f>87673+5+22+633+2+14+29597+398</f>
        <v>118344</v>
      </c>
      <c r="E365" s="32">
        <f>411+5+2+35+124</f>
        <v>577</v>
      </c>
      <c r="F365" s="32">
        <v>0</v>
      </c>
      <c r="G365" s="32">
        <v>0</v>
      </c>
      <c r="H365" s="32">
        <v>0</v>
      </c>
      <c r="I365" s="32">
        <v>102975</v>
      </c>
      <c r="J365" s="32">
        <v>26114</v>
      </c>
      <c r="M365" s="68" t="s">
        <v>890</v>
      </c>
      <c r="N365" s="13" t="s">
        <v>874</v>
      </c>
      <c r="O365" s="13" t="s">
        <v>418</v>
      </c>
      <c r="P365" s="13">
        <v>118344</v>
      </c>
      <c r="Q365" s="13">
        <v>577</v>
      </c>
      <c r="R365" s="13">
        <v>0</v>
      </c>
      <c r="S365" s="13">
        <v>0</v>
      </c>
      <c r="T365" s="13">
        <v>0</v>
      </c>
      <c r="U365" s="13">
        <v>102975</v>
      </c>
      <c r="V365" s="69">
        <v>26114</v>
      </c>
    </row>
    <row r="366" spans="1:22" x14ac:dyDescent="0.25">
      <c r="A366" s="27" t="s">
        <v>796</v>
      </c>
      <c r="B366" s="27" t="s">
        <v>874</v>
      </c>
      <c r="C366" s="27" t="s">
        <v>419</v>
      </c>
      <c r="D366" s="32">
        <f>80058+16+11+1+1393+4+133+58+1+91+37557+1+1+1+1+20</f>
        <v>119347</v>
      </c>
      <c r="E366" s="32">
        <f>682+46+14+35+45+7</f>
        <v>829</v>
      </c>
      <c r="F366" s="32">
        <v>0</v>
      </c>
      <c r="G366" s="32">
        <v>0</v>
      </c>
      <c r="H366" s="32">
        <v>0</v>
      </c>
      <c r="I366" s="32">
        <v>269473</v>
      </c>
      <c r="J366" s="32">
        <v>34426</v>
      </c>
      <c r="M366" s="65" t="s">
        <v>796</v>
      </c>
      <c r="N366" s="66" t="s">
        <v>874</v>
      </c>
      <c r="O366" s="66" t="s">
        <v>419</v>
      </c>
      <c r="P366" s="66">
        <v>119347</v>
      </c>
      <c r="Q366" s="66">
        <v>829</v>
      </c>
      <c r="R366" s="66">
        <v>0</v>
      </c>
      <c r="S366" s="66">
        <v>0</v>
      </c>
      <c r="T366" s="66">
        <v>0</v>
      </c>
      <c r="U366" s="66">
        <v>269473</v>
      </c>
      <c r="V366" s="67">
        <v>34426</v>
      </c>
    </row>
    <row r="367" spans="1:22" x14ac:dyDescent="0.25">
      <c r="A367" s="27" t="s">
        <v>831</v>
      </c>
      <c r="B367" s="27" t="s">
        <v>874</v>
      </c>
      <c r="C367" s="27" t="s">
        <v>420</v>
      </c>
      <c r="D367" s="32">
        <f>17572+2+114+12+2+5+32759+65+1+10+5776+1+1+1</f>
        <v>56321</v>
      </c>
      <c r="E367" s="32">
        <f>1+19+73+124</f>
        <v>217</v>
      </c>
      <c r="F367" s="32">
        <v>0</v>
      </c>
      <c r="G367" s="32">
        <v>0</v>
      </c>
      <c r="H367" s="32">
        <v>0</v>
      </c>
      <c r="I367" s="32">
        <v>55364</v>
      </c>
      <c r="J367" s="32">
        <v>31367</v>
      </c>
      <c r="M367" s="68" t="s">
        <v>831</v>
      </c>
      <c r="N367" s="13" t="s">
        <v>874</v>
      </c>
      <c r="O367" s="13" t="s">
        <v>420</v>
      </c>
      <c r="P367" s="13">
        <v>56321</v>
      </c>
      <c r="Q367" s="13">
        <v>217</v>
      </c>
      <c r="R367" s="13">
        <v>0</v>
      </c>
      <c r="S367" s="13">
        <v>0</v>
      </c>
      <c r="T367" s="13">
        <v>0</v>
      </c>
      <c r="U367" s="13">
        <v>55364</v>
      </c>
      <c r="V367" s="69">
        <v>31367</v>
      </c>
    </row>
    <row r="368" spans="1:22" x14ac:dyDescent="0.25">
      <c r="A368" s="27" t="s">
        <v>69</v>
      </c>
      <c r="B368" s="27" t="s">
        <v>874</v>
      </c>
      <c r="C368" s="27" t="s">
        <v>421</v>
      </c>
      <c r="D368" s="32">
        <f>122366+56+2012+5+36+34654+8</f>
        <v>159137</v>
      </c>
      <c r="E368" s="32">
        <f>17+2+11+5+161+120+13</f>
        <v>329</v>
      </c>
      <c r="F368" s="32">
        <v>0</v>
      </c>
      <c r="G368" s="32">
        <v>0</v>
      </c>
      <c r="H368" s="32">
        <v>0</v>
      </c>
      <c r="I368" s="32">
        <v>89701</v>
      </c>
      <c r="J368" s="32">
        <v>28496</v>
      </c>
      <c r="M368" s="65" t="s">
        <v>69</v>
      </c>
      <c r="N368" s="66" t="s">
        <v>874</v>
      </c>
      <c r="O368" s="66" t="s">
        <v>421</v>
      </c>
      <c r="P368" s="66">
        <v>159137</v>
      </c>
      <c r="Q368" s="66">
        <v>329</v>
      </c>
      <c r="R368" s="66">
        <v>0</v>
      </c>
      <c r="S368" s="66">
        <v>0</v>
      </c>
      <c r="T368" s="66">
        <v>0</v>
      </c>
      <c r="U368" s="66">
        <v>89701</v>
      </c>
      <c r="V368" s="67">
        <v>28496</v>
      </c>
    </row>
    <row r="369" spans="1:22" x14ac:dyDescent="0.25">
      <c r="A369" s="27" t="s">
        <v>146</v>
      </c>
      <c r="B369" s="27" t="s">
        <v>874</v>
      </c>
      <c r="C369" s="27" t="s">
        <v>422</v>
      </c>
      <c r="D369" s="32">
        <f>74727+6+3+135+487+47076+174</f>
        <v>122608</v>
      </c>
      <c r="E369" s="32">
        <f>189+13+129+161+286</f>
        <v>778</v>
      </c>
      <c r="F369" s="32">
        <v>0</v>
      </c>
      <c r="G369" s="32">
        <v>0</v>
      </c>
      <c r="H369" s="32">
        <v>0</v>
      </c>
      <c r="I369" s="32">
        <v>66080</v>
      </c>
      <c r="J369" s="32">
        <v>35072</v>
      </c>
      <c r="M369" s="68" t="s">
        <v>146</v>
      </c>
      <c r="N369" s="13" t="s">
        <v>874</v>
      </c>
      <c r="O369" s="13" t="s">
        <v>422</v>
      </c>
      <c r="P369" s="13">
        <v>122608</v>
      </c>
      <c r="Q369" s="13">
        <v>778</v>
      </c>
      <c r="R369" s="13">
        <v>0</v>
      </c>
      <c r="S369" s="13">
        <v>0</v>
      </c>
      <c r="T369" s="13">
        <v>0</v>
      </c>
      <c r="U369" s="13">
        <v>66080</v>
      </c>
      <c r="V369" s="69">
        <v>35072</v>
      </c>
    </row>
    <row r="370" spans="1:22" x14ac:dyDescent="0.25">
      <c r="A370" s="27" t="s">
        <v>146</v>
      </c>
      <c r="B370" s="27" t="s">
        <v>874</v>
      </c>
      <c r="C370" s="27" t="s">
        <v>423</v>
      </c>
      <c r="D370" s="32">
        <f>45651+31+92+202+45816+8+83</f>
        <v>91883</v>
      </c>
      <c r="E370" s="32">
        <f>2+1+26+117</f>
        <v>146</v>
      </c>
      <c r="F370" s="32">
        <v>0</v>
      </c>
      <c r="G370" s="32">
        <v>0</v>
      </c>
      <c r="H370" s="32">
        <v>0</v>
      </c>
      <c r="I370" s="32">
        <v>44729</v>
      </c>
      <c r="J370" s="32">
        <v>34582</v>
      </c>
      <c r="M370" s="65" t="s">
        <v>146</v>
      </c>
      <c r="N370" s="66" t="s">
        <v>874</v>
      </c>
      <c r="O370" s="66" t="s">
        <v>423</v>
      </c>
      <c r="P370" s="66">
        <v>91883</v>
      </c>
      <c r="Q370" s="66">
        <v>146</v>
      </c>
      <c r="R370" s="66">
        <v>0</v>
      </c>
      <c r="S370" s="66">
        <v>0</v>
      </c>
      <c r="T370" s="66">
        <v>0</v>
      </c>
      <c r="U370" s="66">
        <v>44729</v>
      </c>
      <c r="V370" s="67">
        <v>34582</v>
      </c>
    </row>
    <row r="371" spans="1:22" x14ac:dyDescent="0.25">
      <c r="A371" s="27" t="s">
        <v>76</v>
      </c>
      <c r="B371" s="27" t="s">
        <v>874</v>
      </c>
      <c r="C371" s="27" t="s">
        <v>424</v>
      </c>
      <c r="D371" s="32">
        <f>98964+1+1+1+741+4+7+35171+27+1+4</f>
        <v>134922</v>
      </c>
      <c r="E371" s="32">
        <f>9+52+1</f>
        <v>62</v>
      </c>
      <c r="F371" s="32">
        <v>0</v>
      </c>
      <c r="G371" s="32">
        <v>0</v>
      </c>
      <c r="H371" s="32">
        <v>0</v>
      </c>
      <c r="I371" s="32">
        <v>163205</v>
      </c>
      <c r="J371" s="32">
        <v>28813</v>
      </c>
      <c r="M371" s="68" t="s">
        <v>76</v>
      </c>
      <c r="N371" s="13" t="s">
        <v>874</v>
      </c>
      <c r="O371" s="13" t="s">
        <v>424</v>
      </c>
      <c r="P371" s="13">
        <v>134922</v>
      </c>
      <c r="Q371" s="13">
        <v>62</v>
      </c>
      <c r="R371" s="13">
        <v>0</v>
      </c>
      <c r="S371" s="13">
        <v>0</v>
      </c>
      <c r="T371" s="13">
        <v>0</v>
      </c>
      <c r="U371" s="13">
        <v>163205</v>
      </c>
      <c r="V371" s="69">
        <v>28813</v>
      </c>
    </row>
    <row r="372" spans="1:22" x14ac:dyDescent="0.25">
      <c r="A372" s="27" t="s">
        <v>795</v>
      </c>
      <c r="B372" s="27" t="s">
        <v>874</v>
      </c>
      <c r="C372" s="27" t="s">
        <v>425</v>
      </c>
      <c r="D372" s="32">
        <f>159738+1+1+4+76481+370+2+2</f>
        <v>236599</v>
      </c>
      <c r="E372" s="32">
        <f>20+10+26+49+7</f>
        <v>112</v>
      </c>
      <c r="F372" s="32">
        <v>0</v>
      </c>
      <c r="G372" s="32">
        <v>0</v>
      </c>
      <c r="H372" s="32">
        <v>0</v>
      </c>
      <c r="I372" s="32">
        <v>141060</v>
      </c>
      <c r="J372" s="32">
        <v>66434</v>
      </c>
      <c r="M372" s="65" t="s">
        <v>795</v>
      </c>
      <c r="N372" s="66" t="s">
        <v>874</v>
      </c>
      <c r="O372" s="66" t="s">
        <v>425</v>
      </c>
      <c r="P372" s="66">
        <v>236599</v>
      </c>
      <c r="Q372" s="66">
        <v>112</v>
      </c>
      <c r="R372" s="66">
        <v>0</v>
      </c>
      <c r="S372" s="66">
        <v>0</v>
      </c>
      <c r="T372" s="66">
        <v>0</v>
      </c>
      <c r="U372" s="66">
        <v>141060</v>
      </c>
      <c r="V372" s="67">
        <v>66434</v>
      </c>
    </row>
    <row r="373" spans="1:22" x14ac:dyDescent="0.25">
      <c r="A373" s="27" t="s">
        <v>824</v>
      </c>
      <c r="B373" s="27" t="s">
        <v>874</v>
      </c>
      <c r="C373" s="27" t="s">
        <v>426</v>
      </c>
      <c r="D373" s="32">
        <f>30414+1+60+93+4+36569</f>
        <v>67141</v>
      </c>
      <c r="E373" s="32">
        <f>73+45+20+4</f>
        <v>142</v>
      </c>
      <c r="F373" s="32">
        <v>0</v>
      </c>
      <c r="G373" s="32">
        <v>0</v>
      </c>
      <c r="H373" s="32">
        <v>0</v>
      </c>
      <c r="I373" s="32">
        <v>77283</v>
      </c>
      <c r="J373" s="32">
        <v>32454</v>
      </c>
      <c r="M373" s="68" t="s">
        <v>824</v>
      </c>
      <c r="N373" s="13" t="s">
        <v>874</v>
      </c>
      <c r="O373" s="13" t="s">
        <v>426</v>
      </c>
      <c r="P373" s="13">
        <v>67141</v>
      </c>
      <c r="Q373" s="13">
        <v>142</v>
      </c>
      <c r="R373" s="13">
        <v>0</v>
      </c>
      <c r="S373" s="13">
        <v>0</v>
      </c>
      <c r="T373" s="13">
        <v>0</v>
      </c>
      <c r="U373" s="13">
        <v>77283</v>
      </c>
      <c r="V373" s="69">
        <v>32454</v>
      </c>
    </row>
    <row r="374" spans="1:22" x14ac:dyDescent="0.25">
      <c r="A374" s="27" t="s">
        <v>788</v>
      </c>
      <c r="B374" s="27" t="s">
        <v>874</v>
      </c>
      <c r="C374" s="27" t="s">
        <v>427</v>
      </c>
      <c r="D374" s="32">
        <f>161747+62+1582+44111+1+2</f>
        <v>207505</v>
      </c>
      <c r="E374" s="32">
        <f>189+78+3+207+11</f>
        <v>488</v>
      </c>
      <c r="F374" s="32">
        <v>0</v>
      </c>
      <c r="G374" s="32">
        <v>0</v>
      </c>
      <c r="H374" s="32">
        <v>0</v>
      </c>
      <c r="I374" s="32">
        <v>157869</v>
      </c>
      <c r="J374" s="32">
        <v>41696</v>
      </c>
      <c r="M374" s="65" t="s">
        <v>788</v>
      </c>
      <c r="N374" s="66" t="s">
        <v>874</v>
      </c>
      <c r="O374" s="66" t="s">
        <v>427</v>
      </c>
      <c r="P374" s="66">
        <v>207505</v>
      </c>
      <c r="Q374" s="66">
        <v>488</v>
      </c>
      <c r="R374" s="66">
        <v>0</v>
      </c>
      <c r="S374" s="66">
        <v>0</v>
      </c>
      <c r="T374" s="66">
        <v>0</v>
      </c>
      <c r="U374" s="66">
        <v>157869</v>
      </c>
      <c r="V374" s="67">
        <v>41696</v>
      </c>
    </row>
    <row r="375" spans="1:22" x14ac:dyDescent="0.25">
      <c r="A375" s="27" t="s">
        <v>226</v>
      </c>
      <c r="B375" s="27" t="s">
        <v>874</v>
      </c>
      <c r="C375" s="27" t="s">
        <v>428</v>
      </c>
      <c r="D375" s="32">
        <f>17705+53+9+87+7011+7</f>
        <v>24872</v>
      </c>
      <c r="E375" s="32">
        <v>5</v>
      </c>
      <c r="F375" s="32">
        <v>0</v>
      </c>
      <c r="G375" s="32">
        <v>0</v>
      </c>
      <c r="H375" s="32">
        <v>0</v>
      </c>
      <c r="I375" s="32">
        <v>31899</v>
      </c>
      <c r="J375" s="32">
        <v>4804</v>
      </c>
      <c r="M375" s="68" t="s">
        <v>226</v>
      </c>
      <c r="N375" s="13" t="s">
        <v>874</v>
      </c>
      <c r="O375" s="13" t="s">
        <v>428</v>
      </c>
      <c r="P375" s="13">
        <v>24872</v>
      </c>
      <c r="Q375" s="13">
        <v>5</v>
      </c>
      <c r="R375" s="13">
        <v>0</v>
      </c>
      <c r="S375" s="13">
        <v>0</v>
      </c>
      <c r="T375" s="13">
        <v>0</v>
      </c>
      <c r="U375" s="13">
        <v>31899</v>
      </c>
      <c r="V375" s="69">
        <v>4804</v>
      </c>
    </row>
    <row r="376" spans="1:22" x14ac:dyDescent="0.25">
      <c r="A376" s="27" t="s">
        <v>791</v>
      </c>
      <c r="B376" s="27" t="s">
        <v>874</v>
      </c>
      <c r="C376" s="27" t="s">
        <v>429</v>
      </c>
      <c r="D376" s="32">
        <f>10386+5+4+35+158+4161</f>
        <v>14749</v>
      </c>
      <c r="E376" s="32">
        <f>31+4+18+1+2</f>
        <v>56</v>
      </c>
      <c r="F376" s="32">
        <v>0</v>
      </c>
      <c r="G376" s="32">
        <v>0</v>
      </c>
      <c r="H376" s="32">
        <v>0</v>
      </c>
      <c r="I376" s="32">
        <v>10912</v>
      </c>
      <c r="J376" s="32">
        <v>2893</v>
      </c>
      <c r="M376" s="65" t="s">
        <v>791</v>
      </c>
      <c r="N376" s="66" t="s">
        <v>874</v>
      </c>
      <c r="O376" s="66" t="s">
        <v>429</v>
      </c>
      <c r="P376" s="66">
        <v>14749</v>
      </c>
      <c r="Q376" s="66">
        <v>56</v>
      </c>
      <c r="R376" s="66">
        <v>0</v>
      </c>
      <c r="S376" s="66">
        <v>0</v>
      </c>
      <c r="T376" s="66">
        <v>0</v>
      </c>
      <c r="U376" s="66">
        <v>10912</v>
      </c>
      <c r="V376" s="67">
        <v>2893</v>
      </c>
    </row>
    <row r="377" spans="1:22" x14ac:dyDescent="0.25">
      <c r="A377" s="27" t="s">
        <v>788</v>
      </c>
      <c r="B377" s="27" t="s">
        <v>874</v>
      </c>
      <c r="C377" s="27" t="s">
        <v>430</v>
      </c>
      <c r="D377" s="32">
        <f>28531+2+2+3+22067</f>
        <v>50605</v>
      </c>
      <c r="E377" s="32">
        <f>26+55+5</f>
        <v>86</v>
      </c>
      <c r="F377" s="32">
        <v>0</v>
      </c>
      <c r="G377" s="32">
        <v>0</v>
      </c>
      <c r="H377" s="32">
        <v>0</v>
      </c>
      <c r="I377" s="32">
        <v>39064</v>
      </c>
      <c r="J377" s="32">
        <v>14019</v>
      </c>
      <c r="M377" s="68" t="s">
        <v>788</v>
      </c>
      <c r="N377" s="13" t="s">
        <v>874</v>
      </c>
      <c r="O377" s="13" t="s">
        <v>430</v>
      </c>
      <c r="P377" s="13">
        <v>50605</v>
      </c>
      <c r="Q377" s="13">
        <v>86</v>
      </c>
      <c r="R377" s="13">
        <v>0</v>
      </c>
      <c r="S377" s="13">
        <v>0</v>
      </c>
      <c r="T377" s="13">
        <v>0</v>
      </c>
      <c r="U377" s="13">
        <v>39064</v>
      </c>
      <c r="V377" s="69">
        <v>14019</v>
      </c>
    </row>
    <row r="378" spans="1:22" x14ac:dyDescent="0.25">
      <c r="A378" s="27" t="s">
        <v>10</v>
      </c>
      <c r="B378" s="27" t="s">
        <v>874</v>
      </c>
      <c r="C378" s="27" t="s">
        <v>431</v>
      </c>
      <c r="D378" s="32"/>
      <c r="E378" s="32"/>
      <c r="F378" s="32"/>
      <c r="G378" s="32"/>
      <c r="H378" s="32"/>
      <c r="I378" s="32"/>
      <c r="J378" s="32"/>
      <c r="M378" s="65" t="s">
        <v>10</v>
      </c>
      <c r="N378" s="66" t="s">
        <v>874</v>
      </c>
      <c r="O378" s="66" t="s">
        <v>431</v>
      </c>
      <c r="P378" s="66"/>
      <c r="Q378" s="66"/>
      <c r="R378" s="66"/>
      <c r="S378" s="66"/>
      <c r="T378" s="66"/>
      <c r="U378" s="66"/>
      <c r="V378" s="67"/>
    </row>
    <row r="379" spans="1:22" x14ac:dyDescent="0.25">
      <c r="A379" s="27" t="s">
        <v>69</v>
      </c>
      <c r="B379" s="27" t="s">
        <v>874</v>
      </c>
      <c r="C379" s="27" t="s">
        <v>432</v>
      </c>
      <c r="D379" s="32">
        <f>52752+4+1373+4+301+43446</f>
        <v>97880</v>
      </c>
      <c r="E379" s="32">
        <f>6+15+38+3+1</f>
        <v>63</v>
      </c>
      <c r="F379" s="32">
        <v>0</v>
      </c>
      <c r="G379" s="32">
        <v>0</v>
      </c>
      <c r="H379" s="32">
        <v>0</v>
      </c>
      <c r="I379" s="32">
        <v>144454</v>
      </c>
      <c r="J379" s="32">
        <v>33587</v>
      </c>
      <c r="M379" s="68" t="s">
        <v>69</v>
      </c>
      <c r="N379" s="13" t="s">
        <v>874</v>
      </c>
      <c r="O379" s="13" t="s">
        <v>432</v>
      </c>
      <c r="P379" s="13">
        <v>97880</v>
      </c>
      <c r="Q379" s="13">
        <v>63</v>
      </c>
      <c r="R379" s="13">
        <v>0</v>
      </c>
      <c r="S379" s="13">
        <v>0</v>
      </c>
      <c r="T379" s="13">
        <v>0</v>
      </c>
      <c r="U379" s="13">
        <v>144454</v>
      </c>
      <c r="V379" s="69">
        <v>33587</v>
      </c>
    </row>
    <row r="380" spans="1:22" x14ac:dyDescent="0.25">
      <c r="A380" s="27" t="s">
        <v>226</v>
      </c>
      <c r="B380" s="27" t="s">
        <v>874</v>
      </c>
      <c r="C380" s="27" t="s">
        <v>433</v>
      </c>
      <c r="D380" s="32">
        <f>65565+144+40+1+51+32257+7+8</f>
        <v>98073</v>
      </c>
      <c r="E380" s="32">
        <f>53+6+6+214+7</f>
        <v>286</v>
      </c>
      <c r="F380" s="32">
        <v>0</v>
      </c>
      <c r="G380" s="32">
        <v>0</v>
      </c>
      <c r="H380" s="32">
        <v>0</v>
      </c>
      <c r="I380" s="32">
        <v>111026</v>
      </c>
      <c r="J380" s="32">
        <v>23869</v>
      </c>
      <c r="M380" s="65" t="s">
        <v>226</v>
      </c>
      <c r="N380" s="66" t="s">
        <v>874</v>
      </c>
      <c r="O380" s="66" t="s">
        <v>433</v>
      </c>
      <c r="P380" s="66">
        <v>98073</v>
      </c>
      <c r="Q380" s="66">
        <v>286</v>
      </c>
      <c r="R380" s="66">
        <v>0</v>
      </c>
      <c r="S380" s="66">
        <v>0</v>
      </c>
      <c r="T380" s="66">
        <v>0</v>
      </c>
      <c r="U380" s="66">
        <v>111026</v>
      </c>
      <c r="V380" s="67">
        <v>23869</v>
      </c>
    </row>
    <row r="381" spans="1:22" x14ac:dyDescent="0.25">
      <c r="A381" s="27" t="s">
        <v>864</v>
      </c>
      <c r="B381" s="27" t="s">
        <v>874</v>
      </c>
      <c r="C381" s="27" t="s">
        <v>434</v>
      </c>
      <c r="D381" s="32">
        <f>34177+161+238+9+28352+6+1+9+6</f>
        <v>62959</v>
      </c>
      <c r="E381" s="32">
        <f>359+2+205+105+19</f>
        <v>690</v>
      </c>
      <c r="F381" s="32">
        <v>0</v>
      </c>
      <c r="G381" s="32">
        <v>0</v>
      </c>
      <c r="H381" s="32">
        <v>0</v>
      </c>
      <c r="I381" s="32">
        <v>42524</v>
      </c>
      <c r="J381" s="32">
        <v>24388</v>
      </c>
      <c r="M381" s="68" t="s">
        <v>864</v>
      </c>
      <c r="N381" s="13" t="s">
        <v>874</v>
      </c>
      <c r="O381" s="13" t="s">
        <v>434</v>
      </c>
      <c r="P381" s="13">
        <v>62959</v>
      </c>
      <c r="Q381" s="13">
        <v>690</v>
      </c>
      <c r="R381" s="13">
        <v>0</v>
      </c>
      <c r="S381" s="13">
        <v>0</v>
      </c>
      <c r="T381" s="13">
        <v>0</v>
      </c>
      <c r="U381" s="13">
        <v>42524</v>
      </c>
      <c r="V381" s="69">
        <v>24388</v>
      </c>
    </row>
    <row r="382" spans="1:22" x14ac:dyDescent="0.25">
      <c r="A382" s="27" t="s">
        <v>809</v>
      </c>
      <c r="B382" s="27" t="s">
        <v>874</v>
      </c>
      <c r="C382" s="27" t="s">
        <v>435</v>
      </c>
      <c r="D382" s="32">
        <f>105323+2+41+4534+3+4+9+1+30+25715+1+100</f>
        <v>135763</v>
      </c>
      <c r="E382" s="32">
        <f>173+56+180+29</f>
        <v>438</v>
      </c>
      <c r="F382" s="32">
        <v>0</v>
      </c>
      <c r="G382" s="32">
        <v>0</v>
      </c>
      <c r="H382" s="32">
        <v>0</v>
      </c>
      <c r="I382" s="32">
        <v>156339</v>
      </c>
      <c r="J382" s="32">
        <v>21527</v>
      </c>
      <c r="M382" s="65" t="s">
        <v>809</v>
      </c>
      <c r="N382" s="66" t="s">
        <v>874</v>
      </c>
      <c r="O382" s="66" t="s">
        <v>435</v>
      </c>
      <c r="P382" s="66">
        <v>135763</v>
      </c>
      <c r="Q382" s="66">
        <v>438</v>
      </c>
      <c r="R382" s="66">
        <v>0</v>
      </c>
      <c r="S382" s="66">
        <v>0</v>
      </c>
      <c r="T382" s="66">
        <v>0</v>
      </c>
      <c r="U382" s="66">
        <v>156339</v>
      </c>
      <c r="V382" s="67">
        <v>21527</v>
      </c>
    </row>
    <row r="383" spans="1:22" x14ac:dyDescent="0.25">
      <c r="A383" s="27" t="s">
        <v>890</v>
      </c>
      <c r="B383" s="27" t="s">
        <v>874</v>
      </c>
      <c r="C383" s="27" t="s">
        <v>436</v>
      </c>
      <c r="D383" s="32">
        <f>115331+3957+1+79+2+17+54524+653</f>
        <v>174564</v>
      </c>
      <c r="E383" s="32">
        <f>348+6+91+309+579</f>
        <v>1333</v>
      </c>
      <c r="F383" s="32">
        <v>0</v>
      </c>
      <c r="G383" s="32">
        <v>0</v>
      </c>
      <c r="H383" s="32">
        <v>0</v>
      </c>
      <c r="I383" s="32">
        <v>192939</v>
      </c>
      <c r="J383" s="32">
        <v>36822</v>
      </c>
      <c r="M383" s="68" t="s">
        <v>890</v>
      </c>
      <c r="N383" s="13" t="s">
        <v>874</v>
      </c>
      <c r="O383" s="13" t="s">
        <v>436</v>
      </c>
      <c r="P383" s="13">
        <v>174564</v>
      </c>
      <c r="Q383" s="13">
        <v>1333</v>
      </c>
      <c r="R383" s="13">
        <v>0</v>
      </c>
      <c r="S383" s="13">
        <v>0</v>
      </c>
      <c r="T383" s="13">
        <v>0</v>
      </c>
      <c r="U383" s="13">
        <v>192939</v>
      </c>
      <c r="V383" s="69">
        <v>36822</v>
      </c>
    </row>
    <row r="384" spans="1:22" x14ac:dyDescent="0.25">
      <c r="A384" s="27" t="s">
        <v>229</v>
      </c>
      <c r="B384" s="27" t="s">
        <v>874</v>
      </c>
      <c r="C384" s="27" t="s">
        <v>437</v>
      </c>
      <c r="D384" s="32">
        <f>75509+1+19+2+15+986+26+4+1+5+35+36+185+28537+3</f>
        <v>105364</v>
      </c>
      <c r="E384" s="32">
        <f>169+22+321+17</f>
        <v>529</v>
      </c>
      <c r="F384" s="32">
        <v>0</v>
      </c>
      <c r="G384" s="32">
        <v>0</v>
      </c>
      <c r="H384" s="32">
        <v>0</v>
      </c>
      <c r="I384" s="32">
        <v>179640</v>
      </c>
      <c r="J384" s="32">
        <v>22687</v>
      </c>
      <c r="M384" s="65" t="s">
        <v>229</v>
      </c>
      <c r="N384" s="66" t="s">
        <v>874</v>
      </c>
      <c r="O384" s="66" t="s">
        <v>437</v>
      </c>
      <c r="P384" s="66">
        <v>105364</v>
      </c>
      <c r="Q384" s="66">
        <v>529</v>
      </c>
      <c r="R384" s="66">
        <v>0</v>
      </c>
      <c r="S384" s="66">
        <v>0</v>
      </c>
      <c r="T384" s="66">
        <v>0</v>
      </c>
      <c r="U384" s="66">
        <v>179640</v>
      </c>
      <c r="V384" s="67">
        <v>22687</v>
      </c>
    </row>
    <row r="385" spans="1:22" x14ac:dyDescent="0.25">
      <c r="A385" s="27" t="s">
        <v>801</v>
      </c>
      <c r="B385" s="27" t="s">
        <v>874</v>
      </c>
      <c r="C385" s="27" t="s">
        <v>438</v>
      </c>
      <c r="D385" s="32">
        <f>89881+28+8+19+124+50867+3+259+34+178</f>
        <v>141401</v>
      </c>
      <c r="E385" s="32">
        <f>11+1+34+18</f>
        <v>64</v>
      </c>
      <c r="F385" s="32">
        <v>0</v>
      </c>
      <c r="G385" s="32">
        <v>0</v>
      </c>
      <c r="H385" s="32">
        <v>0</v>
      </c>
      <c r="I385" s="32">
        <v>345168</v>
      </c>
      <c r="J385" s="32">
        <v>47154</v>
      </c>
      <c r="M385" s="68" t="s">
        <v>801</v>
      </c>
      <c r="N385" s="13" t="s">
        <v>874</v>
      </c>
      <c r="O385" s="13" t="s">
        <v>438</v>
      </c>
      <c r="P385" s="13">
        <v>141401</v>
      </c>
      <c r="Q385" s="13">
        <v>64</v>
      </c>
      <c r="R385" s="13">
        <v>0</v>
      </c>
      <c r="S385" s="13">
        <v>0</v>
      </c>
      <c r="T385" s="13">
        <v>0</v>
      </c>
      <c r="U385" s="13">
        <v>345168</v>
      </c>
      <c r="V385" s="69">
        <v>47154</v>
      </c>
    </row>
    <row r="386" spans="1:22" x14ac:dyDescent="0.25">
      <c r="A386" s="27" t="s">
        <v>10</v>
      </c>
      <c r="B386" s="27" t="s">
        <v>874</v>
      </c>
      <c r="C386" s="27" t="s">
        <v>780</v>
      </c>
      <c r="D386" s="32"/>
      <c r="E386" s="32"/>
      <c r="F386" s="32"/>
      <c r="G386" s="32"/>
      <c r="H386" s="32"/>
      <c r="I386" s="32"/>
      <c r="J386" s="32"/>
      <c r="M386" s="65" t="s">
        <v>10</v>
      </c>
      <c r="N386" s="66" t="s">
        <v>874</v>
      </c>
      <c r="O386" s="66" t="s">
        <v>780</v>
      </c>
      <c r="P386" s="66"/>
      <c r="Q386" s="66"/>
      <c r="R386" s="66"/>
      <c r="S386" s="66"/>
      <c r="T386" s="66"/>
      <c r="U386" s="66"/>
      <c r="V386" s="67"/>
    </row>
    <row r="387" spans="1:22" x14ac:dyDescent="0.25">
      <c r="A387" s="27" t="s">
        <v>69</v>
      </c>
      <c r="B387" s="27" t="s">
        <v>874</v>
      </c>
      <c r="C387" s="27" t="s">
        <v>439</v>
      </c>
      <c r="D387" s="32">
        <f>132285+1+1289+8+63617+5+292</f>
        <v>197497</v>
      </c>
      <c r="E387" s="32">
        <f>1463+377+2+262+2463</f>
        <v>4567</v>
      </c>
      <c r="F387" s="32">
        <v>0</v>
      </c>
      <c r="G387" s="32">
        <v>0</v>
      </c>
      <c r="H387" s="32">
        <v>0</v>
      </c>
      <c r="I387" s="32">
        <v>245831</v>
      </c>
      <c r="J387" s="32">
        <v>56658</v>
      </c>
      <c r="M387" s="68" t="s">
        <v>69</v>
      </c>
      <c r="N387" s="13" t="s">
        <v>874</v>
      </c>
      <c r="O387" s="13" t="s">
        <v>439</v>
      </c>
      <c r="P387" s="13">
        <v>197497</v>
      </c>
      <c r="Q387" s="13">
        <v>4567</v>
      </c>
      <c r="R387" s="13">
        <v>0</v>
      </c>
      <c r="S387" s="13">
        <v>0</v>
      </c>
      <c r="T387" s="13">
        <v>0</v>
      </c>
      <c r="U387" s="13">
        <v>245831</v>
      </c>
      <c r="V387" s="69">
        <v>56658</v>
      </c>
    </row>
    <row r="388" spans="1:22" x14ac:dyDescent="0.25">
      <c r="A388" s="27" t="s">
        <v>83</v>
      </c>
      <c r="B388" s="27" t="s">
        <v>874</v>
      </c>
      <c r="C388" s="27" t="s">
        <v>440</v>
      </c>
      <c r="D388" s="32">
        <f>10231+48+2418+1</f>
        <v>12698</v>
      </c>
      <c r="E388" s="32">
        <f>2+26</f>
        <v>28</v>
      </c>
      <c r="F388" s="32">
        <v>0</v>
      </c>
      <c r="G388" s="32">
        <v>0</v>
      </c>
      <c r="H388" s="32">
        <v>0</v>
      </c>
      <c r="I388" s="32">
        <v>26868</v>
      </c>
      <c r="J388" s="32">
        <v>2293</v>
      </c>
      <c r="M388" s="65" t="s">
        <v>83</v>
      </c>
      <c r="N388" s="66" t="s">
        <v>874</v>
      </c>
      <c r="O388" s="66" t="s">
        <v>440</v>
      </c>
      <c r="P388" s="66">
        <v>12698</v>
      </c>
      <c r="Q388" s="66">
        <v>28</v>
      </c>
      <c r="R388" s="66">
        <v>0</v>
      </c>
      <c r="S388" s="66">
        <v>0</v>
      </c>
      <c r="T388" s="66">
        <v>0</v>
      </c>
      <c r="U388" s="66">
        <v>26868</v>
      </c>
      <c r="V388" s="67">
        <v>2293</v>
      </c>
    </row>
    <row r="389" spans="1:22" x14ac:dyDescent="0.25">
      <c r="A389" s="27" t="s">
        <v>809</v>
      </c>
      <c r="B389" s="27" t="s">
        <v>874</v>
      </c>
      <c r="C389" s="27" t="s">
        <v>441</v>
      </c>
      <c r="D389" s="32">
        <f>62597+21+1025+254+14846+1</f>
        <v>78744</v>
      </c>
      <c r="E389" s="32">
        <f>583+11+16+620+130</f>
        <v>1360</v>
      </c>
      <c r="F389" s="32">
        <v>0</v>
      </c>
      <c r="G389" s="32">
        <v>0</v>
      </c>
      <c r="H389" s="32">
        <v>0</v>
      </c>
      <c r="I389" s="32">
        <v>46954</v>
      </c>
      <c r="J389" s="32">
        <v>11933</v>
      </c>
      <c r="M389" s="68" t="s">
        <v>809</v>
      </c>
      <c r="N389" s="13" t="s">
        <v>874</v>
      </c>
      <c r="O389" s="13" t="s">
        <v>441</v>
      </c>
      <c r="P389" s="13">
        <v>78744</v>
      </c>
      <c r="Q389" s="13">
        <v>1360</v>
      </c>
      <c r="R389" s="13">
        <v>0</v>
      </c>
      <c r="S389" s="13">
        <v>0</v>
      </c>
      <c r="T389" s="13">
        <v>0</v>
      </c>
      <c r="U389" s="13">
        <v>46954</v>
      </c>
      <c r="V389" s="69">
        <v>11933</v>
      </c>
    </row>
    <row r="390" spans="1:22" x14ac:dyDescent="0.25">
      <c r="A390" s="27" t="s">
        <v>794</v>
      </c>
      <c r="B390" s="27" t="s">
        <v>874</v>
      </c>
      <c r="C390" s="27" t="s">
        <v>442</v>
      </c>
      <c r="D390" s="32">
        <f>73656+2+417+2+1+173+75365+2+1+88</f>
        <v>149707</v>
      </c>
      <c r="E390" s="32">
        <f>440+2+47+79+157+7</f>
        <v>732</v>
      </c>
      <c r="F390" s="32">
        <v>0</v>
      </c>
      <c r="G390" s="32">
        <v>0</v>
      </c>
      <c r="H390" s="32">
        <v>0</v>
      </c>
      <c r="I390" s="32">
        <v>164820</v>
      </c>
      <c r="J390" s="32">
        <v>65749</v>
      </c>
      <c r="M390" s="65" t="s">
        <v>794</v>
      </c>
      <c r="N390" s="66" t="s">
        <v>874</v>
      </c>
      <c r="O390" s="66" t="s">
        <v>442</v>
      </c>
      <c r="P390" s="66">
        <v>149707</v>
      </c>
      <c r="Q390" s="66">
        <v>732</v>
      </c>
      <c r="R390" s="66">
        <v>0</v>
      </c>
      <c r="S390" s="66">
        <v>0</v>
      </c>
      <c r="T390" s="66">
        <v>0</v>
      </c>
      <c r="U390" s="66">
        <v>164820</v>
      </c>
      <c r="V390" s="67">
        <v>65749</v>
      </c>
    </row>
    <row r="391" spans="1:22" x14ac:dyDescent="0.25">
      <c r="A391" s="27" t="s">
        <v>796</v>
      </c>
      <c r="B391" s="27" t="s">
        <v>874</v>
      </c>
      <c r="C391" s="27" t="s">
        <v>443</v>
      </c>
      <c r="D391" s="32">
        <f>129026+10+16463+3+13+2+227+51067+5+14</f>
        <v>196830</v>
      </c>
      <c r="E391" s="32">
        <f>106+21+3+22+258+2</f>
        <v>412</v>
      </c>
      <c r="F391" s="32">
        <v>0</v>
      </c>
      <c r="G391" s="32">
        <v>0</v>
      </c>
      <c r="H391" s="32">
        <v>0</v>
      </c>
      <c r="I391" s="32">
        <v>194852</v>
      </c>
      <c r="J391" s="32">
        <v>39639</v>
      </c>
      <c r="M391" s="68" t="s">
        <v>796</v>
      </c>
      <c r="N391" s="13" t="s">
        <v>874</v>
      </c>
      <c r="O391" s="13" t="s">
        <v>443</v>
      </c>
      <c r="P391" s="13">
        <v>196830</v>
      </c>
      <c r="Q391" s="13">
        <v>412</v>
      </c>
      <c r="R391" s="13">
        <v>0</v>
      </c>
      <c r="S391" s="13">
        <v>0</v>
      </c>
      <c r="T391" s="13">
        <v>0</v>
      </c>
      <c r="U391" s="13">
        <v>194852</v>
      </c>
      <c r="V391" s="69">
        <v>39639</v>
      </c>
    </row>
    <row r="392" spans="1:22" x14ac:dyDescent="0.25">
      <c r="A392" s="27" t="s">
        <v>794</v>
      </c>
      <c r="B392" s="27" t="s">
        <v>874</v>
      </c>
      <c r="C392" s="27" t="s">
        <v>444</v>
      </c>
      <c r="D392" s="32">
        <f>135155+10+1+2+9376+1+1+69+97170</f>
        <v>241785</v>
      </c>
      <c r="E392" s="32">
        <f>294+20+1130+141</f>
        <v>1585</v>
      </c>
      <c r="F392" s="32">
        <v>0</v>
      </c>
      <c r="G392" s="32">
        <v>0</v>
      </c>
      <c r="H392" s="32">
        <v>0</v>
      </c>
      <c r="I392" s="32">
        <v>129744</v>
      </c>
      <c r="J392" s="32">
        <v>88007</v>
      </c>
      <c r="M392" s="65" t="s">
        <v>794</v>
      </c>
      <c r="N392" s="66" t="s">
        <v>874</v>
      </c>
      <c r="O392" s="66" t="s">
        <v>444</v>
      </c>
      <c r="P392" s="66">
        <v>241785</v>
      </c>
      <c r="Q392" s="66">
        <v>1585</v>
      </c>
      <c r="R392" s="66">
        <v>0</v>
      </c>
      <c r="S392" s="66">
        <v>0</v>
      </c>
      <c r="T392" s="66">
        <v>0</v>
      </c>
      <c r="U392" s="66">
        <v>129744</v>
      </c>
      <c r="V392" s="67">
        <v>88007</v>
      </c>
    </row>
    <row r="393" spans="1:22" x14ac:dyDescent="0.25">
      <c r="A393" s="27" t="s">
        <v>811</v>
      </c>
      <c r="B393" s="27" t="s">
        <v>874</v>
      </c>
      <c r="C393" s="27" t="s">
        <v>445</v>
      </c>
      <c r="D393" s="32">
        <f>96894+12+14+34+37+53950+25</f>
        <v>150966</v>
      </c>
      <c r="E393" s="32">
        <f>3839+213+22494+7051+7616+1454</f>
        <v>42667</v>
      </c>
      <c r="F393" s="32">
        <v>0</v>
      </c>
      <c r="G393" s="32">
        <v>0</v>
      </c>
      <c r="H393" s="32">
        <v>0</v>
      </c>
      <c r="I393" s="32">
        <v>323260</v>
      </c>
      <c r="J393" s="32">
        <v>60157</v>
      </c>
      <c r="M393" s="68" t="s">
        <v>811</v>
      </c>
      <c r="N393" s="13" t="s">
        <v>874</v>
      </c>
      <c r="O393" s="13" t="s">
        <v>445</v>
      </c>
      <c r="P393" s="13">
        <v>150966</v>
      </c>
      <c r="Q393" s="13">
        <v>42667</v>
      </c>
      <c r="R393" s="13">
        <v>0</v>
      </c>
      <c r="S393" s="13">
        <v>0</v>
      </c>
      <c r="T393" s="13">
        <v>0</v>
      </c>
      <c r="U393" s="13">
        <v>323260</v>
      </c>
      <c r="V393" s="69">
        <v>60157</v>
      </c>
    </row>
    <row r="394" spans="1:22" x14ac:dyDescent="0.25">
      <c r="A394" s="27" t="s">
        <v>848</v>
      </c>
      <c r="B394" s="27" t="s">
        <v>874</v>
      </c>
      <c r="C394" s="27" t="s">
        <v>446</v>
      </c>
      <c r="D394" s="32">
        <f>40519+1+13+12+11+10722</f>
        <v>51278</v>
      </c>
      <c r="E394" s="32">
        <f>46+85+18</f>
        <v>149</v>
      </c>
      <c r="F394" s="32">
        <v>0</v>
      </c>
      <c r="G394" s="32">
        <v>0</v>
      </c>
      <c r="H394" s="32">
        <v>0</v>
      </c>
      <c r="I394" s="32">
        <v>15772</v>
      </c>
      <c r="J394" s="32">
        <v>9310</v>
      </c>
      <c r="M394" s="65" t="s">
        <v>848</v>
      </c>
      <c r="N394" s="66" t="s">
        <v>874</v>
      </c>
      <c r="O394" s="66" t="s">
        <v>446</v>
      </c>
      <c r="P394" s="66">
        <v>51278</v>
      </c>
      <c r="Q394" s="66">
        <v>149</v>
      </c>
      <c r="R394" s="66">
        <v>0</v>
      </c>
      <c r="S394" s="66">
        <v>0</v>
      </c>
      <c r="T394" s="66">
        <v>0</v>
      </c>
      <c r="U394" s="66">
        <v>15772</v>
      </c>
      <c r="V394" s="67">
        <v>9310</v>
      </c>
    </row>
    <row r="395" spans="1:22" x14ac:dyDescent="0.25">
      <c r="A395" s="27" t="s">
        <v>134</v>
      </c>
      <c r="B395" s="27" t="s">
        <v>874</v>
      </c>
      <c r="C395" s="27" t="s">
        <v>447</v>
      </c>
      <c r="D395" s="32">
        <f>161186+3+1+1856+2+6+4+2+1+28+42193+24+2</f>
        <v>205308</v>
      </c>
      <c r="E395" s="32">
        <f>51+6+113+104+4</f>
        <v>278</v>
      </c>
      <c r="F395" s="32">
        <v>0</v>
      </c>
      <c r="G395" s="32">
        <v>0</v>
      </c>
      <c r="H395" s="32">
        <v>0</v>
      </c>
      <c r="I395" s="32">
        <v>93703</v>
      </c>
      <c r="J395" s="32">
        <v>37185</v>
      </c>
      <c r="M395" s="68" t="s">
        <v>134</v>
      </c>
      <c r="N395" s="13" t="s">
        <v>874</v>
      </c>
      <c r="O395" s="13" t="s">
        <v>447</v>
      </c>
      <c r="P395" s="13">
        <v>205308</v>
      </c>
      <c r="Q395" s="13">
        <v>278</v>
      </c>
      <c r="R395" s="13">
        <v>0</v>
      </c>
      <c r="S395" s="13">
        <v>0</v>
      </c>
      <c r="T395" s="13">
        <v>0</v>
      </c>
      <c r="U395" s="13">
        <v>93703</v>
      </c>
      <c r="V395" s="69">
        <v>37185</v>
      </c>
    </row>
    <row r="396" spans="1:22" x14ac:dyDescent="0.25">
      <c r="A396" s="27" t="s">
        <v>76</v>
      </c>
      <c r="B396" s="27" t="s">
        <v>874</v>
      </c>
      <c r="C396" s="27" t="s">
        <v>448</v>
      </c>
      <c r="D396" s="32">
        <f>208734+551+77+34+30246+1</f>
        <v>239643</v>
      </c>
      <c r="E396" s="32">
        <f>85+1+551+8</f>
        <v>645</v>
      </c>
      <c r="F396" s="32">
        <v>0</v>
      </c>
      <c r="G396" s="32">
        <v>0</v>
      </c>
      <c r="H396" s="32">
        <v>0</v>
      </c>
      <c r="I396" s="32">
        <v>187231</v>
      </c>
      <c r="J396" s="32">
        <v>25745</v>
      </c>
      <c r="M396" s="65" t="s">
        <v>76</v>
      </c>
      <c r="N396" s="66" t="s">
        <v>874</v>
      </c>
      <c r="O396" s="66" t="s">
        <v>448</v>
      </c>
      <c r="P396" s="66">
        <v>239643</v>
      </c>
      <c r="Q396" s="66">
        <v>645</v>
      </c>
      <c r="R396" s="66">
        <v>0</v>
      </c>
      <c r="S396" s="66">
        <v>0</v>
      </c>
      <c r="T396" s="66">
        <v>0</v>
      </c>
      <c r="U396" s="66">
        <v>187231</v>
      </c>
      <c r="V396" s="67">
        <v>25745</v>
      </c>
    </row>
    <row r="397" spans="1:22" x14ac:dyDescent="0.25">
      <c r="A397" s="27" t="s">
        <v>801</v>
      </c>
      <c r="B397" s="27" t="s">
        <v>874</v>
      </c>
      <c r="C397" s="27" t="s">
        <v>449</v>
      </c>
      <c r="D397" s="32">
        <f>121711+3+1+2+1+10195+1+21+44015+5+3+1+1+5824+1+1</f>
        <v>181786</v>
      </c>
      <c r="E397" s="32">
        <f>72+7+27+17+113</f>
        <v>236</v>
      </c>
      <c r="F397" s="32">
        <v>0</v>
      </c>
      <c r="G397" s="32">
        <v>0</v>
      </c>
      <c r="H397" s="32">
        <v>0</v>
      </c>
      <c r="I397" s="32">
        <v>0</v>
      </c>
      <c r="J397" s="32">
        <v>0</v>
      </c>
      <c r="M397" s="68" t="s">
        <v>801</v>
      </c>
      <c r="N397" s="13" t="s">
        <v>874</v>
      </c>
      <c r="O397" s="13" t="s">
        <v>449</v>
      </c>
      <c r="P397" s="13">
        <v>181786</v>
      </c>
      <c r="Q397" s="13">
        <v>236</v>
      </c>
      <c r="R397" s="13">
        <v>0</v>
      </c>
      <c r="S397" s="13">
        <v>0</v>
      </c>
      <c r="T397" s="13">
        <v>0</v>
      </c>
      <c r="U397" s="13">
        <v>0</v>
      </c>
      <c r="V397" s="69">
        <v>0</v>
      </c>
    </row>
    <row r="398" spans="1:22" x14ac:dyDescent="0.25">
      <c r="A398" s="27" t="s">
        <v>788</v>
      </c>
      <c r="B398" s="27" t="s">
        <v>874</v>
      </c>
      <c r="C398" s="27" t="s">
        <v>450</v>
      </c>
      <c r="D398" s="32">
        <f>31027+9+4+23+21291</f>
        <v>52354</v>
      </c>
      <c r="E398" s="32">
        <f>142+3+257+232+10</f>
        <v>644</v>
      </c>
      <c r="F398" s="32">
        <v>0</v>
      </c>
      <c r="G398" s="32">
        <v>0</v>
      </c>
      <c r="H398" s="32">
        <v>0</v>
      </c>
      <c r="I398" s="32">
        <v>45766</v>
      </c>
      <c r="J398" s="32">
        <v>14124</v>
      </c>
      <c r="M398" s="65" t="s">
        <v>788</v>
      </c>
      <c r="N398" s="66" t="s">
        <v>874</v>
      </c>
      <c r="O398" s="66" t="s">
        <v>450</v>
      </c>
      <c r="P398" s="66">
        <v>52354</v>
      </c>
      <c r="Q398" s="66">
        <v>644</v>
      </c>
      <c r="R398" s="66">
        <v>0</v>
      </c>
      <c r="S398" s="66">
        <v>0</v>
      </c>
      <c r="T398" s="66">
        <v>0</v>
      </c>
      <c r="U398" s="66">
        <v>45766</v>
      </c>
      <c r="V398" s="67">
        <v>14124</v>
      </c>
    </row>
    <row r="399" spans="1:22" x14ac:dyDescent="0.25">
      <c r="A399" s="27" t="s">
        <v>803</v>
      </c>
      <c r="B399" s="27" t="s">
        <v>874</v>
      </c>
      <c r="C399" s="27" t="s">
        <v>451</v>
      </c>
      <c r="D399" s="32"/>
      <c r="E399" s="32"/>
      <c r="F399" s="32"/>
      <c r="G399" s="32"/>
      <c r="H399" s="32"/>
      <c r="I399" s="32"/>
      <c r="J399" s="32"/>
      <c r="M399" s="68" t="s">
        <v>803</v>
      </c>
      <c r="N399" s="13" t="s">
        <v>874</v>
      </c>
      <c r="O399" s="13" t="s">
        <v>451</v>
      </c>
      <c r="P399" s="13"/>
      <c r="Q399" s="13"/>
      <c r="R399" s="13"/>
      <c r="S399" s="13"/>
      <c r="T399" s="13"/>
      <c r="U399" s="13"/>
      <c r="V399" s="69"/>
    </row>
    <row r="400" spans="1:22" x14ac:dyDescent="0.25">
      <c r="A400" s="27" t="s">
        <v>825</v>
      </c>
      <c r="B400" s="27" t="s">
        <v>874</v>
      </c>
      <c r="C400" s="27" t="s">
        <v>452</v>
      </c>
      <c r="D400" s="32">
        <f>17541+1+134+9+1+6443</f>
        <v>24129</v>
      </c>
      <c r="E400" s="32">
        <f>38+18+2+1</f>
        <v>59</v>
      </c>
      <c r="F400" s="32">
        <v>0</v>
      </c>
      <c r="G400" s="32">
        <v>0</v>
      </c>
      <c r="H400" s="32">
        <v>0</v>
      </c>
      <c r="I400" s="32">
        <v>28187</v>
      </c>
      <c r="J400" s="32">
        <v>5396</v>
      </c>
      <c r="M400" s="65" t="s">
        <v>825</v>
      </c>
      <c r="N400" s="66" t="s">
        <v>874</v>
      </c>
      <c r="O400" s="66" t="s">
        <v>452</v>
      </c>
      <c r="P400" s="66">
        <v>24129</v>
      </c>
      <c r="Q400" s="66">
        <v>59</v>
      </c>
      <c r="R400" s="66">
        <v>0</v>
      </c>
      <c r="S400" s="66">
        <v>0</v>
      </c>
      <c r="T400" s="66">
        <v>0</v>
      </c>
      <c r="U400" s="66">
        <v>28187</v>
      </c>
      <c r="V400" s="67">
        <v>5396</v>
      </c>
    </row>
    <row r="401" spans="1:22" x14ac:dyDescent="0.25">
      <c r="A401" s="27" t="s">
        <v>101</v>
      </c>
      <c r="B401" s="27" t="s">
        <v>874</v>
      </c>
      <c r="C401" s="27" t="s">
        <v>453</v>
      </c>
      <c r="D401" s="32">
        <f>76721+1+71+1+35+25742+1</f>
        <v>102572</v>
      </c>
      <c r="E401" s="32">
        <f>129+21+30+138+20</f>
        <v>338</v>
      </c>
      <c r="F401" s="32">
        <v>0</v>
      </c>
      <c r="G401" s="32">
        <v>0</v>
      </c>
      <c r="H401" s="32">
        <v>0</v>
      </c>
      <c r="I401" s="32">
        <v>69045</v>
      </c>
      <c r="J401" s="32">
        <v>22057</v>
      </c>
      <c r="M401" s="68" t="s">
        <v>101</v>
      </c>
      <c r="N401" s="13" t="s">
        <v>874</v>
      </c>
      <c r="O401" s="13" t="s">
        <v>453</v>
      </c>
      <c r="P401" s="13">
        <v>102572</v>
      </c>
      <c r="Q401" s="13">
        <v>338</v>
      </c>
      <c r="R401" s="13">
        <v>0</v>
      </c>
      <c r="S401" s="13">
        <v>0</v>
      </c>
      <c r="T401" s="13">
        <v>0</v>
      </c>
      <c r="U401" s="13">
        <v>69045</v>
      </c>
      <c r="V401" s="69">
        <v>22057</v>
      </c>
    </row>
    <row r="402" spans="1:22" x14ac:dyDescent="0.25">
      <c r="A402" s="27" t="s">
        <v>265</v>
      </c>
      <c r="B402" s="27" t="s">
        <v>874</v>
      </c>
      <c r="C402" s="27" t="s">
        <v>454</v>
      </c>
      <c r="D402" s="32">
        <f>90151+2+41+39+39406+375</f>
        <v>130014</v>
      </c>
      <c r="E402" s="32">
        <f>50+2+12</f>
        <v>64</v>
      </c>
      <c r="F402" s="32">
        <v>0</v>
      </c>
      <c r="G402" s="32">
        <v>0</v>
      </c>
      <c r="H402" s="32">
        <v>0</v>
      </c>
      <c r="I402" s="32">
        <v>181629</v>
      </c>
      <c r="J402" s="32">
        <v>23902</v>
      </c>
      <c r="M402" s="65" t="s">
        <v>265</v>
      </c>
      <c r="N402" s="66" t="s">
        <v>874</v>
      </c>
      <c r="O402" s="66" t="s">
        <v>454</v>
      </c>
      <c r="P402" s="66">
        <v>130014</v>
      </c>
      <c r="Q402" s="66">
        <v>64</v>
      </c>
      <c r="R402" s="66">
        <v>0</v>
      </c>
      <c r="S402" s="66">
        <v>0</v>
      </c>
      <c r="T402" s="66">
        <v>0</v>
      </c>
      <c r="U402" s="66">
        <v>181629</v>
      </c>
      <c r="V402" s="67">
        <v>23902</v>
      </c>
    </row>
    <row r="403" spans="1:22" x14ac:dyDescent="0.25">
      <c r="A403" s="27" t="s">
        <v>248</v>
      </c>
      <c r="B403" s="27" t="s">
        <v>874</v>
      </c>
      <c r="C403" s="27" t="s">
        <v>455</v>
      </c>
      <c r="D403" s="32">
        <f>31065+1+48+3+9205</f>
        <v>40322</v>
      </c>
      <c r="E403" s="32">
        <f>10+8+437+6</f>
        <v>461</v>
      </c>
      <c r="F403" s="32">
        <v>0</v>
      </c>
      <c r="G403" s="32">
        <v>0</v>
      </c>
      <c r="H403" s="32">
        <v>0</v>
      </c>
      <c r="I403" s="32">
        <v>143038</v>
      </c>
      <c r="J403" s="32">
        <v>8082</v>
      </c>
      <c r="M403" s="68" t="s">
        <v>248</v>
      </c>
      <c r="N403" s="13" t="s">
        <v>874</v>
      </c>
      <c r="O403" s="13" t="s">
        <v>455</v>
      </c>
      <c r="P403" s="13">
        <v>40322</v>
      </c>
      <c r="Q403" s="13">
        <v>461</v>
      </c>
      <c r="R403" s="13">
        <v>0</v>
      </c>
      <c r="S403" s="13">
        <v>0</v>
      </c>
      <c r="T403" s="13">
        <v>0</v>
      </c>
      <c r="U403" s="13">
        <v>143038</v>
      </c>
      <c r="V403" s="69">
        <v>8082</v>
      </c>
    </row>
    <row r="404" spans="1:22" x14ac:dyDescent="0.25">
      <c r="A404" s="27" t="s">
        <v>76</v>
      </c>
      <c r="B404" s="27" t="s">
        <v>874</v>
      </c>
      <c r="C404" s="27" t="s">
        <v>456</v>
      </c>
      <c r="D404" s="32">
        <f>122231+4800+1+14592+29885</f>
        <v>171509</v>
      </c>
      <c r="E404" s="32">
        <f>105+4+190+29</f>
        <v>328</v>
      </c>
      <c r="F404" s="32">
        <v>0</v>
      </c>
      <c r="G404" s="32">
        <v>0</v>
      </c>
      <c r="H404" s="32">
        <v>0</v>
      </c>
      <c r="I404" s="32">
        <v>418596</v>
      </c>
      <c r="J404" s="32">
        <v>25330</v>
      </c>
      <c r="M404" s="65" t="s">
        <v>76</v>
      </c>
      <c r="N404" s="66" t="s">
        <v>874</v>
      </c>
      <c r="O404" s="66" t="s">
        <v>456</v>
      </c>
      <c r="P404" s="66">
        <v>171509</v>
      </c>
      <c r="Q404" s="66">
        <v>328</v>
      </c>
      <c r="R404" s="66">
        <v>0</v>
      </c>
      <c r="S404" s="66">
        <v>0</v>
      </c>
      <c r="T404" s="66">
        <v>0</v>
      </c>
      <c r="U404" s="66">
        <v>418596</v>
      </c>
      <c r="V404" s="67">
        <v>25330</v>
      </c>
    </row>
    <row r="405" spans="1:22" x14ac:dyDescent="0.25">
      <c r="A405" s="27" t="s">
        <v>76</v>
      </c>
      <c r="B405" s="27" t="s">
        <v>874</v>
      </c>
      <c r="C405" s="27" t="s">
        <v>457</v>
      </c>
      <c r="D405" s="32">
        <f>59595+2+2+1860+9+9+36739+1+2</f>
        <v>98219</v>
      </c>
      <c r="E405" s="32">
        <f>293+63+35+175+577+24</f>
        <v>1167</v>
      </c>
      <c r="F405" s="32">
        <v>0</v>
      </c>
      <c r="G405" s="32">
        <v>0</v>
      </c>
      <c r="H405" s="32">
        <v>0</v>
      </c>
      <c r="I405" s="32">
        <v>56532</v>
      </c>
      <c r="J405" s="32">
        <v>28483</v>
      </c>
      <c r="M405" s="68" t="s">
        <v>76</v>
      </c>
      <c r="N405" s="13" t="s">
        <v>874</v>
      </c>
      <c r="O405" s="13" t="s">
        <v>457</v>
      </c>
      <c r="P405" s="13">
        <v>98219</v>
      </c>
      <c r="Q405" s="13">
        <v>1167</v>
      </c>
      <c r="R405" s="13">
        <v>0</v>
      </c>
      <c r="S405" s="13">
        <v>0</v>
      </c>
      <c r="T405" s="13">
        <v>0</v>
      </c>
      <c r="U405" s="13">
        <v>56532</v>
      </c>
      <c r="V405" s="69">
        <v>28483</v>
      </c>
    </row>
    <row r="406" spans="1:22" x14ac:dyDescent="0.25">
      <c r="A406" s="27" t="s">
        <v>146</v>
      </c>
      <c r="B406" s="27" t="s">
        <v>874</v>
      </c>
      <c r="C406" s="27" t="s">
        <v>458</v>
      </c>
      <c r="D406" s="32">
        <f>57123+4+3294+194+1+99+25650+5+1+4+3</f>
        <v>86378</v>
      </c>
      <c r="E406" s="32">
        <f>1752+2+8+821+217+1+140</f>
        <v>2941</v>
      </c>
      <c r="F406" s="32">
        <v>0</v>
      </c>
      <c r="G406" s="32">
        <v>0</v>
      </c>
      <c r="H406" s="32">
        <v>0</v>
      </c>
      <c r="I406" s="32">
        <v>81881</v>
      </c>
      <c r="J406" s="32">
        <v>23684</v>
      </c>
      <c r="M406" s="65" t="s">
        <v>146</v>
      </c>
      <c r="N406" s="66" t="s">
        <v>874</v>
      </c>
      <c r="O406" s="66" t="s">
        <v>458</v>
      </c>
      <c r="P406" s="66">
        <v>86378</v>
      </c>
      <c r="Q406" s="66">
        <v>2941</v>
      </c>
      <c r="R406" s="66">
        <v>0</v>
      </c>
      <c r="S406" s="66">
        <v>0</v>
      </c>
      <c r="T406" s="66">
        <v>0</v>
      </c>
      <c r="U406" s="66">
        <v>81881</v>
      </c>
      <c r="V406" s="67">
        <v>23684</v>
      </c>
    </row>
    <row r="407" spans="1:22" x14ac:dyDescent="0.25">
      <c r="A407" s="27" t="s">
        <v>83</v>
      </c>
      <c r="B407" s="27" t="s">
        <v>874</v>
      </c>
      <c r="C407" s="27" t="s">
        <v>459</v>
      </c>
      <c r="D407" s="32">
        <f>11776+2+66+4522</f>
        <v>16366</v>
      </c>
      <c r="E407" s="32">
        <f>64+193</f>
        <v>257</v>
      </c>
      <c r="F407" s="32">
        <v>0</v>
      </c>
      <c r="G407" s="32">
        <v>0</v>
      </c>
      <c r="H407" s="32">
        <v>0</v>
      </c>
      <c r="I407" s="32">
        <v>17015</v>
      </c>
      <c r="J407" s="32">
        <v>3958</v>
      </c>
      <c r="M407" s="68" t="s">
        <v>83</v>
      </c>
      <c r="N407" s="13" t="s">
        <v>874</v>
      </c>
      <c r="O407" s="13" t="s">
        <v>459</v>
      </c>
      <c r="P407" s="13">
        <v>16366</v>
      </c>
      <c r="Q407" s="13">
        <v>257</v>
      </c>
      <c r="R407" s="13">
        <v>0</v>
      </c>
      <c r="S407" s="13">
        <v>0</v>
      </c>
      <c r="T407" s="13">
        <v>0</v>
      </c>
      <c r="U407" s="13">
        <v>17015</v>
      </c>
      <c r="V407" s="69">
        <v>3958</v>
      </c>
    </row>
    <row r="408" spans="1:22" x14ac:dyDescent="0.25">
      <c r="A408" s="27" t="s">
        <v>248</v>
      </c>
      <c r="B408" s="27" t="s">
        <v>874</v>
      </c>
      <c r="C408" s="27" t="s">
        <v>460</v>
      </c>
      <c r="D408" s="32">
        <f>80101+9+1252+1+77+2+2+89+78664+2+1+3+2</f>
        <v>160205</v>
      </c>
      <c r="E408" s="32">
        <f>556+26+47+729+339</f>
        <v>1697</v>
      </c>
      <c r="F408" s="32">
        <v>0</v>
      </c>
      <c r="G408" s="32">
        <v>0</v>
      </c>
      <c r="H408" s="32">
        <v>0</v>
      </c>
      <c r="I408" s="32">
        <v>513275</v>
      </c>
      <c r="J408" s="32">
        <v>63240</v>
      </c>
      <c r="M408" s="65" t="s">
        <v>248</v>
      </c>
      <c r="N408" s="66" t="s">
        <v>874</v>
      </c>
      <c r="O408" s="66" t="s">
        <v>460</v>
      </c>
      <c r="P408" s="66">
        <v>160205</v>
      </c>
      <c r="Q408" s="66">
        <v>1697</v>
      </c>
      <c r="R408" s="66">
        <v>0</v>
      </c>
      <c r="S408" s="66">
        <v>0</v>
      </c>
      <c r="T408" s="66">
        <v>0</v>
      </c>
      <c r="U408" s="66">
        <v>513275</v>
      </c>
      <c r="V408" s="67">
        <v>63240</v>
      </c>
    </row>
    <row r="409" spans="1:22" x14ac:dyDescent="0.25">
      <c r="A409" s="27" t="s">
        <v>248</v>
      </c>
      <c r="B409" s="27" t="s">
        <v>874</v>
      </c>
      <c r="C409" s="27" t="s">
        <v>461</v>
      </c>
      <c r="D409" s="32">
        <f>107332+316+19+37335+9</f>
        <v>145011</v>
      </c>
      <c r="E409" s="32">
        <f>78+9+40+238+5</f>
        <v>370</v>
      </c>
      <c r="F409" s="32">
        <v>0</v>
      </c>
      <c r="G409" s="32">
        <v>0</v>
      </c>
      <c r="H409" s="32">
        <v>0</v>
      </c>
      <c r="I409" s="32">
        <v>201344</v>
      </c>
      <c r="J409" s="32">
        <v>25929</v>
      </c>
      <c r="M409" s="68" t="s">
        <v>248</v>
      </c>
      <c r="N409" s="13" t="s">
        <v>874</v>
      </c>
      <c r="O409" s="13" t="s">
        <v>461</v>
      </c>
      <c r="P409" s="13">
        <v>145011</v>
      </c>
      <c r="Q409" s="13">
        <v>370</v>
      </c>
      <c r="R409" s="13">
        <v>0</v>
      </c>
      <c r="S409" s="13">
        <v>0</v>
      </c>
      <c r="T409" s="13">
        <v>0</v>
      </c>
      <c r="U409" s="13">
        <v>201344</v>
      </c>
      <c r="V409" s="69">
        <v>25929</v>
      </c>
    </row>
    <row r="410" spans="1:22" x14ac:dyDescent="0.25">
      <c r="A410" s="27" t="s">
        <v>226</v>
      </c>
      <c r="B410" s="27" t="s">
        <v>874</v>
      </c>
      <c r="C410" s="27" t="s">
        <v>462</v>
      </c>
      <c r="D410" s="32">
        <f>27536+24+3510+100+27+2702+522+2</f>
        <v>34423</v>
      </c>
      <c r="E410" s="32">
        <f>25+3+46</f>
        <v>74</v>
      </c>
      <c r="F410" s="32">
        <v>0</v>
      </c>
      <c r="G410" s="32">
        <v>0</v>
      </c>
      <c r="H410" s="32">
        <v>0</v>
      </c>
      <c r="I410" s="32">
        <v>4928</v>
      </c>
      <c r="J410" s="32">
        <v>2789</v>
      </c>
      <c r="M410" s="65" t="s">
        <v>226</v>
      </c>
      <c r="N410" s="66" t="s">
        <v>874</v>
      </c>
      <c r="O410" s="66" t="s">
        <v>462</v>
      </c>
      <c r="P410" s="66">
        <v>34423</v>
      </c>
      <c r="Q410" s="66">
        <v>74</v>
      </c>
      <c r="R410" s="66">
        <v>0</v>
      </c>
      <c r="S410" s="66">
        <v>0</v>
      </c>
      <c r="T410" s="66">
        <v>0</v>
      </c>
      <c r="U410" s="66">
        <v>4928</v>
      </c>
      <c r="V410" s="67">
        <v>2789</v>
      </c>
    </row>
    <row r="411" spans="1:22" x14ac:dyDescent="0.25">
      <c r="A411" s="27" t="s">
        <v>826</v>
      </c>
      <c r="B411" s="27" t="s">
        <v>874</v>
      </c>
      <c r="C411" s="27" t="s">
        <v>463</v>
      </c>
      <c r="D411" s="32">
        <f>32241+225+535+31+522+14514+2</f>
        <v>48070</v>
      </c>
      <c r="E411" s="32">
        <f>1215+77+27+512+26</f>
        <v>1857</v>
      </c>
      <c r="F411" s="32">
        <v>0</v>
      </c>
      <c r="G411" s="32">
        <v>0</v>
      </c>
      <c r="H411" s="32">
        <v>0</v>
      </c>
      <c r="I411" s="32">
        <v>52093</v>
      </c>
      <c r="J411" s="32">
        <v>13086</v>
      </c>
      <c r="M411" s="68" t="s">
        <v>826</v>
      </c>
      <c r="N411" s="13" t="s">
        <v>874</v>
      </c>
      <c r="O411" s="13" t="s">
        <v>463</v>
      </c>
      <c r="P411" s="13">
        <v>48070</v>
      </c>
      <c r="Q411" s="13">
        <v>1857</v>
      </c>
      <c r="R411" s="13">
        <v>0</v>
      </c>
      <c r="S411" s="13">
        <v>0</v>
      </c>
      <c r="T411" s="13">
        <v>0</v>
      </c>
      <c r="U411" s="13">
        <v>52093</v>
      </c>
      <c r="V411" s="69">
        <v>13086</v>
      </c>
    </row>
    <row r="412" spans="1:22" x14ac:dyDescent="0.25">
      <c r="A412" s="27" t="s">
        <v>248</v>
      </c>
      <c r="B412" s="27" t="s">
        <v>874</v>
      </c>
      <c r="C412" s="27" t="s">
        <v>464</v>
      </c>
      <c r="D412" s="32">
        <f>40338+471+2+7+14851</f>
        <v>55669</v>
      </c>
      <c r="E412" s="32">
        <f>55+55+68</f>
        <v>178</v>
      </c>
      <c r="F412" s="32">
        <v>0</v>
      </c>
      <c r="G412" s="32">
        <v>0</v>
      </c>
      <c r="H412" s="32">
        <v>0</v>
      </c>
      <c r="I412" s="32">
        <v>97949</v>
      </c>
      <c r="J412" s="32">
        <v>13454</v>
      </c>
      <c r="M412" s="65" t="s">
        <v>248</v>
      </c>
      <c r="N412" s="66" t="s">
        <v>874</v>
      </c>
      <c r="O412" s="66" t="s">
        <v>464</v>
      </c>
      <c r="P412" s="66">
        <v>55669</v>
      </c>
      <c r="Q412" s="66">
        <v>178</v>
      </c>
      <c r="R412" s="66">
        <v>0</v>
      </c>
      <c r="S412" s="66">
        <v>0</v>
      </c>
      <c r="T412" s="66">
        <v>0</v>
      </c>
      <c r="U412" s="66">
        <v>97949</v>
      </c>
      <c r="V412" s="67">
        <v>13454</v>
      </c>
    </row>
    <row r="413" spans="1:22" x14ac:dyDescent="0.25">
      <c r="A413" s="27" t="s">
        <v>101</v>
      </c>
      <c r="B413" s="27" t="s">
        <v>874</v>
      </c>
      <c r="C413" s="27" t="s">
        <v>465</v>
      </c>
      <c r="D413" s="32">
        <f>35791+30+11+20594+2</f>
        <v>56428</v>
      </c>
      <c r="E413" s="32">
        <f>7+2</f>
        <v>9</v>
      </c>
      <c r="F413" s="32">
        <v>0</v>
      </c>
      <c r="G413" s="32">
        <v>0</v>
      </c>
      <c r="H413" s="32">
        <v>0</v>
      </c>
      <c r="I413" s="32">
        <v>120055</v>
      </c>
      <c r="J413" s="32">
        <v>20361</v>
      </c>
      <c r="M413" s="68" t="s">
        <v>101</v>
      </c>
      <c r="N413" s="13" t="s">
        <v>874</v>
      </c>
      <c r="O413" s="13" t="s">
        <v>465</v>
      </c>
      <c r="P413" s="13">
        <v>56428</v>
      </c>
      <c r="Q413" s="13">
        <v>9</v>
      </c>
      <c r="R413" s="13">
        <v>0</v>
      </c>
      <c r="S413" s="13">
        <v>0</v>
      </c>
      <c r="T413" s="13">
        <v>0</v>
      </c>
      <c r="U413" s="13">
        <v>120055</v>
      </c>
      <c r="V413" s="69">
        <v>20361</v>
      </c>
    </row>
    <row r="414" spans="1:22" x14ac:dyDescent="0.25">
      <c r="A414" s="27" t="s">
        <v>865</v>
      </c>
      <c r="B414" s="27" t="s">
        <v>874</v>
      </c>
      <c r="C414" s="27" t="s">
        <v>466</v>
      </c>
      <c r="D414" s="32">
        <f>148963+23+11+1+3+1720+14+2+18+36+4+4+57+214+83+35354+38+1</f>
        <v>186546</v>
      </c>
      <c r="E414" s="32">
        <f>67+75+40+7+70</f>
        <v>259</v>
      </c>
      <c r="F414" s="32">
        <v>0</v>
      </c>
      <c r="G414" s="32">
        <v>0</v>
      </c>
      <c r="H414" s="32">
        <v>0</v>
      </c>
      <c r="I414" s="32">
        <v>169891</v>
      </c>
      <c r="J414" s="32">
        <v>30635</v>
      </c>
      <c r="M414" s="65" t="s">
        <v>865</v>
      </c>
      <c r="N414" s="66" t="s">
        <v>874</v>
      </c>
      <c r="O414" s="66" t="s">
        <v>466</v>
      </c>
      <c r="P414" s="66">
        <v>186546</v>
      </c>
      <c r="Q414" s="66">
        <v>259</v>
      </c>
      <c r="R414" s="66">
        <v>0</v>
      </c>
      <c r="S414" s="66">
        <v>0</v>
      </c>
      <c r="T414" s="66">
        <v>0</v>
      </c>
      <c r="U414" s="66">
        <v>169891</v>
      </c>
      <c r="V414" s="67">
        <v>30635</v>
      </c>
    </row>
    <row r="415" spans="1:22" x14ac:dyDescent="0.25">
      <c r="A415" s="27" t="s">
        <v>512</v>
      </c>
      <c r="B415" s="27" t="s">
        <v>874</v>
      </c>
      <c r="C415" s="27" t="s">
        <v>467</v>
      </c>
      <c r="D415" s="32">
        <f>43208+16+2+3+29438+1</f>
        <v>72668</v>
      </c>
      <c r="E415" s="32">
        <f>8+22+226</f>
        <v>256</v>
      </c>
      <c r="F415" s="32">
        <v>0</v>
      </c>
      <c r="G415" s="32">
        <v>0</v>
      </c>
      <c r="H415" s="32">
        <v>0</v>
      </c>
      <c r="I415" s="32">
        <v>37018</v>
      </c>
      <c r="J415" s="32">
        <v>25010</v>
      </c>
      <c r="M415" s="68" t="s">
        <v>512</v>
      </c>
      <c r="N415" s="13" t="s">
        <v>874</v>
      </c>
      <c r="O415" s="13" t="s">
        <v>467</v>
      </c>
      <c r="P415" s="13">
        <v>72668</v>
      </c>
      <c r="Q415" s="13">
        <v>256</v>
      </c>
      <c r="R415" s="13">
        <v>0</v>
      </c>
      <c r="S415" s="13">
        <v>0</v>
      </c>
      <c r="T415" s="13">
        <v>0</v>
      </c>
      <c r="U415" s="13">
        <v>37018</v>
      </c>
      <c r="V415" s="69">
        <v>25010</v>
      </c>
    </row>
    <row r="416" spans="1:22" x14ac:dyDescent="0.25">
      <c r="A416" s="27" t="s">
        <v>10</v>
      </c>
      <c r="B416" s="27" t="s">
        <v>874</v>
      </c>
      <c r="C416" s="27" t="s">
        <v>781</v>
      </c>
      <c r="D416" s="32"/>
      <c r="E416" s="32"/>
      <c r="F416" s="32"/>
      <c r="G416" s="32"/>
      <c r="H416" s="32"/>
      <c r="I416" s="32"/>
      <c r="J416" s="32"/>
      <c r="M416" s="65" t="s">
        <v>10</v>
      </c>
      <c r="N416" s="66" t="s">
        <v>874</v>
      </c>
      <c r="O416" s="66" t="s">
        <v>781</v>
      </c>
      <c r="P416" s="66"/>
      <c r="Q416" s="66"/>
      <c r="R416" s="66"/>
      <c r="S416" s="66"/>
      <c r="T416" s="66"/>
      <c r="U416" s="66"/>
      <c r="V416" s="67"/>
    </row>
    <row r="417" spans="1:22" x14ac:dyDescent="0.25">
      <c r="A417" s="27" t="s">
        <v>826</v>
      </c>
      <c r="B417" s="27" t="s">
        <v>874</v>
      </c>
      <c r="C417" s="27" t="s">
        <v>468</v>
      </c>
      <c r="D417" s="32">
        <f>19168+2+277+1+15+10+157+18598+1+22+1+1+14</f>
        <v>38267</v>
      </c>
      <c r="E417" s="32">
        <f>56+1+102+25+45</f>
        <v>229</v>
      </c>
      <c r="F417" s="32">
        <v>0</v>
      </c>
      <c r="G417" s="32">
        <v>0</v>
      </c>
      <c r="H417" s="32">
        <v>0</v>
      </c>
      <c r="I417" s="32">
        <v>36535</v>
      </c>
      <c r="J417" s="32">
        <v>13204</v>
      </c>
      <c r="M417" s="68" t="s">
        <v>826</v>
      </c>
      <c r="N417" s="13" t="s">
        <v>874</v>
      </c>
      <c r="O417" s="13" t="s">
        <v>468</v>
      </c>
      <c r="P417" s="13">
        <v>38267</v>
      </c>
      <c r="Q417" s="13">
        <v>229</v>
      </c>
      <c r="R417" s="13">
        <v>0</v>
      </c>
      <c r="S417" s="13">
        <v>0</v>
      </c>
      <c r="T417" s="13">
        <v>0</v>
      </c>
      <c r="U417" s="13">
        <v>36535</v>
      </c>
      <c r="V417" s="69">
        <v>13204</v>
      </c>
    </row>
    <row r="418" spans="1:22" x14ac:dyDescent="0.25">
      <c r="A418" s="27" t="s">
        <v>817</v>
      </c>
      <c r="B418" s="27" t="s">
        <v>874</v>
      </c>
      <c r="C418" s="27" t="s">
        <v>469</v>
      </c>
      <c r="D418" s="32">
        <f>423522+22+6569+2</f>
        <v>430115</v>
      </c>
      <c r="E418" s="32">
        <f>95+203+1+37</f>
        <v>336</v>
      </c>
      <c r="F418" s="32">
        <v>0</v>
      </c>
      <c r="G418" s="32">
        <v>0</v>
      </c>
      <c r="H418" s="32">
        <v>0</v>
      </c>
      <c r="I418" s="32">
        <v>99041</v>
      </c>
      <c r="J418" s="32">
        <v>5090</v>
      </c>
      <c r="M418" s="65" t="s">
        <v>817</v>
      </c>
      <c r="N418" s="66" t="s">
        <v>874</v>
      </c>
      <c r="O418" s="66" t="s">
        <v>469</v>
      </c>
      <c r="P418" s="66">
        <v>430115</v>
      </c>
      <c r="Q418" s="66">
        <v>336</v>
      </c>
      <c r="R418" s="66">
        <v>0</v>
      </c>
      <c r="S418" s="66">
        <v>0</v>
      </c>
      <c r="T418" s="66">
        <v>0</v>
      </c>
      <c r="U418" s="66">
        <v>99041</v>
      </c>
      <c r="V418" s="67">
        <v>5090</v>
      </c>
    </row>
    <row r="419" spans="1:22" x14ac:dyDescent="0.25">
      <c r="A419" s="27" t="s">
        <v>791</v>
      </c>
      <c r="B419" s="27" t="s">
        <v>874</v>
      </c>
      <c r="C419" s="27" t="s">
        <v>470</v>
      </c>
      <c r="D419" s="32">
        <f>23083+1+4+6+32723+4</f>
        <v>55821</v>
      </c>
      <c r="E419" s="32">
        <f>93+961+182+1</f>
        <v>1237</v>
      </c>
      <c r="F419" s="32">
        <v>0</v>
      </c>
      <c r="G419" s="32">
        <v>0</v>
      </c>
      <c r="H419" s="32">
        <v>0</v>
      </c>
      <c r="I419" s="32">
        <v>15693</v>
      </c>
      <c r="J419" s="32">
        <v>33428</v>
      </c>
      <c r="M419" s="68" t="s">
        <v>791</v>
      </c>
      <c r="N419" s="13" t="s">
        <v>874</v>
      </c>
      <c r="O419" s="13" t="s">
        <v>470</v>
      </c>
      <c r="P419" s="13">
        <v>55821</v>
      </c>
      <c r="Q419" s="13">
        <v>1237</v>
      </c>
      <c r="R419" s="13">
        <v>0</v>
      </c>
      <c r="S419" s="13">
        <v>0</v>
      </c>
      <c r="T419" s="13">
        <v>0</v>
      </c>
      <c r="U419" s="13">
        <v>15693</v>
      </c>
      <c r="V419" s="69">
        <v>33428</v>
      </c>
    </row>
    <row r="420" spans="1:22" x14ac:dyDescent="0.25">
      <c r="A420" s="27" t="s">
        <v>788</v>
      </c>
      <c r="B420" s="27" t="s">
        <v>874</v>
      </c>
      <c r="C420" s="27" t="s">
        <v>471</v>
      </c>
      <c r="D420" s="32">
        <f>85063+1334+7+75+39249+2+13</f>
        <v>125743</v>
      </c>
      <c r="E420" s="32">
        <f>463+17+126+318+161</f>
        <v>1085</v>
      </c>
      <c r="F420" s="32">
        <v>0</v>
      </c>
      <c r="G420" s="32">
        <v>0</v>
      </c>
      <c r="H420" s="32">
        <v>0</v>
      </c>
      <c r="I420" s="32">
        <v>58069</v>
      </c>
      <c r="J420" s="32">
        <v>32339</v>
      </c>
      <c r="M420" s="65" t="s">
        <v>788</v>
      </c>
      <c r="N420" s="66" t="s">
        <v>874</v>
      </c>
      <c r="O420" s="66" t="s">
        <v>471</v>
      </c>
      <c r="P420" s="66">
        <v>125743</v>
      </c>
      <c r="Q420" s="66">
        <v>1085</v>
      </c>
      <c r="R420" s="66">
        <v>0</v>
      </c>
      <c r="S420" s="66">
        <v>0</v>
      </c>
      <c r="T420" s="66">
        <v>0</v>
      </c>
      <c r="U420" s="66">
        <v>58069</v>
      </c>
      <c r="V420" s="67">
        <v>32339</v>
      </c>
    </row>
    <row r="421" spans="1:22" x14ac:dyDescent="0.25">
      <c r="A421" s="27" t="s">
        <v>795</v>
      </c>
      <c r="B421" s="27" t="s">
        <v>874</v>
      </c>
      <c r="C421" s="27" t="s">
        <v>472</v>
      </c>
      <c r="D421" s="32">
        <f>59826+10+2+418+33+59+34968+324</f>
        <v>95640</v>
      </c>
      <c r="E421" s="32">
        <f>1150+29+20+253+662</f>
        <v>2114</v>
      </c>
      <c r="F421" s="32">
        <v>0</v>
      </c>
      <c r="G421" s="32">
        <v>0</v>
      </c>
      <c r="H421" s="32">
        <v>0</v>
      </c>
      <c r="I421" s="32">
        <v>57971</v>
      </c>
      <c r="J421" s="32">
        <v>30680</v>
      </c>
      <c r="M421" s="68" t="s">
        <v>795</v>
      </c>
      <c r="N421" s="13" t="s">
        <v>874</v>
      </c>
      <c r="O421" s="13" t="s">
        <v>472</v>
      </c>
      <c r="P421" s="13">
        <v>95640</v>
      </c>
      <c r="Q421" s="13">
        <v>2114</v>
      </c>
      <c r="R421" s="13">
        <v>0</v>
      </c>
      <c r="S421" s="13">
        <v>0</v>
      </c>
      <c r="T421" s="13">
        <v>0</v>
      </c>
      <c r="U421" s="13">
        <v>57971</v>
      </c>
      <c r="V421" s="69">
        <v>30680</v>
      </c>
    </row>
    <row r="422" spans="1:22" x14ac:dyDescent="0.25">
      <c r="A422" s="27" t="s">
        <v>788</v>
      </c>
      <c r="B422" s="27" t="s">
        <v>874</v>
      </c>
      <c r="C422" s="27" t="s">
        <v>473</v>
      </c>
      <c r="D422" s="32">
        <f>92368+1+441+113+5+1+2+7+42617</f>
        <v>135555</v>
      </c>
      <c r="E422" s="32">
        <f>1391+37+416+1303+1+3</f>
        <v>3151</v>
      </c>
      <c r="F422" s="32">
        <v>0</v>
      </c>
      <c r="G422" s="32">
        <v>0</v>
      </c>
      <c r="H422" s="32">
        <v>0</v>
      </c>
      <c r="I422" s="32">
        <v>59398</v>
      </c>
      <c r="J422" s="32">
        <v>38113</v>
      </c>
      <c r="M422" s="65" t="s">
        <v>788</v>
      </c>
      <c r="N422" s="66" t="s">
        <v>874</v>
      </c>
      <c r="O422" s="66" t="s">
        <v>473</v>
      </c>
      <c r="P422" s="66">
        <v>135555</v>
      </c>
      <c r="Q422" s="66">
        <v>3151</v>
      </c>
      <c r="R422" s="66">
        <v>0</v>
      </c>
      <c r="S422" s="66">
        <v>0</v>
      </c>
      <c r="T422" s="66">
        <v>0</v>
      </c>
      <c r="U422" s="66">
        <v>59398</v>
      </c>
      <c r="V422" s="67">
        <v>38113</v>
      </c>
    </row>
    <row r="423" spans="1:22" x14ac:dyDescent="0.25">
      <c r="A423" s="27" t="s">
        <v>817</v>
      </c>
      <c r="B423" s="27" t="s">
        <v>874</v>
      </c>
      <c r="C423" s="27" t="s">
        <v>474</v>
      </c>
      <c r="D423" s="32">
        <f>37051+2+772+3+4+76452+45</f>
        <v>114329</v>
      </c>
      <c r="E423" s="32">
        <f>110+1+297+43</f>
        <v>451</v>
      </c>
      <c r="F423" s="32">
        <v>0</v>
      </c>
      <c r="G423" s="32">
        <v>0</v>
      </c>
      <c r="H423" s="32">
        <v>0</v>
      </c>
      <c r="I423" s="32">
        <v>599765</v>
      </c>
      <c r="J423" s="32">
        <v>60172</v>
      </c>
      <c r="M423" s="68" t="s">
        <v>817</v>
      </c>
      <c r="N423" s="13" t="s">
        <v>874</v>
      </c>
      <c r="O423" s="13" t="s">
        <v>474</v>
      </c>
      <c r="P423" s="13">
        <v>114329</v>
      </c>
      <c r="Q423" s="13">
        <v>451</v>
      </c>
      <c r="R423" s="13">
        <v>0</v>
      </c>
      <c r="S423" s="13">
        <v>0</v>
      </c>
      <c r="T423" s="13">
        <v>0</v>
      </c>
      <c r="U423" s="13">
        <v>599765</v>
      </c>
      <c r="V423" s="69">
        <v>60172</v>
      </c>
    </row>
    <row r="424" spans="1:22" x14ac:dyDescent="0.25">
      <c r="A424" s="27" t="s">
        <v>512</v>
      </c>
      <c r="B424" s="27" t="s">
        <v>874</v>
      </c>
      <c r="C424" s="27" t="s">
        <v>475</v>
      </c>
      <c r="D424" s="32">
        <f>19203+2173+2+1+1+4+11+6301</f>
        <v>27696</v>
      </c>
      <c r="E424" s="32">
        <f>127+14+25+36</f>
        <v>202</v>
      </c>
      <c r="F424" s="32">
        <v>0</v>
      </c>
      <c r="G424" s="32">
        <v>0</v>
      </c>
      <c r="H424" s="32">
        <v>0</v>
      </c>
      <c r="I424" s="32">
        <v>28048</v>
      </c>
      <c r="J424" s="32">
        <v>5166</v>
      </c>
      <c r="M424" s="65" t="s">
        <v>512</v>
      </c>
      <c r="N424" s="66" t="s">
        <v>874</v>
      </c>
      <c r="O424" s="66" t="s">
        <v>475</v>
      </c>
      <c r="P424" s="66">
        <v>27696</v>
      </c>
      <c r="Q424" s="66">
        <v>202</v>
      </c>
      <c r="R424" s="66">
        <v>0</v>
      </c>
      <c r="S424" s="66">
        <v>0</v>
      </c>
      <c r="T424" s="66">
        <v>0</v>
      </c>
      <c r="U424" s="66">
        <v>28048</v>
      </c>
      <c r="V424" s="67">
        <v>5166</v>
      </c>
    </row>
    <row r="425" spans="1:22" x14ac:dyDescent="0.25">
      <c r="A425" s="27" t="s">
        <v>146</v>
      </c>
      <c r="B425" s="27" t="s">
        <v>874</v>
      </c>
      <c r="C425" s="27" t="s">
        <v>476</v>
      </c>
      <c r="D425" s="32">
        <f>105572+1+6+6+156+1+1+2+1+3+33070+1+1+1191</f>
        <v>140012</v>
      </c>
      <c r="E425" s="32">
        <f>15+82+17</f>
        <v>114</v>
      </c>
      <c r="F425" s="32">
        <v>0</v>
      </c>
      <c r="G425" s="32">
        <v>0</v>
      </c>
      <c r="H425" s="32">
        <v>0</v>
      </c>
      <c r="I425" s="32">
        <v>58843</v>
      </c>
      <c r="J425" s="32">
        <v>31903</v>
      </c>
      <c r="M425" s="68" t="s">
        <v>146</v>
      </c>
      <c r="N425" s="13" t="s">
        <v>874</v>
      </c>
      <c r="O425" s="13" t="s">
        <v>476</v>
      </c>
      <c r="P425" s="13">
        <v>140012</v>
      </c>
      <c r="Q425" s="13">
        <v>114</v>
      </c>
      <c r="R425" s="13">
        <v>0</v>
      </c>
      <c r="S425" s="13">
        <v>0</v>
      </c>
      <c r="T425" s="13">
        <v>0</v>
      </c>
      <c r="U425" s="13">
        <v>58843</v>
      </c>
      <c r="V425" s="69">
        <v>31903</v>
      </c>
    </row>
    <row r="426" spans="1:22" x14ac:dyDescent="0.25">
      <c r="A426" s="27" t="s">
        <v>76</v>
      </c>
      <c r="B426" s="27" t="s">
        <v>874</v>
      </c>
      <c r="C426" s="27" t="s">
        <v>477</v>
      </c>
      <c r="D426" s="32">
        <f>101740+7+1+603+4+62805+2+76</f>
        <v>165238</v>
      </c>
      <c r="E426" s="32">
        <f>184+2+44+1031+12</f>
        <v>1273</v>
      </c>
      <c r="F426" s="32">
        <v>0</v>
      </c>
      <c r="G426" s="32">
        <v>0</v>
      </c>
      <c r="H426" s="32">
        <v>0</v>
      </c>
      <c r="I426" s="32">
        <v>145716</v>
      </c>
      <c r="J426" s="32">
        <v>53634</v>
      </c>
      <c r="M426" s="65" t="s">
        <v>76</v>
      </c>
      <c r="N426" s="66" t="s">
        <v>874</v>
      </c>
      <c r="O426" s="66" t="s">
        <v>477</v>
      </c>
      <c r="P426" s="66">
        <v>165238</v>
      </c>
      <c r="Q426" s="66">
        <v>1273</v>
      </c>
      <c r="R426" s="66">
        <v>0</v>
      </c>
      <c r="S426" s="66">
        <v>0</v>
      </c>
      <c r="T426" s="66">
        <v>0</v>
      </c>
      <c r="U426" s="66">
        <v>145716</v>
      </c>
      <c r="V426" s="67">
        <v>53634</v>
      </c>
    </row>
    <row r="427" spans="1:22" x14ac:dyDescent="0.25">
      <c r="A427" s="27" t="s">
        <v>76</v>
      </c>
      <c r="B427" s="27" t="s">
        <v>874</v>
      </c>
      <c r="C427" s="27" t="s">
        <v>478</v>
      </c>
      <c r="D427" s="32">
        <f>111486+265+12+2+13+1+9+56590+412</f>
        <v>168790</v>
      </c>
      <c r="E427" s="32">
        <f>546+28+178+69+1</f>
        <v>822</v>
      </c>
      <c r="F427" s="32">
        <v>0</v>
      </c>
      <c r="G427" s="32">
        <v>0</v>
      </c>
      <c r="H427" s="32">
        <v>0</v>
      </c>
      <c r="I427" s="32">
        <v>82389</v>
      </c>
      <c r="J427" s="32">
        <v>49980</v>
      </c>
      <c r="M427" s="68" t="s">
        <v>76</v>
      </c>
      <c r="N427" s="13" t="s">
        <v>874</v>
      </c>
      <c r="O427" s="13" t="s">
        <v>478</v>
      </c>
      <c r="P427" s="13">
        <v>168790</v>
      </c>
      <c r="Q427" s="13">
        <v>822</v>
      </c>
      <c r="R427" s="13">
        <v>0</v>
      </c>
      <c r="S427" s="13">
        <v>0</v>
      </c>
      <c r="T427" s="13">
        <v>0</v>
      </c>
      <c r="U427" s="13">
        <v>82389</v>
      </c>
      <c r="V427" s="69">
        <v>49980</v>
      </c>
    </row>
    <row r="428" spans="1:22" x14ac:dyDescent="0.25">
      <c r="A428" s="27" t="s">
        <v>823</v>
      </c>
      <c r="B428" s="27" t="s">
        <v>874</v>
      </c>
      <c r="C428" s="27" t="s">
        <v>479</v>
      </c>
      <c r="D428" s="32">
        <f>119198+1+15+66+414+1+4+23+39829</f>
        <v>159551</v>
      </c>
      <c r="E428" s="32">
        <f>491+374+2+656+658</f>
        <v>2181</v>
      </c>
      <c r="F428" s="32">
        <v>0</v>
      </c>
      <c r="G428" s="32">
        <v>0</v>
      </c>
      <c r="H428" s="32">
        <v>0</v>
      </c>
      <c r="I428" s="32">
        <v>84569</v>
      </c>
      <c r="J428" s="32">
        <v>34796</v>
      </c>
      <c r="M428" s="65" t="s">
        <v>823</v>
      </c>
      <c r="N428" s="66" t="s">
        <v>874</v>
      </c>
      <c r="O428" s="66" t="s">
        <v>479</v>
      </c>
      <c r="P428" s="66">
        <v>159551</v>
      </c>
      <c r="Q428" s="66">
        <v>2181</v>
      </c>
      <c r="R428" s="66">
        <v>0</v>
      </c>
      <c r="S428" s="66">
        <v>0</v>
      </c>
      <c r="T428" s="66">
        <v>0</v>
      </c>
      <c r="U428" s="66">
        <v>84569</v>
      </c>
      <c r="V428" s="67">
        <v>34796</v>
      </c>
    </row>
    <row r="429" spans="1:22" x14ac:dyDescent="0.25">
      <c r="A429" s="27" t="s">
        <v>83</v>
      </c>
      <c r="B429" s="27" t="s">
        <v>874</v>
      </c>
      <c r="C429" s="27" t="s">
        <v>480</v>
      </c>
      <c r="D429" s="32">
        <f>23147+2+8+33+15555+2+1</f>
        <v>38748</v>
      </c>
      <c r="E429" s="32">
        <f>33+29+1+32+5</f>
        <v>100</v>
      </c>
      <c r="F429" s="32">
        <v>0</v>
      </c>
      <c r="G429" s="32">
        <v>0</v>
      </c>
      <c r="H429" s="32">
        <v>0</v>
      </c>
      <c r="I429" s="32">
        <v>33984</v>
      </c>
      <c r="J429" s="32">
        <v>14461</v>
      </c>
      <c r="M429" s="68" t="s">
        <v>83</v>
      </c>
      <c r="N429" s="13" t="s">
        <v>874</v>
      </c>
      <c r="O429" s="13" t="s">
        <v>480</v>
      </c>
      <c r="P429" s="13">
        <v>38748</v>
      </c>
      <c r="Q429" s="13">
        <v>100</v>
      </c>
      <c r="R429" s="13">
        <v>0</v>
      </c>
      <c r="S429" s="13">
        <v>0</v>
      </c>
      <c r="T429" s="13">
        <v>0</v>
      </c>
      <c r="U429" s="13">
        <v>33984</v>
      </c>
      <c r="V429" s="69">
        <v>14461</v>
      </c>
    </row>
    <row r="430" spans="1:22" x14ac:dyDescent="0.25">
      <c r="A430" s="27" t="s">
        <v>512</v>
      </c>
      <c r="B430" s="27" t="s">
        <v>874</v>
      </c>
      <c r="C430" s="27" t="s">
        <v>481</v>
      </c>
      <c r="D430" s="32">
        <f>40048+44+7+97+16265</f>
        <v>56461</v>
      </c>
      <c r="E430" s="32">
        <f>66+103+131+242+10</f>
        <v>552</v>
      </c>
      <c r="F430" s="32">
        <v>0</v>
      </c>
      <c r="G430" s="32">
        <v>0</v>
      </c>
      <c r="H430" s="32">
        <v>0</v>
      </c>
      <c r="I430" s="32">
        <v>7290</v>
      </c>
      <c r="J430" s="32">
        <v>12718</v>
      </c>
      <c r="M430" s="65" t="s">
        <v>512</v>
      </c>
      <c r="N430" s="66" t="s">
        <v>874</v>
      </c>
      <c r="O430" s="66" t="s">
        <v>481</v>
      </c>
      <c r="P430" s="66">
        <v>56461</v>
      </c>
      <c r="Q430" s="66">
        <v>552</v>
      </c>
      <c r="R430" s="66">
        <v>0</v>
      </c>
      <c r="S430" s="66">
        <v>0</v>
      </c>
      <c r="T430" s="66">
        <v>0</v>
      </c>
      <c r="U430" s="66">
        <v>7290</v>
      </c>
      <c r="V430" s="67">
        <v>12718</v>
      </c>
    </row>
    <row r="431" spans="1:22" x14ac:dyDescent="0.25">
      <c r="A431" s="27" t="s">
        <v>824</v>
      </c>
      <c r="B431" s="27" t="s">
        <v>874</v>
      </c>
      <c r="C431" s="27" t="s">
        <v>482</v>
      </c>
      <c r="D431" s="32">
        <f>17132+14730+2+2</f>
        <v>31866</v>
      </c>
      <c r="E431" s="32">
        <f>380+11+98+12</f>
        <v>501</v>
      </c>
      <c r="F431" s="32">
        <v>0</v>
      </c>
      <c r="G431" s="32">
        <v>0</v>
      </c>
      <c r="H431" s="32">
        <v>0</v>
      </c>
      <c r="I431" s="32">
        <v>23843</v>
      </c>
      <c r="J431" s="32">
        <v>9262</v>
      </c>
      <c r="M431" s="68" t="s">
        <v>824</v>
      </c>
      <c r="N431" s="13" t="s">
        <v>874</v>
      </c>
      <c r="O431" s="13" t="s">
        <v>482</v>
      </c>
      <c r="P431" s="13">
        <v>31866</v>
      </c>
      <c r="Q431" s="13">
        <v>501</v>
      </c>
      <c r="R431" s="13">
        <v>0</v>
      </c>
      <c r="S431" s="13">
        <v>0</v>
      </c>
      <c r="T431" s="13">
        <v>0</v>
      </c>
      <c r="U431" s="13">
        <v>23843</v>
      </c>
      <c r="V431" s="69">
        <v>9262</v>
      </c>
    </row>
    <row r="432" spans="1:22" x14ac:dyDescent="0.25">
      <c r="A432" s="27" t="s">
        <v>248</v>
      </c>
      <c r="B432" s="27" t="s">
        <v>874</v>
      </c>
      <c r="C432" s="27" t="s">
        <v>483</v>
      </c>
      <c r="D432" s="32">
        <f>70366+4+636+9+17800+4</f>
        <v>88819</v>
      </c>
      <c r="E432" s="32">
        <f>374+8+1+37+67</f>
        <v>487</v>
      </c>
      <c r="F432" s="32">
        <v>0</v>
      </c>
      <c r="G432" s="32">
        <v>0</v>
      </c>
      <c r="H432" s="32">
        <v>0</v>
      </c>
      <c r="I432" s="32">
        <v>219503</v>
      </c>
      <c r="J432" s="32">
        <v>15640</v>
      </c>
      <c r="M432" s="65" t="s">
        <v>248</v>
      </c>
      <c r="N432" s="66" t="s">
        <v>874</v>
      </c>
      <c r="O432" s="66" t="s">
        <v>483</v>
      </c>
      <c r="P432" s="66">
        <v>88819</v>
      </c>
      <c r="Q432" s="66">
        <v>487</v>
      </c>
      <c r="R432" s="66">
        <v>0</v>
      </c>
      <c r="S432" s="66">
        <v>0</v>
      </c>
      <c r="T432" s="66">
        <v>0</v>
      </c>
      <c r="U432" s="66">
        <v>219503</v>
      </c>
      <c r="V432" s="67">
        <v>15640</v>
      </c>
    </row>
    <row r="433" spans="1:22" x14ac:dyDescent="0.25">
      <c r="A433" s="27" t="s">
        <v>801</v>
      </c>
      <c r="B433" s="27" t="s">
        <v>874</v>
      </c>
      <c r="C433" s="27" t="s">
        <v>484</v>
      </c>
      <c r="D433" s="32">
        <f>41302+2+488+7+8+46816+572+61</f>
        <v>89256</v>
      </c>
      <c r="E433" s="32">
        <f>1+34+71</f>
        <v>106</v>
      </c>
      <c r="F433" s="32">
        <v>0</v>
      </c>
      <c r="G433" s="32">
        <v>0</v>
      </c>
      <c r="H433" s="32">
        <v>0</v>
      </c>
      <c r="I433" s="32">
        <v>276362</v>
      </c>
      <c r="J433" s="32">
        <v>40400</v>
      </c>
      <c r="M433" s="68" t="s">
        <v>801</v>
      </c>
      <c r="N433" s="13" t="s">
        <v>874</v>
      </c>
      <c r="O433" s="13" t="s">
        <v>484</v>
      </c>
      <c r="P433" s="13">
        <v>89256</v>
      </c>
      <c r="Q433" s="13">
        <v>106</v>
      </c>
      <c r="R433" s="13">
        <v>0</v>
      </c>
      <c r="S433" s="13">
        <v>0</v>
      </c>
      <c r="T433" s="13">
        <v>0</v>
      </c>
      <c r="U433" s="13">
        <v>276362</v>
      </c>
      <c r="V433" s="69">
        <v>40400</v>
      </c>
    </row>
    <row r="434" spans="1:22" x14ac:dyDescent="0.25">
      <c r="A434" s="27" t="s">
        <v>818</v>
      </c>
      <c r="B434" s="27" t="s">
        <v>874</v>
      </c>
      <c r="C434" s="27" t="s">
        <v>485</v>
      </c>
      <c r="D434" s="32">
        <f>42303+2+30+177+27515</f>
        <v>70027</v>
      </c>
      <c r="E434" s="32">
        <f>10+50+1</f>
        <v>61</v>
      </c>
      <c r="F434" s="32">
        <v>0</v>
      </c>
      <c r="G434" s="32">
        <v>0</v>
      </c>
      <c r="H434" s="32">
        <v>0</v>
      </c>
      <c r="I434" s="32">
        <v>47724</v>
      </c>
      <c r="J434" s="32">
        <v>15429</v>
      </c>
      <c r="M434" s="65" t="s">
        <v>818</v>
      </c>
      <c r="N434" s="66" t="s">
        <v>874</v>
      </c>
      <c r="O434" s="66" t="s">
        <v>485</v>
      </c>
      <c r="P434" s="66">
        <v>70027</v>
      </c>
      <c r="Q434" s="66">
        <v>61</v>
      </c>
      <c r="R434" s="66">
        <v>0</v>
      </c>
      <c r="S434" s="66">
        <v>0</v>
      </c>
      <c r="T434" s="66">
        <v>0</v>
      </c>
      <c r="U434" s="66">
        <v>47724</v>
      </c>
      <c r="V434" s="67">
        <v>15429</v>
      </c>
    </row>
    <row r="435" spans="1:22" x14ac:dyDescent="0.25">
      <c r="A435" s="27" t="s">
        <v>797</v>
      </c>
      <c r="B435" s="27" t="s">
        <v>874</v>
      </c>
      <c r="C435" s="27" t="s">
        <v>486</v>
      </c>
      <c r="D435" s="32">
        <f>115183+2+2+1+179+1+1+3+4+24+17155+5</f>
        <v>132560</v>
      </c>
      <c r="E435" s="32">
        <f>68+10+4</f>
        <v>82</v>
      </c>
      <c r="F435" s="32">
        <v>0</v>
      </c>
      <c r="G435" s="32">
        <v>0</v>
      </c>
      <c r="H435" s="32">
        <v>0</v>
      </c>
      <c r="I435" s="32">
        <v>25267</v>
      </c>
      <c r="J435" s="32">
        <v>11885</v>
      </c>
      <c r="M435" s="68" t="s">
        <v>797</v>
      </c>
      <c r="N435" s="13" t="s">
        <v>874</v>
      </c>
      <c r="O435" s="13" t="s">
        <v>486</v>
      </c>
      <c r="P435" s="13">
        <v>132560</v>
      </c>
      <c r="Q435" s="13">
        <v>82</v>
      </c>
      <c r="R435" s="13">
        <v>0</v>
      </c>
      <c r="S435" s="13">
        <v>0</v>
      </c>
      <c r="T435" s="13">
        <v>0</v>
      </c>
      <c r="U435" s="13">
        <v>25267</v>
      </c>
      <c r="V435" s="69">
        <v>11885</v>
      </c>
    </row>
    <row r="436" spans="1:22" x14ac:dyDescent="0.25">
      <c r="A436" s="27" t="s">
        <v>804</v>
      </c>
      <c r="B436" s="27" t="s">
        <v>874</v>
      </c>
      <c r="C436" s="27" t="s">
        <v>487</v>
      </c>
      <c r="D436" s="32">
        <f>68633+1+7+13+3+38728+698+14</f>
        <v>108097</v>
      </c>
      <c r="E436" s="32">
        <f>5+3+14+214</f>
        <v>236</v>
      </c>
      <c r="F436" s="32">
        <v>0</v>
      </c>
      <c r="G436" s="32">
        <v>0</v>
      </c>
      <c r="H436" s="32">
        <v>0</v>
      </c>
      <c r="I436" s="32">
        <v>57899</v>
      </c>
      <c r="J436" s="32">
        <v>33057</v>
      </c>
      <c r="M436" s="65" t="s">
        <v>804</v>
      </c>
      <c r="N436" s="66" t="s">
        <v>874</v>
      </c>
      <c r="O436" s="66" t="s">
        <v>487</v>
      </c>
      <c r="P436" s="66">
        <v>108097</v>
      </c>
      <c r="Q436" s="66">
        <v>236</v>
      </c>
      <c r="R436" s="66">
        <v>0</v>
      </c>
      <c r="S436" s="66">
        <v>0</v>
      </c>
      <c r="T436" s="66">
        <v>0</v>
      </c>
      <c r="U436" s="66">
        <v>57899</v>
      </c>
      <c r="V436" s="67">
        <v>33057</v>
      </c>
    </row>
    <row r="437" spans="1:22" x14ac:dyDescent="0.25">
      <c r="A437" s="27" t="s">
        <v>226</v>
      </c>
      <c r="B437" s="27" t="s">
        <v>874</v>
      </c>
      <c r="C437" s="27" t="s">
        <v>488</v>
      </c>
      <c r="D437" s="32">
        <f>70725+1+133+3917+3+1+14+8+30+1+17+25658</f>
        <v>100508</v>
      </c>
      <c r="E437" s="32">
        <f>93+113+42+74+20</f>
        <v>342</v>
      </c>
      <c r="F437" s="32">
        <v>0</v>
      </c>
      <c r="G437" s="32">
        <v>0</v>
      </c>
      <c r="H437" s="32">
        <v>0</v>
      </c>
      <c r="I437" s="32">
        <v>48795</v>
      </c>
      <c r="J437" s="32">
        <v>23463</v>
      </c>
      <c r="M437" s="68" t="s">
        <v>226</v>
      </c>
      <c r="N437" s="13" t="s">
        <v>874</v>
      </c>
      <c r="O437" s="13" t="s">
        <v>488</v>
      </c>
      <c r="P437" s="13">
        <v>100508</v>
      </c>
      <c r="Q437" s="13">
        <v>342</v>
      </c>
      <c r="R437" s="13">
        <v>0</v>
      </c>
      <c r="S437" s="13">
        <v>0</v>
      </c>
      <c r="T437" s="13">
        <v>0</v>
      </c>
      <c r="U437" s="13">
        <v>48795</v>
      </c>
      <c r="V437" s="69">
        <v>23463</v>
      </c>
    </row>
    <row r="438" spans="1:22" x14ac:dyDescent="0.25">
      <c r="A438" s="27" t="s">
        <v>795</v>
      </c>
      <c r="B438" s="27" t="s">
        <v>874</v>
      </c>
      <c r="C438" s="27" t="s">
        <v>489</v>
      </c>
      <c r="D438" s="32">
        <f>46030+7+22+317+1+5+24+1+8+43718</f>
        <v>90133</v>
      </c>
      <c r="E438" s="32">
        <f>61+1+2+1449+766</f>
        <v>2279</v>
      </c>
      <c r="F438" s="32">
        <v>0</v>
      </c>
      <c r="G438" s="32">
        <v>0</v>
      </c>
      <c r="H438" s="32">
        <v>0</v>
      </c>
      <c r="I438" s="32">
        <v>80525</v>
      </c>
      <c r="J438" s="32">
        <v>35665</v>
      </c>
      <c r="M438" s="65" t="s">
        <v>795</v>
      </c>
      <c r="N438" s="66" t="s">
        <v>874</v>
      </c>
      <c r="O438" s="66" t="s">
        <v>489</v>
      </c>
      <c r="P438" s="66">
        <v>90133</v>
      </c>
      <c r="Q438" s="66">
        <v>2279</v>
      </c>
      <c r="R438" s="66">
        <v>0</v>
      </c>
      <c r="S438" s="66">
        <v>0</v>
      </c>
      <c r="T438" s="66">
        <v>0</v>
      </c>
      <c r="U438" s="66">
        <v>80525</v>
      </c>
      <c r="V438" s="67">
        <v>35665</v>
      </c>
    </row>
    <row r="439" spans="1:22" x14ac:dyDescent="0.25">
      <c r="A439" s="27" t="s">
        <v>248</v>
      </c>
      <c r="B439" s="27" t="s">
        <v>874</v>
      </c>
      <c r="C439" s="27" t="s">
        <v>490</v>
      </c>
      <c r="D439" s="32">
        <f>15071+31+137+1+79189+10848+36</f>
        <v>105313</v>
      </c>
      <c r="E439" s="32">
        <f>14750+95030+246+13442+2913+5</f>
        <v>126386</v>
      </c>
      <c r="F439" s="32">
        <v>0</v>
      </c>
      <c r="G439" s="32">
        <v>0</v>
      </c>
      <c r="H439" s="32">
        <v>0</v>
      </c>
      <c r="I439" s="32">
        <v>6834</v>
      </c>
      <c r="J439" s="32">
        <v>20013</v>
      </c>
      <c r="M439" s="68" t="s">
        <v>248</v>
      </c>
      <c r="N439" s="13" t="s">
        <v>874</v>
      </c>
      <c r="O439" s="13" t="s">
        <v>490</v>
      </c>
      <c r="P439" s="13">
        <v>105313</v>
      </c>
      <c r="Q439" s="13">
        <v>126386</v>
      </c>
      <c r="R439" s="13">
        <v>0</v>
      </c>
      <c r="S439" s="13">
        <v>0</v>
      </c>
      <c r="T439" s="13">
        <v>0</v>
      </c>
      <c r="U439" s="13">
        <v>6834</v>
      </c>
      <c r="V439" s="69">
        <v>20013</v>
      </c>
    </row>
    <row r="440" spans="1:22" x14ac:dyDescent="0.25">
      <c r="A440" s="27" t="s">
        <v>801</v>
      </c>
      <c r="B440" s="27" t="s">
        <v>874</v>
      </c>
      <c r="C440" s="27" t="s">
        <v>491</v>
      </c>
      <c r="D440" s="32">
        <f>31265+9+74+7+49859+3+13+1+1+35</f>
        <v>81267</v>
      </c>
      <c r="E440" s="32">
        <f>133+80+1283+510+2</f>
        <v>2008</v>
      </c>
      <c r="F440" s="32">
        <v>0</v>
      </c>
      <c r="G440" s="32">
        <v>0</v>
      </c>
      <c r="H440" s="32">
        <v>0</v>
      </c>
      <c r="I440" s="32">
        <v>0</v>
      </c>
      <c r="J440" s="32">
        <v>0</v>
      </c>
      <c r="M440" s="65" t="s">
        <v>801</v>
      </c>
      <c r="N440" s="66" t="s">
        <v>874</v>
      </c>
      <c r="O440" s="66" t="s">
        <v>491</v>
      </c>
      <c r="P440" s="66">
        <v>81267</v>
      </c>
      <c r="Q440" s="66">
        <v>2008</v>
      </c>
      <c r="R440" s="66">
        <v>0</v>
      </c>
      <c r="S440" s="66">
        <v>0</v>
      </c>
      <c r="T440" s="66">
        <v>0</v>
      </c>
      <c r="U440" s="66">
        <v>0</v>
      </c>
      <c r="V440" s="67">
        <v>0</v>
      </c>
    </row>
    <row r="441" spans="1:22" x14ac:dyDescent="0.25">
      <c r="A441" s="27" t="s">
        <v>818</v>
      </c>
      <c r="B441" s="27" t="s">
        <v>874</v>
      </c>
      <c r="C441" s="27" t="s">
        <v>492</v>
      </c>
      <c r="D441" s="32">
        <f>29612+347+6+5+49+9630</f>
        <v>39649</v>
      </c>
      <c r="E441" s="32">
        <f>27+42+3+52+10</f>
        <v>134</v>
      </c>
      <c r="F441" s="32">
        <v>0</v>
      </c>
      <c r="G441" s="32">
        <v>0</v>
      </c>
      <c r="H441" s="32">
        <v>0</v>
      </c>
      <c r="I441" s="32">
        <v>66181</v>
      </c>
      <c r="J441" s="32">
        <v>8975</v>
      </c>
      <c r="M441" s="68" t="s">
        <v>818</v>
      </c>
      <c r="N441" s="13" t="s">
        <v>874</v>
      </c>
      <c r="O441" s="13" t="s">
        <v>492</v>
      </c>
      <c r="P441" s="13">
        <v>39649</v>
      </c>
      <c r="Q441" s="13">
        <v>134</v>
      </c>
      <c r="R441" s="13">
        <v>0</v>
      </c>
      <c r="S441" s="13">
        <v>0</v>
      </c>
      <c r="T441" s="13">
        <v>0</v>
      </c>
      <c r="U441" s="13">
        <v>66181</v>
      </c>
      <c r="V441" s="69">
        <v>8975</v>
      </c>
    </row>
    <row r="442" spans="1:22" x14ac:dyDescent="0.25">
      <c r="A442" s="27" t="s">
        <v>791</v>
      </c>
      <c r="B442" s="27" t="s">
        <v>874</v>
      </c>
      <c r="C442" s="27" t="s">
        <v>493</v>
      </c>
      <c r="D442" s="32">
        <f>36325+1+9+1+25+5395</f>
        <v>41756</v>
      </c>
      <c r="E442" s="32">
        <f>298+1+438+33</f>
        <v>770</v>
      </c>
      <c r="F442" s="32">
        <v>0</v>
      </c>
      <c r="G442" s="32">
        <v>0</v>
      </c>
      <c r="H442" s="32">
        <v>0</v>
      </c>
      <c r="I442" s="32">
        <v>71320</v>
      </c>
      <c r="J442" s="32">
        <v>5663</v>
      </c>
      <c r="M442" s="65" t="s">
        <v>791</v>
      </c>
      <c r="N442" s="66" t="s">
        <v>874</v>
      </c>
      <c r="O442" s="66" t="s">
        <v>493</v>
      </c>
      <c r="P442" s="66">
        <v>41756</v>
      </c>
      <c r="Q442" s="66">
        <v>770</v>
      </c>
      <c r="R442" s="66">
        <v>0</v>
      </c>
      <c r="S442" s="66">
        <v>0</v>
      </c>
      <c r="T442" s="66">
        <v>0</v>
      </c>
      <c r="U442" s="66">
        <v>71320</v>
      </c>
      <c r="V442" s="67">
        <v>5663</v>
      </c>
    </row>
    <row r="443" spans="1:22" x14ac:dyDescent="0.25">
      <c r="A443" s="27" t="s">
        <v>890</v>
      </c>
      <c r="B443" s="27" t="s">
        <v>874</v>
      </c>
      <c r="C443" s="27" t="s">
        <v>494</v>
      </c>
      <c r="D443" s="32">
        <f>32025+123+1+2+2+69+9321</f>
        <v>41543</v>
      </c>
      <c r="E443" s="32">
        <f>92+16+1</f>
        <v>109</v>
      </c>
      <c r="F443" s="32">
        <v>0</v>
      </c>
      <c r="G443" s="32">
        <v>0</v>
      </c>
      <c r="H443" s="32">
        <v>0</v>
      </c>
      <c r="I443" s="32">
        <v>65694</v>
      </c>
      <c r="J443" s="32">
        <v>7490</v>
      </c>
      <c r="M443" s="68" t="s">
        <v>890</v>
      </c>
      <c r="N443" s="13" t="s">
        <v>874</v>
      </c>
      <c r="O443" s="13" t="s">
        <v>494</v>
      </c>
      <c r="P443" s="13">
        <v>41543</v>
      </c>
      <c r="Q443" s="13">
        <v>109</v>
      </c>
      <c r="R443" s="13">
        <v>0</v>
      </c>
      <c r="S443" s="13">
        <v>0</v>
      </c>
      <c r="T443" s="13">
        <v>0</v>
      </c>
      <c r="U443" s="13">
        <v>65694</v>
      </c>
      <c r="V443" s="69">
        <v>7490</v>
      </c>
    </row>
    <row r="444" spans="1:22" x14ac:dyDescent="0.25">
      <c r="A444" s="27" t="s">
        <v>495</v>
      </c>
      <c r="B444" s="27" t="s">
        <v>874</v>
      </c>
      <c r="C444" s="27" t="s">
        <v>496</v>
      </c>
      <c r="D444" s="32">
        <f>218920+6+1+5857+10+63+1+3+590+109686+11+1+3+1+4</f>
        <v>335157</v>
      </c>
      <c r="E444" s="32">
        <f>476+53+44+571+28+8</f>
        <v>1180</v>
      </c>
      <c r="F444" s="32">
        <v>0</v>
      </c>
      <c r="G444" s="32">
        <v>0</v>
      </c>
      <c r="H444" s="32">
        <v>0</v>
      </c>
      <c r="I444" s="32">
        <v>96875</v>
      </c>
      <c r="J444" s="32">
        <v>86892</v>
      </c>
      <c r="M444" s="65" t="s">
        <v>495</v>
      </c>
      <c r="N444" s="66" t="s">
        <v>874</v>
      </c>
      <c r="O444" s="66" t="s">
        <v>496</v>
      </c>
      <c r="P444" s="66">
        <v>335157</v>
      </c>
      <c r="Q444" s="66">
        <v>1180</v>
      </c>
      <c r="R444" s="66">
        <v>0</v>
      </c>
      <c r="S444" s="66">
        <v>0</v>
      </c>
      <c r="T444" s="66">
        <v>0</v>
      </c>
      <c r="U444" s="66">
        <v>96875</v>
      </c>
      <c r="V444" s="67">
        <v>86892</v>
      </c>
    </row>
    <row r="445" spans="1:22" x14ac:dyDescent="0.25">
      <c r="A445" s="27" t="s">
        <v>791</v>
      </c>
      <c r="B445" s="27" t="s">
        <v>874</v>
      </c>
      <c r="C445" s="27" t="s">
        <v>497</v>
      </c>
      <c r="D445" s="32">
        <f>17323+1+15+224+135+1+2+9+96+15193</f>
        <v>32999</v>
      </c>
      <c r="E445" s="32">
        <f>74+1+3+79</f>
        <v>157</v>
      </c>
      <c r="F445" s="32">
        <v>0</v>
      </c>
      <c r="G445" s="32">
        <v>0</v>
      </c>
      <c r="H445" s="32">
        <v>0</v>
      </c>
      <c r="I445" s="32">
        <v>29874</v>
      </c>
      <c r="J445" s="32">
        <v>13211</v>
      </c>
      <c r="M445" s="68" t="s">
        <v>791</v>
      </c>
      <c r="N445" s="13" t="s">
        <v>874</v>
      </c>
      <c r="O445" s="13" t="s">
        <v>497</v>
      </c>
      <c r="P445" s="13">
        <v>32999</v>
      </c>
      <c r="Q445" s="13">
        <v>157</v>
      </c>
      <c r="R445" s="13">
        <v>0</v>
      </c>
      <c r="S445" s="13">
        <v>0</v>
      </c>
      <c r="T445" s="13">
        <v>0</v>
      </c>
      <c r="U445" s="13">
        <v>29874</v>
      </c>
      <c r="V445" s="69">
        <v>13211</v>
      </c>
    </row>
    <row r="446" spans="1:22" x14ac:dyDescent="0.25">
      <c r="A446" s="27" t="s">
        <v>10</v>
      </c>
      <c r="B446" s="27" t="s">
        <v>874</v>
      </c>
      <c r="C446" s="27" t="s">
        <v>782</v>
      </c>
      <c r="D446" s="32"/>
      <c r="E446" s="32"/>
      <c r="F446" s="32"/>
      <c r="G446" s="32"/>
      <c r="H446" s="32"/>
      <c r="I446" s="32"/>
      <c r="J446" s="32"/>
      <c r="M446" s="65" t="s">
        <v>10</v>
      </c>
      <c r="N446" s="66" t="s">
        <v>874</v>
      </c>
      <c r="O446" s="66" t="s">
        <v>782</v>
      </c>
      <c r="P446" s="66"/>
      <c r="Q446" s="66"/>
      <c r="R446" s="66"/>
      <c r="S446" s="66"/>
      <c r="T446" s="66"/>
      <c r="U446" s="66"/>
      <c r="V446" s="67"/>
    </row>
    <row r="447" spans="1:22" x14ac:dyDescent="0.25">
      <c r="A447" s="27" t="s">
        <v>10</v>
      </c>
      <c r="B447" s="27" t="s">
        <v>874</v>
      </c>
      <c r="C447" s="27" t="s">
        <v>783</v>
      </c>
      <c r="D447" s="32"/>
      <c r="E447" s="32"/>
      <c r="F447" s="32"/>
      <c r="G447" s="32"/>
      <c r="H447" s="32"/>
      <c r="I447" s="32"/>
      <c r="J447" s="32"/>
      <c r="M447" s="68" t="s">
        <v>10</v>
      </c>
      <c r="N447" s="13" t="s">
        <v>874</v>
      </c>
      <c r="O447" s="13" t="s">
        <v>783</v>
      </c>
      <c r="P447" s="13"/>
      <c r="Q447" s="13"/>
      <c r="R447" s="13"/>
      <c r="S447" s="13"/>
      <c r="T447" s="13"/>
      <c r="U447" s="13"/>
      <c r="V447" s="69"/>
    </row>
    <row r="448" spans="1:22" x14ac:dyDescent="0.25">
      <c r="A448" s="27" t="s">
        <v>10</v>
      </c>
      <c r="B448" s="27" t="s">
        <v>874</v>
      </c>
      <c r="C448" s="27" t="s">
        <v>784</v>
      </c>
      <c r="D448" s="32"/>
      <c r="E448" s="32"/>
      <c r="F448" s="32"/>
      <c r="G448" s="32"/>
      <c r="H448" s="32"/>
      <c r="I448" s="32"/>
      <c r="J448" s="32"/>
      <c r="M448" s="65" t="s">
        <v>10</v>
      </c>
      <c r="N448" s="66" t="s">
        <v>874</v>
      </c>
      <c r="O448" s="66" t="s">
        <v>784</v>
      </c>
      <c r="P448" s="66"/>
      <c r="Q448" s="66"/>
      <c r="R448" s="66"/>
      <c r="S448" s="66"/>
      <c r="T448" s="66"/>
      <c r="U448" s="66"/>
      <c r="V448" s="67"/>
    </row>
    <row r="449" spans="1:22" x14ac:dyDescent="0.25">
      <c r="A449" s="27" t="s">
        <v>10</v>
      </c>
      <c r="B449" s="27" t="s">
        <v>874</v>
      </c>
      <c r="C449" s="27" t="s">
        <v>785</v>
      </c>
      <c r="D449" s="32"/>
      <c r="E449" s="32"/>
      <c r="F449" s="32"/>
      <c r="G449" s="32"/>
      <c r="H449" s="32"/>
      <c r="I449" s="32"/>
      <c r="J449" s="32"/>
      <c r="M449" s="68" t="s">
        <v>10</v>
      </c>
      <c r="N449" s="13" t="s">
        <v>874</v>
      </c>
      <c r="O449" s="13" t="s">
        <v>785</v>
      </c>
      <c r="P449" s="13"/>
      <c r="Q449" s="13"/>
      <c r="R449" s="13"/>
      <c r="S449" s="13"/>
      <c r="T449" s="13"/>
      <c r="U449" s="13"/>
      <c r="V449" s="69"/>
    </row>
    <row r="450" spans="1:22" x14ac:dyDescent="0.25">
      <c r="A450" s="27" t="s">
        <v>791</v>
      </c>
      <c r="B450" s="27" t="s">
        <v>874</v>
      </c>
      <c r="C450" s="27" t="s">
        <v>498</v>
      </c>
      <c r="D450" s="32">
        <f>28748+67078</f>
        <v>95826</v>
      </c>
      <c r="E450" s="32">
        <f>41+94</f>
        <v>135</v>
      </c>
      <c r="F450" s="32">
        <v>0</v>
      </c>
      <c r="G450" s="32">
        <v>0</v>
      </c>
      <c r="H450" s="32">
        <v>0</v>
      </c>
      <c r="I450" s="32">
        <v>27926</v>
      </c>
      <c r="J450" s="32">
        <v>19548</v>
      </c>
      <c r="M450" s="65" t="s">
        <v>791</v>
      </c>
      <c r="N450" s="66" t="s">
        <v>874</v>
      </c>
      <c r="O450" s="66" t="s">
        <v>498</v>
      </c>
      <c r="P450" s="66">
        <v>95826</v>
      </c>
      <c r="Q450" s="66">
        <v>135</v>
      </c>
      <c r="R450" s="66">
        <v>0</v>
      </c>
      <c r="S450" s="66">
        <v>0</v>
      </c>
      <c r="T450" s="66">
        <v>0</v>
      </c>
      <c r="U450" s="66">
        <v>27926</v>
      </c>
      <c r="V450" s="67">
        <v>19548</v>
      </c>
    </row>
    <row r="451" spans="1:22" x14ac:dyDescent="0.25">
      <c r="A451" s="27" t="s">
        <v>10</v>
      </c>
      <c r="B451" s="27" t="s">
        <v>874</v>
      </c>
      <c r="C451" s="27" t="s">
        <v>786</v>
      </c>
      <c r="D451" s="32"/>
      <c r="E451" s="32"/>
      <c r="F451" s="32"/>
      <c r="G451" s="32"/>
      <c r="H451" s="32"/>
      <c r="I451" s="32"/>
      <c r="J451" s="32"/>
      <c r="M451" s="68" t="s">
        <v>10</v>
      </c>
      <c r="N451" s="13" t="s">
        <v>874</v>
      </c>
      <c r="O451" s="13" t="s">
        <v>786</v>
      </c>
      <c r="P451" s="13"/>
      <c r="Q451" s="13"/>
      <c r="R451" s="13"/>
      <c r="S451" s="13"/>
      <c r="T451" s="13"/>
      <c r="U451" s="13"/>
      <c r="V451" s="69"/>
    </row>
    <row r="452" spans="1:22" x14ac:dyDescent="0.25">
      <c r="A452" s="27" t="s">
        <v>839</v>
      </c>
      <c r="B452" s="27" t="s">
        <v>874</v>
      </c>
      <c r="C452" s="27" t="s">
        <v>499</v>
      </c>
      <c r="D452" s="32">
        <f>30765+71784</f>
        <v>102549</v>
      </c>
      <c r="E452" s="32">
        <f>218+507</f>
        <v>725</v>
      </c>
      <c r="F452" s="32">
        <v>0</v>
      </c>
      <c r="G452" s="32">
        <v>0</v>
      </c>
      <c r="H452" s="32">
        <v>0</v>
      </c>
      <c r="I452" s="32">
        <v>16972</v>
      </c>
      <c r="J452" s="32">
        <v>11880</v>
      </c>
      <c r="M452" s="65" t="s">
        <v>839</v>
      </c>
      <c r="N452" s="66" t="s">
        <v>874</v>
      </c>
      <c r="O452" s="66" t="s">
        <v>499</v>
      </c>
      <c r="P452" s="66">
        <v>102549</v>
      </c>
      <c r="Q452" s="66">
        <v>725</v>
      </c>
      <c r="R452" s="66">
        <v>0</v>
      </c>
      <c r="S452" s="66">
        <v>0</v>
      </c>
      <c r="T452" s="66">
        <v>0</v>
      </c>
      <c r="U452" s="66">
        <v>16972</v>
      </c>
      <c r="V452" s="67">
        <v>11880</v>
      </c>
    </row>
    <row r="453" spans="1:22" x14ac:dyDescent="0.25">
      <c r="A453" s="27" t="s">
        <v>10</v>
      </c>
      <c r="B453" s="27" t="s">
        <v>874</v>
      </c>
      <c r="C453" s="27" t="s">
        <v>500</v>
      </c>
      <c r="D453" s="32"/>
      <c r="E453" s="32"/>
      <c r="F453" s="32"/>
      <c r="G453" s="32"/>
      <c r="H453" s="32"/>
      <c r="I453" s="32"/>
      <c r="J453" s="32"/>
      <c r="M453" s="68" t="s">
        <v>10</v>
      </c>
      <c r="N453" s="13" t="s">
        <v>874</v>
      </c>
      <c r="O453" s="13" t="s">
        <v>500</v>
      </c>
      <c r="P453" s="13"/>
      <c r="Q453" s="13"/>
      <c r="R453" s="13"/>
      <c r="S453" s="13"/>
      <c r="T453" s="13"/>
      <c r="U453" s="13"/>
      <c r="V453" s="69"/>
    </row>
    <row r="454" spans="1:22" x14ac:dyDescent="0.25">
      <c r="A454" s="27" t="s">
        <v>76</v>
      </c>
      <c r="B454" s="27" t="s">
        <v>878</v>
      </c>
      <c r="C454" s="27" t="s">
        <v>501</v>
      </c>
      <c r="D454" s="32">
        <v>20488</v>
      </c>
      <c r="E454" s="32">
        <v>0</v>
      </c>
      <c r="F454" s="32">
        <v>0</v>
      </c>
      <c r="G454" s="32">
        <v>0</v>
      </c>
      <c r="H454" s="32">
        <v>0</v>
      </c>
      <c r="I454" s="32">
        <v>0</v>
      </c>
      <c r="J454" s="32">
        <v>0</v>
      </c>
      <c r="M454" s="65" t="s">
        <v>76</v>
      </c>
      <c r="N454" s="66" t="s">
        <v>878</v>
      </c>
      <c r="O454" s="66" t="s">
        <v>501</v>
      </c>
      <c r="P454" s="66">
        <v>20488</v>
      </c>
      <c r="Q454" s="66">
        <v>0</v>
      </c>
      <c r="R454" s="66">
        <v>0</v>
      </c>
      <c r="S454" s="66">
        <v>0</v>
      </c>
      <c r="T454" s="66">
        <v>0</v>
      </c>
      <c r="U454" s="66">
        <v>0</v>
      </c>
      <c r="V454" s="67">
        <v>0</v>
      </c>
    </row>
    <row r="455" spans="1:22" x14ac:dyDescent="0.25">
      <c r="A455" s="27" t="s">
        <v>231</v>
      </c>
      <c r="B455" s="27" t="s">
        <v>878</v>
      </c>
      <c r="C455" s="27" t="s">
        <v>502</v>
      </c>
      <c r="D455" s="32">
        <v>5906</v>
      </c>
      <c r="E455" s="32">
        <v>0</v>
      </c>
      <c r="F455" s="32">
        <v>0</v>
      </c>
      <c r="G455" s="32">
        <v>0</v>
      </c>
      <c r="H455" s="32">
        <v>0</v>
      </c>
      <c r="I455" s="32">
        <v>0</v>
      </c>
      <c r="J455" s="32">
        <v>0</v>
      </c>
      <c r="M455" s="68" t="s">
        <v>231</v>
      </c>
      <c r="N455" s="13" t="s">
        <v>878</v>
      </c>
      <c r="O455" s="13" t="s">
        <v>502</v>
      </c>
      <c r="P455" s="13">
        <v>5906</v>
      </c>
      <c r="Q455" s="13">
        <v>0</v>
      </c>
      <c r="R455" s="13">
        <v>0</v>
      </c>
      <c r="S455" s="13">
        <v>0</v>
      </c>
      <c r="T455" s="13">
        <v>0</v>
      </c>
      <c r="U455" s="13">
        <v>0</v>
      </c>
      <c r="V455" s="69">
        <v>0</v>
      </c>
    </row>
    <row r="456" spans="1:22" x14ac:dyDescent="0.25">
      <c r="A456" s="27" t="s">
        <v>831</v>
      </c>
      <c r="B456" s="27" t="s">
        <v>878</v>
      </c>
      <c r="C456" s="27" t="s">
        <v>503</v>
      </c>
      <c r="D456" s="32">
        <v>1843</v>
      </c>
      <c r="E456" s="32">
        <v>0</v>
      </c>
      <c r="F456" s="32">
        <v>0</v>
      </c>
      <c r="G456" s="32">
        <v>0</v>
      </c>
      <c r="H456" s="32">
        <v>0</v>
      </c>
      <c r="I456" s="32">
        <v>0</v>
      </c>
      <c r="J456" s="32">
        <v>0</v>
      </c>
      <c r="M456" s="65" t="s">
        <v>831</v>
      </c>
      <c r="N456" s="66" t="s">
        <v>878</v>
      </c>
      <c r="O456" s="66" t="s">
        <v>503</v>
      </c>
      <c r="P456" s="66">
        <v>1843</v>
      </c>
      <c r="Q456" s="66">
        <v>0</v>
      </c>
      <c r="R456" s="66">
        <v>0</v>
      </c>
      <c r="S456" s="66">
        <v>0</v>
      </c>
      <c r="T456" s="66">
        <v>0</v>
      </c>
      <c r="U456" s="66">
        <v>0</v>
      </c>
      <c r="V456" s="67">
        <v>0</v>
      </c>
    </row>
    <row r="457" spans="1:22" x14ac:dyDescent="0.25">
      <c r="A457" s="27" t="s">
        <v>76</v>
      </c>
      <c r="B457" s="27" t="s">
        <v>878</v>
      </c>
      <c r="C457" s="27" t="s">
        <v>504</v>
      </c>
      <c r="D457" s="32">
        <v>46864</v>
      </c>
      <c r="E457" s="32">
        <v>0</v>
      </c>
      <c r="F457" s="32">
        <v>0</v>
      </c>
      <c r="G457" s="32">
        <v>0</v>
      </c>
      <c r="H457" s="32">
        <v>0</v>
      </c>
      <c r="I457" s="32">
        <v>0</v>
      </c>
      <c r="J457" s="32">
        <v>0</v>
      </c>
      <c r="M457" s="68" t="s">
        <v>76</v>
      </c>
      <c r="N457" s="13" t="s">
        <v>878</v>
      </c>
      <c r="O457" s="13" t="s">
        <v>504</v>
      </c>
      <c r="P457" s="13">
        <v>46864</v>
      </c>
      <c r="Q457" s="13">
        <v>0</v>
      </c>
      <c r="R457" s="13">
        <v>0</v>
      </c>
      <c r="S457" s="13">
        <v>0</v>
      </c>
      <c r="T457" s="13">
        <v>0</v>
      </c>
      <c r="U457" s="13">
        <v>0</v>
      </c>
      <c r="V457" s="69">
        <v>0</v>
      </c>
    </row>
    <row r="458" spans="1:22" x14ac:dyDescent="0.25">
      <c r="A458" s="27" t="s">
        <v>817</v>
      </c>
      <c r="B458" s="27" t="s">
        <v>878</v>
      </c>
      <c r="C458" s="27" t="s">
        <v>505</v>
      </c>
      <c r="D458" s="32">
        <v>13624</v>
      </c>
      <c r="E458" s="32">
        <v>0</v>
      </c>
      <c r="F458" s="32">
        <v>0</v>
      </c>
      <c r="G458" s="32">
        <v>0</v>
      </c>
      <c r="H458" s="32">
        <v>0</v>
      </c>
      <c r="I458" s="32">
        <v>0</v>
      </c>
      <c r="J458" s="32">
        <v>0</v>
      </c>
      <c r="M458" s="65" t="s">
        <v>817</v>
      </c>
      <c r="N458" s="66" t="s">
        <v>878</v>
      </c>
      <c r="O458" s="66" t="s">
        <v>505</v>
      </c>
      <c r="P458" s="66">
        <v>13624</v>
      </c>
      <c r="Q458" s="66">
        <v>0</v>
      </c>
      <c r="R458" s="66">
        <v>0</v>
      </c>
      <c r="S458" s="66">
        <v>0</v>
      </c>
      <c r="T458" s="66">
        <v>0</v>
      </c>
      <c r="U458" s="66">
        <v>0</v>
      </c>
      <c r="V458" s="67">
        <v>0</v>
      </c>
    </row>
    <row r="459" spans="1:22" x14ac:dyDescent="0.25">
      <c r="A459" s="27" t="s">
        <v>824</v>
      </c>
      <c r="B459" s="27" t="s">
        <v>878</v>
      </c>
      <c r="C459" s="27" t="s">
        <v>506</v>
      </c>
      <c r="D459" s="32">
        <v>10850</v>
      </c>
      <c r="E459" s="32">
        <v>0</v>
      </c>
      <c r="F459" s="32">
        <v>0</v>
      </c>
      <c r="G459" s="32">
        <v>0</v>
      </c>
      <c r="H459" s="32">
        <v>0</v>
      </c>
      <c r="I459" s="32">
        <v>0</v>
      </c>
      <c r="J459" s="32">
        <v>0</v>
      </c>
      <c r="M459" s="68" t="s">
        <v>824</v>
      </c>
      <c r="N459" s="13" t="s">
        <v>878</v>
      </c>
      <c r="O459" s="13" t="s">
        <v>506</v>
      </c>
      <c r="P459" s="13">
        <v>10850</v>
      </c>
      <c r="Q459" s="13">
        <v>0</v>
      </c>
      <c r="R459" s="13">
        <v>0</v>
      </c>
      <c r="S459" s="13">
        <v>0</v>
      </c>
      <c r="T459" s="13">
        <v>0</v>
      </c>
      <c r="U459" s="13">
        <v>0</v>
      </c>
      <c r="V459" s="69">
        <v>0</v>
      </c>
    </row>
    <row r="460" spans="1:22" x14ac:dyDescent="0.25">
      <c r="A460" s="27" t="s">
        <v>817</v>
      </c>
      <c r="B460" s="27" t="s">
        <v>878</v>
      </c>
      <c r="C460" s="27" t="s">
        <v>507</v>
      </c>
      <c r="D460" s="32"/>
      <c r="E460" s="32"/>
      <c r="F460" s="32"/>
      <c r="G460" s="32"/>
      <c r="H460" s="32"/>
      <c r="I460" s="32"/>
      <c r="J460" s="32"/>
      <c r="M460" s="65" t="s">
        <v>817</v>
      </c>
      <c r="N460" s="66" t="s">
        <v>878</v>
      </c>
      <c r="O460" s="66" t="s">
        <v>507</v>
      </c>
      <c r="P460" s="66"/>
      <c r="Q460" s="66"/>
      <c r="R460" s="66"/>
      <c r="S460" s="66"/>
      <c r="T460" s="66"/>
      <c r="U460" s="66"/>
      <c r="V460" s="67"/>
    </row>
    <row r="461" spans="1:22" x14ac:dyDescent="0.25">
      <c r="A461" s="27" t="s">
        <v>859</v>
      </c>
      <c r="B461" s="27" t="s">
        <v>878</v>
      </c>
      <c r="C461" s="27" t="s">
        <v>508</v>
      </c>
      <c r="D461" s="32">
        <v>21598</v>
      </c>
      <c r="E461" s="32">
        <v>0</v>
      </c>
      <c r="F461" s="32">
        <v>0</v>
      </c>
      <c r="G461" s="32">
        <v>0</v>
      </c>
      <c r="H461" s="32">
        <v>0</v>
      </c>
      <c r="I461" s="32">
        <v>0</v>
      </c>
      <c r="J461" s="32">
        <v>0</v>
      </c>
      <c r="M461" s="68" t="s">
        <v>859</v>
      </c>
      <c r="N461" s="13" t="s">
        <v>878</v>
      </c>
      <c r="O461" s="13" t="s">
        <v>508</v>
      </c>
      <c r="P461" s="13">
        <v>21598</v>
      </c>
      <c r="Q461" s="13">
        <v>0</v>
      </c>
      <c r="R461" s="13">
        <v>0</v>
      </c>
      <c r="S461" s="13">
        <v>0</v>
      </c>
      <c r="T461" s="13">
        <v>0</v>
      </c>
      <c r="U461" s="13">
        <v>0</v>
      </c>
      <c r="V461" s="69">
        <v>0</v>
      </c>
    </row>
    <row r="462" spans="1:22" x14ac:dyDescent="0.25">
      <c r="A462" s="27" t="s">
        <v>801</v>
      </c>
      <c r="B462" s="27" t="s">
        <v>878</v>
      </c>
      <c r="C462" s="27" t="s">
        <v>509</v>
      </c>
      <c r="D462" s="32">
        <v>1778</v>
      </c>
      <c r="E462" s="32">
        <v>0</v>
      </c>
      <c r="F462" s="32">
        <v>0</v>
      </c>
      <c r="G462" s="32">
        <v>0</v>
      </c>
      <c r="H462" s="32">
        <v>0</v>
      </c>
      <c r="I462" s="32">
        <v>0</v>
      </c>
      <c r="J462" s="32">
        <v>0</v>
      </c>
      <c r="M462" s="65" t="s">
        <v>801</v>
      </c>
      <c r="N462" s="66" t="s">
        <v>878</v>
      </c>
      <c r="O462" s="66" t="s">
        <v>509</v>
      </c>
      <c r="P462" s="66">
        <v>1778</v>
      </c>
      <c r="Q462" s="66">
        <v>0</v>
      </c>
      <c r="R462" s="66">
        <v>0</v>
      </c>
      <c r="S462" s="66">
        <v>0</v>
      </c>
      <c r="T462" s="66">
        <v>0</v>
      </c>
      <c r="U462" s="66">
        <v>0</v>
      </c>
      <c r="V462" s="67">
        <v>0</v>
      </c>
    </row>
    <row r="463" spans="1:22" x14ac:dyDescent="0.25">
      <c r="A463" s="27" t="s">
        <v>801</v>
      </c>
      <c r="B463" s="27" t="s">
        <v>878</v>
      </c>
      <c r="C463" s="27" t="s">
        <v>510</v>
      </c>
      <c r="D463" s="32">
        <v>43513</v>
      </c>
      <c r="E463" s="32">
        <v>0</v>
      </c>
      <c r="F463" s="32">
        <v>0</v>
      </c>
      <c r="G463" s="32">
        <v>0</v>
      </c>
      <c r="H463" s="32">
        <v>0</v>
      </c>
      <c r="I463" s="32">
        <v>0</v>
      </c>
      <c r="J463" s="32">
        <v>0</v>
      </c>
      <c r="M463" s="68" t="s">
        <v>801</v>
      </c>
      <c r="N463" s="13" t="s">
        <v>878</v>
      </c>
      <c r="O463" s="13" t="s">
        <v>510</v>
      </c>
      <c r="P463" s="13">
        <v>43513</v>
      </c>
      <c r="Q463" s="13">
        <v>0</v>
      </c>
      <c r="R463" s="13">
        <v>0</v>
      </c>
      <c r="S463" s="13">
        <v>0</v>
      </c>
      <c r="T463" s="13">
        <v>0</v>
      </c>
      <c r="U463" s="13">
        <v>0</v>
      </c>
      <c r="V463" s="69">
        <v>0</v>
      </c>
    </row>
    <row r="464" spans="1:22" x14ac:dyDescent="0.25">
      <c r="A464" s="27" t="s">
        <v>831</v>
      </c>
      <c r="B464" s="27" t="s">
        <v>878</v>
      </c>
      <c r="C464" s="27" t="s">
        <v>511</v>
      </c>
      <c r="D464" s="32">
        <v>5250</v>
      </c>
      <c r="E464" s="32">
        <v>0</v>
      </c>
      <c r="F464" s="32">
        <v>0</v>
      </c>
      <c r="G464" s="32">
        <v>0</v>
      </c>
      <c r="H464" s="32">
        <v>0</v>
      </c>
      <c r="I464" s="32">
        <v>0</v>
      </c>
      <c r="J464" s="32">
        <v>0</v>
      </c>
      <c r="M464" s="65" t="s">
        <v>831</v>
      </c>
      <c r="N464" s="66" t="s">
        <v>878</v>
      </c>
      <c r="O464" s="66" t="s">
        <v>511</v>
      </c>
      <c r="P464" s="66">
        <v>5250</v>
      </c>
      <c r="Q464" s="66">
        <v>0</v>
      </c>
      <c r="R464" s="66">
        <v>0</v>
      </c>
      <c r="S464" s="66">
        <v>0</v>
      </c>
      <c r="T464" s="66">
        <v>0</v>
      </c>
      <c r="U464" s="66">
        <v>0</v>
      </c>
      <c r="V464" s="67">
        <v>0</v>
      </c>
    </row>
    <row r="465" spans="1:22" x14ac:dyDescent="0.25">
      <c r="A465" s="27" t="s">
        <v>816</v>
      </c>
      <c r="B465" s="27" t="s">
        <v>878</v>
      </c>
      <c r="C465" s="27" t="s">
        <v>513</v>
      </c>
      <c r="D465" s="32">
        <v>5575</v>
      </c>
      <c r="E465" s="32">
        <v>0</v>
      </c>
      <c r="F465" s="32">
        <v>0</v>
      </c>
      <c r="G465" s="32">
        <v>0</v>
      </c>
      <c r="H465" s="32">
        <v>0</v>
      </c>
      <c r="I465" s="32">
        <v>0</v>
      </c>
      <c r="J465" s="32">
        <v>0</v>
      </c>
      <c r="M465" s="68" t="s">
        <v>816</v>
      </c>
      <c r="N465" s="13" t="s">
        <v>878</v>
      </c>
      <c r="O465" s="13" t="s">
        <v>513</v>
      </c>
      <c r="P465" s="13">
        <v>5575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69">
        <v>0</v>
      </c>
    </row>
    <row r="466" spans="1:22" x14ac:dyDescent="0.25">
      <c r="A466" s="27" t="s">
        <v>817</v>
      </c>
      <c r="B466" s="27" t="s">
        <v>878</v>
      </c>
      <c r="C466" s="27" t="s">
        <v>514</v>
      </c>
      <c r="D466" s="32">
        <v>14609</v>
      </c>
      <c r="E466" s="32">
        <v>0</v>
      </c>
      <c r="F466" s="32">
        <v>0</v>
      </c>
      <c r="G466" s="32">
        <v>0</v>
      </c>
      <c r="H466" s="32">
        <v>0</v>
      </c>
      <c r="I466" s="32">
        <v>0</v>
      </c>
      <c r="J466" s="32">
        <v>0</v>
      </c>
      <c r="M466" s="65" t="s">
        <v>817</v>
      </c>
      <c r="N466" s="66" t="s">
        <v>878</v>
      </c>
      <c r="O466" s="66" t="s">
        <v>514</v>
      </c>
      <c r="P466" s="66">
        <v>14609</v>
      </c>
      <c r="Q466" s="66">
        <v>0</v>
      </c>
      <c r="R466" s="66">
        <v>0</v>
      </c>
      <c r="S466" s="66">
        <v>0</v>
      </c>
      <c r="T466" s="66">
        <v>0</v>
      </c>
      <c r="U466" s="66">
        <v>0</v>
      </c>
      <c r="V466" s="67">
        <v>0</v>
      </c>
    </row>
    <row r="467" spans="1:22" x14ac:dyDescent="0.25">
      <c r="A467" s="27" t="s">
        <v>801</v>
      </c>
      <c r="B467" s="27" t="s">
        <v>878</v>
      </c>
      <c r="C467" s="27" t="s">
        <v>515</v>
      </c>
      <c r="D467" s="32">
        <v>7098</v>
      </c>
      <c r="E467" s="32">
        <v>0</v>
      </c>
      <c r="F467" s="32">
        <v>0</v>
      </c>
      <c r="G467" s="32">
        <v>0</v>
      </c>
      <c r="H467" s="32">
        <v>0</v>
      </c>
      <c r="I467" s="32">
        <v>0</v>
      </c>
      <c r="J467" s="32">
        <v>0</v>
      </c>
      <c r="M467" s="68" t="s">
        <v>801</v>
      </c>
      <c r="N467" s="13" t="s">
        <v>878</v>
      </c>
      <c r="O467" s="13" t="s">
        <v>515</v>
      </c>
      <c r="P467" s="13">
        <v>7098</v>
      </c>
      <c r="Q467" s="13">
        <v>0</v>
      </c>
      <c r="R467" s="13">
        <v>0</v>
      </c>
      <c r="S467" s="13">
        <v>0</v>
      </c>
      <c r="T467" s="13">
        <v>0</v>
      </c>
      <c r="U467" s="13">
        <v>0</v>
      </c>
      <c r="V467" s="69">
        <v>0</v>
      </c>
    </row>
    <row r="468" spans="1:22" x14ac:dyDescent="0.25">
      <c r="A468" s="27" t="s">
        <v>848</v>
      </c>
      <c r="B468" s="27" t="s">
        <v>878</v>
      </c>
      <c r="C468" s="27" t="s">
        <v>516</v>
      </c>
      <c r="D468" s="32">
        <v>7892</v>
      </c>
      <c r="E468" s="32">
        <v>0</v>
      </c>
      <c r="F468" s="32">
        <v>0</v>
      </c>
      <c r="G468" s="32">
        <v>0</v>
      </c>
      <c r="H468" s="32">
        <v>0</v>
      </c>
      <c r="I468" s="32">
        <v>0</v>
      </c>
      <c r="J468" s="32">
        <v>0</v>
      </c>
      <c r="M468" s="65" t="s">
        <v>848</v>
      </c>
      <c r="N468" s="66" t="s">
        <v>878</v>
      </c>
      <c r="O468" s="66" t="s">
        <v>516</v>
      </c>
      <c r="P468" s="66">
        <v>7892</v>
      </c>
      <c r="Q468" s="66">
        <v>0</v>
      </c>
      <c r="R468" s="66">
        <v>0</v>
      </c>
      <c r="S468" s="66">
        <v>0</v>
      </c>
      <c r="T468" s="66">
        <v>0</v>
      </c>
      <c r="U468" s="66">
        <v>0</v>
      </c>
      <c r="V468" s="67">
        <v>0</v>
      </c>
    </row>
    <row r="469" spans="1:22" x14ac:dyDescent="0.25">
      <c r="A469" s="27" t="s">
        <v>797</v>
      </c>
      <c r="B469" s="27" t="s">
        <v>878</v>
      </c>
      <c r="C469" s="27" t="s">
        <v>517</v>
      </c>
      <c r="D469" s="32">
        <v>10751</v>
      </c>
      <c r="E469" s="32">
        <v>0</v>
      </c>
      <c r="F469" s="32">
        <v>0</v>
      </c>
      <c r="G469" s="32">
        <v>0</v>
      </c>
      <c r="H469" s="32">
        <v>0</v>
      </c>
      <c r="I469" s="32">
        <v>0</v>
      </c>
      <c r="J469" s="32">
        <v>0</v>
      </c>
      <c r="M469" s="68" t="s">
        <v>797</v>
      </c>
      <c r="N469" s="13" t="s">
        <v>878</v>
      </c>
      <c r="O469" s="13" t="s">
        <v>517</v>
      </c>
      <c r="P469" s="13">
        <v>10751</v>
      </c>
      <c r="Q469" s="13">
        <v>0</v>
      </c>
      <c r="R469" s="13">
        <v>0</v>
      </c>
      <c r="S469" s="13">
        <v>0</v>
      </c>
      <c r="T469" s="13">
        <v>0</v>
      </c>
      <c r="U469" s="13">
        <v>0</v>
      </c>
      <c r="V469" s="69">
        <v>0</v>
      </c>
    </row>
    <row r="470" spans="1:22" x14ac:dyDescent="0.25">
      <c r="A470" s="27" t="s">
        <v>811</v>
      </c>
      <c r="B470" s="27" t="s">
        <v>878</v>
      </c>
      <c r="C470" s="27" t="s">
        <v>518</v>
      </c>
      <c r="D470" s="32">
        <v>42484</v>
      </c>
      <c r="E470" s="32">
        <v>0</v>
      </c>
      <c r="F470" s="32">
        <v>0</v>
      </c>
      <c r="G470" s="32">
        <v>0</v>
      </c>
      <c r="H470" s="32">
        <v>0</v>
      </c>
      <c r="I470" s="32">
        <v>0</v>
      </c>
      <c r="J470" s="32">
        <v>0</v>
      </c>
      <c r="M470" s="65" t="s">
        <v>811</v>
      </c>
      <c r="N470" s="66" t="s">
        <v>878</v>
      </c>
      <c r="O470" s="66" t="s">
        <v>518</v>
      </c>
      <c r="P470" s="66">
        <v>42484</v>
      </c>
      <c r="Q470" s="66">
        <v>0</v>
      </c>
      <c r="R470" s="66">
        <v>0</v>
      </c>
      <c r="S470" s="66">
        <v>0</v>
      </c>
      <c r="T470" s="66">
        <v>0</v>
      </c>
      <c r="U470" s="66">
        <v>0</v>
      </c>
      <c r="V470" s="67">
        <v>0</v>
      </c>
    </row>
    <row r="471" spans="1:22" x14ac:dyDescent="0.25">
      <c r="A471" s="27" t="s">
        <v>226</v>
      </c>
      <c r="B471" s="27" t="s">
        <v>878</v>
      </c>
      <c r="C471" s="27" t="s">
        <v>519</v>
      </c>
      <c r="D471" s="32">
        <v>2201</v>
      </c>
      <c r="E471" s="32">
        <v>0</v>
      </c>
      <c r="F471" s="32">
        <v>0</v>
      </c>
      <c r="G471" s="32">
        <v>0</v>
      </c>
      <c r="H471" s="32">
        <v>0</v>
      </c>
      <c r="I471" s="32">
        <v>0</v>
      </c>
      <c r="J471" s="32">
        <v>0</v>
      </c>
      <c r="M471" s="68" t="s">
        <v>226</v>
      </c>
      <c r="N471" s="13" t="s">
        <v>878</v>
      </c>
      <c r="O471" s="13" t="s">
        <v>519</v>
      </c>
      <c r="P471" s="13">
        <v>2201</v>
      </c>
      <c r="Q471" s="13">
        <v>0</v>
      </c>
      <c r="R471" s="13">
        <v>0</v>
      </c>
      <c r="S471" s="13">
        <v>0</v>
      </c>
      <c r="T471" s="13">
        <v>0</v>
      </c>
      <c r="U471" s="13">
        <v>0</v>
      </c>
      <c r="V471" s="69">
        <v>0</v>
      </c>
    </row>
    <row r="472" spans="1:22" x14ac:dyDescent="0.25">
      <c r="A472" s="27" t="s">
        <v>76</v>
      </c>
      <c r="B472" s="27" t="s">
        <v>878</v>
      </c>
      <c r="C472" s="27" t="s">
        <v>520</v>
      </c>
      <c r="D472" s="32">
        <v>21397</v>
      </c>
      <c r="E472" s="32">
        <v>0</v>
      </c>
      <c r="F472" s="32">
        <v>0</v>
      </c>
      <c r="G472" s="32">
        <v>0</v>
      </c>
      <c r="H472" s="32">
        <v>0</v>
      </c>
      <c r="I472" s="32">
        <v>0</v>
      </c>
      <c r="J472" s="32">
        <v>0</v>
      </c>
      <c r="M472" s="65" t="s">
        <v>76</v>
      </c>
      <c r="N472" s="66" t="s">
        <v>878</v>
      </c>
      <c r="O472" s="66" t="s">
        <v>520</v>
      </c>
      <c r="P472" s="66">
        <v>21397</v>
      </c>
      <c r="Q472" s="66">
        <v>0</v>
      </c>
      <c r="R472" s="66">
        <v>0</v>
      </c>
      <c r="S472" s="66">
        <v>0</v>
      </c>
      <c r="T472" s="66">
        <v>0</v>
      </c>
      <c r="U472" s="66">
        <v>0</v>
      </c>
      <c r="V472" s="67">
        <v>0</v>
      </c>
    </row>
    <row r="473" spans="1:22" x14ac:dyDescent="0.25">
      <c r="A473" s="27" t="s">
        <v>831</v>
      </c>
      <c r="B473" s="27" t="s">
        <v>878</v>
      </c>
      <c r="C473" s="27" t="s">
        <v>521</v>
      </c>
      <c r="D473" s="32">
        <v>35371</v>
      </c>
      <c r="E473" s="32">
        <v>0</v>
      </c>
      <c r="F473" s="32">
        <v>0</v>
      </c>
      <c r="G473" s="32">
        <v>0</v>
      </c>
      <c r="H473" s="32">
        <v>0</v>
      </c>
      <c r="I473" s="32">
        <v>0</v>
      </c>
      <c r="J473" s="32">
        <v>0</v>
      </c>
      <c r="M473" s="68" t="s">
        <v>831</v>
      </c>
      <c r="N473" s="13" t="s">
        <v>878</v>
      </c>
      <c r="O473" s="13" t="s">
        <v>521</v>
      </c>
      <c r="P473" s="13">
        <v>35371</v>
      </c>
      <c r="Q473" s="13">
        <v>0</v>
      </c>
      <c r="R473" s="13">
        <v>0</v>
      </c>
      <c r="S473" s="13">
        <v>0</v>
      </c>
      <c r="T473" s="13">
        <v>0</v>
      </c>
      <c r="U473" s="13">
        <v>0</v>
      </c>
      <c r="V473" s="69">
        <v>0</v>
      </c>
    </row>
    <row r="474" spans="1:22" x14ac:dyDescent="0.25">
      <c r="A474" s="27" t="s">
        <v>806</v>
      </c>
      <c r="B474" s="27" t="s">
        <v>878</v>
      </c>
      <c r="C474" s="27" t="s">
        <v>522</v>
      </c>
      <c r="D474" s="32">
        <v>9784</v>
      </c>
      <c r="E474" s="32">
        <v>0</v>
      </c>
      <c r="F474" s="32">
        <v>0</v>
      </c>
      <c r="G474" s="32">
        <v>0</v>
      </c>
      <c r="H474" s="32">
        <v>0</v>
      </c>
      <c r="I474" s="32">
        <v>0</v>
      </c>
      <c r="J474" s="32">
        <v>0</v>
      </c>
      <c r="M474" s="65" t="s">
        <v>806</v>
      </c>
      <c r="N474" s="66" t="s">
        <v>878</v>
      </c>
      <c r="O474" s="66" t="s">
        <v>522</v>
      </c>
      <c r="P474" s="66">
        <v>9784</v>
      </c>
      <c r="Q474" s="66">
        <v>0</v>
      </c>
      <c r="R474" s="66">
        <v>0</v>
      </c>
      <c r="S474" s="66">
        <v>0</v>
      </c>
      <c r="T474" s="66">
        <v>0</v>
      </c>
      <c r="U474" s="66">
        <v>0</v>
      </c>
      <c r="V474" s="67">
        <v>0</v>
      </c>
    </row>
    <row r="475" spans="1:22" x14ac:dyDescent="0.25">
      <c r="A475" s="27" t="s">
        <v>823</v>
      </c>
      <c r="B475" s="27" t="s">
        <v>878</v>
      </c>
      <c r="C475" s="27" t="s">
        <v>523</v>
      </c>
      <c r="D475" s="32">
        <v>41104</v>
      </c>
      <c r="E475" s="32">
        <v>0</v>
      </c>
      <c r="F475" s="32">
        <v>0</v>
      </c>
      <c r="G475" s="32">
        <v>0</v>
      </c>
      <c r="H475" s="32">
        <v>0</v>
      </c>
      <c r="I475" s="32">
        <v>0</v>
      </c>
      <c r="J475" s="32">
        <v>0</v>
      </c>
      <c r="M475" s="68" t="s">
        <v>823</v>
      </c>
      <c r="N475" s="13" t="s">
        <v>878</v>
      </c>
      <c r="O475" s="13" t="s">
        <v>523</v>
      </c>
      <c r="P475" s="13">
        <v>41104</v>
      </c>
      <c r="Q475" s="13">
        <v>0</v>
      </c>
      <c r="R475" s="13">
        <v>0</v>
      </c>
      <c r="S475" s="13">
        <v>0</v>
      </c>
      <c r="T475" s="13">
        <v>0</v>
      </c>
      <c r="U475" s="13">
        <v>0</v>
      </c>
      <c r="V475" s="69">
        <v>0</v>
      </c>
    </row>
    <row r="476" spans="1:22" x14ac:dyDescent="0.25">
      <c r="A476" s="27" t="s">
        <v>248</v>
      </c>
      <c r="B476" s="27" t="s">
        <v>878</v>
      </c>
      <c r="C476" s="27" t="s">
        <v>524</v>
      </c>
      <c r="D476" s="32">
        <v>8748</v>
      </c>
      <c r="E476" s="32">
        <v>0</v>
      </c>
      <c r="F476" s="32">
        <v>0</v>
      </c>
      <c r="G476" s="32">
        <v>0</v>
      </c>
      <c r="H476" s="32">
        <v>0</v>
      </c>
      <c r="I476" s="32">
        <v>0</v>
      </c>
      <c r="J476" s="32">
        <v>0</v>
      </c>
      <c r="M476" s="65" t="s">
        <v>248</v>
      </c>
      <c r="N476" s="66" t="s">
        <v>878</v>
      </c>
      <c r="O476" s="66" t="s">
        <v>524</v>
      </c>
      <c r="P476" s="66">
        <v>8748</v>
      </c>
      <c r="Q476" s="66">
        <v>0</v>
      </c>
      <c r="R476" s="66">
        <v>0</v>
      </c>
      <c r="S476" s="66">
        <v>0</v>
      </c>
      <c r="T476" s="66">
        <v>0</v>
      </c>
      <c r="U476" s="66">
        <v>0</v>
      </c>
      <c r="V476" s="67">
        <v>0</v>
      </c>
    </row>
    <row r="477" spans="1:22" x14ac:dyDescent="0.25">
      <c r="A477" s="27" t="s">
        <v>231</v>
      </c>
      <c r="B477" s="27" t="s">
        <v>878</v>
      </c>
      <c r="C477" s="27" t="s">
        <v>525</v>
      </c>
      <c r="D477" s="32">
        <v>8416</v>
      </c>
      <c r="E477" s="32">
        <v>0</v>
      </c>
      <c r="F477" s="32">
        <v>0</v>
      </c>
      <c r="G477" s="32">
        <v>0</v>
      </c>
      <c r="H477" s="32">
        <v>0</v>
      </c>
      <c r="I477" s="32">
        <v>0</v>
      </c>
      <c r="J477" s="32">
        <v>0</v>
      </c>
      <c r="M477" s="68" t="s">
        <v>231</v>
      </c>
      <c r="N477" s="13" t="s">
        <v>878</v>
      </c>
      <c r="O477" s="13" t="s">
        <v>525</v>
      </c>
      <c r="P477" s="13">
        <v>8416</v>
      </c>
      <c r="Q477" s="13">
        <v>0</v>
      </c>
      <c r="R477" s="13">
        <v>0</v>
      </c>
      <c r="S477" s="13">
        <v>0</v>
      </c>
      <c r="T477" s="13">
        <v>0</v>
      </c>
      <c r="U477" s="13">
        <v>0</v>
      </c>
      <c r="V477" s="69">
        <v>0</v>
      </c>
    </row>
    <row r="478" spans="1:22" x14ac:dyDescent="0.25">
      <c r="A478" s="27" t="s">
        <v>76</v>
      </c>
      <c r="B478" s="27" t="s">
        <v>878</v>
      </c>
      <c r="C478" s="27" t="s">
        <v>526</v>
      </c>
      <c r="D478" s="32">
        <v>3891</v>
      </c>
      <c r="E478" s="32">
        <v>0</v>
      </c>
      <c r="F478" s="32">
        <v>0</v>
      </c>
      <c r="G478" s="32">
        <v>0</v>
      </c>
      <c r="H478" s="32">
        <v>0</v>
      </c>
      <c r="I478" s="32">
        <v>0</v>
      </c>
      <c r="J478" s="32">
        <v>0</v>
      </c>
      <c r="M478" s="65" t="s">
        <v>76</v>
      </c>
      <c r="N478" s="66" t="s">
        <v>878</v>
      </c>
      <c r="O478" s="66" t="s">
        <v>526</v>
      </c>
      <c r="P478" s="66">
        <v>3891</v>
      </c>
      <c r="Q478" s="66">
        <v>0</v>
      </c>
      <c r="R478" s="66">
        <v>0</v>
      </c>
      <c r="S478" s="66">
        <v>0</v>
      </c>
      <c r="T478" s="66">
        <v>0</v>
      </c>
      <c r="U478" s="66">
        <v>0</v>
      </c>
      <c r="V478" s="67">
        <v>0</v>
      </c>
    </row>
    <row r="479" spans="1:22" x14ac:dyDescent="0.25">
      <c r="A479" s="27" t="s">
        <v>804</v>
      </c>
      <c r="B479" s="27" t="s">
        <v>878</v>
      </c>
      <c r="C479" s="27" t="s">
        <v>527</v>
      </c>
      <c r="D479" s="32">
        <v>42673</v>
      </c>
      <c r="E479" s="32">
        <v>0</v>
      </c>
      <c r="F479" s="32">
        <v>0</v>
      </c>
      <c r="G479" s="32">
        <v>0</v>
      </c>
      <c r="H479" s="32">
        <v>0</v>
      </c>
      <c r="I479" s="32">
        <v>0</v>
      </c>
      <c r="J479" s="32">
        <v>0</v>
      </c>
      <c r="M479" s="68" t="s">
        <v>804</v>
      </c>
      <c r="N479" s="13" t="s">
        <v>878</v>
      </c>
      <c r="O479" s="13" t="s">
        <v>527</v>
      </c>
      <c r="P479" s="13">
        <v>42673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69">
        <v>0</v>
      </c>
    </row>
    <row r="480" spans="1:22" x14ac:dyDescent="0.25">
      <c r="A480" s="27" t="s">
        <v>76</v>
      </c>
      <c r="B480" s="27" t="s">
        <v>878</v>
      </c>
      <c r="C480" s="27" t="s">
        <v>528</v>
      </c>
      <c r="D480" s="32">
        <v>1495</v>
      </c>
      <c r="E480" s="32">
        <v>0</v>
      </c>
      <c r="F480" s="32">
        <v>0</v>
      </c>
      <c r="G480" s="32">
        <v>0</v>
      </c>
      <c r="H480" s="32">
        <v>0</v>
      </c>
      <c r="I480" s="32">
        <v>0</v>
      </c>
      <c r="J480" s="32">
        <v>0</v>
      </c>
      <c r="M480" s="65" t="s">
        <v>76</v>
      </c>
      <c r="N480" s="66" t="s">
        <v>878</v>
      </c>
      <c r="O480" s="66" t="s">
        <v>528</v>
      </c>
      <c r="P480" s="66">
        <v>1495</v>
      </c>
      <c r="Q480" s="66">
        <v>0</v>
      </c>
      <c r="R480" s="66">
        <v>0</v>
      </c>
      <c r="S480" s="66">
        <v>0</v>
      </c>
      <c r="T480" s="66">
        <v>0</v>
      </c>
      <c r="U480" s="66">
        <v>0</v>
      </c>
      <c r="V480" s="67">
        <v>0</v>
      </c>
    </row>
    <row r="481" spans="1:22" x14ac:dyDescent="0.25">
      <c r="A481" s="27" t="s">
        <v>801</v>
      </c>
      <c r="B481" s="27" t="s">
        <v>878</v>
      </c>
      <c r="C481" s="27" t="s">
        <v>529</v>
      </c>
      <c r="D481" s="32">
        <v>26188</v>
      </c>
      <c r="E481" s="32">
        <v>0</v>
      </c>
      <c r="F481" s="32">
        <v>0</v>
      </c>
      <c r="G481" s="32">
        <v>0</v>
      </c>
      <c r="H481" s="32">
        <v>0</v>
      </c>
      <c r="I481" s="32">
        <v>0</v>
      </c>
      <c r="J481" s="32">
        <v>0</v>
      </c>
      <c r="M481" s="68" t="s">
        <v>801</v>
      </c>
      <c r="N481" s="13" t="s">
        <v>878</v>
      </c>
      <c r="O481" s="13" t="s">
        <v>529</v>
      </c>
      <c r="P481" s="13">
        <v>26188</v>
      </c>
      <c r="Q481" s="13">
        <v>0</v>
      </c>
      <c r="R481" s="13">
        <v>0</v>
      </c>
      <c r="S481" s="13">
        <v>0</v>
      </c>
      <c r="T481" s="13">
        <v>0</v>
      </c>
      <c r="U481" s="13">
        <v>0</v>
      </c>
      <c r="V481" s="69">
        <v>0</v>
      </c>
    </row>
    <row r="482" spans="1:22" x14ac:dyDescent="0.25">
      <c r="A482" s="27" t="s">
        <v>795</v>
      </c>
      <c r="B482" s="27" t="s">
        <v>878</v>
      </c>
      <c r="C482" s="27" t="s">
        <v>530</v>
      </c>
      <c r="D482" s="32">
        <v>156061</v>
      </c>
      <c r="E482" s="32">
        <v>0</v>
      </c>
      <c r="F482" s="32">
        <v>0</v>
      </c>
      <c r="G482" s="32">
        <v>0</v>
      </c>
      <c r="H482" s="32">
        <v>0</v>
      </c>
      <c r="I482" s="32">
        <v>0</v>
      </c>
      <c r="J482" s="32">
        <v>0</v>
      </c>
      <c r="M482" s="65" t="s">
        <v>795</v>
      </c>
      <c r="N482" s="66" t="s">
        <v>878</v>
      </c>
      <c r="O482" s="66" t="s">
        <v>530</v>
      </c>
      <c r="P482" s="66">
        <v>156061</v>
      </c>
      <c r="Q482" s="66">
        <v>0</v>
      </c>
      <c r="R482" s="66">
        <v>0</v>
      </c>
      <c r="S482" s="66">
        <v>0</v>
      </c>
      <c r="T482" s="66">
        <v>0</v>
      </c>
      <c r="U482" s="66">
        <v>0</v>
      </c>
      <c r="V482" s="67">
        <v>0</v>
      </c>
    </row>
    <row r="483" spans="1:22" x14ac:dyDescent="0.25">
      <c r="A483" s="27" t="s">
        <v>848</v>
      </c>
      <c r="B483" s="27" t="s">
        <v>878</v>
      </c>
      <c r="C483" s="27" t="s">
        <v>531</v>
      </c>
      <c r="D483" s="32">
        <v>11639</v>
      </c>
      <c r="E483" s="32">
        <v>0</v>
      </c>
      <c r="F483" s="32">
        <v>0</v>
      </c>
      <c r="G483" s="32">
        <v>0</v>
      </c>
      <c r="H483" s="32">
        <v>0</v>
      </c>
      <c r="I483" s="32">
        <v>0</v>
      </c>
      <c r="J483" s="32">
        <v>0</v>
      </c>
      <c r="M483" s="68" t="s">
        <v>848</v>
      </c>
      <c r="N483" s="13" t="s">
        <v>878</v>
      </c>
      <c r="O483" s="13" t="s">
        <v>531</v>
      </c>
      <c r="P483" s="13">
        <v>11639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69">
        <v>0</v>
      </c>
    </row>
    <row r="484" spans="1:22" x14ac:dyDescent="0.25">
      <c r="A484" s="27" t="s">
        <v>824</v>
      </c>
      <c r="B484" s="27" t="s">
        <v>878</v>
      </c>
      <c r="C484" s="27" t="s">
        <v>532</v>
      </c>
      <c r="D484" s="32">
        <v>18902</v>
      </c>
      <c r="E484" s="32">
        <v>0</v>
      </c>
      <c r="F484" s="32">
        <v>0</v>
      </c>
      <c r="G484" s="32">
        <v>0</v>
      </c>
      <c r="H484" s="32">
        <v>0</v>
      </c>
      <c r="I484" s="32">
        <v>0</v>
      </c>
      <c r="J484" s="32">
        <v>0</v>
      </c>
      <c r="M484" s="65" t="s">
        <v>824</v>
      </c>
      <c r="N484" s="66" t="s">
        <v>878</v>
      </c>
      <c r="O484" s="66" t="s">
        <v>532</v>
      </c>
      <c r="P484" s="66">
        <v>18902</v>
      </c>
      <c r="Q484" s="66">
        <v>0</v>
      </c>
      <c r="R484" s="66">
        <v>0</v>
      </c>
      <c r="S484" s="66">
        <v>0</v>
      </c>
      <c r="T484" s="66">
        <v>0</v>
      </c>
      <c r="U484" s="66">
        <v>0</v>
      </c>
      <c r="V484" s="67">
        <v>0</v>
      </c>
    </row>
    <row r="485" spans="1:22" x14ac:dyDescent="0.25">
      <c r="A485" s="27" t="s">
        <v>76</v>
      </c>
      <c r="B485" s="27" t="s">
        <v>878</v>
      </c>
      <c r="C485" s="27" t="s">
        <v>533</v>
      </c>
      <c r="D485" s="32">
        <v>2233</v>
      </c>
      <c r="E485" s="32">
        <v>0</v>
      </c>
      <c r="F485" s="32">
        <v>0</v>
      </c>
      <c r="G485" s="32">
        <v>0</v>
      </c>
      <c r="H485" s="32">
        <v>0</v>
      </c>
      <c r="I485" s="32">
        <v>0</v>
      </c>
      <c r="J485" s="32">
        <v>0</v>
      </c>
      <c r="M485" s="68" t="s">
        <v>76</v>
      </c>
      <c r="N485" s="13" t="s">
        <v>878</v>
      </c>
      <c r="O485" s="13" t="s">
        <v>533</v>
      </c>
      <c r="P485" s="13">
        <v>2233</v>
      </c>
      <c r="Q485" s="13">
        <v>0</v>
      </c>
      <c r="R485" s="13">
        <v>0</v>
      </c>
      <c r="S485" s="13">
        <v>0</v>
      </c>
      <c r="T485" s="13">
        <v>0</v>
      </c>
      <c r="U485" s="13">
        <v>0</v>
      </c>
      <c r="V485" s="69">
        <v>0</v>
      </c>
    </row>
    <row r="486" spans="1:22" x14ac:dyDescent="0.25">
      <c r="A486" s="27" t="s">
        <v>101</v>
      </c>
      <c r="B486" s="27" t="s">
        <v>878</v>
      </c>
      <c r="C486" s="27" t="s">
        <v>534</v>
      </c>
      <c r="D486" s="32">
        <v>20584</v>
      </c>
      <c r="E486" s="32">
        <v>0</v>
      </c>
      <c r="F486" s="32">
        <v>0</v>
      </c>
      <c r="G486" s="32">
        <v>0</v>
      </c>
      <c r="H486" s="32">
        <v>0</v>
      </c>
      <c r="I486" s="32">
        <v>0</v>
      </c>
      <c r="J486" s="32">
        <v>0</v>
      </c>
      <c r="M486" s="65" t="s">
        <v>101</v>
      </c>
      <c r="N486" s="66" t="s">
        <v>878</v>
      </c>
      <c r="O486" s="66" t="s">
        <v>534</v>
      </c>
      <c r="P486" s="66">
        <v>20584</v>
      </c>
      <c r="Q486" s="66">
        <v>0</v>
      </c>
      <c r="R486" s="66">
        <v>0</v>
      </c>
      <c r="S486" s="66">
        <v>0</v>
      </c>
      <c r="T486" s="66">
        <v>0</v>
      </c>
      <c r="U486" s="66">
        <v>0</v>
      </c>
      <c r="V486" s="67">
        <v>0</v>
      </c>
    </row>
    <row r="487" spans="1:22" x14ac:dyDescent="0.25">
      <c r="A487" s="27" t="s">
        <v>803</v>
      </c>
      <c r="B487" s="27" t="s">
        <v>878</v>
      </c>
      <c r="C487" s="27" t="s">
        <v>535</v>
      </c>
      <c r="D487" s="32"/>
      <c r="E487" s="32"/>
      <c r="F487" s="32"/>
      <c r="G487" s="32"/>
      <c r="H487" s="32"/>
      <c r="I487" s="32"/>
      <c r="J487" s="32"/>
      <c r="M487" s="68" t="s">
        <v>803</v>
      </c>
      <c r="N487" s="13" t="s">
        <v>878</v>
      </c>
      <c r="O487" s="13" t="s">
        <v>535</v>
      </c>
      <c r="P487" s="13"/>
      <c r="Q487" s="13"/>
      <c r="R487" s="13"/>
      <c r="S487" s="13"/>
      <c r="T487" s="13"/>
      <c r="U487" s="13"/>
      <c r="V487" s="69"/>
    </row>
    <row r="488" spans="1:22" x14ac:dyDescent="0.25">
      <c r="A488" s="27" t="s">
        <v>120</v>
      </c>
      <c r="B488" s="27" t="s">
        <v>878</v>
      </c>
      <c r="C488" s="27" t="s">
        <v>536</v>
      </c>
      <c r="D488" s="32">
        <v>8608</v>
      </c>
      <c r="E488" s="32">
        <v>0</v>
      </c>
      <c r="F488" s="32">
        <v>0</v>
      </c>
      <c r="G488" s="32">
        <v>0</v>
      </c>
      <c r="H488" s="32">
        <v>0</v>
      </c>
      <c r="I488" s="32">
        <v>0</v>
      </c>
      <c r="J488" s="32">
        <v>0</v>
      </c>
      <c r="M488" s="65" t="s">
        <v>120</v>
      </c>
      <c r="N488" s="66" t="s">
        <v>878</v>
      </c>
      <c r="O488" s="66" t="s">
        <v>536</v>
      </c>
      <c r="P488" s="66">
        <v>8608</v>
      </c>
      <c r="Q488" s="66">
        <v>0</v>
      </c>
      <c r="R488" s="66">
        <v>0</v>
      </c>
      <c r="S488" s="66">
        <v>0</v>
      </c>
      <c r="T488" s="66">
        <v>0</v>
      </c>
      <c r="U488" s="66">
        <v>0</v>
      </c>
      <c r="V488" s="67">
        <v>0</v>
      </c>
    </row>
    <row r="489" spans="1:22" x14ac:dyDescent="0.25">
      <c r="A489" s="27" t="s">
        <v>817</v>
      </c>
      <c r="B489" s="27" t="s">
        <v>878</v>
      </c>
      <c r="C489" s="27" t="s">
        <v>537</v>
      </c>
      <c r="D489" s="32">
        <v>53753</v>
      </c>
      <c r="E489" s="32">
        <v>0</v>
      </c>
      <c r="F489" s="32">
        <v>0</v>
      </c>
      <c r="G489" s="32">
        <v>0</v>
      </c>
      <c r="H489" s="32">
        <v>0</v>
      </c>
      <c r="I489" s="32">
        <v>0</v>
      </c>
      <c r="J489" s="32">
        <v>0</v>
      </c>
      <c r="M489" s="68" t="s">
        <v>817</v>
      </c>
      <c r="N489" s="13" t="s">
        <v>878</v>
      </c>
      <c r="O489" s="13" t="s">
        <v>537</v>
      </c>
      <c r="P489" s="13">
        <v>53753</v>
      </c>
      <c r="Q489" s="13">
        <v>0</v>
      </c>
      <c r="R489" s="13">
        <v>0</v>
      </c>
      <c r="S489" s="13">
        <v>0</v>
      </c>
      <c r="T489" s="13">
        <v>0</v>
      </c>
      <c r="U489" s="13">
        <v>0</v>
      </c>
      <c r="V489" s="69">
        <v>0</v>
      </c>
    </row>
    <row r="490" spans="1:22" x14ac:dyDescent="0.25">
      <c r="A490" s="27" t="s">
        <v>811</v>
      </c>
      <c r="B490" s="27" t="s">
        <v>878</v>
      </c>
      <c r="C490" s="27" t="s">
        <v>538</v>
      </c>
      <c r="D490" s="32">
        <v>203537</v>
      </c>
      <c r="E490" s="32">
        <v>0</v>
      </c>
      <c r="F490" s="32">
        <v>0</v>
      </c>
      <c r="G490" s="32">
        <v>0</v>
      </c>
      <c r="H490" s="32">
        <v>0</v>
      </c>
      <c r="I490" s="32">
        <v>0</v>
      </c>
      <c r="J490" s="32">
        <v>0</v>
      </c>
      <c r="M490" s="65" t="s">
        <v>811</v>
      </c>
      <c r="N490" s="66" t="s">
        <v>878</v>
      </c>
      <c r="O490" s="66" t="s">
        <v>538</v>
      </c>
      <c r="P490" s="66">
        <v>203537</v>
      </c>
      <c r="Q490" s="66">
        <v>0</v>
      </c>
      <c r="R490" s="66">
        <v>0</v>
      </c>
      <c r="S490" s="66">
        <v>0</v>
      </c>
      <c r="T490" s="66">
        <v>0</v>
      </c>
      <c r="U490" s="66">
        <v>0</v>
      </c>
      <c r="V490" s="67">
        <v>0</v>
      </c>
    </row>
    <row r="491" spans="1:22" x14ac:dyDescent="0.25">
      <c r="A491" s="27" t="s">
        <v>817</v>
      </c>
      <c r="B491" s="27" t="s">
        <v>878</v>
      </c>
      <c r="C491" s="27" t="s">
        <v>539</v>
      </c>
      <c r="D491" s="32">
        <v>15862</v>
      </c>
      <c r="E491" s="32">
        <v>0</v>
      </c>
      <c r="F491" s="32">
        <v>0</v>
      </c>
      <c r="G491" s="32">
        <v>0</v>
      </c>
      <c r="H491" s="32">
        <v>0</v>
      </c>
      <c r="I491" s="32">
        <v>0</v>
      </c>
      <c r="J491" s="32">
        <v>0</v>
      </c>
      <c r="M491" s="68" t="s">
        <v>817</v>
      </c>
      <c r="N491" s="13" t="s">
        <v>878</v>
      </c>
      <c r="O491" s="13" t="s">
        <v>539</v>
      </c>
      <c r="P491" s="13">
        <v>15862</v>
      </c>
      <c r="Q491" s="13">
        <v>0</v>
      </c>
      <c r="R491" s="13">
        <v>0</v>
      </c>
      <c r="S491" s="13">
        <v>0</v>
      </c>
      <c r="T491" s="13">
        <v>0</v>
      </c>
      <c r="U491" s="13">
        <v>0</v>
      </c>
      <c r="V491" s="69">
        <v>0</v>
      </c>
    </row>
    <row r="492" spans="1:22" x14ac:dyDescent="0.25">
      <c r="A492" s="27" t="s">
        <v>146</v>
      </c>
      <c r="B492" s="27" t="s">
        <v>878</v>
      </c>
      <c r="C492" s="27" t="s">
        <v>540</v>
      </c>
      <c r="D492" s="32">
        <v>29463</v>
      </c>
      <c r="E492" s="32">
        <v>0</v>
      </c>
      <c r="F492" s="32">
        <v>0</v>
      </c>
      <c r="G492" s="32">
        <v>0</v>
      </c>
      <c r="H492" s="32">
        <v>0</v>
      </c>
      <c r="I492" s="32">
        <v>0</v>
      </c>
      <c r="J492" s="32">
        <v>0</v>
      </c>
      <c r="M492" s="65" t="s">
        <v>146</v>
      </c>
      <c r="N492" s="66" t="s">
        <v>878</v>
      </c>
      <c r="O492" s="66" t="s">
        <v>540</v>
      </c>
      <c r="P492" s="66">
        <v>29463</v>
      </c>
      <c r="Q492" s="66">
        <v>0</v>
      </c>
      <c r="R492" s="66">
        <v>0</v>
      </c>
      <c r="S492" s="66">
        <v>0</v>
      </c>
      <c r="T492" s="66">
        <v>0</v>
      </c>
      <c r="U492" s="66">
        <v>0</v>
      </c>
      <c r="V492" s="67">
        <v>0</v>
      </c>
    </row>
    <row r="493" spans="1:22" x14ac:dyDescent="0.25">
      <c r="A493" s="27" t="s">
        <v>817</v>
      </c>
      <c r="B493" s="27" t="s">
        <v>878</v>
      </c>
      <c r="C493" s="27" t="s">
        <v>541</v>
      </c>
      <c r="D493" s="32">
        <v>29780</v>
      </c>
      <c r="E493" s="32">
        <v>0</v>
      </c>
      <c r="F493" s="32">
        <v>0</v>
      </c>
      <c r="G493" s="32">
        <v>0</v>
      </c>
      <c r="H493" s="32">
        <v>0</v>
      </c>
      <c r="I493" s="32">
        <v>0</v>
      </c>
      <c r="J493" s="32">
        <v>0</v>
      </c>
      <c r="M493" s="68" t="s">
        <v>817</v>
      </c>
      <c r="N493" s="13" t="s">
        <v>878</v>
      </c>
      <c r="O493" s="13" t="s">
        <v>541</v>
      </c>
      <c r="P493" s="13">
        <v>29780</v>
      </c>
      <c r="Q493" s="13">
        <v>0</v>
      </c>
      <c r="R493" s="13">
        <v>0</v>
      </c>
      <c r="S493" s="13">
        <v>0</v>
      </c>
      <c r="T493" s="13">
        <v>0</v>
      </c>
      <c r="U493" s="13">
        <v>0</v>
      </c>
      <c r="V493" s="69">
        <v>0</v>
      </c>
    </row>
    <row r="494" spans="1:22" x14ac:dyDescent="0.25">
      <c r="A494" s="27" t="s">
        <v>72</v>
      </c>
      <c r="B494" s="27" t="s">
        <v>878</v>
      </c>
      <c r="C494" s="27" t="s">
        <v>542</v>
      </c>
      <c r="D494" s="32">
        <v>34803</v>
      </c>
      <c r="E494" s="32">
        <v>0</v>
      </c>
      <c r="F494" s="32">
        <v>0</v>
      </c>
      <c r="G494" s="32">
        <v>0</v>
      </c>
      <c r="H494" s="32">
        <v>0</v>
      </c>
      <c r="I494" s="32">
        <v>0</v>
      </c>
      <c r="J494" s="32">
        <v>0</v>
      </c>
      <c r="M494" s="65" t="s">
        <v>72</v>
      </c>
      <c r="N494" s="66" t="s">
        <v>878</v>
      </c>
      <c r="O494" s="66" t="s">
        <v>542</v>
      </c>
      <c r="P494" s="66">
        <v>34803</v>
      </c>
      <c r="Q494" s="66">
        <v>0</v>
      </c>
      <c r="R494" s="66">
        <v>0</v>
      </c>
      <c r="S494" s="66">
        <v>0</v>
      </c>
      <c r="T494" s="66">
        <v>0</v>
      </c>
      <c r="U494" s="66">
        <v>0</v>
      </c>
      <c r="V494" s="67">
        <v>0</v>
      </c>
    </row>
    <row r="495" spans="1:22" x14ac:dyDescent="0.25">
      <c r="A495" s="27" t="s">
        <v>848</v>
      </c>
      <c r="B495" s="27" t="s">
        <v>878</v>
      </c>
      <c r="C495" s="27" t="s">
        <v>543</v>
      </c>
      <c r="D495" s="32">
        <v>19405</v>
      </c>
      <c r="E495" s="32">
        <v>0</v>
      </c>
      <c r="F495" s="32">
        <v>0</v>
      </c>
      <c r="G495" s="32">
        <v>0</v>
      </c>
      <c r="H495" s="32">
        <v>0</v>
      </c>
      <c r="I495" s="32">
        <v>0</v>
      </c>
      <c r="J495" s="32">
        <v>0</v>
      </c>
      <c r="M495" s="68" t="s">
        <v>848</v>
      </c>
      <c r="N495" s="13" t="s">
        <v>878</v>
      </c>
      <c r="O495" s="13" t="s">
        <v>543</v>
      </c>
      <c r="P495" s="13">
        <v>19405</v>
      </c>
      <c r="Q495" s="13">
        <v>0</v>
      </c>
      <c r="R495" s="13">
        <v>0</v>
      </c>
      <c r="S495" s="13">
        <v>0</v>
      </c>
      <c r="T495" s="13">
        <v>0</v>
      </c>
      <c r="U495" s="13">
        <v>0</v>
      </c>
      <c r="V495" s="69">
        <v>0</v>
      </c>
    </row>
    <row r="496" spans="1:22" x14ac:dyDescent="0.25">
      <c r="A496" s="27" t="s">
        <v>83</v>
      </c>
      <c r="B496" s="27" t="s">
        <v>878</v>
      </c>
      <c r="C496" s="27" t="s">
        <v>544</v>
      </c>
      <c r="D496" s="32">
        <v>2366</v>
      </c>
      <c r="E496" s="32">
        <v>0</v>
      </c>
      <c r="F496" s="32">
        <v>0</v>
      </c>
      <c r="G496" s="32">
        <v>0</v>
      </c>
      <c r="H496" s="32">
        <v>0</v>
      </c>
      <c r="I496" s="32">
        <v>0</v>
      </c>
      <c r="J496" s="32">
        <v>0</v>
      </c>
      <c r="M496" s="65" t="s">
        <v>83</v>
      </c>
      <c r="N496" s="66" t="s">
        <v>878</v>
      </c>
      <c r="O496" s="66" t="s">
        <v>544</v>
      </c>
      <c r="P496" s="66">
        <v>2366</v>
      </c>
      <c r="Q496" s="66">
        <v>0</v>
      </c>
      <c r="R496" s="66">
        <v>0</v>
      </c>
      <c r="S496" s="66">
        <v>0</v>
      </c>
      <c r="T496" s="66">
        <v>0</v>
      </c>
      <c r="U496" s="66">
        <v>0</v>
      </c>
      <c r="V496" s="67">
        <v>0</v>
      </c>
    </row>
    <row r="497" spans="1:22" x14ac:dyDescent="0.25">
      <c r="A497" s="27" t="s">
        <v>248</v>
      </c>
      <c r="B497" s="27" t="s">
        <v>878</v>
      </c>
      <c r="C497" s="27" t="s">
        <v>545</v>
      </c>
      <c r="D497" s="32">
        <v>15282</v>
      </c>
      <c r="E497" s="32">
        <v>0</v>
      </c>
      <c r="F497" s="32">
        <v>0</v>
      </c>
      <c r="G497" s="32">
        <v>0</v>
      </c>
      <c r="H497" s="32">
        <v>0</v>
      </c>
      <c r="I497" s="32">
        <v>0</v>
      </c>
      <c r="J497" s="32">
        <v>0</v>
      </c>
      <c r="M497" s="68" t="s">
        <v>248</v>
      </c>
      <c r="N497" s="13" t="s">
        <v>878</v>
      </c>
      <c r="O497" s="13" t="s">
        <v>545</v>
      </c>
      <c r="P497" s="13">
        <v>15282</v>
      </c>
      <c r="Q497" s="13">
        <v>0</v>
      </c>
      <c r="R497" s="13">
        <v>0</v>
      </c>
      <c r="S497" s="13">
        <v>0</v>
      </c>
      <c r="T497" s="13">
        <v>0</v>
      </c>
      <c r="U497" s="13">
        <v>0</v>
      </c>
      <c r="V497" s="69">
        <v>0</v>
      </c>
    </row>
    <row r="498" spans="1:22" x14ac:dyDescent="0.25">
      <c r="A498" s="27" t="s">
        <v>76</v>
      </c>
      <c r="B498" s="27" t="s">
        <v>878</v>
      </c>
      <c r="C498" s="27" t="s">
        <v>546</v>
      </c>
      <c r="D498" s="32">
        <v>8306</v>
      </c>
      <c r="E498" s="32">
        <v>0</v>
      </c>
      <c r="F498" s="32">
        <v>0</v>
      </c>
      <c r="G498" s="32">
        <v>0</v>
      </c>
      <c r="H498" s="32">
        <v>0</v>
      </c>
      <c r="I498" s="32">
        <v>0</v>
      </c>
      <c r="J498" s="32">
        <v>0</v>
      </c>
      <c r="M498" s="65" t="s">
        <v>76</v>
      </c>
      <c r="N498" s="66" t="s">
        <v>878</v>
      </c>
      <c r="O498" s="66" t="s">
        <v>546</v>
      </c>
      <c r="P498" s="66">
        <v>8306</v>
      </c>
      <c r="Q498" s="66">
        <v>0</v>
      </c>
      <c r="R498" s="66">
        <v>0</v>
      </c>
      <c r="S498" s="66">
        <v>0</v>
      </c>
      <c r="T498" s="66">
        <v>0</v>
      </c>
      <c r="U498" s="66">
        <v>0</v>
      </c>
      <c r="V498" s="67">
        <v>0</v>
      </c>
    </row>
    <row r="499" spans="1:22" x14ac:dyDescent="0.25">
      <c r="A499" s="27" t="s">
        <v>495</v>
      </c>
      <c r="B499" s="27" t="s">
        <v>878</v>
      </c>
      <c r="C499" s="27" t="s">
        <v>547</v>
      </c>
      <c r="D499" s="32">
        <v>32834</v>
      </c>
      <c r="E499" s="32">
        <v>0</v>
      </c>
      <c r="F499" s="32">
        <v>0</v>
      </c>
      <c r="G499" s="32">
        <v>0</v>
      </c>
      <c r="H499" s="32">
        <v>0</v>
      </c>
      <c r="I499" s="32">
        <v>0</v>
      </c>
      <c r="J499" s="32">
        <v>0</v>
      </c>
      <c r="M499" s="68" t="s">
        <v>495</v>
      </c>
      <c r="N499" s="13" t="s">
        <v>878</v>
      </c>
      <c r="O499" s="13" t="s">
        <v>547</v>
      </c>
      <c r="P499" s="13">
        <v>32834</v>
      </c>
      <c r="Q499" s="13">
        <v>0</v>
      </c>
      <c r="R499" s="13">
        <v>0</v>
      </c>
      <c r="S499" s="13">
        <v>0</v>
      </c>
      <c r="T499" s="13">
        <v>0</v>
      </c>
      <c r="U499" s="13">
        <v>0</v>
      </c>
      <c r="V499" s="69">
        <v>0</v>
      </c>
    </row>
    <row r="500" spans="1:22" x14ac:dyDescent="0.25">
      <c r="A500" s="27" t="s">
        <v>825</v>
      </c>
      <c r="B500" s="27" t="s">
        <v>878</v>
      </c>
      <c r="C500" s="27" t="s">
        <v>548</v>
      </c>
      <c r="D500" s="32">
        <v>17384</v>
      </c>
      <c r="E500" s="32">
        <v>0</v>
      </c>
      <c r="F500" s="32">
        <v>0</v>
      </c>
      <c r="G500" s="32">
        <v>0</v>
      </c>
      <c r="H500" s="32">
        <v>0</v>
      </c>
      <c r="I500" s="32">
        <v>0</v>
      </c>
      <c r="J500" s="32">
        <v>0</v>
      </c>
      <c r="M500" s="65" t="s">
        <v>825</v>
      </c>
      <c r="N500" s="66" t="s">
        <v>878</v>
      </c>
      <c r="O500" s="66" t="s">
        <v>548</v>
      </c>
      <c r="P500" s="66">
        <v>17384</v>
      </c>
      <c r="Q500" s="66">
        <v>0</v>
      </c>
      <c r="R500" s="66">
        <v>0</v>
      </c>
      <c r="S500" s="66">
        <v>0</v>
      </c>
      <c r="T500" s="66">
        <v>0</v>
      </c>
      <c r="U500" s="66">
        <v>0</v>
      </c>
      <c r="V500" s="67">
        <v>0</v>
      </c>
    </row>
    <row r="501" spans="1:22" x14ac:dyDescent="0.25">
      <c r="A501" s="27" t="s">
        <v>72</v>
      </c>
      <c r="B501" s="27" t="s">
        <v>878</v>
      </c>
      <c r="C501" s="27" t="s">
        <v>549</v>
      </c>
      <c r="D501" s="32">
        <v>44300</v>
      </c>
      <c r="E501" s="32">
        <v>0</v>
      </c>
      <c r="F501" s="32">
        <v>0</v>
      </c>
      <c r="G501" s="32">
        <v>0</v>
      </c>
      <c r="H501" s="32">
        <v>0</v>
      </c>
      <c r="I501" s="32">
        <v>0</v>
      </c>
      <c r="J501" s="32">
        <v>0</v>
      </c>
      <c r="M501" s="68" t="s">
        <v>72</v>
      </c>
      <c r="N501" s="13" t="s">
        <v>878</v>
      </c>
      <c r="O501" s="13" t="s">
        <v>549</v>
      </c>
      <c r="P501" s="13">
        <v>44300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  <c r="V501" s="69">
        <v>0</v>
      </c>
    </row>
    <row r="502" spans="1:22" x14ac:dyDescent="0.25">
      <c r="A502" s="27" t="s">
        <v>134</v>
      </c>
      <c r="B502" s="27" t="s">
        <v>878</v>
      </c>
      <c r="C502" s="27" t="s">
        <v>550</v>
      </c>
      <c r="D502" s="32">
        <v>36102</v>
      </c>
      <c r="E502" s="32">
        <v>0</v>
      </c>
      <c r="F502" s="32">
        <v>0</v>
      </c>
      <c r="G502" s="32">
        <v>0</v>
      </c>
      <c r="H502" s="32">
        <v>0</v>
      </c>
      <c r="I502" s="32">
        <v>0</v>
      </c>
      <c r="J502" s="32">
        <v>0</v>
      </c>
      <c r="M502" s="65" t="s">
        <v>134</v>
      </c>
      <c r="N502" s="66" t="s">
        <v>878</v>
      </c>
      <c r="O502" s="66" t="s">
        <v>550</v>
      </c>
      <c r="P502" s="66">
        <v>36102</v>
      </c>
      <c r="Q502" s="66">
        <v>0</v>
      </c>
      <c r="R502" s="66">
        <v>0</v>
      </c>
      <c r="S502" s="66">
        <v>0</v>
      </c>
      <c r="T502" s="66">
        <v>0</v>
      </c>
      <c r="U502" s="66">
        <v>0</v>
      </c>
      <c r="V502" s="67">
        <v>0</v>
      </c>
    </row>
    <row r="503" spans="1:22" x14ac:dyDescent="0.25">
      <c r="A503" s="27" t="s">
        <v>795</v>
      </c>
      <c r="B503" s="27" t="s">
        <v>878</v>
      </c>
      <c r="C503" s="27" t="s">
        <v>551</v>
      </c>
      <c r="D503" s="32">
        <v>17241</v>
      </c>
      <c r="E503" s="32">
        <v>0</v>
      </c>
      <c r="F503" s="32">
        <v>0</v>
      </c>
      <c r="G503" s="32">
        <v>0</v>
      </c>
      <c r="H503" s="32">
        <v>0</v>
      </c>
      <c r="I503" s="32">
        <v>0</v>
      </c>
      <c r="J503" s="32">
        <v>0</v>
      </c>
      <c r="M503" s="68" t="s">
        <v>795</v>
      </c>
      <c r="N503" s="13" t="s">
        <v>878</v>
      </c>
      <c r="O503" s="13" t="s">
        <v>551</v>
      </c>
      <c r="P503" s="13">
        <v>17241</v>
      </c>
      <c r="Q503" s="13">
        <v>0</v>
      </c>
      <c r="R503" s="13">
        <v>0</v>
      </c>
      <c r="S503" s="13">
        <v>0</v>
      </c>
      <c r="T503" s="13">
        <v>0</v>
      </c>
      <c r="U503" s="13">
        <v>0</v>
      </c>
      <c r="V503" s="69">
        <v>0</v>
      </c>
    </row>
    <row r="504" spans="1:22" x14ac:dyDescent="0.25">
      <c r="A504" s="27" t="s">
        <v>76</v>
      </c>
      <c r="B504" s="27" t="s">
        <v>878</v>
      </c>
      <c r="C504" s="27" t="s">
        <v>552</v>
      </c>
      <c r="D504" s="32">
        <v>4204</v>
      </c>
      <c r="E504" s="32">
        <v>0</v>
      </c>
      <c r="F504" s="32">
        <v>0</v>
      </c>
      <c r="G504" s="32">
        <v>0</v>
      </c>
      <c r="H504" s="32">
        <v>0</v>
      </c>
      <c r="I504" s="32">
        <v>0</v>
      </c>
      <c r="J504" s="32">
        <v>0</v>
      </c>
      <c r="M504" s="65" t="s">
        <v>76</v>
      </c>
      <c r="N504" s="66" t="s">
        <v>878</v>
      </c>
      <c r="O504" s="66" t="s">
        <v>552</v>
      </c>
      <c r="P504" s="66">
        <v>4204</v>
      </c>
      <c r="Q504" s="66">
        <v>0</v>
      </c>
      <c r="R504" s="66">
        <v>0</v>
      </c>
      <c r="S504" s="66">
        <v>0</v>
      </c>
      <c r="T504" s="66">
        <v>0</v>
      </c>
      <c r="U504" s="66">
        <v>0</v>
      </c>
      <c r="V504" s="67">
        <v>0</v>
      </c>
    </row>
    <row r="505" spans="1:22" x14ac:dyDescent="0.25">
      <c r="A505" s="27" t="s">
        <v>824</v>
      </c>
      <c r="B505" s="27" t="s">
        <v>878</v>
      </c>
      <c r="C505" s="27" t="s">
        <v>553</v>
      </c>
      <c r="D505" s="32">
        <v>3447</v>
      </c>
      <c r="E505" s="32">
        <v>0</v>
      </c>
      <c r="F505" s="32">
        <v>0</v>
      </c>
      <c r="G505" s="32">
        <v>0</v>
      </c>
      <c r="H505" s="32">
        <v>0</v>
      </c>
      <c r="I505" s="32">
        <v>0</v>
      </c>
      <c r="J505" s="32">
        <v>0</v>
      </c>
      <c r="M505" s="68" t="s">
        <v>824</v>
      </c>
      <c r="N505" s="13" t="s">
        <v>878</v>
      </c>
      <c r="O505" s="13" t="s">
        <v>553</v>
      </c>
      <c r="P505" s="13">
        <v>3447</v>
      </c>
      <c r="Q505" s="13">
        <v>0</v>
      </c>
      <c r="R505" s="13">
        <v>0</v>
      </c>
      <c r="S505" s="13">
        <v>0</v>
      </c>
      <c r="T505" s="13">
        <v>0</v>
      </c>
      <c r="U505" s="13">
        <v>0</v>
      </c>
      <c r="V505" s="69">
        <v>0</v>
      </c>
    </row>
    <row r="506" spans="1:22" x14ac:dyDescent="0.25">
      <c r="A506" s="27" t="s">
        <v>512</v>
      </c>
      <c r="B506" s="27" t="s">
        <v>878</v>
      </c>
      <c r="C506" s="27" t="s">
        <v>554</v>
      </c>
      <c r="D506" s="32">
        <v>22313</v>
      </c>
      <c r="E506" s="32">
        <v>0</v>
      </c>
      <c r="F506" s="32">
        <v>0</v>
      </c>
      <c r="G506" s="32">
        <v>0</v>
      </c>
      <c r="H506" s="32">
        <v>0</v>
      </c>
      <c r="I506" s="32">
        <v>0</v>
      </c>
      <c r="J506" s="32">
        <v>0</v>
      </c>
      <c r="M506" s="65" t="s">
        <v>512</v>
      </c>
      <c r="N506" s="66" t="s">
        <v>878</v>
      </c>
      <c r="O506" s="66" t="s">
        <v>554</v>
      </c>
      <c r="P506" s="66">
        <v>22313</v>
      </c>
      <c r="Q506" s="66">
        <v>0</v>
      </c>
      <c r="R506" s="66">
        <v>0</v>
      </c>
      <c r="S506" s="66">
        <v>0</v>
      </c>
      <c r="T506" s="66">
        <v>0</v>
      </c>
      <c r="U506" s="66">
        <v>0</v>
      </c>
      <c r="V506" s="67">
        <v>0</v>
      </c>
    </row>
    <row r="507" spans="1:22" x14ac:dyDescent="0.25">
      <c r="A507" s="27" t="s">
        <v>788</v>
      </c>
      <c r="B507" s="27" t="s">
        <v>878</v>
      </c>
      <c r="C507" s="27" t="s">
        <v>555</v>
      </c>
      <c r="D507" s="32">
        <v>95456</v>
      </c>
      <c r="E507" s="32">
        <v>0</v>
      </c>
      <c r="F507" s="32">
        <v>0</v>
      </c>
      <c r="G507" s="32">
        <v>0</v>
      </c>
      <c r="H507" s="32">
        <v>0</v>
      </c>
      <c r="I507" s="32">
        <v>0</v>
      </c>
      <c r="J507" s="32">
        <v>0</v>
      </c>
      <c r="M507" s="68" t="s">
        <v>788</v>
      </c>
      <c r="N507" s="13" t="s">
        <v>878</v>
      </c>
      <c r="O507" s="13" t="s">
        <v>555</v>
      </c>
      <c r="P507" s="13">
        <v>95456</v>
      </c>
      <c r="Q507" s="13">
        <v>0</v>
      </c>
      <c r="R507" s="13">
        <v>0</v>
      </c>
      <c r="S507" s="13">
        <v>0</v>
      </c>
      <c r="T507" s="13">
        <v>0</v>
      </c>
      <c r="U507" s="13">
        <v>0</v>
      </c>
      <c r="V507" s="69">
        <v>0</v>
      </c>
    </row>
    <row r="508" spans="1:22" x14ac:dyDescent="0.25">
      <c r="A508" s="27" t="s">
        <v>101</v>
      </c>
      <c r="B508" s="27" t="s">
        <v>878</v>
      </c>
      <c r="C508" s="27" t="s">
        <v>556</v>
      </c>
      <c r="D508" s="32">
        <v>39503</v>
      </c>
      <c r="E508" s="32">
        <v>0</v>
      </c>
      <c r="F508" s="32">
        <v>0</v>
      </c>
      <c r="G508" s="32">
        <v>0</v>
      </c>
      <c r="H508" s="32">
        <v>0</v>
      </c>
      <c r="I508" s="32">
        <v>0</v>
      </c>
      <c r="J508" s="32">
        <v>0</v>
      </c>
      <c r="M508" s="65" t="s">
        <v>101</v>
      </c>
      <c r="N508" s="66" t="s">
        <v>878</v>
      </c>
      <c r="O508" s="66" t="s">
        <v>556</v>
      </c>
      <c r="P508" s="66">
        <v>39503</v>
      </c>
      <c r="Q508" s="66">
        <v>0</v>
      </c>
      <c r="R508" s="66">
        <v>0</v>
      </c>
      <c r="S508" s="66">
        <v>0</v>
      </c>
      <c r="T508" s="66">
        <v>0</v>
      </c>
      <c r="U508" s="66">
        <v>0</v>
      </c>
      <c r="V508" s="67">
        <v>0</v>
      </c>
    </row>
    <row r="509" spans="1:22" x14ac:dyDescent="0.25">
      <c r="A509" s="27" t="s">
        <v>231</v>
      </c>
      <c r="B509" s="27" t="s">
        <v>878</v>
      </c>
      <c r="C509" s="27" t="s">
        <v>557</v>
      </c>
      <c r="D509" s="32">
        <v>21380</v>
      </c>
      <c r="E509" s="32">
        <v>0</v>
      </c>
      <c r="F509" s="32">
        <v>0</v>
      </c>
      <c r="G509" s="32">
        <v>0</v>
      </c>
      <c r="H509" s="32">
        <v>0</v>
      </c>
      <c r="I509" s="32">
        <v>0</v>
      </c>
      <c r="J509" s="32">
        <v>0</v>
      </c>
      <c r="M509" s="68" t="s">
        <v>231</v>
      </c>
      <c r="N509" s="13" t="s">
        <v>878</v>
      </c>
      <c r="O509" s="13" t="s">
        <v>557</v>
      </c>
      <c r="P509" s="13">
        <v>21380</v>
      </c>
      <c r="Q509" s="13">
        <v>0</v>
      </c>
      <c r="R509" s="13">
        <v>0</v>
      </c>
      <c r="S509" s="13">
        <v>0</v>
      </c>
      <c r="T509" s="13">
        <v>0</v>
      </c>
      <c r="U509" s="13">
        <v>0</v>
      </c>
      <c r="V509" s="69">
        <v>0</v>
      </c>
    </row>
    <row r="510" spans="1:22" x14ac:dyDescent="0.25">
      <c r="A510" s="27" t="s">
        <v>817</v>
      </c>
      <c r="B510" s="27" t="s">
        <v>878</v>
      </c>
      <c r="C510" s="27" t="s">
        <v>558</v>
      </c>
      <c r="D510" s="32"/>
      <c r="E510" s="32"/>
      <c r="F510" s="32"/>
      <c r="G510" s="32"/>
      <c r="H510" s="32"/>
      <c r="I510" s="32"/>
      <c r="J510" s="32"/>
      <c r="M510" s="65" t="s">
        <v>817</v>
      </c>
      <c r="N510" s="66" t="s">
        <v>878</v>
      </c>
      <c r="O510" s="66" t="s">
        <v>558</v>
      </c>
      <c r="P510" s="66"/>
      <c r="Q510" s="66"/>
      <c r="R510" s="66"/>
      <c r="S510" s="66"/>
      <c r="T510" s="66"/>
      <c r="U510" s="66"/>
      <c r="V510" s="67"/>
    </row>
    <row r="511" spans="1:22" x14ac:dyDescent="0.25">
      <c r="A511" s="27" t="s">
        <v>76</v>
      </c>
      <c r="B511" s="27" t="s">
        <v>878</v>
      </c>
      <c r="C511" s="27" t="s">
        <v>559</v>
      </c>
      <c r="D511" s="32">
        <v>13426</v>
      </c>
      <c r="E511" s="32">
        <v>0</v>
      </c>
      <c r="F511" s="32">
        <v>0</v>
      </c>
      <c r="G511" s="32">
        <v>0</v>
      </c>
      <c r="H511" s="32">
        <v>0</v>
      </c>
      <c r="I511" s="32">
        <v>0</v>
      </c>
      <c r="J511" s="32">
        <v>0</v>
      </c>
      <c r="M511" s="68" t="s">
        <v>76</v>
      </c>
      <c r="N511" s="13" t="s">
        <v>878</v>
      </c>
      <c r="O511" s="13" t="s">
        <v>559</v>
      </c>
      <c r="P511" s="13">
        <v>13426</v>
      </c>
      <c r="Q511" s="13">
        <v>0</v>
      </c>
      <c r="R511" s="13">
        <v>0</v>
      </c>
      <c r="S511" s="13">
        <v>0</v>
      </c>
      <c r="T511" s="13">
        <v>0</v>
      </c>
      <c r="U511" s="13">
        <v>0</v>
      </c>
      <c r="V511" s="69">
        <v>0</v>
      </c>
    </row>
    <row r="512" spans="1:22" x14ac:dyDescent="0.25">
      <c r="A512" s="27" t="s">
        <v>801</v>
      </c>
      <c r="B512" s="27" t="s">
        <v>878</v>
      </c>
      <c r="C512" s="27" t="s">
        <v>560</v>
      </c>
      <c r="D512" s="32">
        <v>56373</v>
      </c>
      <c r="E512" s="32">
        <v>0</v>
      </c>
      <c r="F512" s="32">
        <v>0</v>
      </c>
      <c r="G512" s="32">
        <v>0</v>
      </c>
      <c r="H512" s="32">
        <v>0</v>
      </c>
      <c r="I512" s="32">
        <v>0</v>
      </c>
      <c r="J512" s="32">
        <v>0</v>
      </c>
      <c r="M512" s="65" t="s">
        <v>801</v>
      </c>
      <c r="N512" s="66" t="s">
        <v>878</v>
      </c>
      <c r="O512" s="66" t="s">
        <v>560</v>
      </c>
      <c r="P512" s="66">
        <v>56373</v>
      </c>
      <c r="Q512" s="66">
        <v>0</v>
      </c>
      <c r="R512" s="66">
        <v>0</v>
      </c>
      <c r="S512" s="66">
        <v>0</v>
      </c>
      <c r="T512" s="66">
        <v>0</v>
      </c>
      <c r="U512" s="66">
        <v>0</v>
      </c>
      <c r="V512" s="67">
        <v>0</v>
      </c>
    </row>
    <row r="513" spans="1:22" x14ac:dyDescent="0.25">
      <c r="A513" s="27" t="s">
        <v>83</v>
      </c>
      <c r="B513" s="27" t="s">
        <v>878</v>
      </c>
      <c r="C513" s="27" t="s">
        <v>561</v>
      </c>
      <c r="D513" s="32">
        <v>19769</v>
      </c>
      <c r="E513" s="32">
        <v>0</v>
      </c>
      <c r="F513" s="32">
        <v>0</v>
      </c>
      <c r="G513" s="32">
        <v>0</v>
      </c>
      <c r="H513" s="32">
        <v>0</v>
      </c>
      <c r="I513" s="32">
        <v>0</v>
      </c>
      <c r="J513" s="32">
        <v>0</v>
      </c>
      <c r="M513" s="68" t="s">
        <v>83</v>
      </c>
      <c r="N513" s="13" t="s">
        <v>878</v>
      </c>
      <c r="O513" s="13" t="s">
        <v>561</v>
      </c>
      <c r="P513" s="13">
        <v>19769</v>
      </c>
      <c r="Q513" s="13">
        <v>0</v>
      </c>
      <c r="R513" s="13">
        <v>0</v>
      </c>
      <c r="S513" s="13">
        <v>0</v>
      </c>
      <c r="T513" s="13">
        <v>0</v>
      </c>
      <c r="U513" s="13">
        <v>0</v>
      </c>
      <c r="V513" s="69">
        <v>0</v>
      </c>
    </row>
    <row r="514" spans="1:22" x14ac:dyDescent="0.25">
      <c r="A514" s="27" t="s">
        <v>817</v>
      </c>
      <c r="B514" s="27" t="s">
        <v>878</v>
      </c>
      <c r="C514" s="27" t="s">
        <v>562</v>
      </c>
      <c r="D514" s="32">
        <v>14127</v>
      </c>
      <c r="E514" s="32">
        <v>0</v>
      </c>
      <c r="F514" s="32">
        <v>0</v>
      </c>
      <c r="G514" s="32">
        <v>0</v>
      </c>
      <c r="H514" s="32">
        <v>0</v>
      </c>
      <c r="I514" s="32">
        <v>0</v>
      </c>
      <c r="J514" s="32">
        <v>0</v>
      </c>
      <c r="M514" s="65" t="s">
        <v>817</v>
      </c>
      <c r="N514" s="66" t="s">
        <v>878</v>
      </c>
      <c r="O514" s="66" t="s">
        <v>562</v>
      </c>
      <c r="P514" s="66">
        <v>14127</v>
      </c>
      <c r="Q514" s="66">
        <v>0</v>
      </c>
      <c r="R514" s="66">
        <v>0</v>
      </c>
      <c r="S514" s="66">
        <v>0</v>
      </c>
      <c r="T514" s="66">
        <v>0</v>
      </c>
      <c r="U514" s="66">
        <v>0</v>
      </c>
      <c r="V514" s="67">
        <v>0</v>
      </c>
    </row>
    <row r="515" spans="1:22" x14ac:dyDescent="0.25">
      <c r="A515" s="27" t="s">
        <v>824</v>
      </c>
      <c r="B515" s="27" t="s">
        <v>878</v>
      </c>
      <c r="C515" s="27" t="s">
        <v>563</v>
      </c>
      <c r="D515" s="32">
        <v>50034</v>
      </c>
      <c r="E515" s="32">
        <v>0</v>
      </c>
      <c r="F515" s="32">
        <v>0</v>
      </c>
      <c r="G515" s="32">
        <v>0</v>
      </c>
      <c r="H515" s="32">
        <v>0</v>
      </c>
      <c r="I515" s="32">
        <v>0</v>
      </c>
      <c r="J515" s="32">
        <v>0</v>
      </c>
      <c r="M515" s="68" t="s">
        <v>824</v>
      </c>
      <c r="N515" s="13" t="s">
        <v>878</v>
      </c>
      <c r="O515" s="13" t="s">
        <v>563</v>
      </c>
      <c r="P515" s="13">
        <v>50034</v>
      </c>
      <c r="Q515" s="13">
        <v>0</v>
      </c>
      <c r="R515" s="13">
        <v>0</v>
      </c>
      <c r="S515" s="13">
        <v>0</v>
      </c>
      <c r="T515" s="13">
        <v>0</v>
      </c>
      <c r="U515" s="13">
        <v>0</v>
      </c>
      <c r="V515" s="69">
        <v>0</v>
      </c>
    </row>
    <row r="516" spans="1:22" x14ac:dyDescent="0.25">
      <c r="A516" s="27" t="s">
        <v>791</v>
      </c>
      <c r="B516" s="27" t="s">
        <v>878</v>
      </c>
      <c r="C516" s="27" t="s">
        <v>564</v>
      </c>
      <c r="D516" s="32">
        <v>12328</v>
      </c>
      <c r="E516" s="32">
        <v>0</v>
      </c>
      <c r="F516" s="32">
        <v>0</v>
      </c>
      <c r="G516" s="32">
        <v>0</v>
      </c>
      <c r="H516" s="32">
        <v>0</v>
      </c>
      <c r="I516" s="32">
        <v>0</v>
      </c>
      <c r="J516" s="32">
        <v>0</v>
      </c>
      <c r="M516" s="65" t="s">
        <v>791</v>
      </c>
      <c r="N516" s="66" t="s">
        <v>878</v>
      </c>
      <c r="O516" s="66" t="s">
        <v>564</v>
      </c>
      <c r="P516" s="66">
        <v>12328</v>
      </c>
      <c r="Q516" s="66">
        <v>0</v>
      </c>
      <c r="R516" s="66">
        <v>0</v>
      </c>
      <c r="S516" s="66">
        <v>0</v>
      </c>
      <c r="T516" s="66">
        <v>0</v>
      </c>
      <c r="U516" s="66">
        <v>0</v>
      </c>
      <c r="V516" s="67">
        <v>0</v>
      </c>
    </row>
    <row r="517" spans="1:22" x14ac:dyDescent="0.25">
      <c r="A517" s="27" t="s">
        <v>69</v>
      </c>
      <c r="B517" s="27" t="s">
        <v>878</v>
      </c>
      <c r="C517" s="27" t="s">
        <v>565</v>
      </c>
      <c r="D517" s="32">
        <v>32357</v>
      </c>
      <c r="E517" s="32">
        <v>0</v>
      </c>
      <c r="F517" s="32">
        <v>0</v>
      </c>
      <c r="G517" s="32">
        <v>0</v>
      </c>
      <c r="H517" s="32">
        <v>0</v>
      </c>
      <c r="I517" s="32">
        <v>0</v>
      </c>
      <c r="J517" s="32">
        <v>0</v>
      </c>
      <c r="M517" s="68" t="s">
        <v>69</v>
      </c>
      <c r="N517" s="13" t="s">
        <v>878</v>
      </c>
      <c r="O517" s="13" t="s">
        <v>565</v>
      </c>
      <c r="P517" s="13">
        <v>32357</v>
      </c>
      <c r="Q517" s="13">
        <v>0</v>
      </c>
      <c r="R517" s="13">
        <v>0</v>
      </c>
      <c r="S517" s="13">
        <v>0</v>
      </c>
      <c r="T517" s="13">
        <v>0</v>
      </c>
      <c r="U517" s="13">
        <v>0</v>
      </c>
      <c r="V517" s="69">
        <v>0</v>
      </c>
    </row>
    <row r="518" spans="1:22" x14ac:dyDescent="0.25">
      <c r="A518" s="27" t="s">
        <v>794</v>
      </c>
      <c r="B518" s="27" t="s">
        <v>878</v>
      </c>
      <c r="C518" s="27" t="s">
        <v>566</v>
      </c>
      <c r="D518" s="32">
        <v>9446</v>
      </c>
      <c r="E518" s="32">
        <v>0</v>
      </c>
      <c r="F518" s="32">
        <v>0</v>
      </c>
      <c r="G518" s="32">
        <v>0</v>
      </c>
      <c r="H518" s="32">
        <v>0</v>
      </c>
      <c r="I518" s="32">
        <v>0</v>
      </c>
      <c r="J518" s="32">
        <v>0</v>
      </c>
      <c r="M518" s="65" t="s">
        <v>794</v>
      </c>
      <c r="N518" s="66" t="s">
        <v>878</v>
      </c>
      <c r="O518" s="66" t="s">
        <v>566</v>
      </c>
      <c r="P518" s="66">
        <v>9446</v>
      </c>
      <c r="Q518" s="66">
        <v>0</v>
      </c>
      <c r="R518" s="66">
        <v>0</v>
      </c>
      <c r="S518" s="66">
        <v>0</v>
      </c>
      <c r="T518" s="66">
        <v>0</v>
      </c>
      <c r="U518" s="66">
        <v>0</v>
      </c>
      <c r="V518" s="67">
        <v>0</v>
      </c>
    </row>
    <row r="519" spans="1:22" x14ac:dyDescent="0.25">
      <c r="A519" s="27" t="s">
        <v>797</v>
      </c>
      <c r="B519" s="27" t="s">
        <v>878</v>
      </c>
      <c r="C519" s="27" t="s">
        <v>567</v>
      </c>
      <c r="D519" s="32">
        <v>6965</v>
      </c>
      <c r="E519" s="32">
        <v>0</v>
      </c>
      <c r="F519" s="32">
        <v>0</v>
      </c>
      <c r="G519" s="32">
        <v>0</v>
      </c>
      <c r="H519" s="32">
        <v>0</v>
      </c>
      <c r="I519" s="32">
        <v>0</v>
      </c>
      <c r="J519" s="32">
        <v>0</v>
      </c>
      <c r="M519" s="68" t="s">
        <v>797</v>
      </c>
      <c r="N519" s="13" t="s">
        <v>878</v>
      </c>
      <c r="O519" s="13" t="s">
        <v>567</v>
      </c>
      <c r="P519" s="13">
        <v>6965</v>
      </c>
      <c r="Q519" s="13">
        <v>0</v>
      </c>
      <c r="R519" s="13">
        <v>0</v>
      </c>
      <c r="S519" s="13">
        <v>0</v>
      </c>
      <c r="T519" s="13">
        <v>0</v>
      </c>
      <c r="U519" s="13">
        <v>0</v>
      </c>
      <c r="V519" s="69">
        <v>0</v>
      </c>
    </row>
    <row r="520" spans="1:22" x14ac:dyDescent="0.25">
      <c r="A520" s="27" t="s">
        <v>826</v>
      </c>
      <c r="B520" s="27" t="s">
        <v>878</v>
      </c>
      <c r="C520" s="27" t="s">
        <v>568</v>
      </c>
      <c r="D520" s="32"/>
      <c r="E520" s="32"/>
      <c r="F520" s="32"/>
      <c r="G520" s="32"/>
      <c r="H520" s="32"/>
      <c r="I520" s="32"/>
      <c r="J520" s="32"/>
      <c r="M520" s="65" t="s">
        <v>826</v>
      </c>
      <c r="N520" s="66" t="s">
        <v>878</v>
      </c>
      <c r="O520" s="66" t="s">
        <v>568</v>
      </c>
      <c r="P520" s="66"/>
      <c r="Q520" s="66"/>
      <c r="R520" s="66"/>
      <c r="S520" s="66"/>
      <c r="T520" s="66"/>
      <c r="U520" s="66"/>
      <c r="V520" s="67"/>
    </row>
    <row r="521" spans="1:22" x14ac:dyDescent="0.25">
      <c r="A521" s="27" t="s">
        <v>864</v>
      </c>
      <c r="B521" s="27" t="s">
        <v>878</v>
      </c>
      <c r="C521" s="27" t="s">
        <v>569</v>
      </c>
      <c r="D521" s="32">
        <v>44154</v>
      </c>
      <c r="E521" s="32">
        <v>0</v>
      </c>
      <c r="F521" s="32">
        <v>0</v>
      </c>
      <c r="G521" s="32">
        <v>0</v>
      </c>
      <c r="H521" s="32">
        <v>0</v>
      </c>
      <c r="I521" s="32">
        <v>0</v>
      </c>
      <c r="J521" s="32">
        <v>0</v>
      </c>
      <c r="M521" s="68" t="s">
        <v>864</v>
      </c>
      <c r="N521" s="13" t="s">
        <v>878</v>
      </c>
      <c r="O521" s="13" t="s">
        <v>569</v>
      </c>
      <c r="P521" s="13">
        <v>44154</v>
      </c>
      <c r="Q521" s="13">
        <v>0</v>
      </c>
      <c r="R521" s="13">
        <v>0</v>
      </c>
      <c r="S521" s="13">
        <v>0</v>
      </c>
      <c r="T521" s="13">
        <v>0</v>
      </c>
      <c r="U521" s="13">
        <v>0</v>
      </c>
      <c r="V521" s="69">
        <v>0</v>
      </c>
    </row>
    <row r="522" spans="1:22" x14ac:dyDescent="0.25">
      <c r="A522" s="27" t="s">
        <v>826</v>
      </c>
      <c r="B522" s="27" t="s">
        <v>878</v>
      </c>
      <c r="C522" s="27" t="s">
        <v>570</v>
      </c>
      <c r="D522" s="32">
        <v>2994</v>
      </c>
      <c r="E522" s="32">
        <v>0</v>
      </c>
      <c r="F522" s="32">
        <v>0</v>
      </c>
      <c r="G522" s="32">
        <v>0</v>
      </c>
      <c r="H522" s="32">
        <v>0</v>
      </c>
      <c r="I522" s="32">
        <v>0</v>
      </c>
      <c r="J522" s="32">
        <v>0</v>
      </c>
      <c r="M522" s="65" t="s">
        <v>826</v>
      </c>
      <c r="N522" s="66" t="s">
        <v>878</v>
      </c>
      <c r="O522" s="66" t="s">
        <v>570</v>
      </c>
      <c r="P522" s="66">
        <v>2994</v>
      </c>
      <c r="Q522" s="66">
        <v>0</v>
      </c>
      <c r="R522" s="66">
        <v>0</v>
      </c>
      <c r="S522" s="66">
        <v>0</v>
      </c>
      <c r="T522" s="66">
        <v>0</v>
      </c>
      <c r="U522" s="66">
        <v>0</v>
      </c>
      <c r="V522" s="67">
        <v>0</v>
      </c>
    </row>
    <row r="523" spans="1:22" x14ac:dyDescent="0.25">
      <c r="A523" s="27" t="s">
        <v>72</v>
      </c>
      <c r="B523" s="27" t="s">
        <v>878</v>
      </c>
      <c r="C523" s="27" t="s">
        <v>571</v>
      </c>
      <c r="D523" s="32">
        <v>32028</v>
      </c>
      <c r="E523" s="32">
        <v>0</v>
      </c>
      <c r="F523" s="32">
        <v>0</v>
      </c>
      <c r="G523" s="32">
        <v>0</v>
      </c>
      <c r="H523" s="32">
        <v>0</v>
      </c>
      <c r="I523" s="32">
        <v>0</v>
      </c>
      <c r="J523" s="32">
        <v>0</v>
      </c>
      <c r="M523" s="68" t="s">
        <v>72</v>
      </c>
      <c r="N523" s="13" t="s">
        <v>878</v>
      </c>
      <c r="O523" s="13" t="s">
        <v>571</v>
      </c>
      <c r="P523" s="13">
        <v>32028</v>
      </c>
      <c r="Q523" s="13">
        <v>0</v>
      </c>
      <c r="R523" s="13">
        <v>0</v>
      </c>
      <c r="S523" s="13">
        <v>0</v>
      </c>
      <c r="T523" s="13">
        <v>0</v>
      </c>
      <c r="U523" s="13">
        <v>0</v>
      </c>
      <c r="V523" s="69">
        <v>0</v>
      </c>
    </row>
    <row r="524" spans="1:22" x14ac:dyDescent="0.25">
      <c r="A524" s="27" t="s">
        <v>801</v>
      </c>
      <c r="B524" s="27" t="s">
        <v>878</v>
      </c>
      <c r="C524" s="27" t="s">
        <v>572</v>
      </c>
      <c r="D524" s="32">
        <v>43120</v>
      </c>
      <c r="E524" s="32">
        <v>0</v>
      </c>
      <c r="F524" s="32">
        <v>0</v>
      </c>
      <c r="G524" s="32">
        <v>0</v>
      </c>
      <c r="H524" s="32">
        <v>0</v>
      </c>
      <c r="I524" s="32">
        <v>0</v>
      </c>
      <c r="J524" s="32">
        <v>0</v>
      </c>
      <c r="M524" s="65" t="s">
        <v>801</v>
      </c>
      <c r="N524" s="66" t="s">
        <v>878</v>
      </c>
      <c r="O524" s="66" t="s">
        <v>572</v>
      </c>
      <c r="P524" s="66">
        <v>43120</v>
      </c>
      <c r="Q524" s="66">
        <v>0</v>
      </c>
      <c r="R524" s="66">
        <v>0</v>
      </c>
      <c r="S524" s="66">
        <v>0</v>
      </c>
      <c r="T524" s="66">
        <v>0</v>
      </c>
      <c r="U524" s="66">
        <v>0</v>
      </c>
      <c r="V524" s="67">
        <v>0</v>
      </c>
    </row>
    <row r="525" spans="1:22" x14ac:dyDescent="0.25">
      <c r="A525" s="27" t="s">
        <v>859</v>
      </c>
      <c r="B525" s="27" t="s">
        <v>878</v>
      </c>
      <c r="C525" s="27" t="s">
        <v>573</v>
      </c>
      <c r="D525" s="32">
        <v>19578</v>
      </c>
      <c r="E525" s="32">
        <v>0</v>
      </c>
      <c r="F525" s="32">
        <v>0</v>
      </c>
      <c r="G525" s="32">
        <v>0</v>
      </c>
      <c r="H525" s="32">
        <v>0</v>
      </c>
      <c r="I525" s="32">
        <v>0</v>
      </c>
      <c r="J525" s="32">
        <v>0</v>
      </c>
      <c r="M525" s="68" t="s">
        <v>859</v>
      </c>
      <c r="N525" s="13" t="s">
        <v>878</v>
      </c>
      <c r="O525" s="13" t="s">
        <v>573</v>
      </c>
      <c r="P525" s="13">
        <v>19578</v>
      </c>
      <c r="Q525" s="13">
        <v>0</v>
      </c>
      <c r="R525" s="13">
        <v>0</v>
      </c>
      <c r="S525" s="13">
        <v>0</v>
      </c>
      <c r="T525" s="13">
        <v>0</v>
      </c>
      <c r="U525" s="13">
        <v>0</v>
      </c>
      <c r="V525" s="69">
        <v>0</v>
      </c>
    </row>
    <row r="526" spans="1:22" x14ac:dyDescent="0.25">
      <c r="A526" s="27" t="s">
        <v>816</v>
      </c>
      <c r="B526" s="27" t="s">
        <v>878</v>
      </c>
      <c r="C526" s="27" t="s">
        <v>574</v>
      </c>
      <c r="D526" s="32">
        <v>43289</v>
      </c>
      <c r="E526" s="32">
        <v>0</v>
      </c>
      <c r="F526" s="32">
        <v>0</v>
      </c>
      <c r="G526" s="32">
        <v>0</v>
      </c>
      <c r="H526" s="32">
        <v>0</v>
      </c>
      <c r="I526" s="32">
        <v>0</v>
      </c>
      <c r="J526" s="32">
        <v>0</v>
      </c>
      <c r="M526" s="65" t="s">
        <v>816</v>
      </c>
      <c r="N526" s="66" t="s">
        <v>878</v>
      </c>
      <c r="O526" s="66" t="s">
        <v>574</v>
      </c>
      <c r="P526" s="66">
        <v>43289</v>
      </c>
      <c r="Q526" s="66">
        <v>0</v>
      </c>
      <c r="R526" s="66">
        <v>0</v>
      </c>
      <c r="S526" s="66">
        <v>0</v>
      </c>
      <c r="T526" s="66">
        <v>0</v>
      </c>
      <c r="U526" s="66">
        <v>0</v>
      </c>
      <c r="V526" s="67">
        <v>0</v>
      </c>
    </row>
    <row r="527" spans="1:22" x14ac:dyDescent="0.25">
      <c r="A527" s="27" t="s">
        <v>864</v>
      </c>
      <c r="B527" s="27" t="s">
        <v>878</v>
      </c>
      <c r="C527" s="27" t="s">
        <v>575</v>
      </c>
      <c r="D527" s="32">
        <v>39759</v>
      </c>
      <c r="E527" s="32">
        <v>0</v>
      </c>
      <c r="F527" s="32">
        <v>0</v>
      </c>
      <c r="G527" s="32">
        <v>0</v>
      </c>
      <c r="H527" s="32">
        <v>0</v>
      </c>
      <c r="I527" s="32">
        <v>0</v>
      </c>
      <c r="J527" s="32">
        <v>0</v>
      </c>
      <c r="M527" s="68" t="s">
        <v>864</v>
      </c>
      <c r="N527" s="13" t="s">
        <v>878</v>
      </c>
      <c r="O527" s="13" t="s">
        <v>575</v>
      </c>
      <c r="P527" s="13">
        <v>39759</v>
      </c>
      <c r="Q527" s="13">
        <v>0</v>
      </c>
      <c r="R527" s="13">
        <v>0</v>
      </c>
      <c r="S527" s="13">
        <v>0</v>
      </c>
      <c r="T527" s="13">
        <v>0</v>
      </c>
      <c r="U527" s="13">
        <v>0</v>
      </c>
      <c r="V527" s="69">
        <v>0</v>
      </c>
    </row>
    <row r="528" spans="1:22" x14ac:dyDescent="0.25">
      <c r="A528" s="27" t="s">
        <v>146</v>
      </c>
      <c r="B528" s="27" t="s">
        <v>878</v>
      </c>
      <c r="C528" s="27" t="s">
        <v>576</v>
      </c>
      <c r="D528" s="32">
        <v>25912</v>
      </c>
      <c r="E528" s="32">
        <v>0</v>
      </c>
      <c r="F528" s="32">
        <v>0</v>
      </c>
      <c r="G528" s="32">
        <v>0</v>
      </c>
      <c r="H528" s="32">
        <v>0</v>
      </c>
      <c r="I528" s="32">
        <v>0</v>
      </c>
      <c r="J528" s="32">
        <v>0</v>
      </c>
      <c r="M528" s="65" t="s">
        <v>146</v>
      </c>
      <c r="N528" s="66" t="s">
        <v>878</v>
      </c>
      <c r="O528" s="66" t="s">
        <v>576</v>
      </c>
      <c r="P528" s="66">
        <v>25912</v>
      </c>
      <c r="Q528" s="66">
        <v>0</v>
      </c>
      <c r="R528" s="66">
        <v>0</v>
      </c>
      <c r="S528" s="66">
        <v>0</v>
      </c>
      <c r="T528" s="66">
        <v>0</v>
      </c>
      <c r="U528" s="66">
        <v>0</v>
      </c>
      <c r="V528" s="67">
        <v>0</v>
      </c>
    </row>
    <row r="529" spans="1:22" x14ac:dyDescent="0.25">
      <c r="A529" s="27" t="s">
        <v>794</v>
      </c>
      <c r="B529" s="27" t="s">
        <v>878</v>
      </c>
      <c r="C529" s="27" t="s">
        <v>577</v>
      </c>
      <c r="D529" s="32">
        <v>69778</v>
      </c>
      <c r="E529" s="32">
        <v>0</v>
      </c>
      <c r="F529" s="32">
        <v>0</v>
      </c>
      <c r="G529" s="32">
        <v>0</v>
      </c>
      <c r="H529" s="32">
        <v>0</v>
      </c>
      <c r="I529" s="32">
        <v>0</v>
      </c>
      <c r="J529" s="32">
        <v>0</v>
      </c>
      <c r="M529" s="68" t="s">
        <v>794</v>
      </c>
      <c r="N529" s="13" t="s">
        <v>878</v>
      </c>
      <c r="O529" s="13" t="s">
        <v>577</v>
      </c>
      <c r="P529" s="13">
        <v>69778</v>
      </c>
      <c r="Q529" s="13">
        <v>0</v>
      </c>
      <c r="R529" s="13">
        <v>0</v>
      </c>
      <c r="S529" s="13">
        <v>0</v>
      </c>
      <c r="T529" s="13">
        <v>0</v>
      </c>
      <c r="U529" s="13">
        <v>0</v>
      </c>
      <c r="V529" s="69">
        <v>0</v>
      </c>
    </row>
    <row r="530" spans="1:22" x14ac:dyDescent="0.25">
      <c r="A530" s="27" t="s">
        <v>146</v>
      </c>
      <c r="B530" s="27" t="s">
        <v>878</v>
      </c>
      <c r="C530" s="27" t="s">
        <v>578</v>
      </c>
      <c r="D530" s="32">
        <v>44309</v>
      </c>
      <c r="E530" s="32">
        <v>0</v>
      </c>
      <c r="F530" s="32">
        <v>0</v>
      </c>
      <c r="G530" s="32">
        <v>0</v>
      </c>
      <c r="H530" s="32">
        <v>0</v>
      </c>
      <c r="I530" s="32">
        <v>0</v>
      </c>
      <c r="J530" s="32">
        <v>0</v>
      </c>
      <c r="M530" s="65" t="s">
        <v>146</v>
      </c>
      <c r="N530" s="66" t="s">
        <v>878</v>
      </c>
      <c r="O530" s="66" t="s">
        <v>578</v>
      </c>
      <c r="P530" s="66">
        <v>44309</v>
      </c>
      <c r="Q530" s="66">
        <v>0</v>
      </c>
      <c r="R530" s="66">
        <v>0</v>
      </c>
      <c r="S530" s="66">
        <v>0</v>
      </c>
      <c r="T530" s="66">
        <v>0</v>
      </c>
      <c r="U530" s="66">
        <v>0</v>
      </c>
      <c r="V530" s="67">
        <v>0</v>
      </c>
    </row>
    <row r="531" spans="1:22" x14ac:dyDescent="0.25">
      <c r="A531" s="27" t="s">
        <v>832</v>
      </c>
      <c r="B531" s="27" t="s">
        <v>878</v>
      </c>
      <c r="C531" s="27" t="s">
        <v>579</v>
      </c>
      <c r="D531" s="32">
        <v>12963</v>
      </c>
      <c r="E531" s="32">
        <v>0</v>
      </c>
      <c r="F531" s="32">
        <v>0</v>
      </c>
      <c r="G531" s="32">
        <v>0</v>
      </c>
      <c r="H531" s="32">
        <v>0</v>
      </c>
      <c r="I531" s="32">
        <v>0</v>
      </c>
      <c r="J531" s="32">
        <v>0</v>
      </c>
      <c r="M531" s="68" t="s">
        <v>832</v>
      </c>
      <c r="N531" s="13" t="s">
        <v>878</v>
      </c>
      <c r="O531" s="13" t="s">
        <v>579</v>
      </c>
      <c r="P531" s="13">
        <v>12963</v>
      </c>
      <c r="Q531" s="13">
        <v>0</v>
      </c>
      <c r="R531" s="13">
        <v>0</v>
      </c>
      <c r="S531" s="13">
        <v>0</v>
      </c>
      <c r="T531" s="13">
        <v>0</v>
      </c>
      <c r="U531" s="13">
        <v>0</v>
      </c>
      <c r="V531" s="69">
        <v>0</v>
      </c>
    </row>
    <row r="532" spans="1:22" x14ac:dyDescent="0.25">
      <c r="A532" s="27" t="s">
        <v>839</v>
      </c>
      <c r="B532" s="27" t="s">
        <v>878</v>
      </c>
      <c r="C532" s="27" t="s">
        <v>580</v>
      </c>
      <c r="D532" s="32">
        <v>59207</v>
      </c>
      <c r="E532" s="32">
        <v>0</v>
      </c>
      <c r="F532" s="32">
        <v>0</v>
      </c>
      <c r="G532" s="32">
        <v>0</v>
      </c>
      <c r="H532" s="32">
        <v>0</v>
      </c>
      <c r="I532" s="32">
        <v>0</v>
      </c>
      <c r="J532" s="32">
        <v>0</v>
      </c>
      <c r="M532" s="65" t="s">
        <v>839</v>
      </c>
      <c r="N532" s="66" t="s">
        <v>878</v>
      </c>
      <c r="O532" s="66" t="s">
        <v>580</v>
      </c>
      <c r="P532" s="66">
        <v>59207</v>
      </c>
      <c r="Q532" s="66">
        <v>0</v>
      </c>
      <c r="R532" s="66">
        <v>0</v>
      </c>
      <c r="S532" s="66">
        <v>0</v>
      </c>
      <c r="T532" s="66">
        <v>0</v>
      </c>
      <c r="U532" s="66">
        <v>0</v>
      </c>
      <c r="V532" s="67">
        <v>0</v>
      </c>
    </row>
    <row r="533" spans="1:22" x14ac:dyDescent="0.25">
      <c r="A533" s="27" t="s">
        <v>69</v>
      </c>
      <c r="B533" s="27" t="s">
        <v>878</v>
      </c>
      <c r="C533" s="27" t="s">
        <v>581</v>
      </c>
      <c r="D533" s="32">
        <v>101486</v>
      </c>
      <c r="E533" s="32">
        <v>0</v>
      </c>
      <c r="F533" s="32">
        <v>0</v>
      </c>
      <c r="G533" s="32">
        <v>0</v>
      </c>
      <c r="H533" s="32">
        <v>0</v>
      </c>
      <c r="I533" s="32">
        <v>0</v>
      </c>
      <c r="J533" s="32">
        <v>0</v>
      </c>
      <c r="M533" s="68" t="s">
        <v>69</v>
      </c>
      <c r="N533" s="13" t="s">
        <v>878</v>
      </c>
      <c r="O533" s="13" t="s">
        <v>581</v>
      </c>
      <c r="P533" s="13">
        <v>101486</v>
      </c>
      <c r="Q533" s="13">
        <v>0</v>
      </c>
      <c r="R533" s="13">
        <v>0</v>
      </c>
      <c r="S533" s="13">
        <v>0</v>
      </c>
      <c r="T533" s="13">
        <v>0</v>
      </c>
      <c r="U533" s="13">
        <v>0</v>
      </c>
      <c r="V533" s="69">
        <v>0</v>
      </c>
    </row>
    <row r="534" spans="1:22" x14ac:dyDescent="0.25">
      <c r="A534" s="27" t="s">
        <v>794</v>
      </c>
      <c r="B534" s="27" t="s">
        <v>878</v>
      </c>
      <c r="C534" s="27" t="s">
        <v>582</v>
      </c>
      <c r="D534" s="32">
        <v>35880</v>
      </c>
      <c r="E534" s="32">
        <v>0</v>
      </c>
      <c r="F534" s="32">
        <v>0</v>
      </c>
      <c r="G534" s="32">
        <v>0</v>
      </c>
      <c r="H534" s="32">
        <v>0</v>
      </c>
      <c r="I534" s="32">
        <v>0</v>
      </c>
      <c r="J534" s="32">
        <v>0</v>
      </c>
      <c r="M534" s="65" t="s">
        <v>794</v>
      </c>
      <c r="N534" s="66" t="s">
        <v>878</v>
      </c>
      <c r="O534" s="66" t="s">
        <v>582</v>
      </c>
      <c r="P534" s="66">
        <v>35880</v>
      </c>
      <c r="Q534" s="66">
        <v>0</v>
      </c>
      <c r="R534" s="66">
        <v>0</v>
      </c>
      <c r="S534" s="66">
        <v>0</v>
      </c>
      <c r="T534" s="66">
        <v>0</v>
      </c>
      <c r="U534" s="66">
        <v>0</v>
      </c>
      <c r="V534" s="67">
        <v>0</v>
      </c>
    </row>
    <row r="535" spans="1:22" x14ac:dyDescent="0.25">
      <c r="A535" s="27" t="s">
        <v>794</v>
      </c>
      <c r="B535" s="27" t="s">
        <v>878</v>
      </c>
      <c r="C535" s="27" t="s">
        <v>583</v>
      </c>
      <c r="D535" s="32">
        <v>32304</v>
      </c>
      <c r="E535" s="32">
        <v>0</v>
      </c>
      <c r="F535" s="32">
        <v>0</v>
      </c>
      <c r="G535" s="32">
        <v>0</v>
      </c>
      <c r="H535" s="32">
        <v>0</v>
      </c>
      <c r="I535" s="32">
        <v>0</v>
      </c>
      <c r="J535" s="32">
        <v>0</v>
      </c>
      <c r="M535" s="68" t="s">
        <v>794</v>
      </c>
      <c r="N535" s="13" t="s">
        <v>878</v>
      </c>
      <c r="O535" s="13" t="s">
        <v>583</v>
      </c>
      <c r="P535" s="13">
        <v>32304</v>
      </c>
      <c r="Q535" s="13">
        <v>0</v>
      </c>
      <c r="R535" s="13">
        <v>0</v>
      </c>
      <c r="S535" s="13">
        <v>0</v>
      </c>
      <c r="T535" s="13">
        <v>0</v>
      </c>
      <c r="U535" s="13">
        <v>0</v>
      </c>
      <c r="V535" s="69">
        <v>0</v>
      </c>
    </row>
    <row r="536" spans="1:22" x14ac:dyDescent="0.25">
      <c r="A536" s="27" t="s">
        <v>120</v>
      </c>
      <c r="B536" s="27" t="s">
        <v>878</v>
      </c>
      <c r="C536" s="27" t="s">
        <v>584</v>
      </c>
      <c r="D536" s="32">
        <v>8994</v>
      </c>
      <c r="E536" s="32">
        <v>0</v>
      </c>
      <c r="F536" s="32">
        <v>0</v>
      </c>
      <c r="G536" s="32">
        <v>0</v>
      </c>
      <c r="H536" s="32">
        <v>0</v>
      </c>
      <c r="I536" s="32">
        <v>0</v>
      </c>
      <c r="J536" s="32">
        <v>0</v>
      </c>
      <c r="M536" s="65" t="s">
        <v>120</v>
      </c>
      <c r="N536" s="66" t="s">
        <v>878</v>
      </c>
      <c r="O536" s="66" t="s">
        <v>584</v>
      </c>
      <c r="P536" s="66">
        <v>8994</v>
      </c>
      <c r="Q536" s="66">
        <v>0</v>
      </c>
      <c r="R536" s="66">
        <v>0</v>
      </c>
      <c r="S536" s="66">
        <v>0</v>
      </c>
      <c r="T536" s="66">
        <v>0</v>
      </c>
      <c r="U536" s="66">
        <v>0</v>
      </c>
      <c r="V536" s="67">
        <v>0</v>
      </c>
    </row>
    <row r="537" spans="1:22" x14ac:dyDescent="0.25">
      <c r="A537" s="27" t="s">
        <v>837</v>
      </c>
      <c r="B537" s="27" t="s">
        <v>878</v>
      </c>
      <c r="C537" s="27" t="s">
        <v>585</v>
      </c>
      <c r="D537" s="32">
        <v>16690</v>
      </c>
      <c r="E537" s="32">
        <v>0</v>
      </c>
      <c r="F537" s="32">
        <v>0</v>
      </c>
      <c r="G537" s="32">
        <v>0</v>
      </c>
      <c r="H537" s="32">
        <v>0</v>
      </c>
      <c r="I537" s="32">
        <v>0</v>
      </c>
      <c r="J537" s="32">
        <v>0</v>
      </c>
      <c r="M537" s="68" t="s">
        <v>837</v>
      </c>
      <c r="N537" s="13" t="s">
        <v>878</v>
      </c>
      <c r="O537" s="13" t="s">
        <v>585</v>
      </c>
      <c r="P537" s="13">
        <v>16690</v>
      </c>
      <c r="Q537" s="13">
        <v>0</v>
      </c>
      <c r="R537" s="13">
        <v>0</v>
      </c>
      <c r="S537" s="13">
        <v>0</v>
      </c>
      <c r="T537" s="13">
        <v>0</v>
      </c>
      <c r="U537" s="13">
        <v>0</v>
      </c>
      <c r="V537" s="69">
        <v>0</v>
      </c>
    </row>
    <row r="538" spans="1:22" x14ac:dyDescent="0.25">
      <c r="A538" s="27" t="s">
        <v>859</v>
      </c>
      <c r="B538" s="27" t="s">
        <v>878</v>
      </c>
      <c r="C538" s="27" t="s">
        <v>586</v>
      </c>
      <c r="D538" s="32">
        <v>41982</v>
      </c>
      <c r="E538" s="32">
        <v>0</v>
      </c>
      <c r="F538" s="32">
        <v>0</v>
      </c>
      <c r="G538" s="32">
        <v>0</v>
      </c>
      <c r="H538" s="32">
        <v>0</v>
      </c>
      <c r="I538" s="32">
        <v>0</v>
      </c>
      <c r="J538" s="32">
        <v>0</v>
      </c>
      <c r="M538" s="65" t="s">
        <v>859</v>
      </c>
      <c r="N538" s="66" t="s">
        <v>878</v>
      </c>
      <c r="O538" s="66" t="s">
        <v>586</v>
      </c>
      <c r="P538" s="66">
        <v>41982</v>
      </c>
      <c r="Q538" s="66">
        <v>0</v>
      </c>
      <c r="R538" s="66">
        <v>0</v>
      </c>
      <c r="S538" s="66">
        <v>0</v>
      </c>
      <c r="T538" s="66">
        <v>0</v>
      </c>
      <c r="U538" s="66">
        <v>0</v>
      </c>
      <c r="V538" s="67">
        <v>0</v>
      </c>
    </row>
    <row r="539" spans="1:22" x14ac:dyDescent="0.25">
      <c r="A539" s="27" t="s">
        <v>836</v>
      </c>
      <c r="B539" s="27" t="s">
        <v>878</v>
      </c>
      <c r="C539" s="27" t="s">
        <v>587</v>
      </c>
      <c r="D539" s="32">
        <v>40635</v>
      </c>
      <c r="E539" s="32">
        <v>0</v>
      </c>
      <c r="F539" s="32">
        <v>0</v>
      </c>
      <c r="G539" s="32">
        <v>0</v>
      </c>
      <c r="H539" s="32">
        <v>0</v>
      </c>
      <c r="I539" s="32">
        <v>0</v>
      </c>
      <c r="J539" s="32">
        <v>0</v>
      </c>
      <c r="M539" s="68" t="s">
        <v>836</v>
      </c>
      <c r="N539" s="13" t="s">
        <v>878</v>
      </c>
      <c r="O539" s="13" t="s">
        <v>587</v>
      </c>
      <c r="P539" s="13">
        <v>40635</v>
      </c>
      <c r="Q539" s="13">
        <v>0</v>
      </c>
      <c r="R539" s="13">
        <v>0</v>
      </c>
      <c r="S539" s="13">
        <v>0</v>
      </c>
      <c r="T539" s="13">
        <v>0</v>
      </c>
      <c r="U539" s="13">
        <v>0</v>
      </c>
      <c r="V539" s="69">
        <v>0</v>
      </c>
    </row>
    <row r="540" spans="1:22" x14ac:dyDescent="0.25">
      <c r="A540" s="27" t="s">
        <v>844</v>
      </c>
      <c r="B540" s="27" t="s">
        <v>878</v>
      </c>
      <c r="C540" s="27" t="s">
        <v>588</v>
      </c>
      <c r="D540" s="32">
        <v>23465</v>
      </c>
      <c r="E540" s="32">
        <v>0</v>
      </c>
      <c r="F540" s="32">
        <v>0</v>
      </c>
      <c r="G540" s="32">
        <v>0</v>
      </c>
      <c r="H540" s="32">
        <v>0</v>
      </c>
      <c r="I540" s="32">
        <v>0</v>
      </c>
      <c r="J540" s="32">
        <v>0</v>
      </c>
      <c r="M540" s="65" t="s">
        <v>844</v>
      </c>
      <c r="N540" s="66" t="s">
        <v>878</v>
      </c>
      <c r="O540" s="66" t="s">
        <v>588</v>
      </c>
      <c r="P540" s="66">
        <v>23465</v>
      </c>
      <c r="Q540" s="66">
        <v>0</v>
      </c>
      <c r="R540" s="66">
        <v>0</v>
      </c>
      <c r="S540" s="66">
        <v>0</v>
      </c>
      <c r="T540" s="66">
        <v>0</v>
      </c>
      <c r="U540" s="66">
        <v>0</v>
      </c>
      <c r="V540" s="67">
        <v>0</v>
      </c>
    </row>
    <row r="541" spans="1:22" x14ac:dyDescent="0.25">
      <c r="A541" s="27" t="s">
        <v>838</v>
      </c>
      <c r="B541" s="27" t="s">
        <v>878</v>
      </c>
      <c r="C541" s="27" t="s">
        <v>589</v>
      </c>
      <c r="D541" s="32">
        <v>17968</v>
      </c>
      <c r="E541" s="32">
        <v>0</v>
      </c>
      <c r="F541" s="32">
        <v>0</v>
      </c>
      <c r="G541" s="32">
        <v>0</v>
      </c>
      <c r="H541" s="32">
        <v>0</v>
      </c>
      <c r="I541" s="32">
        <v>0</v>
      </c>
      <c r="J541" s="32">
        <v>0</v>
      </c>
      <c r="M541" s="68" t="s">
        <v>838</v>
      </c>
      <c r="N541" s="13" t="s">
        <v>878</v>
      </c>
      <c r="O541" s="13" t="s">
        <v>589</v>
      </c>
      <c r="P541" s="13">
        <v>17968</v>
      </c>
      <c r="Q541" s="13">
        <v>0</v>
      </c>
      <c r="R541" s="13">
        <v>0</v>
      </c>
      <c r="S541" s="13">
        <v>0</v>
      </c>
      <c r="T541" s="13">
        <v>0</v>
      </c>
      <c r="U541" s="13">
        <v>0</v>
      </c>
      <c r="V541" s="69">
        <v>0</v>
      </c>
    </row>
    <row r="542" spans="1:22" x14ac:dyDescent="0.25">
      <c r="A542" s="27" t="s">
        <v>833</v>
      </c>
      <c r="B542" s="27" t="s">
        <v>878</v>
      </c>
      <c r="C542" s="27" t="s">
        <v>590</v>
      </c>
      <c r="D542" s="32">
        <v>20477</v>
      </c>
      <c r="E542" s="32">
        <v>0</v>
      </c>
      <c r="F542" s="32">
        <v>0</v>
      </c>
      <c r="G542" s="32">
        <v>0</v>
      </c>
      <c r="H542" s="32">
        <v>0</v>
      </c>
      <c r="I542" s="32">
        <v>0</v>
      </c>
      <c r="J542" s="32">
        <v>0</v>
      </c>
      <c r="M542" s="65" t="s">
        <v>833</v>
      </c>
      <c r="N542" s="66" t="s">
        <v>878</v>
      </c>
      <c r="O542" s="66" t="s">
        <v>590</v>
      </c>
      <c r="P542" s="66">
        <v>20477</v>
      </c>
      <c r="Q542" s="66">
        <v>0</v>
      </c>
      <c r="R542" s="66">
        <v>0</v>
      </c>
      <c r="S542" s="66">
        <v>0</v>
      </c>
      <c r="T542" s="66">
        <v>0</v>
      </c>
      <c r="U542" s="66">
        <v>0</v>
      </c>
      <c r="V542" s="67">
        <v>0</v>
      </c>
    </row>
    <row r="543" spans="1:22" x14ac:dyDescent="0.25">
      <c r="A543" s="27" t="s">
        <v>845</v>
      </c>
      <c r="B543" s="27" t="s">
        <v>878</v>
      </c>
      <c r="C543" s="27" t="s">
        <v>591</v>
      </c>
      <c r="D543" s="32">
        <v>7156</v>
      </c>
      <c r="E543" s="32">
        <v>0</v>
      </c>
      <c r="F543" s="32">
        <v>0</v>
      </c>
      <c r="G543" s="32">
        <v>0</v>
      </c>
      <c r="H543" s="32">
        <v>0</v>
      </c>
      <c r="I543" s="32">
        <v>0</v>
      </c>
      <c r="J543" s="32">
        <v>0</v>
      </c>
      <c r="M543" s="68" t="s">
        <v>845</v>
      </c>
      <c r="N543" s="13" t="s">
        <v>878</v>
      </c>
      <c r="O543" s="13" t="s">
        <v>591</v>
      </c>
      <c r="P543" s="13">
        <v>7156</v>
      </c>
      <c r="Q543" s="13">
        <v>0</v>
      </c>
      <c r="R543" s="13">
        <v>0</v>
      </c>
      <c r="S543" s="13">
        <v>0</v>
      </c>
      <c r="T543" s="13">
        <v>0</v>
      </c>
      <c r="U543" s="13">
        <v>0</v>
      </c>
      <c r="V543" s="69">
        <v>0</v>
      </c>
    </row>
    <row r="544" spans="1:22" x14ac:dyDescent="0.25">
      <c r="A544" s="27" t="s">
        <v>794</v>
      </c>
      <c r="B544" s="27" t="s">
        <v>878</v>
      </c>
      <c r="C544" s="27" t="s">
        <v>592</v>
      </c>
      <c r="D544" s="32">
        <v>18209</v>
      </c>
      <c r="E544" s="32">
        <v>0</v>
      </c>
      <c r="F544" s="32">
        <v>0</v>
      </c>
      <c r="G544" s="32">
        <v>0</v>
      </c>
      <c r="H544" s="32">
        <v>0</v>
      </c>
      <c r="I544" s="32">
        <v>0</v>
      </c>
      <c r="J544" s="32">
        <v>0</v>
      </c>
      <c r="M544" s="65" t="s">
        <v>794</v>
      </c>
      <c r="N544" s="66" t="s">
        <v>878</v>
      </c>
      <c r="O544" s="66" t="s">
        <v>592</v>
      </c>
      <c r="P544" s="66">
        <v>18209</v>
      </c>
      <c r="Q544" s="66">
        <v>0</v>
      </c>
      <c r="R544" s="66">
        <v>0</v>
      </c>
      <c r="S544" s="66">
        <v>0</v>
      </c>
      <c r="T544" s="66">
        <v>0</v>
      </c>
      <c r="U544" s="66">
        <v>0</v>
      </c>
      <c r="V544" s="67">
        <v>0</v>
      </c>
    </row>
    <row r="545" spans="1:22" x14ac:dyDescent="0.25">
      <c r="A545" s="27" t="s">
        <v>843</v>
      </c>
      <c r="B545" s="27" t="s">
        <v>878</v>
      </c>
      <c r="C545" s="27" t="s">
        <v>593</v>
      </c>
      <c r="D545" s="32">
        <v>5511</v>
      </c>
      <c r="E545" s="32">
        <v>0</v>
      </c>
      <c r="F545" s="32">
        <v>0</v>
      </c>
      <c r="G545" s="32">
        <v>0</v>
      </c>
      <c r="H545" s="32">
        <v>0</v>
      </c>
      <c r="I545" s="32">
        <v>0</v>
      </c>
      <c r="J545" s="32">
        <v>0</v>
      </c>
      <c r="M545" s="68" t="s">
        <v>843</v>
      </c>
      <c r="N545" s="13" t="s">
        <v>878</v>
      </c>
      <c r="O545" s="13" t="s">
        <v>593</v>
      </c>
      <c r="P545" s="13">
        <v>5511</v>
      </c>
      <c r="Q545" s="13">
        <v>0</v>
      </c>
      <c r="R545" s="13">
        <v>0</v>
      </c>
      <c r="S545" s="13">
        <v>0</v>
      </c>
      <c r="T545" s="13">
        <v>0</v>
      </c>
      <c r="U545" s="13">
        <v>0</v>
      </c>
      <c r="V545" s="69">
        <v>0</v>
      </c>
    </row>
    <row r="546" spans="1:22" x14ac:dyDescent="0.25">
      <c r="A546" s="27" t="s">
        <v>863</v>
      </c>
      <c r="B546" s="27" t="s">
        <v>878</v>
      </c>
      <c r="C546" s="27" t="s">
        <v>594</v>
      </c>
      <c r="D546" s="32">
        <v>16635</v>
      </c>
      <c r="E546" s="32">
        <v>0</v>
      </c>
      <c r="F546" s="32">
        <v>0</v>
      </c>
      <c r="G546" s="32">
        <v>0</v>
      </c>
      <c r="H546" s="32">
        <v>0</v>
      </c>
      <c r="I546" s="32">
        <v>0</v>
      </c>
      <c r="J546" s="32">
        <v>0</v>
      </c>
      <c r="M546" s="65" t="s">
        <v>863</v>
      </c>
      <c r="N546" s="66" t="s">
        <v>878</v>
      </c>
      <c r="O546" s="66" t="s">
        <v>594</v>
      </c>
      <c r="P546" s="66">
        <v>16635</v>
      </c>
      <c r="Q546" s="66">
        <v>0</v>
      </c>
      <c r="R546" s="66">
        <v>0</v>
      </c>
      <c r="S546" s="66">
        <v>0</v>
      </c>
      <c r="T546" s="66">
        <v>0</v>
      </c>
      <c r="U546" s="66">
        <v>0</v>
      </c>
      <c r="V546" s="67">
        <v>0</v>
      </c>
    </row>
    <row r="547" spans="1:22" x14ac:dyDescent="0.25">
      <c r="A547" s="27" t="s">
        <v>804</v>
      </c>
      <c r="B547" s="27" t="s">
        <v>878</v>
      </c>
      <c r="C547" s="27" t="s">
        <v>595</v>
      </c>
      <c r="D547" s="32">
        <v>11790</v>
      </c>
      <c r="E547" s="32">
        <v>0</v>
      </c>
      <c r="F547" s="32">
        <v>0</v>
      </c>
      <c r="G547" s="32">
        <v>0</v>
      </c>
      <c r="H547" s="32">
        <v>0</v>
      </c>
      <c r="I547" s="32">
        <v>0</v>
      </c>
      <c r="J547" s="32">
        <v>0</v>
      </c>
      <c r="M547" s="68" t="s">
        <v>804</v>
      </c>
      <c r="N547" s="13" t="s">
        <v>878</v>
      </c>
      <c r="O547" s="13" t="s">
        <v>595</v>
      </c>
      <c r="P547" s="13">
        <v>11790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69">
        <v>0</v>
      </c>
    </row>
    <row r="548" spans="1:22" x14ac:dyDescent="0.25">
      <c r="A548" s="27" t="s">
        <v>795</v>
      </c>
      <c r="B548" s="27" t="s">
        <v>878</v>
      </c>
      <c r="C548" s="27" t="s">
        <v>596</v>
      </c>
      <c r="D548" s="32">
        <v>44696</v>
      </c>
      <c r="E548" s="32">
        <v>0</v>
      </c>
      <c r="F548" s="32">
        <v>0</v>
      </c>
      <c r="G548" s="32">
        <v>0</v>
      </c>
      <c r="H548" s="32">
        <v>0</v>
      </c>
      <c r="I548" s="32">
        <v>0</v>
      </c>
      <c r="J548" s="32">
        <v>0</v>
      </c>
      <c r="M548" s="65" t="s">
        <v>795</v>
      </c>
      <c r="N548" s="66" t="s">
        <v>878</v>
      </c>
      <c r="O548" s="66" t="s">
        <v>596</v>
      </c>
      <c r="P548" s="66">
        <v>44696</v>
      </c>
      <c r="Q548" s="66">
        <v>0</v>
      </c>
      <c r="R548" s="66">
        <v>0</v>
      </c>
      <c r="S548" s="66">
        <v>0</v>
      </c>
      <c r="T548" s="66">
        <v>0</v>
      </c>
      <c r="U548" s="66">
        <v>0</v>
      </c>
      <c r="V548" s="67">
        <v>0</v>
      </c>
    </row>
    <row r="549" spans="1:22" x14ac:dyDescent="0.25">
      <c r="A549" s="27" t="s">
        <v>101</v>
      </c>
      <c r="B549" s="27" t="s">
        <v>878</v>
      </c>
      <c r="C549" s="27" t="s">
        <v>597</v>
      </c>
      <c r="D549" s="32">
        <v>31100</v>
      </c>
      <c r="E549" s="32">
        <v>0</v>
      </c>
      <c r="F549" s="32">
        <v>0</v>
      </c>
      <c r="G549" s="32">
        <v>0</v>
      </c>
      <c r="H549" s="32">
        <v>0</v>
      </c>
      <c r="I549" s="32">
        <v>0</v>
      </c>
      <c r="J549" s="32">
        <v>0</v>
      </c>
      <c r="M549" s="68" t="s">
        <v>101</v>
      </c>
      <c r="N549" s="13" t="s">
        <v>878</v>
      </c>
      <c r="O549" s="13" t="s">
        <v>597</v>
      </c>
      <c r="P549" s="13">
        <v>31100</v>
      </c>
      <c r="Q549" s="13">
        <v>0</v>
      </c>
      <c r="R549" s="13">
        <v>0</v>
      </c>
      <c r="S549" s="13">
        <v>0</v>
      </c>
      <c r="T549" s="13">
        <v>0</v>
      </c>
      <c r="U549" s="13">
        <v>0</v>
      </c>
      <c r="V549" s="69">
        <v>0</v>
      </c>
    </row>
    <row r="550" spans="1:22" x14ac:dyDescent="0.25">
      <c r="A550" s="27" t="s">
        <v>835</v>
      </c>
      <c r="B550" s="27" t="s">
        <v>878</v>
      </c>
      <c r="C550" s="27" t="s">
        <v>598</v>
      </c>
      <c r="D550" s="32">
        <v>11072</v>
      </c>
      <c r="E550" s="32">
        <v>0</v>
      </c>
      <c r="F550" s="32">
        <v>0</v>
      </c>
      <c r="G550" s="32">
        <v>0</v>
      </c>
      <c r="H550" s="32">
        <v>0</v>
      </c>
      <c r="I550" s="32">
        <v>0</v>
      </c>
      <c r="J550" s="32">
        <v>0</v>
      </c>
      <c r="M550" s="65" t="s">
        <v>835</v>
      </c>
      <c r="N550" s="66" t="s">
        <v>878</v>
      </c>
      <c r="O550" s="66" t="s">
        <v>598</v>
      </c>
      <c r="P550" s="66">
        <v>11072</v>
      </c>
      <c r="Q550" s="66">
        <v>0</v>
      </c>
      <c r="R550" s="66">
        <v>0</v>
      </c>
      <c r="S550" s="66">
        <v>0</v>
      </c>
      <c r="T550" s="66">
        <v>0</v>
      </c>
      <c r="U550" s="66">
        <v>0</v>
      </c>
      <c r="V550" s="67">
        <v>0</v>
      </c>
    </row>
    <row r="551" spans="1:22" x14ac:dyDescent="0.25">
      <c r="A551" s="27" t="s">
        <v>842</v>
      </c>
      <c r="B551" s="27" t="s">
        <v>878</v>
      </c>
      <c r="C551" s="27" t="s">
        <v>599</v>
      </c>
      <c r="D551" s="32">
        <v>7502</v>
      </c>
      <c r="E551" s="32">
        <v>0</v>
      </c>
      <c r="F551" s="32">
        <v>0</v>
      </c>
      <c r="G551" s="32">
        <v>0</v>
      </c>
      <c r="H551" s="32">
        <v>0</v>
      </c>
      <c r="I551" s="32">
        <v>0</v>
      </c>
      <c r="J551" s="32">
        <v>0</v>
      </c>
      <c r="M551" s="68" t="s">
        <v>842</v>
      </c>
      <c r="N551" s="13" t="s">
        <v>878</v>
      </c>
      <c r="O551" s="13" t="s">
        <v>599</v>
      </c>
      <c r="P551" s="13">
        <v>7502</v>
      </c>
      <c r="Q551" s="13">
        <v>0</v>
      </c>
      <c r="R551" s="13">
        <v>0</v>
      </c>
      <c r="S551" s="13">
        <v>0</v>
      </c>
      <c r="T551" s="13">
        <v>0</v>
      </c>
      <c r="U551" s="13">
        <v>0</v>
      </c>
      <c r="V551" s="69">
        <v>0</v>
      </c>
    </row>
    <row r="552" spans="1:22" x14ac:dyDescent="0.25">
      <c r="A552" s="27" t="s">
        <v>226</v>
      </c>
      <c r="B552" s="27" t="s">
        <v>878</v>
      </c>
      <c r="C552" s="27" t="s">
        <v>600</v>
      </c>
      <c r="D552" s="32">
        <v>4165</v>
      </c>
      <c r="E552" s="32">
        <v>0</v>
      </c>
      <c r="F552" s="32">
        <v>0</v>
      </c>
      <c r="G552" s="32">
        <v>0</v>
      </c>
      <c r="H552" s="32">
        <v>0</v>
      </c>
      <c r="I552" s="32">
        <v>0</v>
      </c>
      <c r="J552" s="32">
        <v>0</v>
      </c>
      <c r="M552" s="65" t="s">
        <v>226</v>
      </c>
      <c r="N552" s="66" t="s">
        <v>878</v>
      </c>
      <c r="O552" s="66" t="s">
        <v>600</v>
      </c>
      <c r="P552" s="66">
        <v>4165</v>
      </c>
      <c r="Q552" s="66">
        <v>0</v>
      </c>
      <c r="R552" s="66">
        <v>0</v>
      </c>
      <c r="S552" s="66">
        <v>0</v>
      </c>
      <c r="T552" s="66">
        <v>0</v>
      </c>
      <c r="U552" s="66">
        <v>0</v>
      </c>
      <c r="V552" s="67">
        <v>0</v>
      </c>
    </row>
    <row r="553" spans="1:22" x14ac:dyDescent="0.25">
      <c r="A553" s="27" t="s">
        <v>817</v>
      </c>
      <c r="B553" s="27" t="s">
        <v>878</v>
      </c>
      <c r="C553" s="27" t="s">
        <v>601</v>
      </c>
      <c r="D553" s="32">
        <v>26062</v>
      </c>
      <c r="E553" s="32">
        <v>0</v>
      </c>
      <c r="F553" s="32">
        <v>0</v>
      </c>
      <c r="G553" s="32">
        <v>0</v>
      </c>
      <c r="H553" s="32">
        <v>0</v>
      </c>
      <c r="I553" s="32">
        <v>0</v>
      </c>
      <c r="J553" s="32">
        <v>0</v>
      </c>
      <c r="M553" s="68" t="s">
        <v>817</v>
      </c>
      <c r="N553" s="13" t="s">
        <v>878</v>
      </c>
      <c r="O553" s="13" t="s">
        <v>601</v>
      </c>
      <c r="P553" s="13">
        <v>26062</v>
      </c>
      <c r="Q553" s="13">
        <v>0</v>
      </c>
      <c r="R553" s="13">
        <v>0</v>
      </c>
      <c r="S553" s="13">
        <v>0</v>
      </c>
      <c r="T553" s="13">
        <v>0</v>
      </c>
      <c r="U553" s="13">
        <v>0</v>
      </c>
      <c r="V553" s="69">
        <v>0</v>
      </c>
    </row>
    <row r="554" spans="1:22" x14ac:dyDescent="0.25">
      <c r="A554" s="27" t="s">
        <v>859</v>
      </c>
      <c r="B554" s="27" t="s">
        <v>878</v>
      </c>
      <c r="C554" s="27" t="s">
        <v>602</v>
      </c>
      <c r="D554" s="32">
        <v>52219</v>
      </c>
      <c r="E554" s="32">
        <v>0</v>
      </c>
      <c r="F554" s="32">
        <v>0</v>
      </c>
      <c r="G554" s="32">
        <v>0</v>
      </c>
      <c r="H554" s="32">
        <v>0</v>
      </c>
      <c r="I554" s="32">
        <v>0</v>
      </c>
      <c r="J554" s="32">
        <v>0</v>
      </c>
      <c r="M554" s="65" t="s">
        <v>859</v>
      </c>
      <c r="N554" s="66" t="s">
        <v>878</v>
      </c>
      <c r="O554" s="66" t="s">
        <v>602</v>
      </c>
      <c r="P554" s="66">
        <v>52219</v>
      </c>
      <c r="Q554" s="66">
        <v>0</v>
      </c>
      <c r="R554" s="66">
        <v>0</v>
      </c>
      <c r="S554" s="66">
        <v>0</v>
      </c>
      <c r="T554" s="66">
        <v>0</v>
      </c>
      <c r="U554" s="66">
        <v>0</v>
      </c>
      <c r="V554" s="67">
        <v>0</v>
      </c>
    </row>
    <row r="555" spans="1:22" x14ac:dyDescent="0.25">
      <c r="A555" s="27" t="s">
        <v>859</v>
      </c>
      <c r="B555" s="27" t="s">
        <v>878</v>
      </c>
      <c r="C555" s="27" t="s">
        <v>603</v>
      </c>
      <c r="D555" s="32">
        <v>9665</v>
      </c>
      <c r="E555" s="32">
        <v>0</v>
      </c>
      <c r="F555" s="32">
        <v>0</v>
      </c>
      <c r="G555" s="32">
        <v>0</v>
      </c>
      <c r="H555" s="32">
        <v>0</v>
      </c>
      <c r="I555" s="32">
        <v>0</v>
      </c>
      <c r="J555" s="32">
        <v>0</v>
      </c>
      <c r="M555" s="68" t="s">
        <v>859</v>
      </c>
      <c r="N555" s="13" t="s">
        <v>878</v>
      </c>
      <c r="O555" s="13" t="s">
        <v>603</v>
      </c>
      <c r="P555" s="13">
        <v>9665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69">
        <v>0</v>
      </c>
    </row>
    <row r="556" spans="1:22" x14ac:dyDescent="0.25">
      <c r="A556" s="27" t="s">
        <v>831</v>
      </c>
      <c r="B556" s="27" t="s">
        <v>878</v>
      </c>
      <c r="C556" s="27" t="s">
        <v>604</v>
      </c>
      <c r="D556" s="32">
        <v>22725</v>
      </c>
      <c r="E556" s="32">
        <v>0</v>
      </c>
      <c r="F556" s="32">
        <v>0</v>
      </c>
      <c r="G556" s="32">
        <v>0</v>
      </c>
      <c r="H556" s="32">
        <v>0</v>
      </c>
      <c r="I556" s="32">
        <v>0</v>
      </c>
      <c r="J556" s="32">
        <v>0</v>
      </c>
      <c r="M556" s="65" t="s">
        <v>831</v>
      </c>
      <c r="N556" s="66" t="s">
        <v>878</v>
      </c>
      <c r="O556" s="66" t="s">
        <v>604</v>
      </c>
      <c r="P556" s="66">
        <v>22725</v>
      </c>
      <c r="Q556" s="66">
        <v>0</v>
      </c>
      <c r="R556" s="66">
        <v>0</v>
      </c>
      <c r="S556" s="66">
        <v>0</v>
      </c>
      <c r="T556" s="66">
        <v>0</v>
      </c>
      <c r="U556" s="66">
        <v>0</v>
      </c>
      <c r="V556" s="67">
        <v>0</v>
      </c>
    </row>
    <row r="557" spans="1:22" x14ac:dyDescent="0.25">
      <c r="A557" s="27" t="s">
        <v>809</v>
      </c>
      <c r="B557" s="27" t="s">
        <v>878</v>
      </c>
      <c r="C557" s="27" t="s">
        <v>605</v>
      </c>
      <c r="D557" s="32">
        <v>30158</v>
      </c>
      <c r="E557" s="32">
        <v>0</v>
      </c>
      <c r="F557" s="32">
        <v>0</v>
      </c>
      <c r="G557" s="32">
        <v>0</v>
      </c>
      <c r="H557" s="32">
        <v>0</v>
      </c>
      <c r="I557" s="32">
        <v>0</v>
      </c>
      <c r="J557" s="32">
        <v>0</v>
      </c>
      <c r="M557" s="68" t="s">
        <v>809</v>
      </c>
      <c r="N557" s="13" t="s">
        <v>878</v>
      </c>
      <c r="O557" s="13" t="s">
        <v>605</v>
      </c>
      <c r="P557" s="13">
        <v>30158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69">
        <v>0</v>
      </c>
    </row>
    <row r="558" spans="1:22" x14ac:dyDescent="0.25">
      <c r="A558" s="27" t="s">
        <v>817</v>
      </c>
      <c r="B558" s="27" t="s">
        <v>878</v>
      </c>
      <c r="C558" s="27" t="s">
        <v>606</v>
      </c>
      <c r="D558" s="32">
        <v>109512</v>
      </c>
      <c r="E558" s="32">
        <v>0</v>
      </c>
      <c r="F558" s="32">
        <v>0</v>
      </c>
      <c r="G558" s="32">
        <v>0</v>
      </c>
      <c r="H558" s="32">
        <v>0</v>
      </c>
      <c r="I558" s="32">
        <v>0</v>
      </c>
      <c r="J558" s="32">
        <v>0</v>
      </c>
      <c r="M558" s="65" t="s">
        <v>817</v>
      </c>
      <c r="N558" s="66" t="s">
        <v>878</v>
      </c>
      <c r="O558" s="66" t="s">
        <v>606</v>
      </c>
      <c r="P558" s="66">
        <v>109512</v>
      </c>
      <c r="Q558" s="66">
        <v>0</v>
      </c>
      <c r="R558" s="66">
        <v>0</v>
      </c>
      <c r="S558" s="66">
        <v>0</v>
      </c>
      <c r="T558" s="66">
        <v>0</v>
      </c>
      <c r="U558" s="66">
        <v>0</v>
      </c>
      <c r="V558" s="67">
        <v>0</v>
      </c>
    </row>
    <row r="559" spans="1:22" x14ac:dyDescent="0.25">
      <c r="A559" s="27" t="s">
        <v>824</v>
      </c>
      <c r="B559" s="27" t="s">
        <v>878</v>
      </c>
      <c r="C559" s="27" t="s">
        <v>607</v>
      </c>
      <c r="D559" s="32"/>
      <c r="E559" s="32"/>
      <c r="F559" s="32"/>
      <c r="G559" s="32"/>
      <c r="H559" s="32"/>
      <c r="I559" s="32"/>
      <c r="J559" s="32"/>
      <c r="M559" s="68" t="s">
        <v>824</v>
      </c>
      <c r="N559" s="13" t="s">
        <v>878</v>
      </c>
      <c r="O559" s="13" t="s">
        <v>607</v>
      </c>
      <c r="P559" s="13"/>
      <c r="Q559" s="13"/>
      <c r="R559" s="13"/>
      <c r="S559" s="13"/>
      <c r="T559" s="13"/>
      <c r="U559" s="13"/>
      <c r="V559" s="69"/>
    </row>
    <row r="560" spans="1:22" x14ac:dyDescent="0.25">
      <c r="A560" s="27" t="s">
        <v>890</v>
      </c>
      <c r="B560" s="27" t="s">
        <v>878</v>
      </c>
      <c r="C560" s="27" t="s">
        <v>608</v>
      </c>
      <c r="D560" s="32">
        <v>41491</v>
      </c>
      <c r="E560" s="32">
        <v>0</v>
      </c>
      <c r="F560" s="32">
        <v>0</v>
      </c>
      <c r="G560" s="32">
        <v>0</v>
      </c>
      <c r="H560" s="32">
        <v>0</v>
      </c>
      <c r="I560" s="32">
        <v>0</v>
      </c>
      <c r="J560" s="32">
        <v>0</v>
      </c>
      <c r="M560" s="65" t="s">
        <v>890</v>
      </c>
      <c r="N560" s="66" t="s">
        <v>878</v>
      </c>
      <c r="O560" s="66" t="s">
        <v>608</v>
      </c>
      <c r="P560" s="66">
        <v>41491</v>
      </c>
      <c r="Q560" s="66">
        <v>0</v>
      </c>
      <c r="R560" s="66">
        <v>0</v>
      </c>
      <c r="S560" s="66">
        <v>0</v>
      </c>
      <c r="T560" s="66">
        <v>0</v>
      </c>
      <c r="U560" s="66">
        <v>0</v>
      </c>
      <c r="V560" s="67">
        <v>0</v>
      </c>
    </row>
    <row r="561" spans="1:22" x14ac:dyDescent="0.25">
      <c r="A561" s="27" t="s">
        <v>859</v>
      </c>
      <c r="B561" s="27" t="s">
        <v>878</v>
      </c>
      <c r="C561" s="27" t="s">
        <v>609</v>
      </c>
      <c r="D561" s="32">
        <v>20449</v>
      </c>
      <c r="E561" s="32">
        <v>0</v>
      </c>
      <c r="F561" s="32">
        <v>0</v>
      </c>
      <c r="G561" s="32">
        <v>0</v>
      </c>
      <c r="H561" s="32">
        <v>0</v>
      </c>
      <c r="I561" s="32">
        <v>0</v>
      </c>
      <c r="J561" s="32">
        <v>0</v>
      </c>
      <c r="M561" s="68" t="s">
        <v>859</v>
      </c>
      <c r="N561" s="13" t="s">
        <v>878</v>
      </c>
      <c r="O561" s="13" t="s">
        <v>609</v>
      </c>
      <c r="P561" s="13">
        <v>20449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69">
        <v>0</v>
      </c>
    </row>
    <row r="562" spans="1:22" x14ac:dyDescent="0.25">
      <c r="A562" s="27" t="s">
        <v>817</v>
      </c>
      <c r="B562" s="27" t="s">
        <v>878</v>
      </c>
      <c r="C562" s="27" t="s">
        <v>610</v>
      </c>
      <c r="D562" s="32">
        <v>111922</v>
      </c>
      <c r="E562" s="32">
        <v>0</v>
      </c>
      <c r="F562" s="32">
        <v>0</v>
      </c>
      <c r="G562" s="32">
        <v>0</v>
      </c>
      <c r="H562" s="32">
        <v>0</v>
      </c>
      <c r="I562" s="32">
        <v>0</v>
      </c>
      <c r="J562" s="32">
        <v>0</v>
      </c>
      <c r="M562" s="65" t="s">
        <v>817</v>
      </c>
      <c r="N562" s="66" t="s">
        <v>878</v>
      </c>
      <c r="O562" s="66" t="s">
        <v>610</v>
      </c>
      <c r="P562" s="66">
        <v>111922</v>
      </c>
      <c r="Q562" s="66">
        <v>0</v>
      </c>
      <c r="R562" s="66">
        <v>0</v>
      </c>
      <c r="S562" s="66">
        <v>0</v>
      </c>
      <c r="T562" s="66">
        <v>0</v>
      </c>
      <c r="U562" s="66">
        <v>0</v>
      </c>
      <c r="V562" s="67">
        <v>0</v>
      </c>
    </row>
    <row r="563" spans="1:22" x14ac:dyDescent="0.25">
      <c r="A563" s="27" t="s">
        <v>817</v>
      </c>
      <c r="B563" s="27" t="s">
        <v>878</v>
      </c>
      <c r="C563" s="27" t="s">
        <v>611</v>
      </c>
      <c r="D563" s="32">
        <v>12949</v>
      </c>
      <c r="E563" s="32">
        <v>0</v>
      </c>
      <c r="F563" s="32">
        <v>0</v>
      </c>
      <c r="G563" s="32">
        <v>0</v>
      </c>
      <c r="H563" s="32">
        <v>0</v>
      </c>
      <c r="I563" s="32">
        <v>0</v>
      </c>
      <c r="J563" s="32">
        <v>0</v>
      </c>
      <c r="M563" s="68" t="s">
        <v>817</v>
      </c>
      <c r="N563" s="13" t="s">
        <v>878</v>
      </c>
      <c r="O563" s="13" t="s">
        <v>611</v>
      </c>
      <c r="P563" s="13">
        <v>12949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69">
        <v>0</v>
      </c>
    </row>
    <row r="564" spans="1:22" x14ac:dyDescent="0.25">
      <c r="A564" s="27" t="s">
        <v>134</v>
      </c>
      <c r="B564" s="27" t="s">
        <v>878</v>
      </c>
      <c r="C564" s="27" t="s">
        <v>612</v>
      </c>
      <c r="D564" s="32">
        <v>57289</v>
      </c>
      <c r="E564" s="32">
        <v>0</v>
      </c>
      <c r="F564" s="32">
        <v>0</v>
      </c>
      <c r="G564" s="32">
        <v>0</v>
      </c>
      <c r="H564" s="32">
        <v>0</v>
      </c>
      <c r="I564" s="32">
        <v>0</v>
      </c>
      <c r="J564" s="32">
        <v>0</v>
      </c>
      <c r="M564" s="65" t="s">
        <v>134</v>
      </c>
      <c r="N564" s="66" t="s">
        <v>878</v>
      </c>
      <c r="O564" s="66" t="s">
        <v>612</v>
      </c>
      <c r="P564" s="66">
        <v>57289</v>
      </c>
      <c r="Q564" s="66">
        <v>0</v>
      </c>
      <c r="R564" s="66">
        <v>0</v>
      </c>
      <c r="S564" s="66">
        <v>0</v>
      </c>
      <c r="T564" s="66">
        <v>0</v>
      </c>
      <c r="U564" s="66">
        <v>0</v>
      </c>
      <c r="V564" s="67">
        <v>0</v>
      </c>
    </row>
    <row r="565" spans="1:22" x14ac:dyDescent="0.25">
      <c r="A565" s="27" t="s">
        <v>817</v>
      </c>
      <c r="B565" s="27" t="s">
        <v>878</v>
      </c>
      <c r="C565" s="27" t="s">
        <v>613</v>
      </c>
      <c r="D565" s="32">
        <v>84676</v>
      </c>
      <c r="E565" s="32">
        <v>0</v>
      </c>
      <c r="F565" s="32">
        <v>0</v>
      </c>
      <c r="G565" s="32">
        <v>0</v>
      </c>
      <c r="H565" s="32">
        <v>0</v>
      </c>
      <c r="I565" s="32">
        <v>0</v>
      </c>
      <c r="J565" s="32">
        <v>0</v>
      </c>
      <c r="M565" s="68" t="s">
        <v>817</v>
      </c>
      <c r="N565" s="13" t="s">
        <v>878</v>
      </c>
      <c r="O565" s="13" t="s">
        <v>613</v>
      </c>
      <c r="P565" s="13">
        <v>84676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69">
        <v>0</v>
      </c>
    </row>
    <row r="566" spans="1:22" x14ac:dyDescent="0.25">
      <c r="A566" s="27" t="s">
        <v>817</v>
      </c>
      <c r="B566" s="27" t="s">
        <v>878</v>
      </c>
      <c r="C566" s="27" t="s">
        <v>614</v>
      </c>
      <c r="D566" s="32"/>
      <c r="E566" s="32"/>
      <c r="F566" s="32"/>
      <c r="G566" s="32"/>
      <c r="H566" s="32"/>
      <c r="I566" s="32"/>
      <c r="J566" s="32"/>
      <c r="M566" s="65" t="s">
        <v>817</v>
      </c>
      <c r="N566" s="66" t="s">
        <v>878</v>
      </c>
      <c r="O566" s="66" t="s">
        <v>614</v>
      </c>
      <c r="P566" s="66"/>
      <c r="Q566" s="66"/>
      <c r="R566" s="66"/>
      <c r="S566" s="66"/>
      <c r="T566" s="66"/>
      <c r="U566" s="66"/>
      <c r="V566" s="67"/>
    </row>
    <row r="567" spans="1:22" x14ac:dyDescent="0.25">
      <c r="A567" s="27" t="s">
        <v>826</v>
      </c>
      <c r="B567" s="27" t="s">
        <v>878</v>
      </c>
      <c r="C567" s="27" t="s">
        <v>615</v>
      </c>
      <c r="D567" s="32">
        <v>10694</v>
      </c>
      <c r="E567" s="32">
        <v>0</v>
      </c>
      <c r="F567" s="32">
        <v>0</v>
      </c>
      <c r="G567" s="32">
        <v>0</v>
      </c>
      <c r="H567" s="32">
        <v>0</v>
      </c>
      <c r="I567" s="32">
        <v>0</v>
      </c>
      <c r="J567" s="32">
        <v>0</v>
      </c>
      <c r="M567" s="68" t="s">
        <v>826</v>
      </c>
      <c r="N567" s="13" t="s">
        <v>878</v>
      </c>
      <c r="O567" s="13" t="s">
        <v>615</v>
      </c>
      <c r="P567" s="13">
        <v>10694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69">
        <v>0</v>
      </c>
    </row>
    <row r="568" spans="1:22" x14ac:dyDescent="0.25">
      <c r="A568" s="27" t="s">
        <v>101</v>
      </c>
      <c r="B568" s="27" t="s">
        <v>878</v>
      </c>
      <c r="C568" s="27" t="s">
        <v>616</v>
      </c>
      <c r="D568" s="32">
        <v>18293</v>
      </c>
      <c r="E568" s="32">
        <v>0</v>
      </c>
      <c r="F568" s="32">
        <v>0</v>
      </c>
      <c r="G568" s="32">
        <v>0</v>
      </c>
      <c r="H568" s="32">
        <v>0</v>
      </c>
      <c r="I568" s="32">
        <v>0</v>
      </c>
      <c r="J568" s="32">
        <v>0</v>
      </c>
      <c r="M568" s="65" t="s">
        <v>101</v>
      </c>
      <c r="N568" s="66" t="s">
        <v>878</v>
      </c>
      <c r="O568" s="66" t="s">
        <v>616</v>
      </c>
      <c r="P568" s="66">
        <v>18293</v>
      </c>
      <c r="Q568" s="66">
        <v>0</v>
      </c>
      <c r="R568" s="66">
        <v>0</v>
      </c>
      <c r="S568" s="66">
        <v>0</v>
      </c>
      <c r="T568" s="66">
        <v>0</v>
      </c>
      <c r="U568" s="66">
        <v>0</v>
      </c>
      <c r="V568" s="67">
        <v>0</v>
      </c>
    </row>
    <row r="569" spans="1:22" x14ac:dyDescent="0.25">
      <c r="A569" s="27" t="s">
        <v>811</v>
      </c>
      <c r="B569" s="27" t="s">
        <v>878</v>
      </c>
      <c r="C569" s="27" t="s">
        <v>617</v>
      </c>
      <c r="D569" s="32">
        <v>12059</v>
      </c>
      <c r="E569" s="32">
        <v>0</v>
      </c>
      <c r="F569" s="32">
        <v>0</v>
      </c>
      <c r="G569" s="32">
        <v>0</v>
      </c>
      <c r="H569" s="32">
        <v>0</v>
      </c>
      <c r="I569" s="32">
        <v>0</v>
      </c>
      <c r="J569" s="32">
        <v>0</v>
      </c>
      <c r="M569" s="68" t="s">
        <v>811</v>
      </c>
      <c r="N569" s="13" t="s">
        <v>878</v>
      </c>
      <c r="O569" s="13" t="s">
        <v>617</v>
      </c>
      <c r="P569" s="13">
        <v>12059</v>
      </c>
      <c r="Q569" s="13">
        <v>0</v>
      </c>
      <c r="R569" s="13">
        <v>0</v>
      </c>
      <c r="S569" s="13">
        <v>0</v>
      </c>
      <c r="T569" s="13">
        <v>0</v>
      </c>
      <c r="U569" s="13">
        <v>0</v>
      </c>
      <c r="V569" s="69">
        <v>0</v>
      </c>
    </row>
    <row r="570" spans="1:22" x14ac:dyDescent="0.25">
      <c r="A570" s="27" t="s">
        <v>859</v>
      </c>
      <c r="B570" s="27" t="s">
        <v>878</v>
      </c>
      <c r="C570" s="27" t="s">
        <v>618</v>
      </c>
      <c r="D570" s="32">
        <v>6187</v>
      </c>
      <c r="E570" s="32">
        <v>0</v>
      </c>
      <c r="F570" s="32">
        <v>0</v>
      </c>
      <c r="G570" s="32">
        <v>0</v>
      </c>
      <c r="H570" s="32">
        <v>0</v>
      </c>
      <c r="I570" s="32">
        <v>0</v>
      </c>
      <c r="J570" s="32">
        <v>0</v>
      </c>
      <c r="M570" s="65" t="s">
        <v>859</v>
      </c>
      <c r="N570" s="66" t="s">
        <v>878</v>
      </c>
      <c r="O570" s="66" t="s">
        <v>618</v>
      </c>
      <c r="P570" s="66">
        <v>6187</v>
      </c>
      <c r="Q570" s="66">
        <v>0</v>
      </c>
      <c r="R570" s="66">
        <v>0</v>
      </c>
      <c r="S570" s="66">
        <v>0</v>
      </c>
      <c r="T570" s="66">
        <v>0</v>
      </c>
      <c r="U570" s="66">
        <v>0</v>
      </c>
      <c r="V570" s="67">
        <v>0</v>
      </c>
    </row>
    <row r="571" spans="1:22" x14ac:dyDescent="0.25">
      <c r="A571" s="27" t="s">
        <v>788</v>
      </c>
      <c r="B571" s="27" t="s">
        <v>878</v>
      </c>
      <c r="C571" s="27" t="s">
        <v>619</v>
      </c>
      <c r="D571" s="32">
        <v>33038</v>
      </c>
      <c r="E571" s="32">
        <v>0</v>
      </c>
      <c r="F571" s="32">
        <v>0</v>
      </c>
      <c r="G571" s="32">
        <v>0</v>
      </c>
      <c r="H571" s="32">
        <v>0</v>
      </c>
      <c r="I571" s="32">
        <v>0</v>
      </c>
      <c r="J571" s="32">
        <v>0</v>
      </c>
      <c r="M571" s="68" t="s">
        <v>788</v>
      </c>
      <c r="N571" s="13" t="s">
        <v>878</v>
      </c>
      <c r="O571" s="13" t="s">
        <v>619</v>
      </c>
      <c r="P571" s="13">
        <v>33038</v>
      </c>
      <c r="Q571" s="13">
        <v>0</v>
      </c>
      <c r="R571" s="13">
        <v>0</v>
      </c>
      <c r="S571" s="13">
        <v>0</v>
      </c>
      <c r="T571" s="13">
        <v>0</v>
      </c>
      <c r="U571" s="13">
        <v>0</v>
      </c>
      <c r="V571" s="69">
        <v>0</v>
      </c>
    </row>
    <row r="572" spans="1:22" x14ac:dyDescent="0.25">
      <c r="A572" s="27" t="s">
        <v>817</v>
      </c>
      <c r="B572" s="27" t="s">
        <v>878</v>
      </c>
      <c r="C572" s="27" t="s">
        <v>620</v>
      </c>
      <c r="D572" s="32">
        <v>28236</v>
      </c>
      <c r="E572" s="32">
        <v>0</v>
      </c>
      <c r="F572" s="32">
        <v>0</v>
      </c>
      <c r="G572" s="32">
        <v>0</v>
      </c>
      <c r="H572" s="32">
        <v>0</v>
      </c>
      <c r="I572" s="32">
        <v>0</v>
      </c>
      <c r="J572" s="32">
        <v>0</v>
      </c>
      <c r="M572" s="65" t="s">
        <v>817</v>
      </c>
      <c r="N572" s="66" t="s">
        <v>878</v>
      </c>
      <c r="O572" s="66" t="s">
        <v>620</v>
      </c>
      <c r="P572" s="66">
        <v>28236</v>
      </c>
      <c r="Q572" s="66">
        <v>0</v>
      </c>
      <c r="R572" s="66">
        <v>0</v>
      </c>
      <c r="S572" s="66">
        <v>0</v>
      </c>
      <c r="T572" s="66">
        <v>0</v>
      </c>
      <c r="U572" s="66">
        <v>0</v>
      </c>
      <c r="V572" s="67">
        <v>0</v>
      </c>
    </row>
    <row r="573" spans="1:22" x14ac:dyDescent="0.25">
      <c r="A573" s="27" t="s">
        <v>248</v>
      </c>
      <c r="B573" s="27" t="s">
        <v>878</v>
      </c>
      <c r="C573" s="27" t="s">
        <v>621</v>
      </c>
      <c r="D573" s="32">
        <v>15899</v>
      </c>
      <c r="E573" s="32">
        <v>0</v>
      </c>
      <c r="F573" s="32">
        <v>0</v>
      </c>
      <c r="G573" s="32">
        <v>0</v>
      </c>
      <c r="H573" s="32">
        <v>0</v>
      </c>
      <c r="I573" s="32">
        <v>0</v>
      </c>
      <c r="J573" s="32">
        <v>0</v>
      </c>
      <c r="M573" s="68" t="s">
        <v>248</v>
      </c>
      <c r="N573" s="13" t="s">
        <v>878</v>
      </c>
      <c r="O573" s="13" t="s">
        <v>621</v>
      </c>
      <c r="P573" s="13">
        <v>15899</v>
      </c>
      <c r="Q573" s="13">
        <v>0</v>
      </c>
      <c r="R573" s="13">
        <v>0</v>
      </c>
      <c r="S573" s="13">
        <v>0</v>
      </c>
      <c r="T573" s="13">
        <v>0</v>
      </c>
      <c r="U573" s="13">
        <v>0</v>
      </c>
      <c r="V573" s="69">
        <v>0</v>
      </c>
    </row>
    <row r="574" spans="1:22" x14ac:dyDescent="0.25">
      <c r="A574" s="27" t="s">
        <v>831</v>
      </c>
      <c r="B574" s="27" t="s">
        <v>878</v>
      </c>
      <c r="C574" s="27" t="s">
        <v>622</v>
      </c>
      <c r="D574" s="32">
        <v>41194</v>
      </c>
      <c r="E574" s="32">
        <v>0</v>
      </c>
      <c r="F574" s="32">
        <v>0</v>
      </c>
      <c r="G574" s="32">
        <v>0</v>
      </c>
      <c r="H574" s="32">
        <v>0</v>
      </c>
      <c r="I574" s="32">
        <v>0</v>
      </c>
      <c r="J574" s="32">
        <v>0</v>
      </c>
      <c r="M574" s="65" t="s">
        <v>831</v>
      </c>
      <c r="N574" s="66" t="s">
        <v>878</v>
      </c>
      <c r="O574" s="66" t="s">
        <v>622</v>
      </c>
      <c r="P574" s="66">
        <v>41194</v>
      </c>
      <c r="Q574" s="66">
        <v>0</v>
      </c>
      <c r="R574" s="66">
        <v>0</v>
      </c>
      <c r="S574" s="66">
        <v>0</v>
      </c>
      <c r="T574" s="66">
        <v>0</v>
      </c>
      <c r="U574" s="66">
        <v>0</v>
      </c>
      <c r="V574" s="67">
        <v>0</v>
      </c>
    </row>
    <row r="575" spans="1:22" x14ac:dyDescent="0.25">
      <c r="A575" s="27" t="s">
        <v>823</v>
      </c>
      <c r="B575" s="27" t="s">
        <v>878</v>
      </c>
      <c r="C575" s="27" t="s">
        <v>623</v>
      </c>
      <c r="D575" s="32">
        <v>32677</v>
      </c>
      <c r="E575" s="32">
        <v>0</v>
      </c>
      <c r="F575" s="32">
        <v>0</v>
      </c>
      <c r="G575" s="32">
        <v>0</v>
      </c>
      <c r="H575" s="32">
        <v>0</v>
      </c>
      <c r="I575" s="32">
        <v>0</v>
      </c>
      <c r="J575" s="32">
        <v>0</v>
      </c>
      <c r="M575" s="68" t="s">
        <v>823</v>
      </c>
      <c r="N575" s="13" t="s">
        <v>878</v>
      </c>
      <c r="O575" s="13" t="s">
        <v>623</v>
      </c>
      <c r="P575" s="13">
        <v>32677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69">
        <v>0</v>
      </c>
    </row>
    <row r="576" spans="1:22" x14ac:dyDescent="0.25">
      <c r="A576" s="27" t="s">
        <v>231</v>
      </c>
      <c r="B576" s="27" t="s">
        <v>878</v>
      </c>
      <c r="C576" s="27" t="s">
        <v>624</v>
      </c>
      <c r="D576" s="32">
        <v>14320</v>
      </c>
      <c r="E576" s="32">
        <v>0</v>
      </c>
      <c r="F576" s="32">
        <v>0</v>
      </c>
      <c r="G576" s="32">
        <v>0</v>
      </c>
      <c r="H576" s="32">
        <v>0</v>
      </c>
      <c r="I576" s="32">
        <v>0</v>
      </c>
      <c r="J576" s="32">
        <v>0</v>
      </c>
      <c r="M576" s="65" t="s">
        <v>231</v>
      </c>
      <c r="N576" s="66" t="s">
        <v>878</v>
      </c>
      <c r="O576" s="66" t="s">
        <v>624</v>
      </c>
      <c r="P576" s="66">
        <v>14320</v>
      </c>
      <c r="Q576" s="66">
        <v>0</v>
      </c>
      <c r="R576" s="66">
        <v>0</v>
      </c>
      <c r="S576" s="66">
        <v>0</v>
      </c>
      <c r="T576" s="66">
        <v>0</v>
      </c>
      <c r="U576" s="66">
        <v>0</v>
      </c>
      <c r="V576" s="67">
        <v>0</v>
      </c>
    </row>
    <row r="577" spans="1:22" x14ac:dyDescent="0.25">
      <c r="A577" s="27" t="s">
        <v>76</v>
      </c>
      <c r="B577" s="27" t="s">
        <v>878</v>
      </c>
      <c r="C577" s="27" t="s">
        <v>625</v>
      </c>
      <c r="D577" s="32">
        <v>29709</v>
      </c>
      <c r="E577" s="32">
        <v>0</v>
      </c>
      <c r="F577" s="32">
        <v>0</v>
      </c>
      <c r="G577" s="32">
        <v>0</v>
      </c>
      <c r="H577" s="32">
        <v>0</v>
      </c>
      <c r="I577" s="32">
        <v>0</v>
      </c>
      <c r="J577" s="32">
        <v>0</v>
      </c>
      <c r="M577" s="68" t="s">
        <v>76</v>
      </c>
      <c r="N577" s="13" t="s">
        <v>878</v>
      </c>
      <c r="O577" s="13" t="s">
        <v>625</v>
      </c>
      <c r="P577" s="13">
        <v>29709</v>
      </c>
      <c r="Q577" s="13">
        <v>0</v>
      </c>
      <c r="R577" s="13">
        <v>0</v>
      </c>
      <c r="S577" s="13">
        <v>0</v>
      </c>
      <c r="T577" s="13">
        <v>0</v>
      </c>
      <c r="U577" s="13">
        <v>0</v>
      </c>
      <c r="V577" s="69">
        <v>0</v>
      </c>
    </row>
    <row r="578" spans="1:22" x14ac:dyDescent="0.25">
      <c r="A578" s="27" t="s">
        <v>69</v>
      </c>
      <c r="B578" s="27" t="s">
        <v>878</v>
      </c>
      <c r="C578" s="27" t="s">
        <v>626</v>
      </c>
      <c r="D578" s="32">
        <v>74123</v>
      </c>
      <c r="E578" s="32">
        <v>0</v>
      </c>
      <c r="F578" s="32">
        <v>0</v>
      </c>
      <c r="G578" s="32">
        <v>0</v>
      </c>
      <c r="H578" s="32">
        <v>0</v>
      </c>
      <c r="I578" s="32">
        <v>0</v>
      </c>
      <c r="J578" s="32">
        <v>0</v>
      </c>
      <c r="M578" s="65" t="s">
        <v>69</v>
      </c>
      <c r="N578" s="66" t="s">
        <v>878</v>
      </c>
      <c r="O578" s="66" t="s">
        <v>626</v>
      </c>
      <c r="P578" s="66">
        <v>74123</v>
      </c>
      <c r="Q578" s="66">
        <v>0</v>
      </c>
      <c r="R578" s="66">
        <v>0</v>
      </c>
      <c r="S578" s="66">
        <v>0</v>
      </c>
      <c r="T578" s="66">
        <v>0</v>
      </c>
      <c r="U578" s="66">
        <v>0</v>
      </c>
      <c r="V578" s="67">
        <v>0</v>
      </c>
    </row>
    <row r="579" spans="1:22" x14ac:dyDescent="0.25">
      <c r="A579" s="27" t="s">
        <v>83</v>
      </c>
      <c r="B579" s="27" t="s">
        <v>878</v>
      </c>
      <c r="C579" s="27" t="s">
        <v>627</v>
      </c>
      <c r="D579" s="32">
        <v>10174</v>
      </c>
      <c r="E579" s="32">
        <v>0</v>
      </c>
      <c r="F579" s="32">
        <v>0</v>
      </c>
      <c r="G579" s="32">
        <v>0</v>
      </c>
      <c r="H579" s="32">
        <v>0</v>
      </c>
      <c r="I579" s="32">
        <v>0</v>
      </c>
      <c r="J579" s="32">
        <v>0</v>
      </c>
      <c r="M579" s="68" t="s">
        <v>83</v>
      </c>
      <c r="N579" s="13" t="s">
        <v>878</v>
      </c>
      <c r="O579" s="13" t="s">
        <v>627</v>
      </c>
      <c r="P579" s="13">
        <v>10174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69">
        <v>0</v>
      </c>
    </row>
    <row r="580" spans="1:22" x14ac:dyDescent="0.25">
      <c r="A580" s="27" t="s">
        <v>791</v>
      </c>
      <c r="B580" s="27" t="s">
        <v>878</v>
      </c>
      <c r="C580" s="27" t="s">
        <v>628</v>
      </c>
      <c r="D580" s="32">
        <v>7699</v>
      </c>
      <c r="E580" s="32">
        <v>0</v>
      </c>
      <c r="F580" s="32">
        <v>0</v>
      </c>
      <c r="G580" s="32">
        <v>0</v>
      </c>
      <c r="H580" s="32">
        <v>0</v>
      </c>
      <c r="I580" s="32">
        <v>0</v>
      </c>
      <c r="J580" s="32">
        <v>0</v>
      </c>
      <c r="M580" s="65" t="s">
        <v>791</v>
      </c>
      <c r="N580" s="66" t="s">
        <v>878</v>
      </c>
      <c r="O580" s="66" t="s">
        <v>628</v>
      </c>
      <c r="P580" s="66">
        <v>7699</v>
      </c>
      <c r="Q580" s="66">
        <v>0</v>
      </c>
      <c r="R580" s="66">
        <v>0</v>
      </c>
      <c r="S580" s="66">
        <v>0</v>
      </c>
      <c r="T580" s="66">
        <v>0</v>
      </c>
      <c r="U580" s="66">
        <v>0</v>
      </c>
      <c r="V580" s="67">
        <v>0</v>
      </c>
    </row>
    <row r="581" spans="1:22" x14ac:dyDescent="0.25">
      <c r="A581" s="27" t="s">
        <v>797</v>
      </c>
      <c r="B581" s="27" t="s">
        <v>878</v>
      </c>
      <c r="C581" s="27" t="s">
        <v>629</v>
      </c>
      <c r="D581" s="32">
        <v>1125</v>
      </c>
      <c r="E581" s="32">
        <v>0</v>
      </c>
      <c r="F581" s="32">
        <v>0</v>
      </c>
      <c r="G581" s="32">
        <v>0</v>
      </c>
      <c r="H581" s="32">
        <v>0</v>
      </c>
      <c r="I581" s="32">
        <v>0</v>
      </c>
      <c r="J581" s="32">
        <v>0</v>
      </c>
      <c r="M581" s="68" t="s">
        <v>797</v>
      </c>
      <c r="N581" s="13" t="s">
        <v>878</v>
      </c>
      <c r="O581" s="13" t="s">
        <v>629</v>
      </c>
      <c r="P581" s="13">
        <v>1125</v>
      </c>
      <c r="Q581" s="13">
        <v>0</v>
      </c>
      <c r="R581" s="13">
        <v>0</v>
      </c>
      <c r="S581" s="13">
        <v>0</v>
      </c>
      <c r="T581" s="13">
        <v>0</v>
      </c>
      <c r="U581" s="13">
        <v>0</v>
      </c>
      <c r="V581" s="69">
        <v>0</v>
      </c>
    </row>
    <row r="582" spans="1:22" x14ac:dyDescent="0.25">
      <c r="A582" s="27" t="s">
        <v>69</v>
      </c>
      <c r="B582" s="27" t="s">
        <v>878</v>
      </c>
      <c r="C582" s="27" t="s">
        <v>630</v>
      </c>
      <c r="D582" s="32">
        <v>41356</v>
      </c>
      <c r="E582" s="32">
        <v>0</v>
      </c>
      <c r="F582" s="32">
        <v>0</v>
      </c>
      <c r="G582" s="32">
        <v>0</v>
      </c>
      <c r="H582" s="32">
        <v>0</v>
      </c>
      <c r="I582" s="32">
        <v>0</v>
      </c>
      <c r="J582" s="32">
        <v>0</v>
      </c>
      <c r="M582" s="65" t="s">
        <v>69</v>
      </c>
      <c r="N582" s="66" t="s">
        <v>878</v>
      </c>
      <c r="O582" s="66" t="s">
        <v>630</v>
      </c>
      <c r="P582" s="66">
        <v>41356</v>
      </c>
      <c r="Q582" s="66">
        <v>0</v>
      </c>
      <c r="R582" s="66">
        <v>0</v>
      </c>
      <c r="S582" s="66">
        <v>0</v>
      </c>
      <c r="T582" s="66">
        <v>0</v>
      </c>
      <c r="U582" s="66">
        <v>0</v>
      </c>
      <c r="V582" s="67">
        <v>0</v>
      </c>
    </row>
    <row r="583" spans="1:22" x14ac:dyDescent="0.25">
      <c r="A583" s="27" t="s">
        <v>69</v>
      </c>
      <c r="B583" s="27" t="s">
        <v>878</v>
      </c>
      <c r="C583" s="27" t="s">
        <v>631</v>
      </c>
      <c r="D583" s="32">
        <v>71851</v>
      </c>
      <c r="E583" s="32">
        <v>0</v>
      </c>
      <c r="F583" s="32">
        <v>0</v>
      </c>
      <c r="G583" s="32">
        <v>0</v>
      </c>
      <c r="H583" s="32">
        <v>0</v>
      </c>
      <c r="I583" s="32">
        <v>0</v>
      </c>
      <c r="J583" s="32">
        <v>0</v>
      </c>
      <c r="M583" s="68" t="s">
        <v>69</v>
      </c>
      <c r="N583" s="13" t="s">
        <v>878</v>
      </c>
      <c r="O583" s="13" t="s">
        <v>631</v>
      </c>
      <c r="P583" s="13">
        <v>71851</v>
      </c>
      <c r="Q583" s="13">
        <v>0</v>
      </c>
      <c r="R583" s="13">
        <v>0</v>
      </c>
      <c r="S583" s="13">
        <v>0</v>
      </c>
      <c r="T583" s="13">
        <v>0</v>
      </c>
      <c r="U583" s="13">
        <v>0</v>
      </c>
      <c r="V583" s="69">
        <v>0</v>
      </c>
    </row>
    <row r="584" spans="1:22" x14ac:dyDescent="0.25">
      <c r="A584" s="27" t="s">
        <v>823</v>
      </c>
      <c r="B584" s="27" t="s">
        <v>878</v>
      </c>
      <c r="C584" s="27" t="s">
        <v>632</v>
      </c>
      <c r="D584" s="32">
        <v>20311</v>
      </c>
      <c r="E584" s="32">
        <v>0</v>
      </c>
      <c r="F584" s="32">
        <v>0</v>
      </c>
      <c r="G584" s="32">
        <v>0</v>
      </c>
      <c r="H584" s="32">
        <v>0</v>
      </c>
      <c r="I584" s="32">
        <v>0</v>
      </c>
      <c r="J584" s="32">
        <v>0</v>
      </c>
      <c r="M584" s="65" t="s">
        <v>823</v>
      </c>
      <c r="N584" s="66" t="s">
        <v>878</v>
      </c>
      <c r="O584" s="66" t="s">
        <v>632</v>
      </c>
      <c r="P584" s="66">
        <v>20311</v>
      </c>
      <c r="Q584" s="66">
        <v>0</v>
      </c>
      <c r="R584" s="66">
        <v>0</v>
      </c>
      <c r="S584" s="66">
        <v>0</v>
      </c>
      <c r="T584" s="66">
        <v>0</v>
      </c>
      <c r="U584" s="66">
        <v>0</v>
      </c>
      <c r="V584" s="67">
        <v>0</v>
      </c>
    </row>
    <row r="585" spans="1:22" x14ac:dyDescent="0.25">
      <c r="A585" s="27" t="s">
        <v>76</v>
      </c>
      <c r="B585" s="27" t="s">
        <v>878</v>
      </c>
      <c r="C585" s="27" t="s">
        <v>633</v>
      </c>
      <c r="D585" s="32">
        <v>21059</v>
      </c>
      <c r="E585" s="32">
        <v>0</v>
      </c>
      <c r="F585" s="32">
        <v>0</v>
      </c>
      <c r="G585" s="32">
        <v>0</v>
      </c>
      <c r="H585" s="32">
        <v>0</v>
      </c>
      <c r="I585" s="32">
        <v>0</v>
      </c>
      <c r="J585" s="32">
        <v>0</v>
      </c>
      <c r="M585" s="68" t="s">
        <v>76</v>
      </c>
      <c r="N585" s="13" t="s">
        <v>878</v>
      </c>
      <c r="O585" s="13" t="s">
        <v>633</v>
      </c>
      <c r="P585" s="13">
        <v>21059</v>
      </c>
      <c r="Q585" s="13">
        <v>0</v>
      </c>
      <c r="R585" s="13">
        <v>0</v>
      </c>
      <c r="S585" s="13">
        <v>0</v>
      </c>
      <c r="T585" s="13">
        <v>0</v>
      </c>
      <c r="U585" s="13">
        <v>0</v>
      </c>
      <c r="V585" s="69">
        <v>0</v>
      </c>
    </row>
    <row r="586" spans="1:22" x14ac:dyDescent="0.25">
      <c r="A586" s="27" t="s">
        <v>801</v>
      </c>
      <c r="B586" s="27" t="s">
        <v>878</v>
      </c>
      <c r="C586" s="27" t="s">
        <v>634</v>
      </c>
      <c r="D586" s="32">
        <v>9088</v>
      </c>
      <c r="E586" s="32">
        <v>0</v>
      </c>
      <c r="F586" s="32">
        <v>0</v>
      </c>
      <c r="G586" s="32">
        <v>0</v>
      </c>
      <c r="H586" s="32">
        <v>0</v>
      </c>
      <c r="I586" s="32">
        <v>0</v>
      </c>
      <c r="J586" s="32">
        <v>0</v>
      </c>
      <c r="M586" s="65" t="s">
        <v>801</v>
      </c>
      <c r="N586" s="66" t="s">
        <v>878</v>
      </c>
      <c r="O586" s="66" t="s">
        <v>634</v>
      </c>
      <c r="P586" s="66">
        <v>9088</v>
      </c>
      <c r="Q586" s="66">
        <v>0</v>
      </c>
      <c r="R586" s="66">
        <v>0</v>
      </c>
      <c r="S586" s="66">
        <v>0</v>
      </c>
      <c r="T586" s="66">
        <v>0</v>
      </c>
      <c r="U586" s="66">
        <v>0</v>
      </c>
      <c r="V586" s="67">
        <v>0</v>
      </c>
    </row>
    <row r="587" spans="1:22" x14ac:dyDescent="0.25">
      <c r="A587" s="27" t="s">
        <v>801</v>
      </c>
      <c r="B587" s="27" t="s">
        <v>878</v>
      </c>
      <c r="C587" s="27" t="s">
        <v>635</v>
      </c>
      <c r="D587" s="32">
        <v>73551</v>
      </c>
      <c r="E587" s="32">
        <v>0</v>
      </c>
      <c r="F587" s="32">
        <v>0</v>
      </c>
      <c r="G587" s="32">
        <v>0</v>
      </c>
      <c r="H587" s="32">
        <v>0</v>
      </c>
      <c r="I587" s="32">
        <v>0</v>
      </c>
      <c r="J587" s="32">
        <v>0</v>
      </c>
      <c r="M587" s="68" t="s">
        <v>801</v>
      </c>
      <c r="N587" s="13" t="s">
        <v>878</v>
      </c>
      <c r="O587" s="13" t="s">
        <v>635</v>
      </c>
      <c r="P587" s="13">
        <v>73551</v>
      </c>
      <c r="Q587" s="13">
        <v>0</v>
      </c>
      <c r="R587" s="13">
        <v>0</v>
      </c>
      <c r="S587" s="13">
        <v>0</v>
      </c>
      <c r="T587" s="13">
        <v>0</v>
      </c>
      <c r="U587" s="13">
        <v>0</v>
      </c>
      <c r="V587" s="69">
        <v>0</v>
      </c>
    </row>
    <row r="588" spans="1:22" x14ac:dyDescent="0.25">
      <c r="A588" s="27" t="s">
        <v>817</v>
      </c>
      <c r="B588" s="27" t="s">
        <v>878</v>
      </c>
      <c r="C588" s="27" t="s">
        <v>636</v>
      </c>
      <c r="D588" s="32"/>
      <c r="E588" s="32"/>
      <c r="F588" s="32"/>
      <c r="G588" s="32"/>
      <c r="H588" s="32"/>
      <c r="I588" s="32"/>
      <c r="J588" s="32"/>
      <c r="M588" s="65" t="s">
        <v>817</v>
      </c>
      <c r="N588" s="66" t="s">
        <v>878</v>
      </c>
      <c r="O588" s="66" t="s">
        <v>636</v>
      </c>
      <c r="P588" s="66"/>
      <c r="Q588" s="66"/>
      <c r="R588" s="66"/>
      <c r="S588" s="66"/>
      <c r="T588" s="66"/>
      <c r="U588" s="66"/>
      <c r="V588" s="67"/>
    </row>
    <row r="589" spans="1:22" x14ac:dyDescent="0.25">
      <c r="A589" s="27" t="s">
        <v>824</v>
      </c>
      <c r="B589" s="27" t="s">
        <v>878</v>
      </c>
      <c r="C589" s="27" t="s">
        <v>637</v>
      </c>
      <c r="D589" s="32">
        <v>16324</v>
      </c>
      <c r="E589" s="32">
        <v>0</v>
      </c>
      <c r="F589" s="32">
        <v>0</v>
      </c>
      <c r="G589" s="32">
        <v>0</v>
      </c>
      <c r="H589" s="32">
        <v>0</v>
      </c>
      <c r="I589" s="32">
        <v>0</v>
      </c>
      <c r="J589" s="32">
        <v>0</v>
      </c>
      <c r="M589" s="68" t="s">
        <v>824</v>
      </c>
      <c r="N589" s="13" t="s">
        <v>878</v>
      </c>
      <c r="O589" s="13" t="s">
        <v>637</v>
      </c>
      <c r="P589" s="13">
        <v>16324</v>
      </c>
      <c r="Q589" s="13">
        <v>0</v>
      </c>
      <c r="R589" s="13">
        <v>0</v>
      </c>
      <c r="S589" s="13">
        <v>0</v>
      </c>
      <c r="T589" s="13">
        <v>0</v>
      </c>
      <c r="U589" s="13">
        <v>0</v>
      </c>
      <c r="V589" s="69">
        <v>0</v>
      </c>
    </row>
    <row r="590" spans="1:22" x14ac:dyDescent="0.25">
      <c r="A590" s="27" t="s">
        <v>818</v>
      </c>
      <c r="B590" s="27" t="s">
        <v>878</v>
      </c>
      <c r="C590" s="27" t="s">
        <v>638</v>
      </c>
      <c r="D590" s="32">
        <v>41513</v>
      </c>
      <c r="E590" s="32">
        <v>0</v>
      </c>
      <c r="F590" s="32">
        <v>0</v>
      </c>
      <c r="G590" s="32">
        <v>0</v>
      </c>
      <c r="H590" s="32">
        <v>0</v>
      </c>
      <c r="I590" s="32">
        <v>0</v>
      </c>
      <c r="J590" s="32">
        <v>0</v>
      </c>
      <c r="M590" s="65" t="s">
        <v>818</v>
      </c>
      <c r="N590" s="66" t="s">
        <v>878</v>
      </c>
      <c r="O590" s="66" t="s">
        <v>638</v>
      </c>
      <c r="P590" s="66">
        <v>41513</v>
      </c>
      <c r="Q590" s="66">
        <v>0</v>
      </c>
      <c r="R590" s="66">
        <v>0</v>
      </c>
      <c r="S590" s="66">
        <v>0</v>
      </c>
      <c r="T590" s="66">
        <v>0</v>
      </c>
      <c r="U590" s="66">
        <v>0</v>
      </c>
      <c r="V590" s="67">
        <v>0</v>
      </c>
    </row>
    <row r="591" spans="1:22" x14ac:dyDescent="0.25">
      <c r="A591" s="27" t="s">
        <v>817</v>
      </c>
      <c r="B591" s="27" t="s">
        <v>878</v>
      </c>
      <c r="C591" s="27" t="s">
        <v>639</v>
      </c>
      <c r="D591" s="32">
        <v>28044</v>
      </c>
      <c r="E591" s="32">
        <v>0</v>
      </c>
      <c r="F591" s="32">
        <v>0</v>
      </c>
      <c r="G591" s="32">
        <v>0</v>
      </c>
      <c r="H591" s="32">
        <v>0</v>
      </c>
      <c r="I591" s="32">
        <v>0</v>
      </c>
      <c r="J591" s="32">
        <v>0</v>
      </c>
      <c r="M591" s="68" t="s">
        <v>817</v>
      </c>
      <c r="N591" s="13" t="s">
        <v>878</v>
      </c>
      <c r="O591" s="13" t="s">
        <v>639</v>
      </c>
      <c r="P591" s="13">
        <v>28044</v>
      </c>
      <c r="Q591" s="13">
        <v>0</v>
      </c>
      <c r="R591" s="13">
        <v>0</v>
      </c>
      <c r="S591" s="13">
        <v>0</v>
      </c>
      <c r="T591" s="13">
        <v>0</v>
      </c>
      <c r="U591" s="13">
        <v>0</v>
      </c>
      <c r="V591" s="69">
        <v>0</v>
      </c>
    </row>
    <row r="592" spans="1:22" x14ac:dyDescent="0.25">
      <c r="A592" s="27" t="s">
        <v>811</v>
      </c>
      <c r="B592" s="27" t="s">
        <v>878</v>
      </c>
      <c r="C592" s="27" t="s">
        <v>640</v>
      </c>
      <c r="D592" s="32">
        <v>160424</v>
      </c>
      <c r="E592" s="32">
        <v>0</v>
      </c>
      <c r="F592" s="32">
        <v>0</v>
      </c>
      <c r="G592" s="32">
        <v>0</v>
      </c>
      <c r="H592" s="32">
        <v>0</v>
      </c>
      <c r="I592" s="32">
        <v>0</v>
      </c>
      <c r="J592" s="32">
        <v>0</v>
      </c>
      <c r="M592" s="65" t="s">
        <v>811</v>
      </c>
      <c r="N592" s="66" t="s">
        <v>878</v>
      </c>
      <c r="O592" s="66" t="s">
        <v>640</v>
      </c>
      <c r="P592" s="66">
        <v>160424</v>
      </c>
      <c r="Q592" s="66">
        <v>0</v>
      </c>
      <c r="R592" s="66">
        <v>0</v>
      </c>
      <c r="S592" s="66">
        <v>0</v>
      </c>
      <c r="T592" s="66">
        <v>0</v>
      </c>
      <c r="U592" s="66">
        <v>0</v>
      </c>
      <c r="V592" s="67">
        <v>0</v>
      </c>
    </row>
    <row r="593" spans="1:22" x14ac:dyDescent="0.25">
      <c r="A593" s="27" t="s">
        <v>811</v>
      </c>
      <c r="B593" s="27" t="s">
        <v>878</v>
      </c>
      <c r="C593" s="27" t="s">
        <v>641</v>
      </c>
      <c r="D593" s="32">
        <v>35248</v>
      </c>
      <c r="E593" s="32">
        <v>0</v>
      </c>
      <c r="F593" s="32">
        <v>0</v>
      </c>
      <c r="G593" s="32">
        <v>0</v>
      </c>
      <c r="H593" s="32">
        <v>0</v>
      </c>
      <c r="I593" s="32">
        <v>0</v>
      </c>
      <c r="J593" s="32">
        <v>0</v>
      </c>
      <c r="M593" s="68" t="s">
        <v>811</v>
      </c>
      <c r="N593" s="13" t="s">
        <v>878</v>
      </c>
      <c r="O593" s="13" t="s">
        <v>641</v>
      </c>
      <c r="P593" s="13">
        <v>35248</v>
      </c>
      <c r="Q593" s="13">
        <v>0</v>
      </c>
      <c r="R593" s="13">
        <v>0</v>
      </c>
      <c r="S593" s="13">
        <v>0</v>
      </c>
      <c r="T593" s="13">
        <v>0</v>
      </c>
      <c r="U593" s="13">
        <v>0</v>
      </c>
      <c r="V593" s="69">
        <v>0</v>
      </c>
    </row>
    <row r="594" spans="1:22" x14ac:dyDescent="0.25">
      <c r="A594" s="27" t="s">
        <v>76</v>
      </c>
      <c r="B594" s="27" t="s">
        <v>878</v>
      </c>
      <c r="C594" s="27" t="s">
        <v>642</v>
      </c>
      <c r="D594" s="32">
        <v>20739</v>
      </c>
      <c r="E594" s="32">
        <v>0</v>
      </c>
      <c r="F594" s="32">
        <v>0</v>
      </c>
      <c r="G594" s="32">
        <v>0</v>
      </c>
      <c r="H594" s="32">
        <v>0</v>
      </c>
      <c r="I594" s="32">
        <v>0</v>
      </c>
      <c r="J594" s="32">
        <v>0</v>
      </c>
      <c r="M594" s="65" t="s">
        <v>76</v>
      </c>
      <c r="N594" s="66" t="s">
        <v>878</v>
      </c>
      <c r="O594" s="66" t="s">
        <v>642</v>
      </c>
      <c r="P594" s="66">
        <v>20739</v>
      </c>
      <c r="Q594" s="66">
        <v>0</v>
      </c>
      <c r="R594" s="66">
        <v>0</v>
      </c>
      <c r="S594" s="66">
        <v>0</v>
      </c>
      <c r="T594" s="66">
        <v>0</v>
      </c>
      <c r="U594" s="66">
        <v>0</v>
      </c>
      <c r="V594" s="67">
        <v>0</v>
      </c>
    </row>
    <row r="595" spans="1:22" x14ac:dyDescent="0.25">
      <c r="A595" s="27" t="s">
        <v>791</v>
      </c>
      <c r="B595" s="27" t="s">
        <v>878</v>
      </c>
      <c r="C595" s="27" t="s">
        <v>643</v>
      </c>
      <c r="D595" s="32">
        <v>1887</v>
      </c>
      <c r="E595" s="32">
        <v>0</v>
      </c>
      <c r="F595" s="32">
        <v>0</v>
      </c>
      <c r="G595" s="32">
        <v>0</v>
      </c>
      <c r="H595" s="32">
        <v>0</v>
      </c>
      <c r="I595" s="32">
        <v>0</v>
      </c>
      <c r="J595" s="32">
        <v>0</v>
      </c>
      <c r="M595" s="68" t="s">
        <v>791</v>
      </c>
      <c r="N595" s="13" t="s">
        <v>878</v>
      </c>
      <c r="O595" s="13" t="s">
        <v>643</v>
      </c>
      <c r="P595" s="13">
        <v>1887</v>
      </c>
      <c r="Q595" s="13">
        <v>0</v>
      </c>
      <c r="R595" s="13">
        <v>0</v>
      </c>
      <c r="S595" s="13">
        <v>0</v>
      </c>
      <c r="T595" s="13">
        <v>0</v>
      </c>
      <c r="U595" s="13">
        <v>0</v>
      </c>
      <c r="V595" s="69">
        <v>0</v>
      </c>
    </row>
    <row r="596" spans="1:22" x14ac:dyDescent="0.25">
      <c r="A596" s="27" t="s">
        <v>76</v>
      </c>
      <c r="B596" s="27" t="s">
        <v>878</v>
      </c>
      <c r="C596" s="27" t="s">
        <v>644</v>
      </c>
      <c r="D596" s="32">
        <v>11422</v>
      </c>
      <c r="E596" s="32">
        <v>0</v>
      </c>
      <c r="F596" s="32">
        <v>0</v>
      </c>
      <c r="G596" s="32">
        <v>0</v>
      </c>
      <c r="H596" s="32">
        <v>0</v>
      </c>
      <c r="I596" s="32">
        <v>0</v>
      </c>
      <c r="J596" s="32">
        <v>0</v>
      </c>
      <c r="M596" s="65" t="s">
        <v>76</v>
      </c>
      <c r="N596" s="66" t="s">
        <v>878</v>
      </c>
      <c r="O596" s="66" t="s">
        <v>644</v>
      </c>
      <c r="P596" s="66">
        <v>11422</v>
      </c>
      <c r="Q596" s="66">
        <v>0</v>
      </c>
      <c r="R596" s="66">
        <v>0</v>
      </c>
      <c r="S596" s="66">
        <v>0</v>
      </c>
      <c r="T596" s="66">
        <v>0</v>
      </c>
      <c r="U596" s="66">
        <v>0</v>
      </c>
      <c r="V596" s="67">
        <v>0</v>
      </c>
    </row>
    <row r="597" spans="1:22" x14ac:dyDescent="0.25">
      <c r="A597" s="27" t="s">
        <v>817</v>
      </c>
      <c r="B597" s="27" t="s">
        <v>878</v>
      </c>
      <c r="C597" s="27" t="s">
        <v>645</v>
      </c>
      <c r="D597" s="32">
        <v>40608</v>
      </c>
      <c r="E597" s="32">
        <v>0</v>
      </c>
      <c r="F597" s="32">
        <v>0</v>
      </c>
      <c r="G597" s="32">
        <v>0</v>
      </c>
      <c r="H597" s="32">
        <v>0</v>
      </c>
      <c r="I597" s="32">
        <v>0</v>
      </c>
      <c r="J597" s="32">
        <v>0</v>
      </c>
      <c r="M597" s="68" t="s">
        <v>817</v>
      </c>
      <c r="N597" s="13" t="s">
        <v>878</v>
      </c>
      <c r="O597" s="13" t="s">
        <v>645</v>
      </c>
      <c r="P597" s="13">
        <v>40608</v>
      </c>
      <c r="Q597" s="13">
        <v>0</v>
      </c>
      <c r="R597" s="13">
        <v>0</v>
      </c>
      <c r="S597" s="13">
        <v>0</v>
      </c>
      <c r="T597" s="13">
        <v>0</v>
      </c>
      <c r="U597" s="13">
        <v>0</v>
      </c>
      <c r="V597" s="69">
        <v>0</v>
      </c>
    </row>
    <row r="598" spans="1:22" x14ac:dyDescent="0.25">
      <c r="A598" s="27" t="s">
        <v>817</v>
      </c>
      <c r="B598" s="27" t="s">
        <v>878</v>
      </c>
      <c r="C598" s="27" t="s">
        <v>646</v>
      </c>
      <c r="D598" s="32">
        <v>26794</v>
      </c>
      <c r="E598" s="32">
        <v>0</v>
      </c>
      <c r="F598" s="32">
        <v>0</v>
      </c>
      <c r="G598" s="32">
        <v>0</v>
      </c>
      <c r="H598" s="32">
        <v>0</v>
      </c>
      <c r="I598" s="32">
        <v>0</v>
      </c>
      <c r="J598" s="32">
        <v>0</v>
      </c>
      <c r="M598" s="65" t="s">
        <v>817</v>
      </c>
      <c r="N598" s="66" t="s">
        <v>878</v>
      </c>
      <c r="O598" s="66" t="s">
        <v>646</v>
      </c>
      <c r="P598" s="66">
        <v>26794</v>
      </c>
      <c r="Q598" s="66">
        <v>0</v>
      </c>
      <c r="R598" s="66">
        <v>0</v>
      </c>
      <c r="S598" s="66">
        <v>0</v>
      </c>
      <c r="T598" s="66">
        <v>0</v>
      </c>
      <c r="U598" s="66">
        <v>0</v>
      </c>
      <c r="V598" s="67">
        <v>0</v>
      </c>
    </row>
    <row r="599" spans="1:22" x14ac:dyDescent="0.25">
      <c r="A599" s="27" t="s">
        <v>226</v>
      </c>
      <c r="B599" s="27" t="s">
        <v>878</v>
      </c>
      <c r="C599" s="27" t="s">
        <v>647</v>
      </c>
      <c r="D599" s="32">
        <v>749</v>
      </c>
      <c r="E599" s="32">
        <v>0</v>
      </c>
      <c r="F599" s="32">
        <v>0</v>
      </c>
      <c r="G599" s="32">
        <v>0</v>
      </c>
      <c r="H599" s="32">
        <v>0</v>
      </c>
      <c r="I599" s="32">
        <v>0</v>
      </c>
      <c r="J599" s="32">
        <v>0</v>
      </c>
      <c r="M599" s="68" t="s">
        <v>226</v>
      </c>
      <c r="N599" s="13" t="s">
        <v>878</v>
      </c>
      <c r="O599" s="13" t="s">
        <v>647</v>
      </c>
      <c r="P599" s="13">
        <v>749</v>
      </c>
      <c r="Q599" s="13">
        <v>0</v>
      </c>
      <c r="R599" s="13">
        <v>0</v>
      </c>
      <c r="S599" s="13">
        <v>0</v>
      </c>
      <c r="T599" s="13">
        <v>0</v>
      </c>
      <c r="U599" s="13">
        <v>0</v>
      </c>
      <c r="V599" s="69">
        <v>0</v>
      </c>
    </row>
    <row r="600" spans="1:22" x14ac:dyDescent="0.25">
      <c r="A600" s="27" t="s">
        <v>831</v>
      </c>
      <c r="B600" s="27" t="s">
        <v>878</v>
      </c>
      <c r="C600" s="27" t="s">
        <v>648</v>
      </c>
      <c r="D600" s="32">
        <v>34284</v>
      </c>
      <c r="E600" s="32">
        <v>0</v>
      </c>
      <c r="F600" s="32">
        <v>0</v>
      </c>
      <c r="G600" s="32">
        <v>0</v>
      </c>
      <c r="H600" s="32">
        <v>0</v>
      </c>
      <c r="I600" s="32">
        <v>0</v>
      </c>
      <c r="J600" s="32">
        <v>0</v>
      </c>
      <c r="M600" s="65" t="s">
        <v>831</v>
      </c>
      <c r="N600" s="66" t="s">
        <v>878</v>
      </c>
      <c r="O600" s="66" t="s">
        <v>648</v>
      </c>
      <c r="P600" s="66">
        <v>34284</v>
      </c>
      <c r="Q600" s="66">
        <v>0</v>
      </c>
      <c r="R600" s="66">
        <v>0</v>
      </c>
      <c r="S600" s="66">
        <v>0</v>
      </c>
      <c r="T600" s="66">
        <v>0</v>
      </c>
      <c r="U600" s="66">
        <v>0</v>
      </c>
      <c r="V600" s="67">
        <v>0</v>
      </c>
    </row>
    <row r="601" spans="1:22" x14ac:dyDescent="0.25">
      <c r="A601" s="27" t="s">
        <v>818</v>
      </c>
      <c r="B601" s="27" t="s">
        <v>878</v>
      </c>
      <c r="C601" s="27" t="s">
        <v>649</v>
      </c>
      <c r="D601" s="32">
        <v>17136</v>
      </c>
      <c r="E601" s="32">
        <v>0</v>
      </c>
      <c r="F601" s="32">
        <v>0</v>
      </c>
      <c r="G601" s="32">
        <v>0</v>
      </c>
      <c r="H601" s="32">
        <v>0</v>
      </c>
      <c r="I601" s="32">
        <v>0</v>
      </c>
      <c r="J601" s="32">
        <v>0</v>
      </c>
      <c r="M601" s="68" t="s">
        <v>818</v>
      </c>
      <c r="N601" s="13" t="s">
        <v>878</v>
      </c>
      <c r="O601" s="13" t="s">
        <v>649</v>
      </c>
      <c r="P601" s="13">
        <v>17136</v>
      </c>
      <c r="Q601" s="13">
        <v>0</v>
      </c>
      <c r="R601" s="13">
        <v>0</v>
      </c>
      <c r="S601" s="13">
        <v>0</v>
      </c>
      <c r="T601" s="13">
        <v>0</v>
      </c>
      <c r="U601" s="13">
        <v>0</v>
      </c>
      <c r="V601" s="69">
        <v>0</v>
      </c>
    </row>
    <row r="602" spans="1:22" x14ac:dyDescent="0.25">
      <c r="A602" s="27" t="s">
        <v>817</v>
      </c>
      <c r="B602" s="27" t="s">
        <v>878</v>
      </c>
      <c r="C602" s="27" t="s">
        <v>650</v>
      </c>
      <c r="D602" s="32">
        <v>36139</v>
      </c>
      <c r="E602" s="32">
        <v>0</v>
      </c>
      <c r="F602" s="32">
        <v>0</v>
      </c>
      <c r="G602" s="32">
        <v>0</v>
      </c>
      <c r="H602" s="32">
        <v>0</v>
      </c>
      <c r="I602" s="32">
        <v>0</v>
      </c>
      <c r="J602" s="32">
        <v>0</v>
      </c>
      <c r="M602" s="65" t="s">
        <v>817</v>
      </c>
      <c r="N602" s="66" t="s">
        <v>878</v>
      </c>
      <c r="O602" s="66" t="s">
        <v>650</v>
      </c>
      <c r="P602" s="66">
        <v>36139</v>
      </c>
      <c r="Q602" s="66">
        <v>0</v>
      </c>
      <c r="R602" s="66">
        <v>0</v>
      </c>
      <c r="S602" s="66">
        <v>0</v>
      </c>
      <c r="T602" s="66">
        <v>0</v>
      </c>
      <c r="U602" s="66">
        <v>0</v>
      </c>
      <c r="V602" s="67">
        <v>0</v>
      </c>
    </row>
    <row r="603" spans="1:22" x14ac:dyDescent="0.25">
      <c r="A603" s="27" t="s">
        <v>817</v>
      </c>
      <c r="B603" s="27" t="s">
        <v>878</v>
      </c>
      <c r="C603" s="27" t="s">
        <v>651</v>
      </c>
      <c r="D603" s="32">
        <v>19621</v>
      </c>
      <c r="E603" s="32">
        <v>0</v>
      </c>
      <c r="F603" s="32">
        <v>0</v>
      </c>
      <c r="G603" s="32">
        <v>0</v>
      </c>
      <c r="H603" s="32">
        <v>0</v>
      </c>
      <c r="I603" s="32">
        <v>0</v>
      </c>
      <c r="J603" s="32">
        <v>0</v>
      </c>
      <c r="M603" s="68" t="s">
        <v>817</v>
      </c>
      <c r="N603" s="13" t="s">
        <v>878</v>
      </c>
      <c r="O603" s="13" t="s">
        <v>651</v>
      </c>
      <c r="P603" s="13">
        <v>19621</v>
      </c>
      <c r="Q603" s="13">
        <v>0</v>
      </c>
      <c r="R603" s="13">
        <v>0</v>
      </c>
      <c r="S603" s="13">
        <v>0</v>
      </c>
      <c r="T603" s="13">
        <v>0</v>
      </c>
      <c r="U603" s="13">
        <v>0</v>
      </c>
      <c r="V603" s="69">
        <v>0</v>
      </c>
    </row>
    <row r="604" spans="1:22" x14ac:dyDescent="0.25">
      <c r="A604" s="27" t="s">
        <v>796</v>
      </c>
      <c r="B604" s="27" t="s">
        <v>878</v>
      </c>
      <c r="C604" s="27" t="s">
        <v>652</v>
      </c>
      <c r="D604" s="32">
        <v>1283</v>
      </c>
      <c r="E604" s="32">
        <v>0</v>
      </c>
      <c r="F604" s="32">
        <v>0</v>
      </c>
      <c r="G604" s="32">
        <v>0</v>
      </c>
      <c r="H604" s="32">
        <v>0</v>
      </c>
      <c r="I604" s="32">
        <v>0</v>
      </c>
      <c r="J604" s="32">
        <v>0</v>
      </c>
      <c r="M604" s="65" t="s">
        <v>796</v>
      </c>
      <c r="N604" s="66" t="s">
        <v>878</v>
      </c>
      <c r="O604" s="66" t="s">
        <v>652</v>
      </c>
      <c r="P604" s="66">
        <v>1283</v>
      </c>
      <c r="Q604" s="66">
        <v>0</v>
      </c>
      <c r="R604" s="66">
        <v>0</v>
      </c>
      <c r="S604" s="66">
        <v>0</v>
      </c>
      <c r="T604" s="66">
        <v>0</v>
      </c>
      <c r="U604" s="66">
        <v>0</v>
      </c>
      <c r="V604" s="67">
        <v>0</v>
      </c>
    </row>
    <row r="605" spans="1:22" x14ac:dyDescent="0.25">
      <c r="A605" s="27" t="s">
        <v>817</v>
      </c>
      <c r="B605" s="27" t="s">
        <v>878</v>
      </c>
      <c r="C605" s="27" t="s">
        <v>653</v>
      </c>
      <c r="D605" s="32">
        <v>56977</v>
      </c>
      <c r="E605" s="32">
        <v>0</v>
      </c>
      <c r="F605" s="32">
        <v>0</v>
      </c>
      <c r="G605" s="32">
        <v>0</v>
      </c>
      <c r="H605" s="32">
        <v>0</v>
      </c>
      <c r="I605" s="32">
        <v>0</v>
      </c>
      <c r="J605" s="32">
        <v>0</v>
      </c>
      <c r="M605" s="68" t="s">
        <v>817</v>
      </c>
      <c r="N605" s="13" t="s">
        <v>878</v>
      </c>
      <c r="O605" s="13" t="s">
        <v>653</v>
      </c>
      <c r="P605" s="13">
        <v>56977</v>
      </c>
      <c r="Q605" s="13">
        <v>0</v>
      </c>
      <c r="R605" s="13">
        <v>0</v>
      </c>
      <c r="S605" s="13">
        <v>0</v>
      </c>
      <c r="T605" s="13">
        <v>0</v>
      </c>
      <c r="U605" s="13">
        <v>0</v>
      </c>
      <c r="V605" s="69">
        <v>0</v>
      </c>
    </row>
    <row r="606" spans="1:22" x14ac:dyDescent="0.25">
      <c r="A606" s="27" t="s">
        <v>817</v>
      </c>
      <c r="B606" s="27" t="s">
        <v>878</v>
      </c>
      <c r="C606" s="27" t="s">
        <v>654</v>
      </c>
      <c r="D606" s="32">
        <v>49842</v>
      </c>
      <c r="E606" s="32">
        <v>0</v>
      </c>
      <c r="F606" s="32">
        <v>0</v>
      </c>
      <c r="G606" s="32">
        <v>0</v>
      </c>
      <c r="H606" s="32">
        <v>0</v>
      </c>
      <c r="I606" s="32">
        <v>0</v>
      </c>
      <c r="J606" s="32">
        <v>0</v>
      </c>
      <c r="M606" s="65" t="s">
        <v>817</v>
      </c>
      <c r="N606" s="66" t="s">
        <v>878</v>
      </c>
      <c r="O606" s="66" t="s">
        <v>654</v>
      </c>
      <c r="P606" s="66">
        <v>49842</v>
      </c>
      <c r="Q606" s="66">
        <v>0</v>
      </c>
      <c r="R606" s="66">
        <v>0</v>
      </c>
      <c r="S606" s="66">
        <v>0</v>
      </c>
      <c r="T606" s="66">
        <v>0</v>
      </c>
      <c r="U606" s="66">
        <v>0</v>
      </c>
      <c r="V606" s="67">
        <v>0</v>
      </c>
    </row>
    <row r="607" spans="1:22" x14ac:dyDescent="0.25">
      <c r="A607" s="27" t="s">
        <v>826</v>
      </c>
      <c r="B607" s="27" t="s">
        <v>878</v>
      </c>
      <c r="C607" s="27" t="s">
        <v>655</v>
      </c>
      <c r="D607" s="32">
        <v>27599</v>
      </c>
      <c r="E607" s="32">
        <v>0</v>
      </c>
      <c r="F607" s="32">
        <v>0</v>
      </c>
      <c r="G607" s="32">
        <v>0</v>
      </c>
      <c r="H607" s="32">
        <v>0</v>
      </c>
      <c r="I607" s="32">
        <v>0</v>
      </c>
      <c r="J607" s="32">
        <v>0</v>
      </c>
      <c r="M607" s="68" t="s">
        <v>826</v>
      </c>
      <c r="N607" s="13" t="s">
        <v>878</v>
      </c>
      <c r="O607" s="13" t="s">
        <v>655</v>
      </c>
      <c r="P607" s="13">
        <v>27599</v>
      </c>
      <c r="Q607" s="13">
        <v>0</v>
      </c>
      <c r="R607" s="13">
        <v>0</v>
      </c>
      <c r="S607" s="13">
        <v>0</v>
      </c>
      <c r="T607" s="13">
        <v>0</v>
      </c>
      <c r="U607" s="13">
        <v>0</v>
      </c>
      <c r="V607" s="69">
        <v>0</v>
      </c>
    </row>
    <row r="608" spans="1:22" x14ac:dyDescent="0.25">
      <c r="A608" s="27" t="s">
        <v>817</v>
      </c>
      <c r="B608" s="27" t="s">
        <v>878</v>
      </c>
      <c r="C608" s="27" t="s">
        <v>656</v>
      </c>
      <c r="D608" s="32">
        <v>10689</v>
      </c>
      <c r="E608" s="32">
        <v>0</v>
      </c>
      <c r="F608" s="32">
        <v>0</v>
      </c>
      <c r="G608" s="32">
        <v>0</v>
      </c>
      <c r="H608" s="32">
        <v>0</v>
      </c>
      <c r="I608" s="32">
        <v>0</v>
      </c>
      <c r="J608" s="32">
        <v>0</v>
      </c>
      <c r="M608" s="65" t="s">
        <v>817</v>
      </c>
      <c r="N608" s="66" t="s">
        <v>878</v>
      </c>
      <c r="O608" s="66" t="s">
        <v>656</v>
      </c>
      <c r="P608" s="66">
        <v>10689</v>
      </c>
      <c r="Q608" s="66">
        <v>0</v>
      </c>
      <c r="R608" s="66">
        <v>0</v>
      </c>
      <c r="S608" s="66">
        <v>0</v>
      </c>
      <c r="T608" s="66">
        <v>0</v>
      </c>
      <c r="U608" s="66">
        <v>0</v>
      </c>
      <c r="V608" s="67">
        <v>0</v>
      </c>
    </row>
    <row r="609" spans="1:22" x14ac:dyDescent="0.25">
      <c r="A609" s="27" t="s">
        <v>811</v>
      </c>
      <c r="B609" s="27" t="s">
        <v>878</v>
      </c>
      <c r="C609" s="27" t="s">
        <v>657</v>
      </c>
      <c r="D609" s="32">
        <v>51761</v>
      </c>
      <c r="E609" s="32">
        <v>0</v>
      </c>
      <c r="F609" s="32">
        <v>0</v>
      </c>
      <c r="G609" s="32">
        <v>0</v>
      </c>
      <c r="H609" s="32">
        <v>0</v>
      </c>
      <c r="I609" s="32">
        <v>0</v>
      </c>
      <c r="J609" s="32">
        <v>0</v>
      </c>
      <c r="M609" s="68" t="s">
        <v>811</v>
      </c>
      <c r="N609" s="13" t="s">
        <v>878</v>
      </c>
      <c r="O609" s="13" t="s">
        <v>657</v>
      </c>
      <c r="P609" s="13">
        <v>51761</v>
      </c>
      <c r="Q609" s="13">
        <v>0</v>
      </c>
      <c r="R609" s="13">
        <v>0</v>
      </c>
      <c r="S609" s="13">
        <v>0</v>
      </c>
      <c r="T609" s="13">
        <v>0</v>
      </c>
      <c r="U609" s="13">
        <v>0</v>
      </c>
      <c r="V609" s="69">
        <v>0</v>
      </c>
    </row>
    <row r="610" spans="1:22" x14ac:dyDescent="0.25">
      <c r="A610" s="27" t="s">
        <v>817</v>
      </c>
      <c r="B610" s="27" t="s">
        <v>878</v>
      </c>
      <c r="C610" s="27" t="s">
        <v>658</v>
      </c>
      <c r="D610" s="32">
        <v>57628</v>
      </c>
      <c r="E610" s="32">
        <v>0</v>
      </c>
      <c r="F610" s="32">
        <v>0</v>
      </c>
      <c r="G610" s="32">
        <v>0</v>
      </c>
      <c r="H610" s="32">
        <v>0</v>
      </c>
      <c r="I610" s="32">
        <v>0</v>
      </c>
      <c r="J610" s="32">
        <v>0</v>
      </c>
      <c r="M610" s="65" t="s">
        <v>817</v>
      </c>
      <c r="N610" s="66" t="s">
        <v>878</v>
      </c>
      <c r="O610" s="66" t="s">
        <v>658</v>
      </c>
      <c r="P610" s="66">
        <v>57628</v>
      </c>
      <c r="Q610" s="66">
        <v>0</v>
      </c>
      <c r="R610" s="66">
        <v>0</v>
      </c>
      <c r="S610" s="66">
        <v>0</v>
      </c>
      <c r="T610" s="66">
        <v>0</v>
      </c>
      <c r="U610" s="66">
        <v>0</v>
      </c>
      <c r="V610" s="67">
        <v>0</v>
      </c>
    </row>
    <row r="611" spans="1:22" x14ac:dyDescent="0.25">
      <c r="A611" s="27" t="s">
        <v>860</v>
      </c>
      <c r="B611" s="27" t="s">
        <v>878</v>
      </c>
      <c r="C611" s="27" t="s">
        <v>659</v>
      </c>
      <c r="D611" s="32">
        <v>10634</v>
      </c>
      <c r="E611" s="32">
        <v>0</v>
      </c>
      <c r="F611" s="32">
        <v>0</v>
      </c>
      <c r="G611" s="32">
        <v>0</v>
      </c>
      <c r="H611" s="32">
        <v>0</v>
      </c>
      <c r="I611" s="32">
        <v>0</v>
      </c>
      <c r="J611" s="32">
        <v>0</v>
      </c>
      <c r="M611" s="68" t="s">
        <v>860</v>
      </c>
      <c r="N611" s="13" t="s">
        <v>878</v>
      </c>
      <c r="O611" s="13" t="s">
        <v>659</v>
      </c>
      <c r="P611" s="13">
        <v>10634</v>
      </c>
      <c r="Q611" s="13">
        <v>0</v>
      </c>
      <c r="R611" s="13">
        <v>0</v>
      </c>
      <c r="S611" s="13">
        <v>0</v>
      </c>
      <c r="T611" s="13">
        <v>0</v>
      </c>
      <c r="U611" s="13">
        <v>0</v>
      </c>
      <c r="V611" s="69">
        <v>0</v>
      </c>
    </row>
    <row r="612" spans="1:22" x14ac:dyDescent="0.25">
      <c r="A612" s="27" t="s">
        <v>248</v>
      </c>
      <c r="B612" s="27" t="s">
        <v>878</v>
      </c>
      <c r="C612" s="27" t="s">
        <v>660</v>
      </c>
      <c r="D612" s="32">
        <v>18919</v>
      </c>
      <c r="E612" s="32">
        <v>0</v>
      </c>
      <c r="F612" s="32">
        <v>0</v>
      </c>
      <c r="G612" s="32">
        <v>0</v>
      </c>
      <c r="H612" s="32">
        <v>0</v>
      </c>
      <c r="I612" s="32">
        <v>0</v>
      </c>
      <c r="J612" s="32">
        <v>0</v>
      </c>
      <c r="M612" s="65" t="s">
        <v>248</v>
      </c>
      <c r="N612" s="66" t="s">
        <v>878</v>
      </c>
      <c r="O612" s="66" t="s">
        <v>660</v>
      </c>
      <c r="P612" s="66">
        <v>18919</v>
      </c>
      <c r="Q612" s="66">
        <v>0</v>
      </c>
      <c r="R612" s="66">
        <v>0</v>
      </c>
      <c r="S612" s="66">
        <v>0</v>
      </c>
      <c r="T612" s="66">
        <v>0</v>
      </c>
      <c r="U612" s="66">
        <v>0</v>
      </c>
      <c r="V612" s="67">
        <v>0</v>
      </c>
    </row>
    <row r="613" spans="1:22" x14ac:dyDescent="0.25">
      <c r="A613" s="27" t="s">
        <v>861</v>
      </c>
      <c r="B613" s="27" t="s">
        <v>878</v>
      </c>
      <c r="C613" s="27" t="s">
        <v>661</v>
      </c>
      <c r="D613" s="32">
        <v>11484</v>
      </c>
      <c r="E613" s="32">
        <v>0</v>
      </c>
      <c r="F613" s="32">
        <v>0</v>
      </c>
      <c r="G613" s="32">
        <v>0</v>
      </c>
      <c r="H613" s="32">
        <v>0</v>
      </c>
      <c r="I613" s="32">
        <v>0</v>
      </c>
      <c r="J613" s="32">
        <v>0</v>
      </c>
      <c r="M613" s="68" t="s">
        <v>861</v>
      </c>
      <c r="N613" s="13" t="s">
        <v>878</v>
      </c>
      <c r="O613" s="13" t="s">
        <v>661</v>
      </c>
      <c r="P613" s="13">
        <v>11484</v>
      </c>
      <c r="Q613" s="13">
        <v>0</v>
      </c>
      <c r="R613" s="13">
        <v>0</v>
      </c>
      <c r="S613" s="13">
        <v>0</v>
      </c>
      <c r="T613" s="13">
        <v>0</v>
      </c>
      <c r="U613" s="13">
        <v>0</v>
      </c>
      <c r="V613" s="69">
        <v>0</v>
      </c>
    </row>
    <row r="614" spans="1:22" x14ac:dyDescent="0.25">
      <c r="A614" s="27" t="s">
        <v>229</v>
      </c>
      <c r="B614" s="27" t="s">
        <v>878</v>
      </c>
      <c r="C614" s="27" t="s">
        <v>662</v>
      </c>
      <c r="D614" s="32">
        <v>19042</v>
      </c>
      <c r="E614" s="32">
        <v>0</v>
      </c>
      <c r="F614" s="32">
        <v>0</v>
      </c>
      <c r="G614" s="32">
        <v>0</v>
      </c>
      <c r="H614" s="32">
        <v>0</v>
      </c>
      <c r="I614" s="32">
        <v>0</v>
      </c>
      <c r="J614" s="32">
        <v>0</v>
      </c>
      <c r="M614" s="65" t="s">
        <v>229</v>
      </c>
      <c r="N614" s="66" t="s">
        <v>878</v>
      </c>
      <c r="O614" s="66" t="s">
        <v>662</v>
      </c>
      <c r="P614" s="66">
        <v>19042</v>
      </c>
      <c r="Q614" s="66">
        <v>0</v>
      </c>
      <c r="R614" s="66">
        <v>0</v>
      </c>
      <c r="S614" s="66">
        <v>0</v>
      </c>
      <c r="T614" s="66">
        <v>0</v>
      </c>
      <c r="U614" s="66">
        <v>0</v>
      </c>
      <c r="V614" s="67">
        <v>0</v>
      </c>
    </row>
    <row r="615" spans="1:22" x14ac:dyDescent="0.25">
      <c r="A615" s="27" t="s">
        <v>101</v>
      </c>
      <c r="B615" s="27" t="s">
        <v>878</v>
      </c>
      <c r="C615" s="27" t="s">
        <v>663</v>
      </c>
      <c r="D615" s="32">
        <v>14714</v>
      </c>
      <c r="E615" s="32">
        <v>0</v>
      </c>
      <c r="F615" s="32">
        <v>0</v>
      </c>
      <c r="G615" s="32">
        <v>0</v>
      </c>
      <c r="H615" s="32">
        <v>0</v>
      </c>
      <c r="I615" s="32">
        <v>0</v>
      </c>
      <c r="J615" s="32">
        <v>0</v>
      </c>
      <c r="M615" s="68" t="s">
        <v>101</v>
      </c>
      <c r="N615" s="13" t="s">
        <v>878</v>
      </c>
      <c r="O615" s="13" t="s">
        <v>663</v>
      </c>
      <c r="P615" s="13">
        <v>14714</v>
      </c>
      <c r="Q615" s="13">
        <v>0</v>
      </c>
      <c r="R615" s="13">
        <v>0</v>
      </c>
      <c r="S615" s="13">
        <v>0</v>
      </c>
      <c r="T615" s="13">
        <v>0</v>
      </c>
      <c r="U615" s="13">
        <v>0</v>
      </c>
      <c r="V615" s="69">
        <v>0</v>
      </c>
    </row>
    <row r="616" spans="1:22" x14ac:dyDescent="0.25">
      <c r="A616" s="27" t="s">
        <v>69</v>
      </c>
      <c r="B616" s="27" t="s">
        <v>878</v>
      </c>
      <c r="C616" s="27" t="s">
        <v>664</v>
      </c>
      <c r="D616" s="32">
        <v>37302</v>
      </c>
      <c r="E616" s="32">
        <v>0</v>
      </c>
      <c r="F616" s="32">
        <v>0</v>
      </c>
      <c r="G616" s="32">
        <v>0</v>
      </c>
      <c r="H616" s="32">
        <v>0</v>
      </c>
      <c r="I616" s="32">
        <v>0</v>
      </c>
      <c r="J616" s="32">
        <v>0</v>
      </c>
      <c r="M616" s="65" t="s">
        <v>69</v>
      </c>
      <c r="N616" s="66" t="s">
        <v>878</v>
      </c>
      <c r="O616" s="66" t="s">
        <v>664</v>
      </c>
      <c r="P616" s="66">
        <v>37302</v>
      </c>
      <c r="Q616" s="66">
        <v>0</v>
      </c>
      <c r="R616" s="66">
        <v>0</v>
      </c>
      <c r="S616" s="66">
        <v>0</v>
      </c>
      <c r="T616" s="66">
        <v>0</v>
      </c>
      <c r="U616" s="66">
        <v>0</v>
      </c>
      <c r="V616" s="67">
        <v>0</v>
      </c>
    </row>
    <row r="617" spans="1:22" x14ac:dyDescent="0.25">
      <c r="A617" s="27" t="s">
        <v>859</v>
      </c>
      <c r="B617" s="27" t="s">
        <v>878</v>
      </c>
      <c r="C617" s="27" t="s">
        <v>665</v>
      </c>
      <c r="D617" s="32">
        <v>23754</v>
      </c>
      <c r="E617" s="32">
        <v>0</v>
      </c>
      <c r="F617" s="32">
        <v>0</v>
      </c>
      <c r="G617" s="32">
        <v>0</v>
      </c>
      <c r="H617" s="32">
        <v>0</v>
      </c>
      <c r="I617" s="32">
        <v>0</v>
      </c>
      <c r="J617" s="32">
        <v>0</v>
      </c>
      <c r="M617" s="68" t="s">
        <v>859</v>
      </c>
      <c r="N617" s="13" t="s">
        <v>878</v>
      </c>
      <c r="O617" s="13" t="s">
        <v>665</v>
      </c>
      <c r="P617" s="13">
        <v>23754</v>
      </c>
      <c r="Q617" s="13">
        <v>0</v>
      </c>
      <c r="R617" s="13">
        <v>0</v>
      </c>
      <c r="S617" s="13">
        <v>0</v>
      </c>
      <c r="T617" s="13">
        <v>0</v>
      </c>
      <c r="U617" s="13">
        <v>0</v>
      </c>
      <c r="V617" s="69">
        <v>0</v>
      </c>
    </row>
    <row r="618" spans="1:22" x14ac:dyDescent="0.25">
      <c r="A618" s="27" t="s">
        <v>804</v>
      </c>
      <c r="B618" s="27" t="s">
        <v>878</v>
      </c>
      <c r="C618" s="27" t="s">
        <v>666</v>
      </c>
      <c r="D618" s="32">
        <v>51976</v>
      </c>
      <c r="E618" s="32">
        <v>0</v>
      </c>
      <c r="F618" s="32">
        <v>0</v>
      </c>
      <c r="G618" s="32">
        <v>0</v>
      </c>
      <c r="H618" s="32">
        <v>0</v>
      </c>
      <c r="I618" s="32">
        <v>0</v>
      </c>
      <c r="J618" s="32">
        <v>0</v>
      </c>
      <c r="M618" s="65" t="s">
        <v>804</v>
      </c>
      <c r="N618" s="66" t="s">
        <v>878</v>
      </c>
      <c r="O618" s="66" t="s">
        <v>666</v>
      </c>
      <c r="P618" s="66">
        <v>51976</v>
      </c>
      <c r="Q618" s="66">
        <v>0</v>
      </c>
      <c r="R618" s="66">
        <v>0</v>
      </c>
      <c r="S618" s="66">
        <v>0</v>
      </c>
      <c r="T618" s="66">
        <v>0</v>
      </c>
      <c r="U618" s="66">
        <v>0</v>
      </c>
      <c r="V618" s="67">
        <v>0</v>
      </c>
    </row>
    <row r="619" spans="1:22" x14ac:dyDescent="0.25">
      <c r="A619" s="27" t="s">
        <v>853</v>
      </c>
      <c r="B619" s="27" t="s">
        <v>878</v>
      </c>
      <c r="C619" s="27" t="s">
        <v>667</v>
      </c>
      <c r="D619" s="32">
        <v>8633</v>
      </c>
      <c r="E619" s="32">
        <v>0</v>
      </c>
      <c r="F619" s="32">
        <v>0</v>
      </c>
      <c r="G619" s="32">
        <v>0</v>
      </c>
      <c r="H619" s="32">
        <v>0</v>
      </c>
      <c r="I619" s="32">
        <v>0</v>
      </c>
      <c r="J619" s="32">
        <v>0</v>
      </c>
      <c r="M619" s="68" t="s">
        <v>853</v>
      </c>
      <c r="N619" s="13" t="s">
        <v>878</v>
      </c>
      <c r="O619" s="13" t="s">
        <v>667</v>
      </c>
      <c r="P619" s="13">
        <v>8633</v>
      </c>
      <c r="Q619" s="13">
        <v>0</v>
      </c>
      <c r="R619" s="13">
        <v>0</v>
      </c>
      <c r="S619" s="13">
        <v>0</v>
      </c>
      <c r="T619" s="13">
        <v>0</v>
      </c>
      <c r="U619" s="13">
        <v>0</v>
      </c>
      <c r="V619" s="69">
        <v>0</v>
      </c>
    </row>
    <row r="620" spans="1:22" x14ac:dyDescent="0.25">
      <c r="A620" s="27" t="s">
        <v>862</v>
      </c>
      <c r="B620" s="27" t="s">
        <v>878</v>
      </c>
      <c r="C620" s="27" t="s">
        <v>668</v>
      </c>
      <c r="D620" s="32">
        <v>15830</v>
      </c>
      <c r="E620" s="32">
        <v>0</v>
      </c>
      <c r="F620" s="32">
        <v>0</v>
      </c>
      <c r="G620" s="32">
        <v>0</v>
      </c>
      <c r="H620" s="32">
        <v>0</v>
      </c>
      <c r="I620" s="32">
        <v>0</v>
      </c>
      <c r="J620" s="32">
        <v>0</v>
      </c>
      <c r="M620" s="65" t="s">
        <v>862</v>
      </c>
      <c r="N620" s="66" t="s">
        <v>878</v>
      </c>
      <c r="O620" s="66" t="s">
        <v>668</v>
      </c>
      <c r="P620" s="66">
        <v>15830</v>
      </c>
      <c r="Q620" s="66">
        <v>0</v>
      </c>
      <c r="R620" s="66">
        <v>0</v>
      </c>
      <c r="S620" s="66">
        <v>0</v>
      </c>
      <c r="T620" s="66">
        <v>0</v>
      </c>
      <c r="U620" s="66">
        <v>0</v>
      </c>
      <c r="V620" s="67">
        <v>0</v>
      </c>
    </row>
    <row r="621" spans="1:22" x14ac:dyDescent="0.25">
      <c r="A621" s="27" t="s">
        <v>847</v>
      </c>
      <c r="B621" s="27" t="s">
        <v>878</v>
      </c>
      <c r="C621" s="27" t="s">
        <v>669</v>
      </c>
      <c r="D621" s="32">
        <v>13430</v>
      </c>
      <c r="E621" s="32">
        <v>0</v>
      </c>
      <c r="F621" s="32">
        <v>0</v>
      </c>
      <c r="G621" s="32">
        <v>0</v>
      </c>
      <c r="H621" s="32">
        <v>0</v>
      </c>
      <c r="I621" s="32">
        <v>0</v>
      </c>
      <c r="J621" s="32">
        <v>0</v>
      </c>
      <c r="M621" s="68" t="s">
        <v>847</v>
      </c>
      <c r="N621" s="13" t="s">
        <v>878</v>
      </c>
      <c r="O621" s="13" t="s">
        <v>669</v>
      </c>
      <c r="P621" s="13">
        <v>13430</v>
      </c>
      <c r="Q621" s="13">
        <v>0</v>
      </c>
      <c r="R621" s="13">
        <v>0</v>
      </c>
      <c r="S621" s="13">
        <v>0</v>
      </c>
      <c r="T621" s="13">
        <v>0</v>
      </c>
      <c r="U621" s="13">
        <v>0</v>
      </c>
      <c r="V621" s="69">
        <v>0</v>
      </c>
    </row>
    <row r="622" spans="1:22" x14ac:dyDescent="0.25">
      <c r="A622" s="27" t="s">
        <v>849</v>
      </c>
      <c r="B622" s="27" t="s">
        <v>878</v>
      </c>
      <c r="C622" s="27" t="s">
        <v>670</v>
      </c>
      <c r="D622" s="32">
        <v>5481</v>
      </c>
      <c r="E622" s="32">
        <v>0</v>
      </c>
      <c r="F622" s="32">
        <v>0</v>
      </c>
      <c r="G622" s="32">
        <v>0</v>
      </c>
      <c r="H622" s="32">
        <v>0</v>
      </c>
      <c r="I622" s="32">
        <v>0</v>
      </c>
      <c r="J622" s="32">
        <v>0</v>
      </c>
      <c r="M622" s="65" t="s">
        <v>849</v>
      </c>
      <c r="N622" s="66" t="s">
        <v>878</v>
      </c>
      <c r="O622" s="66" t="s">
        <v>670</v>
      </c>
      <c r="P622" s="66">
        <v>5481</v>
      </c>
      <c r="Q622" s="66">
        <v>0</v>
      </c>
      <c r="R622" s="66">
        <v>0</v>
      </c>
      <c r="S622" s="66">
        <v>0</v>
      </c>
      <c r="T622" s="66">
        <v>0</v>
      </c>
      <c r="U622" s="66">
        <v>0</v>
      </c>
      <c r="V622" s="67">
        <v>0</v>
      </c>
    </row>
    <row r="623" spans="1:22" x14ac:dyDescent="0.25">
      <c r="A623" s="27" t="s">
        <v>226</v>
      </c>
      <c r="B623" s="27" t="s">
        <v>878</v>
      </c>
      <c r="C623" s="27" t="s">
        <v>671</v>
      </c>
      <c r="D623" s="32">
        <v>2324</v>
      </c>
      <c r="E623" s="32">
        <v>0</v>
      </c>
      <c r="F623" s="32">
        <v>0</v>
      </c>
      <c r="G623" s="32">
        <v>0</v>
      </c>
      <c r="H623" s="32">
        <v>0</v>
      </c>
      <c r="I623" s="32">
        <v>0</v>
      </c>
      <c r="J623" s="32">
        <v>0</v>
      </c>
      <c r="M623" s="68" t="s">
        <v>226</v>
      </c>
      <c r="N623" s="13" t="s">
        <v>878</v>
      </c>
      <c r="O623" s="13" t="s">
        <v>671</v>
      </c>
      <c r="P623" s="13">
        <v>2324</v>
      </c>
      <c r="Q623" s="13">
        <v>0</v>
      </c>
      <c r="R623" s="13">
        <v>0</v>
      </c>
      <c r="S623" s="13">
        <v>0</v>
      </c>
      <c r="T623" s="13">
        <v>0</v>
      </c>
      <c r="U623" s="13">
        <v>0</v>
      </c>
      <c r="V623" s="69">
        <v>0</v>
      </c>
    </row>
    <row r="624" spans="1:22" x14ac:dyDescent="0.25">
      <c r="A624" s="27" t="s">
        <v>859</v>
      </c>
      <c r="B624" s="27" t="s">
        <v>878</v>
      </c>
      <c r="C624" s="27" t="s">
        <v>672</v>
      </c>
      <c r="D624" s="32">
        <v>52072</v>
      </c>
      <c r="E624" s="32">
        <v>0</v>
      </c>
      <c r="F624" s="32">
        <v>0</v>
      </c>
      <c r="G624" s="32">
        <v>0</v>
      </c>
      <c r="H624" s="32">
        <v>0</v>
      </c>
      <c r="I624" s="32">
        <v>0</v>
      </c>
      <c r="J624" s="32">
        <v>0</v>
      </c>
      <c r="M624" s="65" t="s">
        <v>859</v>
      </c>
      <c r="N624" s="66" t="s">
        <v>878</v>
      </c>
      <c r="O624" s="66" t="s">
        <v>672</v>
      </c>
      <c r="P624" s="66">
        <v>52072</v>
      </c>
      <c r="Q624" s="66">
        <v>0</v>
      </c>
      <c r="R624" s="66">
        <v>0</v>
      </c>
      <c r="S624" s="66">
        <v>0</v>
      </c>
      <c r="T624" s="66">
        <v>0</v>
      </c>
      <c r="U624" s="66">
        <v>0</v>
      </c>
      <c r="V624" s="67">
        <v>0</v>
      </c>
    </row>
    <row r="625" spans="1:22" x14ac:dyDescent="0.25">
      <c r="A625" s="27" t="s">
        <v>830</v>
      </c>
      <c r="B625" s="27" t="s">
        <v>878</v>
      </c>
      <c r="C625" s="27" t="s">
        <v>673</v>
      </c>
      <c r="D625" s="32">
        <v>15454</v>
      </c>
      <c r="E625" s="32">
        <v>0</v>
      </c>
      <c r="F625" s="32">
        <v>0</v>
      </c>
      <c r="G625" s="32">
        <v>0</v>
      </c>
      <c r="H625" s="32">
        <v>0</v>
      </c>
      <c r="I625" s="32">
        <v>0</v>
      </c>
      <c r="J625" s="32">
        <v>0</v>
      </c>
      <c r="M625" s="68" t="s">
        <v>830</v>
      </c>
      <c r="N625" s="13" t="s">
        <v>878</v>
      </c>
      <c r="O625" s="13" t="s">
        <v>673</v>
      </c>
      <c r="P625" s="13">
        <v>15454</v>
      </c>
      <c r="Q625" s="13">
        <v>0</v>
      </c>
      <c r="R625" s="13">
        <v>0</v>
      </c>
      <c r="S625" s="13">
        <v>0</v>
      </c>
      <c r="T625" s="13">
        <v>0</v>
      </c>
      <c r="U625" s="13">
        <v>0</v>
      </c>
      <c r="V625" s="69">
        <v>0</v>
      </c>
    </row>
    <row r="626" spans="1:22" x14ac:dyDescent="0.25">
      <c r="A626" s="27" t="s">
        <v>796</v>
      </c>
      <c r="B626" s="27" t="s">
        <v>878</v>
      </c>
      <c r="C626" s="27" t="s">
        <v>674</v>
      </c>
      <c r="D626" s="32">
        <v>31419</v>
      </c>
      <c r="E626" s="32">
        <v>0</v>
      </c>
      <c r="F626" s="32">
        <v>0</v>
      </c>
      <c r="G626" s="32">
        <v>0</v>
      </c>
      <c r="H626" s="32">
        <v>0</v>
      </c>
      <c r="I626" s="32">
        <v>0</v>
      </c>
      <c r="J626" s="32">
        <v>0</v>
      </c>
      <c r="M626" s="65" t="s">
        <v>796</v>
      </c>
      <c r="N626" s="66" t="s">
        <v>878</v>
      </c>
      <c r="O626" s="66" t="s">
        <v>674</v>
      </c>
      <c r="P626" s="66">
        <v>31419</v>
      </c>
      <c r="Q626" s="66">
        <v>0</v>
      </c>
      <c r="R626" s="66">
        <v>0</v>
      </c>
      <c r="S626" s="66">
        <v>0</v>
      </c>
      <c r="T626" s="66">
        <v>0</v>
      </c>
      <c r="U626" s="66">
        <v>0</v>
      </c>
      <c r="V626" s="67">
        <v>0</v>
      </c>
    </row>
    <row r="627" spans="1:22" x14ac:dyDescent="0.25">
      <c r="A627" s="27" t="s">
        <v>854</v>
      </c>
      <c r="B627" s="27" t="s">
        <v>878</v>
      </c>
      <c r="C627" s="27" t="s">
        <v>675</v>
      </c>
      <c r="D627" s="32">
        <v>16542</v>
      </c>
      <c r="E627" s="32">
        <v>0</v>
      </c>
      <c r="F627" s="32">
        <v>0</v>
      </c>
      <c r="G627" s="32">
        <v>0</v>
      </c>
      <c r="H627" s="32">
        <v>0</v>
      </c>
      <c r="I627" s="32">
        <v>0</v>
      </c>
      <c r="J627" s="32">
        <v>0</v>
      </c>
      <c r="M627" s="68" t="s">
        <v>854</v>
      </c>
      <c r="N627" s="13" t="s">
        <v>878</v>
      </c>
      <c r="O627" s="13" t="s">
        <v>675</v>
      </c>
      <c r="P627" s="13">
        <v>16542</v>
      </c>
      <c r="Q627" s="13">
        <v>0</v>
      </c>
      <c r="R627" s="13">
        <v>0</v>
      </c>
      <c r="S627" s="13">
        <v>0</v>
      </c>
      <c r="T627" s="13">
        <v>0</v>
      </c>
      <c r="U627" s="13">
        <v>0</v>
      </c>
      <c r="V627" s="69">
        <v>0</v>
      </c>
    </row>
    <row r="628" spans="1:22" x14ac:dyDescent="0.25">
      <c r="A628" s="27" t="s">
        <v>796</v>
      </c>
      <c r="B628" s="27" t="s">
        <v>878</v>
      </c>
      <c r="C628" s="27" t="s">
        <v>676</v>
      </c>
      <c r="D628" s="32">
        <v>28435</v>
      </c>
      <c r="E628" s="32">
        <v>0</v>
      </c>
      <c r="F628" s="32">
        <v>0</v>
      </c>
      <c r="G628" s="32">
        <v>0</v>
      </c>
      <c r="H628" s="32">
        <v>0</v>
      </c>
      <c r="I628" s="32">
        <v>0</v>
      </c>
      <c r="J628" s="32">
        <v>0</v>
      </c>
      <c r="M628" s="65" t="s">
        <v>796</v>
      </c>
      <c r="N628" s="66" t="s">
        <v>878</v>
      </c>
      <c r="O628" s="66" t="s">
        <v>676</v>
      </c>
      <c r="P628" s="66">
        <v>28435</v>
      </c>
      <c r="Q628" s="66">
        <v>0</v>
      </c>
      <c r="R628" s="66">
        <v>0</v>
      </c>
      <c r="S628" s="66">
        <v>0</v>
      </c>
      <c r="T628" s="66">
        <v>0</v>
      </c>
      <c r="U628" s="66">
        <v>0</v>
      </c>
      <c r="V628" s="67">
        <v>0</v>
      </c>
    </row>
    <row r="629" spans="1:22" x14ac:dyDescent="0.25">
      <c r="A629" s="27" t="s">
        <v>226</v>
      </c>
      <c r="B629" s="27" t="s">
        <v>878</v>
      </c>
      <c r="C629" s="27" t="s">
        <v>677</v>
      </c>
      <c r="D629" s="32">
        <v>10012</v>
      </c>
      <c r="E629" s="32">
        <v>0</v>
      </c>
      <c r="F629" s="32">
        <v>0</v>
      </c>
      <c r="G629" s="32">
        <v>0</v>
      </c>
      <c r="H629" s="32">
        <v>0</v>
      </c>
      <c r="I629" s="32">
        <v>0</v>
      </c>
      <c r="J629" s="32">
        <v>0</v>
      </c>
      <c r="M629" s="68" t="s">
        <v>226</v>
      </c>
      <c r="N629" s="13" t="s">
        <v>878</v>
      </c>
      <c r="O629" s="13" t="s">
        <v>677</v>
      </c>
      <c r="P629" s="13">
        <v>10012</v>
      </c>
      <c r="Q629" s="13">
        <v>0</v>
      </c>
      <c r="R629" s="13">
        <v>0</v>
      </c>
      <c r="S629" s="13">
        <v>0</v>
      </c>
      <c r="T629" s="13">
        <v>0</v>
      </c>
      <c r="U629" s="13">
        <v>0</v>
      </c>
      <c r="V629" s="69">
        <v>0</v>
      </c>
    </row>
    <row r="630" spans="1:22" x14ac:dyDescent="0.25">
      <c r="A630" s="27" t="s">
        <v>890</v>
      </c>
      <c r="B630" s="27" t="s">
        <v>878</v>
      </c>
      <c r="C630" s="27" t="s">
        <v>678</v>
      </c>
      <c r="D630" s="32"/>
      <c r="E630" s="32"/>
      <c r="F630" s="32"/>
      <c r="G630" s="32"/>
      <c r="H630" s="32"/>
      <c r="I630" s="32"/>
      <c r="J630" s="32"/>
      <c r="M630" s="65" t="s">
        <v>890</v>
      </c>
      <c r="N630" s="66" t="s">
        <v>878</v>
      </c>
      <c r="O630" s="66" t="s">
        <v>678</v>
      </c>
      <c r="P630" s="66"/>
      <c r="Q630" s="66"/>
      <c r="R630" s="66"/>
      <c r="S630" s="66"/>
      <c r="T630" s="66"/>
      <c r="U630" s="66"/>
      <c r="V630" s="67"/>
    </row>
    <row r="631" spans="1:22" x14ac:dyDescent="0.25">
      <c r="A631" s="27" t="s">
        <v>804</v>
      </c>
      <c r="B631" s="27" t="s">
        <v>878</v>
      </c>
      <c r="C631" s="27" t="s">
        <v>679</v>
      </c>
      <c r="D631" s="32">
        <v>68396</v>
      </c>
      <c r="E631" s="32">
        <v>0</v>
      </c>
      <c r="F631" s="32">
        <v>0</v>
      </c>
      <c r="G631" s="32">
        <v>0</v>
      </c>
      <c r="H631" s="32">
        <v>0</v>
      </c>
      <c r="I631" s="32">
        <v>0</v>
      </c>
      <c r="J631" s="32">
        <v>0</v>
      </c>
      <c r="M631" s="68" t="s">
        <v>804</v>
      </c>
      <c r="N631" s="13" t="s">
        <v>878</v>
      </c>
      <c r="O631" s="13" t="s">
        <v>679</v>
      </c>
      <c r="P631" s="13">
        <v>68396</v>
      </c>
      <c r="Q631" s="13">
        <v>0</v>
      </c>
      <c r="R631" s="13">
        <v>0</v>
      </c>
      <c r="S631" s="13">
        <v>0</v>
      </c>
      <c r="T631" s="13">
        <v>0</v>
      </c>
      <c r="U631" s="13">
        <v>0</v>
      </c>
      <c r="V631" s="69">
        <v>0</v>
      </c>
    </row>
    <row r="632" spans="1:22" x14ac:dyDescent="0.25">
      <c r="A632" s="27" t="s">
        <v>823</v>
      </c>
      <c r="B632" s="27" t="s">
        <v>878</v>
      </c>
      <c r="C632" s="27" t="s">
        <v>680</v>
      </c>
      <c r="D632" s="32">
        <v>55262</v>
      </c>
      <c r="E632" s="32">
        <v>0</v>
      </c>
      <c r="F632" s="32">
        <v>0</v>
      </c>
      <c r="G632" s="32">
        <v>0</v>
      </c>
      <c r="H632" s="32">
        <v>0</v>
      </c>
      <c r="I632" s="32">
        <v>0</v>
      </c>
      <c r="J632" s="32">
        <v>0</v>
      </c>
      <c r="M632" s="65" t="s">
        <v>823</v>
      </c>
      <c r="N632" s="66" t="s">
        <v>878</v>
      </c>
      <c r="O632" s="66" t="s">
        <v>680</v>
      </c>
      <c r="P632" s="66">
        <v>55262</v>
      </c>
      <c r="Q632" s="66">
        <v>0</v>
      </c>
      <c r="R632" s="66">
        <v>0</v>
      </c>
      <c r="S632" s="66">
        <v>0</v>
      </c>
      <c r="T632" s="66">
        <v>0</v>
      </c>
      <c r="U632" s="66">
        <v>0</v>
      </c>
      <c r="V632" s="67">
        <v>0</v>
      </c>
    </row>
    <row r="633" spans="1:22" x14ac:dyDescent="0.25">
      <c r="A633" s="27" t="s">
        <v>809</v>
      </c>
      <c r="B633" s="27" t="s">
        <v>878</v>
      </c>
      <c r="C633" s="27" t="s">
        <v>681</v>
      </c>
      <c r="D633" s="32">
        <v>65529</v>
      </c>
      <c r="E633" s="32">
        <v>0</v>
      </c>
      <c r="F633" s="32">
        <v>0</v>
      </c>
      <c r="G633" s="32">
        <v>0</v>
      </c>
      <c r="H633" s="32">
        <v>0</v>
      </c>
      <c r="I633" s="32">
        <v>0</v>
      </c>
      <c r="J633" s="32">
        <v>0</v>
      </c>
      <c r="M633" s="68" t="s">
        <v>809</v>
      </c>
      <c r="N633" s="13" t="s">
        <v>878</v>
      </c>
      <c r="O633" s="13" t="s">
        <v>681</v>
      </c>
      <c r="P633" s="13">
        <v>65529</v>
      </c>
      <c r="Q633" s="13">
        <v>0</v>
      </c>
      <c r="R633" s="13">
        <v>0</v>
      </c>
      <c r="S633" s="13">
        <v>0</v>
      </c>
      <c r="T633" s="13">
        <v>0</v>
      </c>
      <c r="U633" s="13">
        <v>0</v>
      </c>
      <c r="V633" s="69">
        <v>0</v>
      </c>
    </row>
    <row r="634" spans="1:22" x14ac:dyDescent="0.25">
      <c r="A634" s="27" t="s">
        <v>248</v>
      </c>
      <c r="B634" s="27" t="s">
        <v>878</v>
      </c>
      <c r="C634" s="27" t="s">
        <v>682</v>
      </c>
      <c r="D634" s="32">
        <v>67555</v>
      </c>
      <c r="E634" s="32">
        <v>0</v>
      </c>
      <c r="F634" s="32">
        <v>0</v>
      </c>
      <c r="G634" s="32">
        <v>0</v>
      </c>
      <c r="H634" s="32">
        <v>0</v>
      </c>
      <c r="I634" s="32">
        <v>0</v>
      </c>
      <c r="J634" s="32">
        <v>0</v>
      </c>
      <c r="M634" s="65" t="s">
        <v>248</v>
      </c>
      <c r="N634" s="66" t="s">
        <v>878</v>
      </c>
      <c r="O634" s="66" t="s">
        <v>682</v>
      </c>
      <c r="P634" s="66">
        <v>67555</v>
      </c>
      <c r="Q634" s="66">
        <v>0</v>
      </c>
      <c r="R634" s="66">
        <v>0</v>
      </c>
      <c r="S634" s="66">
        <v>0</v>
      </c>
      <c r="T634" s="66">
        <v>0</v>
      </c>
      <c r="U634" s="66">
        <v>0</v>
      </c>
      <c r="V634" s="67">
        <v>0</v>
      </c>
    </row>
    <row r="635" spans="1:22" x14ac:dyDescent="0.25">
      <c r="A635" s="27" t="s">
        <v>795</v>
      </c>
      <c r="B635" s="27" t="s">
        <v>878</v>
      </c>
      <c r="C635" s="27" t="s">
        <v>683</v>
      </c>
      <c r="D635" s="32">
        <v>31812</v>
      </c>
      <c r="E635" s="32">
        <v>0</v>
      </c>
      <c r="F635" s="32">
        <v>0</v>
      </c>
      <c r="G635" s="32">
        <v>0</v>
      </c>
      <c r="H635" s="32">
        <v>0</v>
      </c>
      <c r="I635" s="32">
        <v>0</v>
      </c>
      <c r="J635" s="32">
        <v>0</v>
      </c>
      <c r="M635" s="68" t="s">
        <v>795</v>
      </c>
      <c r="N635" s="13" t="s">
        <v>878</v>
      </c>
      <c r="O635" s="13" t="s">
        <v>683</v>
      </c>
      <c r="P635" s="13">
        <v>31812</v>
      </c>
      <c r="Q635" s="13">
        <v>0</v>
      </c>
      <c r="R635" s="13">
        <v>0</v>
      </c>
      <c r="S635" s="13">
        <v>0</v>
      </c>
      <c r="T635" s="13">
        <v>0</v>
      </c>
      <c r="U635" s="13">
        <v>0</v>
      </c>
      <c r="V635" s="69">
        <v>0</v>
      </c>
    </row>
    <row r="636" spans="1:22" x14ac:dyDescent="0.25">
      <c r="A636" s="27" t="s">
        <v>795</v>
      </c>
      <c r="B636" s="27" t="s">
        <v>878</v>
      </c>
      <c r="C636" s="27" t="s">
        <v>684</v>
      </c>
      <c r="D636" s="32">
        <v>106987</v>
      </c>
      <c r="E636" s="32">
        <v>0</v>
      </c>
      <c r="F636" s="32">
        <v>0</v>
      </c>
      <c r="G636" s="32">
        <v>0</v>
      </c>
      <c r="H636" s="32">
        <v>0</v>
      </c>
      <c r="I636" s="32">
        <v>0</v>
      </c>
      <c r="J636" s="32">
        <v>0</v>
      </c>
      <c r="M636" s="65" t="s">
        <v>795</v>
      </c>
      <c r="N636" s="66" t="s">
        <v>878</v>
      </c>
      <c r="O636" s="66" t="s">
        <v>684</v>
      </c>
      <c r="P636" s="66">
        <v>106987</v>
      </c>
      <c r="Q636" s="66">
        <v>0</v>
      </c>
      <c r="R636" s="66">
        <v>0</v>
      </c>
      <c r="S636" s="66">
        <v>0</v>
      </c>
      <c r="T636" s="66">
        <v>0</v>
      </c>
      <c r="U636" s="66">
        <v>0</v>
      </c>
      <c r="V636" s="67">
        <v>0</v>
      </c>
    </row>
    <row r="637" spans="1:22" x14ac:dyDescent="0.25">
      <c r="A637" s="27" t="s">
        <v>795</v>
      </c>
      <c r="B637" s="27" t="s">
        <v>878</v>
      </c>
      <c r="C637" s="27" t="s">
        <v>685</v>
      </c>
      <c r="D637" s="32">
        <v>22064</v>
      </c>
      <c r="E637" s="32">
        <v>0</v>
      </c>
      <c r="F637" s="32">
        <v>0</v>
      </c>
      <c r="G637" s="32">
        <v>0</v>
      </c>
      <c r="H637" s="32">
        <v>0</v>
      </c>
      <c r="I637" s="32">
        <v>0</v>
      </c>
      <c r="J637" s="32">
        <v>0</v>
      </c>
      <c r="M637" s="68" t="s">
        <v>795</v>
      </c>
      <c r="N637" s="13" t="s">
        <v>878</v>
      </c>
      <c r="O637" s="13" t="s">
        <v>685</v>
      </c>
      <c r="P637" s="13">
        <v>22064</v>
      </c>
      <c r="Q637" s="13">
        <v>0</v>
      </c>
      <c r="R637" s="13">
        <v>0</v>
      </c>
      <c r="S637" s="13">
        <v>0</v>
      </c>
      <c r="T637" s="13">
        <v>0</v>
      </c>
      <c r="U637" s="13">
        <v>0</v>
      </c>
      <c r="V637" s="69">
        <v>0</v>
      </c>
    </row>
    <row r="638" spans="1:22" x14ac:dyDescent="0.25">
      <c r="A638" s="27" t="s">
        <v>851</v>
      </c>
      <c r="B638" s="27" t="s">
        <v>878</v>
      </c>
      <c r="C638" s="27" t="s">
        <v>686</v>
      </c>
      <c r="D638" s="32">
        <v>7767</v>
      </c>
      <c r="E638" s="32">
        <v>0</v>
      </c>
      <c r="F638" s="32">
        <v>0</v>
      </c>
      <c r="G638" s="32">
        <v>0</v>
      </c>
      <c r="H638" s="32">
        <v>0</v>
      </c>
      <c r="I638" s="32">
        <v>0</v>
      </c>
      <c r="J638" s="32">
        <v>0</v>
      </c>
      <c r="M638" s="65" t="s">
        <v>851</v>
      </c>
      <c r="N638" s="66" t="s">
        <v>878</v>
      </c>
      <c r="O638" s="66" t="s">
        <v>686</v>
      </c>
      <c r="P638" s="66">
        <v>7767</v>
      </c>
      <c r="Q638" s="66">
        <v>0</v>
      </c>
      <c r="R638" s="66">
        <v>0</v>
      </c>
      <c r="S638" s="66">
        <v>0</v>
      </c>
      <c r="T638" s="66">
        <v>0</v>
      </c>
      <c r="U638" s="66">
        <v>0</v>
      </c>
      <c r="V638" s="67">
        <v>0</v>
      </c>
    </row>
    <row r="639" spans="1:22" x14ac:dyDescent="0.25">
      <c r="A639" s="27" t="s">
        <v>841</v>
      </c>
      <c r="B639" s="27" t="s">
        <v>878</v>
      </c>
      <c r="C639" s="27" t="s">
        <v>687</v>
      </c>
      <c r="D639" s="32">
        <v>20842</v>
      </c>
      <c r="E639" s="32">
        <v>0</v>
      </c>
      <c r="F639" s="32">
        <v>0</v>
      </c>
      <c r="G639" s="32">
        <v>0</v>
      </c>
      <c r="H639" s="32">
        <v>0</v>
      </c>
      <c r="I639" s="32">
        <v>0</v>
      </c>
      <c r="J639" s="32">
        <v>0</v>
      </c>
      <c r="M639" s="68" t="s">
        <v>841</v>
      </c>
      <c r="N639" s="13" t="s">
        <v>878</v>
      </c>
      <c r="O639" s="13" t="s">
        <v>687</v>
      </c>
      <c r="P639" s="13">
        <v>20842</v>
      </c>
      <c r="Q639" s="13">
        <v>0</v>
      </c>
      <c r="R639" s="13">
        <v>0</v>
      </c>
      <c r="S639" s="13">
        <v>0</v>
      </c>
      <c r="T639" s="13">
        <v>0</v>
      </c>
      <c r="U639" s="13">
        <v>0</v>
      </c>
      <c r="V639" s="69">
        <v>0</v>
      </c>
    </row>
    <row r="640" spans="1:22" x14ac:dyDescent="0.25">
      <c r="A640" s="27" t="s">
        <v>859</v>
      </c>
      <c r="B640" s="27" t="s">
        <v>878</v>
      </c>
      <c r="C640" s="27" t="s">
        <v>688</v>
      </c>
      <c r="D640" s="32">
        <v>12924</v>
      </c>
      <c r="E640" s="32">
        <v>0</v>
      </c>
      <c r="F640" s="32">
        <v>0</v>
      </c>
      <c r="G640" s="32">
        <v>0</v>
      </c>
      <c r="H640" s="32">
        <v>0</v>
      </c>
      <c r="I640" s="32">
        <v>0</v>
      </c>
      <c r="J640" s="32">
        <v>0</v>
      </c>
      <c r="M640" s="65" t="s">
        <v>859</v>
      </c>
      <c r="N640" s="66" t="s">
        <v>878</v>
      </c>
      <c r="O640" s="66" t="s">
        <v>688</v>
      </c>
      <c r="P640" s="66">
        <v>12924</v>
      </c>
      <c r="Q640" s="66">
        <v>0</v>
      </c>
      <c r="R640" s="66">
        <v>0</v>
      </c>
      <c r="S640" s="66">
        <v>0</v>
      </c>
      <c r="T640" s="66">
        <v>0</v>
      </c>
      <c r="U640" s="66">
        <v>0</v>
      </c>
      <c r="V640" s="67">
        <v>0</v>
      </c>
    </row>
    <row r="641" spans="1:22" x14ac:dyDescent="0.25">
      <c r="A641" s="27" t="s">
        <v>248</v>
      </c>
      <c r="B641" s="27" t="s">
        <v>878</v>
      </c>
      <c r="C641" s="27" t="s">
        <v>689</v>
      </c>
      <c r="D641" s="32">
        <v>57236</v>
      </c>
      <c r="E641" s="32">
        <v>0</v>
      </c>
      <c r="F641" s="32">
        <v>0</v>
      </c>
      <c r="G641" s="32">
        <v>0</v>
      </c>
      <c r="H641" s="32">
        <v>0</v>
      </c>
      <c r="I641" s="32">
        <v>0</v>
      </c>
      <c r="J641" s="32">
        <v>0</v>
      </c>
      <c r="M641" s="68" t="s">
        <v>248</v>
      </c>
      <c r="N641" s="13" t="s">
        <v>878</v>
      </c>
      <c r="O641" s="13" t="s">
        <v>689</v>
      </c>
      <c r="P641" s="13">
        <v>57236</v>
      </c>
      <c r="Q641" s="13">
        <v>0</v>
      </c>
      <c r="R641" s="13">
        <v>0</v>
      </c>
      <c r="S641" s="13">
        <v>0</v>
      </c>
      <c r="T641" s="13">
        <v>0</v>
      </c>
      <c r="U641" s="13">
        <v>0</v>
      </c>
      <c r="V641" s="69">
        <v>0</v>
      </c>
    </row>
    <row r="642" spans="1:22" x14ac:dyDescent="0.25">
      <c r="A642" s="27" t="s">
        <v>831</v>
      </c>
      <c r="B642" s="27" t="s">
        <v>878</v>
      </c>
      <c r="C642" s="27" t="s">
        <v>690</v>
      </c>
      <c r="D642" s="32">
        <v>18006</v>
      </c>
      <c r="E642" s="32">
        <v>0</v>
      </c>
      <c r="F642" s="32">
        <v>0</v>
      </c>
      <c r="G642" s="32">
        <v>0</v>
      </c>
      <c r="H642" s="32">
        <v>0</v>
      </c>
      <c r="I642" s="32">
        <v>0</v>
      </c>
      <c r="J642" s="32">
        <v>0</v>
      </c>
      <c r="M642" s="65" t="s">
        <v>831</v>
      </c>
      <c r="N642" s="66" t="s">
        <v>878</v>
      </c>
      <c r="O642" s="66" t="s">
        <v>690</v>
      </c>
      <c r="P642" s="66">
        <v>18006</v>
      </c>
      <c r="Q642" s="66">
        <v>0</v>
      </c>
      <c r="R642" s="66">
        <v>0</v>
      </c>
      <c r="S642" s="66">
        <v>0</v>
      </c>
      <c r="T642" s="66">
        <v>0</v>
      </c>
      <c r="U642" s="66">
        <v>0</v>
      </c>
      <c r="V642" s="67">
        <v>0</v>
      </c>
    </row>
    <row r="643" spans="1:22" x14ac:dyDescent="0.25">
      <c r="A643" s="27" t="s">
        <v>840</v>
      </c>
      <c r="B643" s="27" t="s">
        <v>878</v>
      </c>
      <c r="C643" s="27" t="s">
        <v>691</v>
      </c>
      <c r="D643" s="32">
        <v>28035</v>
      </c>
      <c r="E643" s="32">
        <v>0</v>
      </c>
      <c r="F643" s="32">
        <v>0</v>
      </c>
      <c r="G643" s="32">
        <v>0</v>
      </c>
      <c r="H643" s="32">
        <v>0</v>
      </c>
      <c r="I643" s="32">
        <v>0</v>
      </c>
      <c r="J643" s="32">
        <v>0</v>
      </c>
      <c r="M643" s="68" t="s">
        <v>840</v>
      </c>
      <c r="N643" s="13" t="s">
        <v>878</v>
      </c>
      <c r="O643" s="13" t="s">
        <v>691</v>
      </c>
      <c r="P643" s="13">
        <v>28035</v>
      </c>
      <c r="Q643" s="13">
        <v>0</v>
      </c>
      <c r="R643" s="13">
        <v>0</v>
      </c>
      <c r="S643" s="13">
        <v>0</v>
      </c>
      <c r="T643" s="13">
        <v>0</v>
      </c>
      <c r="U643" s="13">
        <v>0</v>
      </c>
      <c r="V643" s="69">
        <v>0</v>
      </c>
    </row>
    <row r="644" spans="1:22" x14ac:dyDescent="0.25">
      <c r="A644" s="27" t="s">
        <v>495</v>
      </c>
      <c r="B644" s="27" t="s">
        <v>878</v>
      </c>
      <c r="C644" s="27" t="s">
        <v>692</v>
      </c>
      <c r="D644" s="32">
        <v>29244</v>
      </c>
      <c r="E644" s="32">
        <v>0</v>
      </c>
      <c r="F644" s="32">
        <v>0</v>
      </c>
      <c r="G644" s="32">
        <v>0</v>
      </c>
      <c r="H644" s="32">
        <v>0</v>
      </c>
      <c r="I644" s="32">
        <v>0</v>
      </c>
      <c r="J644" s="32">
        <v>0</v>
      </c>
      <c r="M644" s="65" t="s">
        <v>495</v>
      </c>
      <c r="N644" s="66" t="s">
        <v>878</v>
      </c>
      <c r="O644" s="66" t="s">
        <v>692</v>
      </c>
      <c r="P644" s="66">
        <v>29244</v>
      </c>
      <c r="Q644" s="66">
        <v>0</v>
      </c>
      <c r="R644" s="66">
        <v>0</v>
      </c>
      <c r="S644" s="66">
        <v>0</v>
      </c>
      <c r="T644" s="66">
        <v>0</v>
      </c>
      <c r="U644" s="66">
        <v>0</v>
      </c>
      <c r="V644" s="67">
        <v>0</v>
      </c>
    </row>
    <row r="645" spans="1:22" x14ac:dyDescent="0.25">
      <c r="A645" s="27" t="s">
        <v>824</v>
      </c>
      <c r="B645" s="27" t="s">
        <v>878</v>
      </c>
      <c r="C645" s="27" t="s">
        <v>693</v>
      </c>
      <c r="D645" s="32">
        <v>35359</v>
      </c>
      <c r="E645" s="32">
        <v>0</v>
      </c>
      <c r="F645" s="32">
        <v>0</v>
      </c>
      <c r="G645" s="32">
        <v>0</v>
      </c>
      <c r="H645" s="32">
        <v>0</v>
      </c>
      <c r="I645" s="32">
        <v>0</v>
      </c>
      <c r="J645" s="32">
        <v>0</v>
      </c>
      <c r="M645" s="68" t="s">
        <v>824</v>
      </c>
      <c r="N645" s="13" t="s">
        <v>878</v>
      </c>
      <c r="O645" s="13" t="s">
        <v>693</v>
      </c>
      <c r="P645" s="13">
        <v>35359</v>
      </c>
      <c r="Q645" s="13">
        <v>0</v>
      </c>
      <c r="R645" s="13">
        <v>0</v>
      </c>
      <c r="S645" s="13">
        <v>0</v>
      </c>
      <c r="T645" s="13">
        <v>0</v>
      </c>
      <c r="U645" s="13">
        <v>0</v>
      </c>
      <c r="V645" s="69">
        <v>0</v>
      </c>
    </row>
    <row r="646" spans="1:22" x14ac:dyDescent="0.25">
      <c r="A646" s="27" t="s">
        <v>806</v>
      </c>
      <c r="B646" s="27" t="s">
        <v>878</v>
      </c>
      <c r="C646" s="27" t="s">
        <v>694</v>
      </c>
      <c r="D646" s="32">
        <v>9246</v>
      </c>
      <c r="E646" s="32">
        <v>0</v>
      </c>
      <c r="F646" s="32">
        <v>0</v>
      </c>
      <c r="G646" s="32">
        <v>0</v>
      </c>
      <c r="H646" s="32">
        <v>0</v>
      </c>
      <c r="I646" s="32">
        <v>0</v>
      </c>
      <c r="J646" s="32">
        <v>0</v>
      </c>
      <c r="M646" s="65" t="s">
        <v>806</v>
      </c>
      <c r="N646" s="66" t="s">
        <v>878</v>
      </c>
      <c r="O646" s="66" t="s">
        <v>694</v>
      </c>
      <c r="P646" s="66">
        <v>9246</v>
      </c>
      <c r="Q646" s="66">
        <v>0</v>
      </c>
      <c r="R646" s="66">
        <v>0</v>
      </c>
      <c r="S646" s="66">
        <v>0</v>
      </c>
      <c r="T646" s="66">
        <v>0</v>
      </c>
      <c r="U646" s="66">
        <v>0</v>
      </c>
      <c r="V646" s="67">
        <v>0</v>
      </c>
    </row>
    <row r="647" spans="1:22" x14ac:dyDescent="0.25">
      <c r="A647" s="27" t="s">
        <v>806</v>
      </c>
      <c r="B647" s="27" t="s">
        <v>878</v>
      </c>
      <c r="C647" s="27" t="s">
        <v>695</v>
      </c>
      <c r="D647" s="32">
        <v>4093</v>
      </c>
      <c r="E647" s="32">
        <v>0</v>
      </c>
      <c r="F647" s="32">
        <v>0</v>
      </c>
      <c r="G647" s="32">
        <v>0</v>
      </c>
      <c r="H647" s="32">
        <v>0</v>
      </c>
      <c r="I647" s="32">
        <v>0</v>
      </c>
      <c r="J647" s="32">
        <v>0</v>
      </c>
      <c r="M647" s="68" t="s">
        <v>806</v>
      </c>
      <c r="N647" s="13" t="s">
        <v>878</v>
      </c>
      <c r="O647" s="13" t="s">
        <v>695</v>
      </c>
      <c r="P647" s="13">
        <v>4093</v>
      </c>
      <c r="Q647" s="13">
        <v>0</v>
      </c>
      <c r="R647" s="13">
        <v>0</v>
      </c>
      <c r="S647" s="13">
        <v>0</v>
      </c>
      <c r="T647" s="13">
        <v>0</v>
      </c>
      <c r="U647" s="13">
        <v>0</v>
      </c>
      <c r="V647" s="69">
        <v>0</v>
      </c>
    </row>
    <row r="648" spans="1:22" x14ac:dyDescent="0.25">
      <c r="A648" s="27" t="s">
        <v>795</v>
      </c>
      <c r="B648" s="27" t="s">
        <v>878</v>
      </c>
      <c r="C648" s="27" t="s">
        <v>696</v>
      </c>
      <c r="D648" s="32">
        <v>13631</v>
      </c>
      <c r="E648" s="32">
        <v>0</v>
      </c>
      <c r="F648" s="32">
        <v>0</v>
      </c>
      <c r="G648" s="32">
        <v>0</v>
      </c>
      <c r="H648" s="32">
        <v>0</v>
      </c>
      <c r="I648" s="32">
        <v>0</v>
      </c>
      <c r="J648" s="32">
        <v>0</v>
      </c>
      <c r="M648" s="65" t="s">
        <v>795</v>
      </c>
      <c r="N648" s="66" t="s">
        <v>878</v>
      </c>
      <c r="O648" s="66" t="s">
        <v>696</v>
      </c>
      <c r="P648" s="66">
        <v>13631</v>
      </c>
      <c r="Q648" s="66">
        <v>0</v>
      </c>
      <c r="R648" s="66">
        <v>0</v>
      </c>
      <c r="S648" s="66">
        <v>0</v>
      </c>
      <c r="T648" s="66">
        <v>0</v>
      </c>
      <c r="U648" s="66">
        <v>0</v>
      </c>
      <c r="V648" s="67">
        <v>0</v>
      </c>
    </row>
    <row r="649" spans="1:22" x14ac:dyDescent="0.25">
      <c r="A649" s="27" t="s">
        <v>831</v>
      </c>
      <c r="B649" s="27" t="s">
        <v>878</v>
      </c>
      <c r="C649" s="27" t="s">
        <v>697</v>
      </c>
      <c r="D649" s="32">
        <v>21713</v>
      </c>
      <c r="E649" s="32">
        <v>0</v>
      </c>
      <c r="F649" s="32">
        <v>0</v>
      </c>
      <c r="G649" s="32">
        <v>0</v>
      </c>
      <c r="H649" s="32">
        <v>0</v>
      </c>
      <c r="I649" s="32">
        <v>0</v>
      </c>
      <c r="J649" s="32">
        <v>0</v>
      </c>
      <c r="M649" s="68" t="s">
        <v>831</v>
      </c>
      <c r="N649" s="13" t="s">
        <v>878</v>
      </c>
      <c r="O649" s="13" t="s">
        <v>697</v>
      </c>
      <c r="P649" s="13">
        <v>21713</v>
      </c>
      <c r="Q649" s="13">
        <v>0</v>
      </c>
      <c r="R649" s="13">
        <v>0</v>
      </c>
      <c r="S649" s="13">
        <v>0</v>
      </c>
      <c r="T649" s="13">
        <v>0</v>
      </c>
      <c r="U649" s="13">
        <v>0</v>
      </c>
      <c r="V649" s="69">
        <v>0</v>
      </c>
    </row>
    <row r="650" spans="1:22" x14ac:dyDescent="0.25">
      <c r="A650" s="27" t="s">
        <v>829</v>
      </c>
      <c r="B650" s="27" t="s">
        <v>878</v>
      </c>
      <c r="C650" s="27" t="s">
        <v>698</v>
      </c>
      <c r="D650" s="32">
        <v>29462</v>
      </c>
      <c r="E650" s="32">
        <v>0</v>
      </c>
      <c r="F650" s="32">
        <v>0</v>
      </c>
      <c r="G650" s="32">
        <v>0</v>
      </c>
      <c r="H650" s="32">
        <v>0</v>
      </c>
      <c r="I650" s="32">
        <v>0</v>
      </c>
      <c r="J650" s="32">
        <v>0</v>
      </c>
      <c r="M650" s="65" t="s">
        <v>829</v>
      </c>
      <c r="N650" s="66" t="s">
        <v>878</v>
      </c>
      <c r="O650" s="66" t="s">
        <v>698</v>
      </c>
      <c r="P650" s="66">
        <v>29462</v>
      </c>
      <c r="Q650" s="66">
        <v>0</v>
      </c>
      <c r="R650" s="66">
        <v>0</v>
      </c>
      <c r="S650" s="66">
        <v>0</v>
      </c>
      <c r="T650" s="66">
        <v>0</v>
      </c>
      <c r="U650" s="66">
        <v>0</v>
      </c>
      <c r="V650" s="67">
        <v>0</v>
      </c>
    </row>
    <row r="651" spans="1:22" x14ac:dyDescent="0.25">
      <c r="A651" s="27" t="s">
        <v>811</v>
      </c>
      <c r="B651" s="27" t="s">
        <v>878</v>
      </c>
      <c r="C651" s="27" t="s">
        <v>699</v>
      </c>
      <c r="D651" s="32">
        <v>26012</v>
      </c>
      <c r="E651" s="32">
        <v>0</v>
      </c>
      <c r="F651" s="32">
        <v>0</v>
      </c>
      <c r="G651" s="32">
        <v>0</v>
      </c>
      <c r="H651" s="32">
        <v>0</v>
      </c>
      <c r="I651" s="32">
        <v>0</v>
      </c>
      <c r="J651" s="32">
        <v>0</v>
      </c>
      <c r="M651" s="68" t="s">
        <v>811</v>
      </c>
      <c r="N651" s="13" t="s">
        <v>878</v>
      </c>
      <c r="O651" s="13" t="s">
        <v>699</v>
      </c>
      <c r="P651" s="13">
        <v>26012</v>
      </c>
      <c r="Q651" s="13">
        <v>0</v>
      </c>
      <c r="R651" s="13">
        <v>0</v>
      </c>
      <c r="S651" s="13">
        <v>0</v>
      </c>
      <c r="T651" s="13">
        <v>0</v>
      </c>
      <c r="U651" s="13">
        <v>0</v>
      </c>
      <c r="V651" s="69">
        <v>0</v>
      </c>
    </row>
    <row r="652" spans="1:22" x14ac:dyDescent="0.25">
      <c r="A652" s="27" t="s">
        <v>856</v>
      </c>
      <c r="B652" s="27" t="s">
        <v>878</v>
      </c>
      <c r="C652" s="27" t="s">
        <v>700</v>
      </c>
      <c r="D652" s="32">
        <v>36446</v>
      </c>
      <c r="E652" s="32">
        <v>0</v>
      </c>
      <c r="F652" s="32">
        <v>0</v>
      </c>
      <c r="G652" s="32">
        <v>0</v>
      </c>
      <c r="H652" s="32">
        <v>0</v>
      </c>
      <c r="I652" s="32">
        <v>0</v>
      </c>
      <c r="J652" s="32">
        <v>0</v>
      </c>
      <c r="M652" s="65" t="s">
        <v>856</v>
      </c>
      <c r="N652" s="66" t="s">
        <v>878</v>
      </c>
      <c r="O652" s="66" t="s">
        <v>700</v>
      </c>
      <c r="P652" s="66">
        <v>36446</v>
      </c>
      <c r="Q652" s="66">
        <v>0</v>
      </c>
      <c r="R652" s="66">
        <v>0</v>
      </c>
      <c r="S652" s="66">
        <v>0</v>
      </c>
      <c r="T652" s="66">
        <v>0</v>
      </c>
      <c r="U652" s="66">
        <v>0</v>
      </c>
      <c r="V652" s="67">
        <v>0</v>
      </c>
    </row>
    <row r="653" spans="1:22" x14ac:dyDescent="0.25">
      <c r="A653" s="27" t="s">
        <v>796</v>
      </c>
      <c r="B653" s="27" t="s">
        <v>878</v>
      </c>
      <c r="C653" s="27" t="s">
        <v>701</v>
      </c>
      <c r="D653" s="32">
        <v>25899</v>
      </c>
      <c r="E653" s="32">
        <v>0</v>
      </c>
      <c r="F653" s="32">
        <v>0</v>
      </c>
      <c r="G653" s="32">
        <v>0</v>
      </c>
      <c r="H653" s="32">
        <v>0</v>
      </c>
      <c r="I653" s="32">
        <v>0</v>
      </c>
      <c r="J653" s="32">
        <v>0</v>
      </c>
      <c r="M653" s="68" t="s">
        <v>796</v>
      </c>
      <c r="N653" s="13" t="s">
        <v>878</v>
      </c>
      <c r="O653" s="13" t="s">
        <v>701</v>
      </c>
      <c r="P653" s="13">
        <v>25899</v>
      </c>
      <c r="Q653" s="13">
        <v>0</v>
      </c>
      <c r="R653" s="13">
        <v>0</v>
      </c>
      <c r="S653" s="13">
        <v>0</v>
      </c>
      <c r="T653" s="13">
        <v>0</v>
      </c>
      <c r="U653" s="13">
        <v>0</v>
      </c>
      <c r="V653" s="69">
        <v>0</v>
      </c>
    </row>
    <row r="654" spans="1:22" x14ac:dyDescent="0.25">
      <c r="A654" s="27" t="s">
        <v>791</v>
      </c>
      <c r="B654" s="27" t="s">
        <v>878</v>
      </c>
      <c r="C654" s="27" t="s">
        <v>702</v>
      </c>
      <c r="D654" s="32">
        <v>5718</v>
      </c>
      <c r="E654" s="32">
        <v>0</v>
      </c>
      <c r="F654" s="32">
        <v>0</v>
      </c>
      <c r="G654" s="32">
        <v>0</v>
      </c>
      <c r="H654" s="32">
        <v>0</v>
      </c>
      <c r="I654" s="32">
        <v>0</v>
      </c>
      <c r="J654" s="32">
        <v>0</v>
      </c>
      <c r="M654" s="65" t="s">
        <v>791</v>
      </c>
      <c r="N654" s="66" t="s">
        <v>878</v>
      </c>
      <c r="O654" s="66" t="s">
        <v>702</v>
      </c>
      <c r="P654" s="66">
        <v>5718</v>
      </c>
      <c r="Q654" s="66">
        <v>0</v>
      </c>
      <c r="R654" s="66">
        <v>0</v>
      </c>
      <c r="S654" s="66">
        <v>0</v>
      </c>
      <c r="T654" s="66">
        <v>0</v>
      </c>
      <c r="U654" s="66">
        <v>0</v>
      </c>
      <c r="V654" s="67">
        <v>0</v>
      </c>
    </row>
    <row r="655" spans="1:22" x14ac:dyDescent="0.25">
      <c r="A655" s="27" t="s">
        <v>850</v>
      </c>
      <c r="B655" s="27" t="s">
        <v>878</v>
      </c>
      <c r="C655" s="27" t="s">
        <v>703</v>
      </c>
      <c r="D655" s="32">
        <v>4596</v>
      </c>
      <c r="E655" s="32">
        <v>0</v>
      </c>
      <c r="F655" s="32">
        <v>0</v>
      </c>
      <c r="G655" s="32">
        <v>0</v>
      </c>
      <c r="H655" s="32">
        <v>0</v>
      </c>
      <c r="I655" s="32">
        <v>0</v>
      </c>
      <c r="J655" s="32">
        <v>0</v>
      </c>
      <c r="M655" s="68" t="s">
        <v>850</v>
      </c>
      <c r="N655" s="13" t="s">
        <v>878</v>
      </c>
      <c r="O655" s="13" t="s">
        <v>703</v>
      </c>
      <c r="P655" s="13">
        <v>4596</v>
      </c>
      <c r="Q655" s="13">
        <v>0</v>
      </c>
      <c r="R655" s="13">
        <v>0</v>
      </c>
      <c r="S655" s="13">
        <v>0</v>
      </c>
      <c r="T655" s="13">
        <v>0</v>
      </c>
      <c r="U655" s="13">
        <v>0</v>
      </c>
      <c r="V655" s="69">
        <v>0</v>
      </c>
    </row>
    <row r="656" spans="1:22" x14ac:dyDescent="0.25">
      <c r="A656" s="27" t="s">
        <v>146</v>
      </c>
      <c r="B656" s="27" t="s">
        <v>878</v>
      </c>
      <c r="C656" s="27" t="s">
        <v>704</v>
      </c>
      <c r="D656" s="32">
        <v>32210</v>
      </c>
      <c r="E656" s="32">
        <v>0</v>
      </c>
      <c r="F656" s="32">
        <v>0</v>
      </c>
      <c r="G656" s="32">
        <v>0</v>
      </c>
      <c r="H656" s="32">
        <v>0</v>
      </c>
      <c r="I656" s="32">
        <v>0</v>
      </c>
      <c r="J656" s="32">
        <v>0</v>
      </c>
      <c r="M656" s="65" t="s">
        <v>146</v>
      </c>
      <c r="N656" s="66" t="s">
        <v>878</v>
      </c>
      <c r="O656" s="66" t="s">
        <v>704</v>
      </c>
      <c r="P656" s="66">
        <v>32210</v>
      </c>
      <c r="Q656" s="66">
        <v>0</v>
      </c>
      <c r="R656" s="66">
        <v>0</v>
      </c>
      <c r="S656" s="66">
        <v>0</v>
      </c>
      <c r="T656" s="66">
        <v>0</v>
      </c>
      <c r="U656" s="66">
        <v>0</v>
      </c>
      <c r="V656" s="67">
        <v>0</v>
      </c>
    </row>
    <row r="657" spans="1:22" x14ac:dyDescent="0.25">
      <c r="A657" s="27" t="s">
        <v>846</v>
      </c>
      <c r="B657" s="27" t="s">
        <v>878</v>
      </c>
      <c r="C657" s="27" t="s">
        <v>705</v>
      </c>
      <c r="D657" s="32">
        <v>9314</v>
      </c>
      <c r="E657" s="32">
        <v>0</v>
      </c>
      <c r="F657" s="32">
        <v>0</v>
      </c>
      <c r="G657" s="32">
        <v>0</v>
      </c>
      <c r="H657" s="32">
        <v>0</v>
      </c>
      <c r="I657" s="32">
        <v>0</v>
      </c>
      <c r="J657" s="32">
        <v>0</v>
      </c>
      <c r="M657" s="68" t="s">
        <v>846</v>
      </c>
      <c r="N657" s="13" t="s">
        <v>878</v>
      </c>
      <c r="O657" s="13" t="s">
        <v>705</v>
      </c>
      <c r="P657" s="13">
        <v>9314</v>
      </c>
      <c r="Q657" s="13">
        <v>0</v>
      </c>
      <c r="R657" s="13">
        <v>0</v>
      </c>
      <c r="S657" s="13">
        <v>0</v>
      </c>
      <c r="T657" s="13">
        <v>0</v>
      </c>
      <c r="U657" s="13">
        <v>0</v>
      </c>
      <c r="V657" s="69">
        <v>0</v>
      </c>
    </row>
    <row r="658" spans="1:22" x14ac:dyDescent="0.25">
      <c r="A658" s="27" t="s">
        <v>855</v>
      </c>
      <c r="B658" s="27" t="s">
        <v>878</v>
      </c>
      <c r="C658" s="27" t="s">
        <v>706</v>
      </c>
      <c r="D658" s="32">
        <v>10083</v>
      </c>
      <c r="E658" s="32">
        <v>0</v>
      </c>
      <c r="F658" s="32">
        <v>0</v>
      </c>
      <c r="G658" s="32">
        <v>0</v>
      </c>
      <c r="H658" s="32">
        <v>0</v>
      </c>
      <c r="I658" s="32">
        <v>0</v>
      </c>
      <c r="J658" s="32">
        <v>0</v>
      </c>
      <c r="M658" s="65" t="s">
        <v>855</v>
      </c>
      <c r="N658" s="66" t="s">
        <v>878</v>
      </c>
      <c r="O658" s="66" t="s">
        <v>706</v>
      </c>
      <c r="P658" s="66">
        <v>10083</v>
      </c>
      <c r="Q658" s="66">
        <v>0</v>
      </c>
      <c r="R658" s="66">
        <v>0</v>
      </c>
      <c r="S658" s="66">
        <v>0</v>
      </c>
      <c r="T658" s="66">
        <v>0</v>
      </c>
      <c r="U658" s="66">
        <v>0</v>
      </c>
      <c r="V658" s="67">
        <v>0</v>
      </c>
    </row>
    <row r="659" spans="1:22" x14ac:dyDescent="0.25">
      <c r="A659" s="27" t="s">
        <v>794</v>
      </c>
      <c r="B659" s="27" t="s">
        <v>878</v>
      </c>
      <c r="C659" s="27" t="s">
        <v>707</v>
      </c>
      <c r="D659" s="32">
        <v>17062</v>
      </c>
      <c r="E659" s="32">
        <v>0</v>
      </c>
      <c r="F659" s="32">
        <v>0</v>
      </c>
      <c r="G659" s="32">
        <v>0</v>
      </c>
      <c r="H659" s="32">
        <v>0</v>
      </c>
      <c r="I659" s="32">
        <v>0</v>
      </c>
      <c r="J659" s="32">
        <v>0</v>
      </c>
      <c r="M659" s="68" t="s">
        <v>794</v>
      </c>
      <c r="N659" s="13" t="s">
        <v>878</v>
      </c>
      <c r="O659" s="13" t="s">
        <v>707</v>
      </c>
      <c r="P659" s="13">
        <v>17062</v>
      </c>
      <c r="Q659" s="13">
        <v>0</v>
      </c>
      <c r="R659" s="13">
        <v>0</v>
      </c>
      <c r="S659" s="13">
        <v>0</v>
      </c>
      <c r="T659" s="13">
        <v>0</v>
      </c>
      <c r="U659" s="13">
        <v>0</v>
      </c>
      <c r="V659" s="69">
        <v>0</v>
      </c>
    </row>
    <row r="660" spans="1:22" x14ac:dyDescent="0.25">
      <c r="A660" s="27" t="s">
        <v>803</v>
      </c>
      <c r="B660" s="27" t="s">
        <v>878</v>
      </c>
      <c r="C660" s="27" t="s">
        <v>708</v>
      </c>
      <c r="D660" s="32"/>
      <c r="E660" s="32"/>
      <c r="F660" s="32"/>
      <c r="G660" s="32"/>
      <c r="H660" s="32"/>
      <c r="I660" s="32"/>
      <c r="J660" s="32"/>
      <c r="M660" s="65" t="s">
        <v>803</v>
      </c>
      <c r="N660" s="66" t="s">
        <v>878</v>
      </c>
      <c r="O660" s="66" t="s">
        <v>708</v>
      </c>
      <c r="P660" s="66"/>
      <c r="Q660" s="66"/>
      <c r="R660" s="66"/>
      <c r="S660" s="66"/>
      <c r="T660" s="66"/>
      <c r="U660" s="66"/>
      <c r="V660" s="67"/>
    </row>
    <row r="661" spans="1:22" x14ac:dyDescent="0.25">
      <c r="A661" s="27" t="s">
        <v>834</v>
      </c>
      <c r="B661" s="27" t="s">
        <v>878</v>
      </c>
      <c r="C661" s="27" t="s">
        <v>709</v>
      </c>
      <c r="D661" s="32">
        <v>12574</v>
      </c>
      <c r="E661" s="32">
        <v>0</v>
      </c>
      <c r="F661" s="32">
        <v>0</v>
      </c>
      <c r="G661" s="32">
        <v>0</v>
      </c>
      <c r="H661" s="32">
        <v>0</v>
      </c>
      <c r="I661" s="32">
        <v>0</v>
      </c>
      <c r="J661" s="32">
        <v>0</v>
      </c>
      <c r="M661" s="68" t="s">
        <v>834</v>
      </c>
      <c r="N661" s="13" t="s">
        <v>878</v>
      </c>
      <c r="O661" s="13" t="s">
        <v>709</v>
      </c>
      <c r="P661" s="13">
        <v>12574</v>
      </c>
      <c r="Q661" s="13">
        <v>0</v>
      </c>
      <c r="R661" s="13">
        <v>0</v>
      </c>
      <c r="S661" s="13">
        <v>0</v>
      </c>
      <c r="T661" s="13">
        <v>0</v>
      </c>
      <c r="U661" s="13">
        <v>0</v>
      </c>
      <c r="V661" s="69">
        <v>0</v>
      </c>
    </row>
    <row r="662" spans="1:22" x14ac:dyDescent="0.25">
      <c r="A662" s="27" t="s">
        <v>852</v>
      </c>
      <c r="B662" s="27" t="s">
        <v>878</v>
      </c>
      <c r="C662" s="27" t="s">
        <v>710</v>
      </c>
      <c r="D662" s="32">
        <v>12086</v>
      </c>
      <c r="E662" s="32">
        <v>0</v>
      </c>
      <c r="F662" s="32">
        <v>0</v>
      </c>
      <c r="G662" s="32">
        <v>0</v>
      </c>
      <c r="H662" s="32">
        <v>0</v>
      </c>
      <c r="I662" s="32">
        <v>0</v>
      </c>
      <c r="J662" s="32">
        <v>0</v>
      </c>
      <c r="M662" s="65" t="s">
        <v>852</v>
      </c>
      <c r="N662" s="66" t="s">
        <v>878</v>
      </c>
      <c r="O662" s="66" t="s">
        <v>710</v>
      </c>
      <c r="P662" s="66">
        <v>12086</v>
      </c>
      <c r="Q662" s="66">
        <v>0</v>
      </c>
      <c r="R662" s="66">
        <v>0</v>
      </c>
      <c r="S662" s="66">
        <v>0</v>
      </c>
      <c r="T662" s="66">
        <v>0</v>
      </c>
      <c r="U662" s="66">
        <v>0</v>
      </c>
      <c r="V662" s="67">
        <v>0</v>
      </c>
    </row>
    <row r="663" spans="1:22" x14ac:dyDescent="0.25">
      <c r="A663" s="27" t="s">
        <v>824</v>
      </c>
      <c r="B663" s="27" t="s">
        <v>878</v>
      </c>
      <c r="C663" s="27" t="s">
        <v>711</v>
      </c>
      <c r="D663" s="32">
        <v>20010</v>
      </c>
      <c r="E663" s="32">
        <v>0</v>
      </c>
      <c r="F663" s="32">
        <v>0</v>
      </c>
      <c r="G663" s="32">
        <v>0</v>
      </c>
      <c r="H663" s="32">
        <v>0</v>
      </c>
      <c r="I663" s="32">
        <v>0</v>
      </c>
      <c r="J663" s="32">
        <v>0</v>
      </c>
      <c r="M663" s="68" t="s">
        <v>824</v>
      </c>
      <c r="N663" s="13" t="s">
        <v>878</v>
      </c>
      <c r="O663" s="13" t="s">
        <v>711</v>
      </c>
      <c r="P663" s="13">
        <v>20010</v>
      </c>
      <c r="Q663" s="13">
        <v>0</v>
      </c>
      <c r="R663" s="13">
        <v>0</v>
      </c>
      <c r="S663" s="13">
        <v>0</v>
      </c>
      <c r="T663" s="13">
        <v>0</v>
      </c>
      <c r="U663" s="13">
        <v>0</v>
      </c>
      <c r="V663" s="69">
        <v>0</v>
      </c>
    </row>
    <row r="664" spans="1:22" x14ac:dyDescent="0.25">
      <c r="A664" s="27" t="s">
        <v>817</v>
      </c>
      <c r="B664" s="27" t="s">
        <v>878</v>
      </c>
      <c r="C664" s="27" t="s">
        <v>712</v>
      </c>
      <c r="D664" s="32">
        <v>49408</v>
      </c>
      <c r="E664" s="32">
        <v>0</v>
      </c>
      <c r="F664" s="32">
        <v>0</v>
      </c>
      <c r="G664" s="32">
        <v>0</v>
      </c>
      <c r="H664" s="32">
        <v>0</v>
      </c>
      <c r="I664" s="32">
        <v>0</v>
      </c>
      <c r="J664" s="32">
        <v>0</v>
      </c>
      <c r="M664" s="65" t="s">
        <v>817</v>
      </c>
      <c r="N664" s="66" t="s">
        <v>878</v>
      </c>
      <c r="O664" s="66" t="s">
        <v>712</v>
      </c>
      <c r="P664" s="66">
        <v>49408</v>
      </c>
      <c r="Q664" s="66">
        <v>0</v>
      </c>
      <c r="R664" s="66">
        <v>0</v>
      </c>
      <c r="S664" s="66">
        <v>0</v>
      </c>
      <c r="T664" s="66">
        <v>0</v>
      </c>
      <c r="U664" s="66">
        <v>0</v>
      </c>
      <c r="V664" s="67">
        <v>0</v>
      </c>
    </row>
    <row r="665" spans="1:22" x14ac:dyDescent="0.25">
      <c r="A665" s="27" t="s">
        <v>857</v>
      </c>
      <c r="B665" s="27" t="s">
        <v>878</v>
      </c>
      <c r="C665" s="27" t="s">
        <v>713</v>
      </c>
      <c r="D665" s="32">
        <v>10355</v>
      </c>
      <c r="E665" s="32">
        <v>0</v>
      </c>
      <c r="F665" s="32">
        <v>0</v>
      </c>
      <c r="G665" s="32">
        <v>0</v>
      </c>
      <c r="H665" s="32">
        <v>0</v>
      </c>
      <c r="I665" s="32">
        <v>0</v>
      </c>
      <c r="J665" s="32">
        <v>0</v>
      </c>
      <c r="M665" s="68" t="s">
        <v>857</v>
      </c>
      <c r="N665" s="13" t="s">
        <v>878</v>
      </c>
      <c r="O665" s="13" t="s">
        <v>713</v>
      </c>
      <c r="P665" s="13">
        <v>10355</v>
      </c>
      <c r="Q665" s="13">
        <v>0</v>
      </c>
      <c r="R665" s="13">
        <v>0</v>
      </c>
      <c r="S665" s="13">
        <v>0</v>
      </c>
      <c r="T665" s="13">
        <v>0</v>
      </c>
      <c r="U665" s="13">
        <v>0</v>
      </c>
      <c r="V665" s="69">
        <v>0</v>
      </c>
    </row>
    <row r="666" spans="1:22" x14ac:dyDescent="0.25">
      <c r="A666" s="27" t="s">
        <v>146</v>
      </c>
      <c r="B666" s="27" t="s">
        <v>878</v>
      </c>
      <c r="C666" s="27" t="s">
        <v>714</v>
      </c>
      <c r="D666" s="32">
        <v>47351</v>
      </c>
      <c r="E666" s="32">
        <v>0</v>
      </c>
      <c r="F666" s="32">
        <v>0</v>
      </c>
      <c r="G666" s="32">
        <v>0</v>
      </c>
      <c r="H666" s="32">
        <v>0</v>
      </c>
      <c r="I666" s="32">
        <v>0</v>
      </c>
      <c r="J666" s="32">
        <v>0</v>
      </c>
      <c r="M666" s="65" t="s">
        <v>146</v>
      </c>
      <c r="N666" s="66" t="s">
        <v>878</v>
      </c>
      <c r="O666" s="66" t="s">
        <v>714</v>
      </c>
      <c r="P666" s="66">
        <v>47351</v>
      </c>
      <c r="Q666" s="66">
        <v>0</v>
      </c>
      <c r="R666" s="66">
        <v>0</v>
      </c>
      <c r="S666" s="66">
        <v>0</v>
      </c>
      <c r="T666" s="66">
        <v>0</v>
      </c>
      <c r="U666" s="66">
        <v>0</v>
      </c>
      <c r="V666" s="67">
        <v>0</v>
      </c>
    </row>
    <row r="667" spans="1:22" x14ac:dyDescent="0.25">
      <c r="A667" s="27" t="s">
        <v>120</v>
      </c>
      <c r="B667" s="27" t="s">
        <v>878</v>
      </c>
      <c r="C667" s="27" t="s">
        <v>715</v>
      </c>
      <c r="D667" s="32">
        <v>15123</v>
      </c>
      <c r="E667" s="32">
        <v>0</v>
      </c>
      <c r="F667" s="32">
        <v>0</v>
      </c>
      <c r="G667" s="32">
        <v>0</v>
      </c>
      <c r="H667" s="32">
        <v>0</v>
      </c>
      <c r="I667" s="32">
        <v>0</v>
      </c>
      <c r="J667" s="32">
        <v>0</v>
      </c>
      <c r="M667" s="68" t="s">
        <v>120</v>
      </c>
      <c r="N667" s="13" t="s">
        <v>878</v>
      </c>
      <c r="O667" s="13" t="s">
        <v>715</v>
      </c>
      <c r="P667" s="13">
        <v>15123</v>
      </c>
      <c r="Q667" s="13">
        <v>0</v>
      </c>
      <c r="R667" s="13">
        <v>0</v>
      </c>
      <c r="S667" s="13">
        <v>0</v>
      </c>
      <c r="T667" s="13">
        <v>0</v>
      </c>
      <c r="U667" s="13">
        <v>0</v>
      </c>
      <c r="V667" s="69">
        <v>0</v>
      </c>
    </row>
    <row r="668" spans="1:22" x14ac:dyDescent="0.25">
      <c r="A668" s="27" t="s">
        <v>146</v>
      </c>
      <c r="B668" s="27" t="s">
        <v>878</v>
      </c>
      <c r="C668" s="27" t="s">
        <v>716</v>
      </c>
      <c r="D668" s="32">
        <v>11072</v>
      </c>
      <c r="E668" s="32">
        <v>0</v>
      </c>
      <c r="F668" s="32">
        <v>0</v>
      </c>
      <c r="G668" s="32">
        <v>0</v>
      </c>
      <c r="H668" s="32">
        <v>0</v>
      </c>
      <c r="I668" s="32">
        <v>0</v>
      </c>
      <c r="J668" s="32">
        <v>0</v>
      </c>
      <c r="M668" s="65" t="s">
        <v>146</v>
      </c>
      <c r="N668" s="66" t="s">
        <v>878</v>
      </c>
      <c r="O668" s="66" t="s">
        <v>716</v>
      </c>
      <c r="P668" s="66">
        <v>11072</v>
      </c>
      <c r="Q668" s="66">
        <v>0</v>
      </c>
      <c r="R668" s="66">
        <v>0</v>
      </c>
      <c r="S668" s="66">
        <v>0</v>
      </c>
      <c r="T668" s="66">
        <v>0</v>
      </c>
      <c r="U668" s="66">
        <v>0</v>
      </c>
      <c r="V668" s="67">
        <v>0</v>
      </c>
    </row>
    <row r="669" spans="1:22" x14ac:dyDescent="0.25">
      <c r="A669" s="27" t="s">
        <v>811</v>
      </c>
      <c r="B669" s="27" t="s">
        <v>878</v>
      </c>
      <c r="C669" s="27" t="s">
        <v>717</v>
      </c>
      <c r="D669" s="32">
        <v>14269</v>
      </c>
      <c r="E669" s="32">
        <v>0</v>
      </c>
      <c r="F669" s="32">
        <v>0</v>
      </c>
      <c r="G669" s="32">
        <v>0</v>
      </c>
      <c r="H669" s="32">
        <v>0</v>
      </c>
      <c r="I669" s="32">
        <v>0</v>
      </c>
      <c r="J669" s="32">
        <v>0</v>
      </c>
      <c r="M669" s="68" t="s">
        <v>811</v>
      </c>
      <c r="N669" s="13" t="s">
        <v>878</v>
      </c>
      <c r="O669" s="13" t="s">
        <v>717</v>
      </c>
      <c r="P669" s="13">
        <v>14269</v>
      </c>
      <c r="Q669" s="13">
        <v>0</v>
      </c>
      <c r="R669" s="13">
        <v>0</v>
      </c>
      <c r="S669" s="13">
        <v>0</v>
      </c>
      <c r="T669" s="13">
        <v>0</v>
      </c>
      <c r="U669" s="13">
        <v>0</v>
      </c>
      <c r="V669" s="69">
        <v>0</v>
      </c>
    </row>
    <row r="670" spans="1:22" x14ac:dyDescent="0.25">
      <c r="A670" s="27" t="s">
        <v>146</v>
      </c>
      <c r="B670" s="27" t="s">
        <v>878</v>
      </c>
      <c r="C670" s="27" t="s">
        <v>718</v>
      </c>
      <c r="D670" s="32">
        <v>31980</v>
      </c>
      <c r="E670" s="32">
        <v>0</v>
      </c>
      <c r="F670" s="32">
        <v>0</v>
      </c>
      <c r="G670" s="32">
        <v>0</v>
      </c>
      <c r="H670" s="32">
        <v>0</v>
      </c>
      <c r="I670" s="32">
        <v>0</v>
      </c>
      <c r="J670" s="32">
        <v>0</v>
      </c>
      <c r="M670" s="65" t="s">
        <v>146</v>
      </c>
      <c r="N670" s="66" t="s">
        <v>878</v>
      </c>
      <c r="O670" s="66" t="s">
        <v>718</v>
      </c>
      <c r="P670" s="66">
        <v>31980</v>
      </c>
      <c r="Q670" s="66">
        <v>0</v>
      </c>
      <c r="R670" s="66">
        <v>0</v>
      </c>
      <c r="S670" s="66">
        <v>0</v>
      </c>
      <c r="T670" s="66">
        <v>0</v>
      </c>
      <c r="U670" s="66">
        <v>0</v>
      </c>
      <c r="V670" s="67">
        <v>0</v>
      </c>
    </row>
    <row r="671" spans="1:22" x14ac:dyDescent="0.25">
      <c r="A671" s="27" t="s">
        <v>816</v>
      </c>
      <c r="B671" s="27" t="s">
        <v>878</v>
      </c>
      <c r="C671" s="27" t="s">
        <v>719</v>
      </c>
      <c r="D671" s="32">
        <v>15363</v>
      </c>
      <c r="E671" s="32">
        <v>0</v>
      </c>
      <c r="F671" s="32">
        <v>0</v>
      </c>
      <c r="G671" s="32">
        <v>0</v>
      </c>
      <c r="H671" s="32">
        <v>0</v>
      </c>
      <c r="I671" s="32">
        <v>0</v>
      </c>
      <c r="J671" s="32">
        <v>0</v>
      </c>
      <c r="M671" s="68" t="s">
        <v>816</v>
      </c>
      <c r="N671" s="13" t="s">
        <v>878</v>
      </c>
      <c r="O671" s="13" t="s">
        <v>719</v>
      </c>
      <c r="P671" s="13">
        <v>15363</v>
      </c>
      <c r="Q671" s="13">
        <v>0</v>
      </c>
      <c r="R671" s="13">
        <v>0</v>
      </c>
      <c r="S671" s="13">
        <v>0</v>
      </c>
      <c r="T671" s="13">
        <v>0</v>
      </c>
      <c r="U671" s="13">
        <v>0</v>
      </c>
      <c r="V671" s="69">
        <v>0</v>
      </c>
    </row>
    <row r="672" spans="1:22" x14ac:dyDescent="0.25">
      <c r="A672" s="27" t="s">
        <v>817</v>
      </c>
      <c r="B672" s="27" t="s">
        <v>878</v>
      </c>
      <c r="C672" s="27" t="s">
        <v>720</v>
      </c>
      <c r="D672" s="32">
        <v>58711</v>
      </c>
      <c r="E672" s="32">
        <v>0</v>
      </c>
      <c r="F672" s="32">
        <v>0</v>
      </c>
      <c r="G672" s="32">
        <v>0</v>
      </c>
      <c r="H672" s="32">
        <v>0</v>
      </c>
      <c r="I672" s="32">
        <v>0</v>
      </c>
      <c r="J672" s="32">
        <v>0</v>
      </c>
      <c r="M672" s="65" t="s">
        <v>817</v>
      </c>
      <c r="N672" s="66" t="s">
        <v>878</v>
      </c>
      <c r="O672" s="66" t="s">
        <v>720</v>
      </c>
      <c r="P672" s="66">
        <v>58711</v>
      </c>
      <c r="Q672" s="66">
        <v>0</v>
      </c>
      <c r="R672" s="66">
        <v>0</v>
      </c>
      <c r="S672" s="66">
        <v>0</v>
      </c>
      <c r="T672" s="66">
        <v>0</v>
      </c>
      <c r="U672" s="66">
        <v>0</v>
      </c>
      <c r="V672" s="67">
        <v>0</v>
      </c>
    </row>
    <row r="673" spans="1:22" x14ac:dyDescent="0.25">
      <c r="A673" s="27" t="s">
        <v>864</v>
      </c>
      <c r="B673" s="27" t="s">
        <v>878</v>
      </c>
      <c r="C673" s="27" t="s">
        <v>721</v>
      </c>
      <c r="D673" s="32">
        <v>73665</v>
      </c>
      <c r="E673" s="32">
        <v>0</v>
      </c>
      <c r="F673" s="32">
        <v>0</v>
      </c>
      <c r="G673" s="32">
        <v>0</v>
      </c>
      <c r="H673" s="32">
        <v>0</v>
      </c>
      <c r="I673" s="32">
        <v>0</v>
      </c>
      <c r="J673" s="32">
        <v>0</v>
      </c>
      <c r="M673" s="68" t="s">
        <v>864</v>
      </c>
      <c r="N673" s="13" t="s">
        <v>878</v>
      </c>
      <c r="O673" s="13" t="s">
        <v>721</v>
      </c>
      <c r="P673" s="13">
        <v>73665</v>
      </c>
      <c r="Q673" s="13">
        <v>0</v>
      </c>
      <c r="R673" s="13">
        <v>0</v>
      </c>
      <c r="S673" s="13">
        <v>0</v>
      </c>
      <c r="T673" s="13">
        <v>0</v>
      </c>
      <c r="U673" s="13">
        <v>0</v>
      </c>
      <c r="V673" s="69">
        <v>0</v>
      </c>
    </row>
    <row r="674" spans="1:22" x14ac:dyDescent="0.25">
      <c r="A674" s="27" t="s">
        <v>146</v>
      </c>
      <c r="B674" s="27" t="s">
        <v>878</v>
      </c>
      <c r="C674" s="27" t="s">
        <v>722</v>
      </c>
      <c r="D674" s="32">
        <v>16652</v>
      </c>
      <c r="E674" s="32">
        <v>0</v>
      </c>
      <c r="F674" s="32">
        <v>0</v>
      </c>
      <c r="G674" s="32">
        <v>0</v>
      </c>
      <c r="H674" s="32">
        <v>0</v>
      </c>
      <c r="I674" s="32">
        <v>0</v>
      </c>
      <c r="J674" s="32">
        <v>0</v>
      </c>
      <c r="M674" s="65" t="s">
        <v>146</v>
      </c>
      <c r="N674" s="66" t="s">
        <v>878</v>
      </c>
      <c r="O674" s="66" t="s">
        <v>722</v>
      </c>
      <c r="P674" s="66">
        <v>16652</v>
      </c>
      <c r="Q674" s="66">
        <v>0</v>
      </c>
      <c r="R674" s="66">
        <v>0</v>
      </c>
      <c r="S674" s="66">
        <v>0</v>
      </c>
      <c r="T674" s="66">
        <v>0</v>
      </c>
      <c r="U674" s="66">
        <v>0</v>
      </c>
      <c r="V674" s="67">
        <v>0</v>
      </c>
    </row>
    <row r="675" spans="1:22" x14ac:dyDescent="0.25">
      <c r="A675" s="27" t="s">
        <v>858</v>
      </c>
      <c r="B675" s="27" t="s">
        <v>878</v>
      </c>
      <c r="C675" s="27" t="s">
        <v>723</v>
      </c>
      <c r="D675" s="32">
        <v>15618</v>
      </c>
      <c r="E675" s="32">
        <v>0</v>
      </c>
      <c r="F675" s="32">
        <v>0</v>
      </c>
      <c r="G675" s="32">
        <v>0</v>
      </c>
      <c r="H675" s="32">
        <v>0</v>
      </c>
      <c r="I675" s="32">
        <v>0</v>
      </c>
      <c r="J675" s="32">
        <v>0</v>
      </c>
      <c r="M675" s="68" t="s">
        <v>858</v>
      </c>
      <c r="N675" s="13" t="s">
        <v>878</v>
      </c>
      <c r="O675" s="13" t="s">
        <v>723</v>
      </c>
      <c r="P675" s="13">
        <v>15618</v>
      </c>
      <c r="Q675" s="13">
        <v>0</v>
      </c>
      <c r="R675" s="13">
        <v>0</v>
      </c>
      <c r="S675" s="13">
        <v>0</v>
      </c>
      <c r="T675" s="13">
        <v>0</v>
      </c>
      <c r="U675" s="13">
        <v>0</v>
      </c>
      <c r="V675" s="69">
        <v>0</v>
      </c>
    </row>
    <row r="676" spans="1:22" x14ac:dyDescent="0.25">
      <c r="A676" s="27" t="s">
        <v>859</v>
      </c>
      <c r="B676" s="27" t="s">
        <v>878</v>
      </c>
      <c r="C676" s="27" t="s">
        <v>724</v>
      </c>
      <c r="D676" s="32">
        <v>114804</v>
      </c>
      <c r="E676" s="32">
        <v>0</v>
      </c>
      <c r="F676" s="32">
        <v>0</v>
      </c>
      <c r="G676" s="32">
        <v>0</v>
      </c>
      <c r="H676" s="32">
        <v>0</v>
      </c>
      <c r="I676" s="32">
        <v>0</v>
      </c>
      <c r="J676" s="32">
        <v>0</v>
      </c>
      <c r="M676" s="65" t="s">
        <v>859</v>
      </c>
      <c r="N676" s="66" t="s">
        <v>878</v>
      </c>
      <c r="O676" s="66" t="s">
        <v>724</v>
      </c>
      <c r="P676" s="66">
        <v>114804</v>
      </c>
      <c r="Q676" s="66">
        <v>0</v>
      </c>
      <c r="R676" s="66">
        <v>0</v>
      </c>
      <c r="S676" s="66">
        <v>0</v>
      </c>
      <c r="T676" s="66">
        <v>0</v>
      </c>
      <c r="U676" s="66">
        <v>0</v>
      </c>
      <c r="V676" s="67">
        <v>0</v>
      </c>
    </row>
    <row r="677" spans="1:22" x14ac:dyDescent="0.25">
      <c r="A677" s="27" t="s">
        <v>794</v>
      </c>
      <c r="B677" s="27" t="s">
        <v>878</v>
      </c>
      <c r="C677" s="27" t="s">
        <v>725</v>
      </c>
      <c r="D677" s="32">
        <v>62792</v>
      </c>
      <c r="E677" s="32">
        <v>0</v>
      </c>
      <c r="F677" s="32">
        <v>0</v>
      </c>
      <c r="G677" s="32">
        <v>0</v>
      </c>
      <c r="H677" s="32">
        <v>0</v>
      </c>
      <c r="I677" s="32">
        <v>0</v>
      </c>
      <c r="J677" s="32">
        <v>0</v>
      </c>
      <c r="M677" s="68" t="s">
        <v>794</v>
      </c>
      <c r="N677" s="13" t="s">
        <v>878</v>
      </c>
      <c r="O677" s="13" t="s">
        <v>725</v>
      </c>
      <c r="P677" s="13">
        <v>62792</v>
      </c>
      <c r="Q677" s="13">
        <v>0</v>
      </c>
      <c r="R677" s="13">
        <v>0</v>
      </c>
      <c r="S677" s="13">
        <v>0</v>
      </c>
      <c r="T677" s="13">
        <v>0</v>
      </c>
      <c r="U677" s="13">
        <v>0</v>
      </c>
      <c r="V677" s="69">
        <v>0</v>
      </c>
    </row>
    <row r="678" spans="1:22" x14ac:dyDescent="0.25">
      <c r="A678" s="27" t="s">
        <v>864</v>
      </c>
      <c r="B678" s="27" t="s">
        <v>878</v>
      </c>
      <c r="C678" s="27" t="s">
        <v>726</v>
      </c>
      <c r="D678" s="32">
        <v>63284</v>
      </c>
      <c r="E678" s="32">
        <v>0</v>
      </c>
      <c r="F678" s="32">
        <v>0</v>
      </c>
      <c r="G678" s="32">
        <v>0</v>
      </c>
      <c r="H678" s="32">
        <v>0</v>
      </c>
      <c r="I678" s="32">
        <v>0</v>
      </c>
      <c r="J678" s="32">
        <v>0</v>
      </c>
      <c r="M678" s="65" t="s">
        <v>864</v>
      </c>
      <c r="N678" s="66" t="s">
        <v>878</v>
      </c>
      <c r="O678" s="66" t="s">
        <v>726</v>
      </c>
      <c r="P678" s="66">
        <v>63284</v>
      </c>
      <c r="Q678" s="66">
        <v>0</v>
      </c>
      <c r="R678" s="66">
        <v>0</v>
      </c>
      <c r="S678" s="66">
        <v>0</v>
      </c>
      <c r="T678" s="66">
        <v>0</v>
      </c>
      <c r="U678" s="66">
        <v>0</v>
      </c>
      <c r="V678" s="67">
        <v>0</v>
      </c>
    </row>
    <row r="679" spans="1:22" x14ac:dyDescent="0.25">
      <c r="A679" s="27" t="s">
        <v>824</v>
      </c>
      <c r="B679" s="27" t="s">
        <v>878</v>
      </c>
      <c r="C679" s="27" t="s">
        <v>727</v>
      </c>
      <c r="D679" s="32">
        <v>18041</v>
      </c>
      <c r="E679" s="32">
        <v>0</v>
      </c>
      <c r="F679" s="32">
        <v>0</v>
      </c>
      <c r="G679" s="32">
        <v>0</v>
      </c>
      <c r="H679" s="32">
        <v>0</v>
      </c>
      <c r="I679" s="32">
        <v>0</v>
      </c>
      <c r="J679" s="32">
        <v>0</v>
      </c>
      <c r="M679" s="68" t="s">
        <v>824</v>
      </c>
      <c r="N679" s="13" t="s">
        <v>878</v>
      </c>
      <c r="O679" s="13" t="s">
        <v>727</v>
      </c>
      <c r="P679" s="13">
        <v>18041</v>
      </c>
      <c r="Q679" s="13">
        <v>0</v>
      </c>
      <c r="R679" s="13">
        <v>0</v>
      </c>
      <c r="S679" s="13">
        <v>0</v>
      </c>
      <c r="T679" s="13">
        <v>0</v>
      </c>
      <c r="U679" s="13">
        <v>0</v>
      </c>
      <c r="V679" s="69">
        <v>0</v>
      </c>
    </row>
    <row r="680" spans="1:22" x14ac:dyDescent="0.25">
      <c r="A680" s="27" t="s">
        <v>134</v>
      </c>
      <c r="B680" s="27" t="s">
        <v>878</v>
      </c>
      <c r="C680" s="27" t="s">
        <v>728</v>
      </c>
      <c r="D680" s="32">
        <v>5151</v>
      </c>
      <c r="E680" s="32">
        <v>0</v>
      </c>
      <c r="F680" s="32">
        <v>0</v>
      </c>
      <c r="G680" s="32">
        <v>0</v>
      </c>
      <c r="H680" s="32">
        <v>0</v>
      </c>
      <c r="I680" s="32">
        <v>0</v>
      </c>
      <c r="J680" s="32">
        <v>0</v>
      </c>
      <c r="M680" s="65" t="s">
        <v>134</v>
      </c>
      <c r="N680" s="66" t="s">
        <v>878</v>
      </c>
      <c r="O680" s="66" t="s">
        <v>728</v>
      </c>
      <c r="P680" s="66">
        <v>5151</v>
      </c>
      <c r="Q680" s="66">
        <v>0</v>
      </c>
      <c r="R680" s="66">
        <v>0</v>
      </c>
      <c r="S680" s="66">
        <v>0</v>
      </c>
      <c r="T680" s="66">
        <v>0</v>
      </c>
      <c r="U680" s="66">
        <v>0</v>
      </c>
      <c r="V680" s="67">
        <v>0</v>
      </c>
    </row>
    <row r="681" spans="1:22" x14ac:dyDescent="0.25">
      <c r="A681" s="27" t="s">
        <v>890</v>
      </c>
      <c r="B681" s="27" t="s">
        <v>878</v>
      </c>
      <c r="C681" s="27" t="s">
        <v>729</v>
      </c>
      <c r="D681" s="32">
        <v>47420</v>
      </c>
      <c r="E681" s="32">
        <v>0</v>
      </c>
      <c r="F681" s="32">
        <v>0</v>
      </c>
      <c r="G681" s="32">
        <v>0</v>
      </c>
      <c r="H681" s="32">
        <v>0</v>
      </c>
      <c r="I681" s="32">
        <v>0</v>
      </c>
      <c r="J681" s="32">
        <v>0</v>
      </c>
      <c r="M681" s="68" t="s">
        <v>890</v>
      </c>
      <c r="N681" s="13" t="s">
        <v>878</v>
      </c>
      <c r="O681" s="13" t="s">
        <v>729</v>
      </c>
      <c r="P681" s="13">
        <v>47420</v>
      </c>
      <c r="Q681" s="13">
        <v>0</v>
      </c>
      <c r="R681" s="13">
        <v>0</v>
      </c>
      <c r="S681" s="13">
        <v>0</v>
      </c>
      <c r="T681" s="13">
        <v>0</v>
      </c>
      <c r="U681" s="13">
        <v>0</v>
      </c>
      <c r="V681" s="69">
        <v>0</v>
      </c>
    </row>
    <row r="682" spans="1:22" x14ac:dyDescent="0.25">
      <c r="A682" s="27" t="s">
        <v>788</v>
      </c>
      <c r="B682" s="27" t="s">
        <v>878</v>
      </c>
      <c r="C682" s="27" t="s">
        <v>730</v>
      </c>
      <c r="D682" s="32">
        <v>3472</v>
      </c>
      <c r="E682" s="32">
        <v>0</v>
      </c>
      <c r="F682" s="32">
        <v>0</v>
      </c>
      <c r="G682" s="32">
        <v>0</v>
      </c>
      <c r="H682" s="32">
        <v>0</v>
      </c>
      <c r="I682" s="32">
        <v>0</v>
      </c>
      <c r="J682" s="32">
        <v>0</v>
      </c>
      <c r="M682" s="65" t="s">
        <v>788</v>
      </c>
      <c r="N682" s="66" t="s">
        <v>878</v>
      </c>
      <c r="O682" s="66" t="s">
        <v>730</v>
      </c>
      <c r="P682" s="66">
        <v>3472</v>
      </c>
      <c r="Q682" s="66">
        <v>0</v>
      </c>
      <c r="R682" s="66">
        <v>0</v>
      </c>
      <c r="S682" s="66">
        <v>0</v>
      </c>
      <c r="T682" s="66">
        <v>0</v>
      </c>
      <c r="U682" s="66">
        <v>0</v>
      </c>
      <c r="V682" s="67">
        <v>0</v>
      </c>
    </row>
    <row r="683" spans="1:22" x14ac:dyDescent="0.25">
      <c r="A683" s="27" t="s">
        <v>831</v>
      </c>
      <c r="B683" s="27" t="s">
        <v>878</v>
      </c>
      <c r="C683" s="27" t="s">
        <v>731</v>
      </c>
      <c r="D683" s="32">
        <v>3904</v>
      </c>
      <c r="E683" s="32">
        <v>0</v>
      </c>
      <c r="F683" s="32">
        <v>0</v>
      </c>
      <c r="G683" s="32">
        <v>0</v>
      </c>
      <c r="H683" s="32">
        <v>0</v>
      </c>
      <c r="I683" s="32">
        <v>0</v>
      </c>
      <c r="J683" s="32">
        <v>0</v>
      </c>
      <c r="M683" s="68" t="s">
        <v>831</v>
      </c>
      <c r="N683" s="13" t="s">
        <v>878</v>
      </c>
      <c r="O683" s="13" t="s">
        <v>731</v>
      </c>
      <c r="P683" s="13">
        <v>3904</v>
      </c>
      <c r="Q683" s="13">
        <v>0</v>
      </c>
      <c r="R683" s="13">
        <v>0</v>
      </c>
      <c r="S683" s="13">
        <v>0</v>
      </c>
      <c r="T683" s="13">
        <v>0</v>
      </c>
      <c r="U683" s="13">
        <v>0</v>
      </c>
      <c r="V683" s="69">
        <v>0</v>
      </c>
    </row>
    <row r="684" spans="1:22" x14ac:dyDescent="0.25">
      <c r="A684" s="27" t="s">
        <v>76</v>
      </c>
      <c r="B684" s="27" t="s">
        <v>878</v>
      </c>
      <c r="C684" s="27" t="s">
        <v>732</v>
      </c>
      <c r="D684" s="32">
        <v>21375</v>
      </c>
      <c r="E684" s="32">
        <v>0</v>
      </c>
      <c r="F684" s="32">
        <v>0</v>
      </c>
      <c r="G684" s="32">
        <v>0</v>
      </c>
      <c r="H684" s="32">
        <v>0</v>
      </c>
      <c r="I684" s="32">
        <v>0</v>
      </c>
      <c r="J684" s="32">
        <v>0</v>
      </c>
      <c r="M684" s="65" t="s">
        <v>76</v>
      </c>
      <c r="N684" s="66" t="s">
        <v>878</v>
      </c>
      <c r="O684" s="66" t="s">
        <v>732</v>
      </c>
      <c r="P684" s="66">
        <v>21375</v>
      </c>
      <c r="Q684" s="66">
        <v>0</v>
      </c>
      <c r="R684" s="66">
        <v>0</v>
      </c>
      <c r="S684" s="66">
        <v>0</v>
      </c>
      <c r="T684" s="66">
        <v>0</v>
      </c>
      <c r="U684" s="66">
        <v>0</v>
      </c>
      <c r="V684" s="67">
        <v>0</v>
      </c>
    </row>
    <row r="685" spans="1:22" x14ac:dyDescent="0.25">
      <c r="A685" s="27" t="s">
        <v>809</v>
      </c>
      <c r="B685" s="27" t="s">
        <v>878</v>
      </c>
      <c r="C685" s="27" t="s">
        <v>733</v>
      </c>
      <c r="D685" s="32">
        <v>39179</v>
      </c>
      <c r="E685" s="32">
        <v>0</v>
      </c>
      <c r="F685" s="32">
        <v>0</v>
      </c>
      <c r="G685" s="32">
        <v>0</v>
      </c>
      <c r="H685" s="32">
        <v>0</v>
      </c>
      <c r="I685" s="32">
        <v>0</v>
      </c>
      <c r="J685" s="32">
        <v>0</v>
      </c>
      <c r="M685" s="68" t="s">
        <v>809</v>
      </c>
      <c r="N685" s="13" t="s">
        <v>878</v>
      </c>
      <c r="O685" s="13" t="s">
        <v>733</v>
      </c>
      <c r="P685" s="13">
        <v>39179</v>
      </c>
      <c r="Q685" s="13">
        <v>0</v>
      </c>
      <c r="R685" s="13">
        <v>0</v>
      </c>
      <c r="S685" s="13">
        <v>0</v>
      </c>
      <c r="T685" s="13">
        <v>0</v>
      </c>
      <c r="U685" s="13">
        <v>0</v>
      </c>
      <c r="V685" s="69">
        <v>0</v>
      </c>
    </row>
    <row r="686" spans="1:22" x14ac:dyDescent="0.25">
      <c r="A686" s="27" t="s">
        <v>120</v>
      </c>
      <c r="B686" s="27" t="s">
        <v>878</v>
      </c>
      <c r="C686" s="27" t="s">
        <v>734</v>
      </c>
      <c r="D686" s="32">
        <v>7604</v>
      </c>
      <c r="E686" s="32">
        <v>0</v>
      </c>
      <c r="F686" s="32">
        <v>0</v>
      </c>
      <c r="G686" s="32">
        <v>0</v>
      </c>
      <c r="H686" s="32">
        <v>0</v>
      </c>
      <c r="I686" s="32">
        <v>0</v>
      </c>
      <c r="J686" s="32">
        <v>0</v>
      </c>
      <c r="M686" s="65" t="s">
        <v>120</v>
      </c>
      <c r="N686" s="66" t="s">
        <v>878</v>
      </c>
      <c r="O686" s="66" t="s">
        <v>734</v>
      </c>
      <c r="P686" s="66">
        <v>7604</v>
      </c>
      <c r="Q686" s="66">
        <v>0</v>
      </c>
      <c r="R686" s="66">
        <v>0</v>
      </c>
      <c r="S686" s="66">
        <v>0</v>
      </c>
      <c r="T686" s="66">
        <v>0</v>
      </c>
      <c r="U686" s="66">
        <v>0</v>
      </c>
      <c r="V686" s="67">
        <v>0</v>
      </c>
    </row>
    <row r="687" spans="1:22" x14ac:dyDescent="0.25">
      <c r="A687" s="27" t="s">
        <v>817</v>
      </c>
      <c r="B687" s="27" t="s">
        <v>878</v>
      </c>
      <c r="C687" s="27" t="s">
        <v>735</v>
      </c>
      <c r="D687" s="32">
        <v>14389</v>
      </c>
      <c r="E687" s="32">
        <v>0</v>
      </c>
      <c r="F687" s="32">
        <v>0</v>
      </c>
      <c r="G687" s="32">
        <v>0</v>
      </c>
      <c r="H687" s="32">
        <v>0</v>
      </c>
      <c r="I687" s="32">
        <v>0</v>
      </c>
      <c r="J687" s="32">
        <v>0</v>
      </c>
      <c r="M687" s="68" t="s">
        <v>817</v>
      </c>
      <c r="N687" s="13" t="s">
        <v>878</v>
      </c>
      <c r="O687" s="13" t="s">
        <v>735</v>
      </c>
      <c r="P687" s="13">
        <v>14389</v>
      </c>
      <c r="Q687" s="13">
        <v>0</v>
      </c>
      <c r="R687" s="13">
        <v>0</v>
      </c>
      <c r="S687" s="13">
        <v>0</v>
      </c>
      <c r="T687" s="13">
        <v>0</v>
      </c>
      <c r="U687" s="13">
        <v>0</v>
      </c>
      <c r="V687" s="69">
        <v>0</v>
      </c>
    </row>
    <row r="688" spans="1:22" x14ac:dyDescent="0.25">
      <c r="A688" s="27" t="s">
        <v>801</v>
      </c>
      <c r="B688" s="27" t="s">
        <v>878</v>
      </c>
      <c r="C688" s="27" t="s">
        <v>736</v>
      </c>
      <c r="D688" s="32">
        <v>2661</v>
      </c>
      <c r="E688" s="32">
        <v>0</v>
      </c>
      <c r="F688" s="32">
        <v>0</v>
      </c>
      <c r="G688" s="32">
        <v>0</v>
      </c>
      <c r="H688" s="32">
        <v>0</v>
      </c>
      <c r="I688" s="32">
        <v>0</v>
      </c>
      <c r="J688" s="32">
        <v>0</v>
      </c>
      <c r="M688" s="65" t="s">
        <v>801</v>
      </c>
      <c r="N688" s="66" t="s">
        <v>878</v>
      </c>
      <c r="O688" s="66" t="s">
        <v>736</v>
      </c>
      <c r="P688" s="66">
        <v>2661</v>
      </c>
      <c r="Q688" s="66">
        <v>0</v>
      </c>
      <c r="R688" s="66">
        <v>0</v>
      </c>
      <c r="S688" s="66">
        <v>0</v>
      </c>
      <c r="T688" s="66">
        <v>0</v>
      </c>
      <c r="U688" s="66">
        <v>0</v>
      </c>
      <c r="V688" s="67">
        <v>0</v>
      </c>
    </row>
    <row r="689" spans="1:22" x14ac:dyDescent="0.25">
      <c r="A689" s="27" t="s">
        <v>890</v>
      </c>
      <c r="B689" s="27" t="s">
        <v>878</v>
      </c>
      <c r="C689" s="27" t="s">
        <v>737</v>
      </c>
      <c r="D689" s="32">
        <v>20509</v>
      </c>
      <c r="E689" s="32">
        <v>0</v>
      </c>
      <c r="F689" s="32">
        <v>0</v>
      </c>
      <c r="G689" s="32">
        <v>0</v>
      </c>
      <c r="H689" s="32">
        <v>0</v>
      </c>
      <c r="I689" s="32">
        <v>0</v>
      </c>
      <c r="J689" s="32">
        <v>0</v>
      </c>
      <c r="M689" s="68" t="s">
        <v>890</v>
      </c>
      <c r="N689" s="13" t="s">
        <v>878</v>
      </c>
      <c r="O689" s="13" t="s">
        <v>737</v>
      </c>
      <c r="P689" s="13">
        <v>20509</v>
      </c>
      <c r="Q689" s="13">
        <v>0</v>
      </c>
      <c r="R689" s="13">
        <v>0</v>
      </c>
      <c r="S689" s="13">
        <v>0</v>
      </c>
      <c r="T689" s="13">
        <v>0</v>
      </c>
      <c r="U689" s="13">
        <v>0</v>
      </c>
      <c r="V689" s="69">
        <v>0</v>
      </c>
    </row>
    <row r="690" spans="1:22" x14ac:dyDescent="0.25">
      <c r="A690" s="27" t="s">
        <v>890</v>
      </c>
      <c r="B690" s="27" t="s">
        <v>878</v>
      </c>
      <c r="C690" s="27" t="s">
        <v>738</v>
      </c>
      <c r="D690" s="32">
        <v>14912</v>
      </c>
      <c r="E690" s="32">
        <v>0</v>
      </c>
      <c r="F690" s="32">
        <v>0</v>
      </c>
      <c r="G690" s="32">
        <v>0</v>
      </c>
      <c r="H690" s="32">
        <v>0</v>
      </c>
      <c r="I690" s="32">
        <v>0</v>
      </c>
      <c r="J690" s="32">
        <v>0</v>
      </c>
      <c r="M690" s="65" t="s">
        <v>890</v>
      </c>
      <c r="N690" s="66" t="s">
        <v>878</v>
      </c>
      <c r="O690" s="66" t="s">
        <v>738</v>
      </c>
      <c r="P690" s="66">
        <v>14912</v>
      </c>
      <c r="Q690" s="66">
        <v>0</v>
      </c>
      <c r="R690" s="66">
        <v>0</v>
      </c>
      <c r="S690" s="66">
        <v>0</v>
      </c>
      <c r="T690" s="66">
        <v>0</v>
      </c>
      <c r="U690" s="66">
        <v>0</v>
      </c>
      <c r="V690" s="67">
        <v>0</v>
      </c>
    </row>
    <row r="691" spans="1:22" x14ac:dyDescent="0.25">
      <c r="A691" s="27" t="s">
        <v>248</v>
      </c>
      <c r="B691" s="27" t="s">
        <v>878</v>
      </c>
      <c r="C691" s="27" t="s">
        <v>739</v>
      </c>
      <c r="D691" s="32">
        <v>28856</v>
      </c>
      <c r="E691" s="32">
        <v>0</v>
      </c>
      <c r="F691" s="32">
        <v>0</v>
      </c>
      <c r="G691" s="32">
        <v>0</v>
      </c>
      <c r="H691" s="32">
        <v>0</v>
      </c>
      <c r="I691" s="32">
        <v>0</v>
      </c>
      <c r="J691" s="32">
        <v>0</v>
      </c>
      <c r="M691" s="68" t="s">
        <v>248</v>
      </c>
      <c r="N691" s="13" t="s">
        <v>878</v>
      </c>
      <c r="O691" s="13" t="s">
        <v>739</v>
      </c>
      <c r="P691" s="13">
        <v>28856</v>
      </c>
      <c r="Q691" s="13">
        <v>0</v>
      </c>
      <c r="R691" s="13">
        <v>0</v>
      </c>
      <c r="S691" s="13">
        <v>0</v>
      </c>
      <c r="T691" s="13">
        <v>0</v>
      </c>
      <c r="U691" s="13">
        <v>0</v>
      </c>
      <c r="V691" s="69">
        <v>0</v>
      </c>
    </row>
    <row r="692" spans="1:22" x14ac:dyDescent="0.25">
      <c r="A692" s="27" t="s">
        <v>890</v>
      </c>
      <c r="B692" s="27" t="s">
        <v>878</v>
      </c>
      <c r="C692" s="27" t="s">
        <v>740</v>
      </c>
      <c r="D692" s="32">
        <v>10900</v>
      </c>
      <c r="E692" s="32">
        <v>0</v>
      </c>
      <c r="F692" s="32">
        <v>0</v>
      </c>
      <c r="G692" s="32">
        <v>0</v>
      </c>
      <c r="H692" s="32">
        <v>0</v>
      </c>
      <c r="I692" s="32">
        <v>0</v>
      </c>
      <c r="J692" s="32">
        <v>0</v>
      </c>
      <c r="M692" s="65" t="s">
        <v>890</v>
      </c>
      <c r="N692" s="66" t="s">
        <v>878</v>
      </c>
      <c r="O692" s="66" t="s">
        <v>740</v>
      </c>
      <c r="P692" s="66">
        <v>10900</v>
      </c>
      <c r="Q692" s="66">
        <v>0</v>
      </c>
      <c r="R692" s="66">
        <v>0</v>
      </c>
      <c r="S692" s="66">
        <v>0</v>
      </c>
      <c r="T692" s="66">
        <v>0</v>
      </c>
      <c r="U692" s="66">
        <v>0</v>
      </c>
      <c r="V692" s="67">
        <v>0</v>
      </c>
    </row>
    <row r="693" spans="1:22" x14ac:dyDescent="0.25">
      <c r="A693" s="27" t="s">
        <v>134</v>
      </c>
      <c r="B693" s="27" t="s">
        <v>878</v>
      </c>
      <c r="C693" s="27" t="s">
        <v>741</v>
      </c>
      <c r="D693" s="32">
        <v>9824</v>
      </c>
      <c r="E693" s="32">
        <v>0</v>
      </c>
      <c r="F693" s="32">
        <v>0</v>
      </c>
      <c r="G693" s="32">
        <v>0</v>
      </c>
      <c r="H693" s="32">
        <v>0</v>
      </c>
      <c r="I693" s="32">
        <v>0</v>
      </c>
      <c r="J693" s="32">
        <v>0</v>
      </c>
      <c r="M693" s="68" t="s">
        <v>134</v>
      </c>
      <c r="N693" s="13" t="s">
        <v>878</v>
      </c>
      <c r="O693" s="13" t="s">
        <v>741</v>
      </c>
      <c r="P693" s="13">
        <v>9824</v>
      </c>
      <c r="Q693" s="13">
        <v>0</v>
      </c>
      <c r="R693" s="13">
        <v>0</v>
      </c>
      <c r="S693" s="13">
        <v>0</v>
      </c>
      <c r="T693" s="13">
        <v>0</v>
      </c>
      <c r="U693" s="13">
        <v>0</v>
      </c>
      <c r="V693" s="69">
        <v>0</v>
      </c>
    </row>
    <row r="694" spans="1:22" x14ac:dyDescent="0.25">
      <c r="A694" s="27" t="s">
        <v>231</v>
      </c>
      <c r="B694" s="27" t="s">
        <v>878</v>
      </c>
      <c r="C694" s="27" t="s">
        <v>742</v>
      </c>
      <c r="D694" s="32">
        <v>45951</v>
      </c>
      <c r="E694" s="32">
        <v>0</v>
      </c>
      <c r="F694" s="32">
        <v>0</v>
      </c>
      <c r="G694" s="32">
        <v>0</v>
      </c>
      <c r="H694" s="32">
        <v>0</v>
      </c>
      <c r="I694" s="32">
        <v>0</v>
      </c>
      <c r="J694" s="32">
        <v>0</v>
      </c>
      <c r="M694" s="65" t="s">
        <v>231</v>
      </c>
      <c r="N694" s="66" t="s">
        <v>878</v>
      </c>
      <c r="O694" s="66" t="s">
        <v>742</v>
      </c>
      <c r="P694" s="66">
        <v>45951</v>
      </c>
      <c r="Q694" s="66">
        <v>0</v>
      </c>
      <c r="R694" s="66">
        <v>0</v>
      </c>
      <c r="S694" s="66">
        <v>0</v>
      </c>
      <c r="T694" s="66">
        <v>0</v>
      </c>
      <c r="U694" s="66">
        <v>0</v>
      </c>
      <c r="V694" s="67">
        <v>0</v>
      </c>
    </row>
    <row r="695" spans="1:22" x14ac:dyDescent="0.25">
      <c r="A695" s="27" t="s">
        <v>83</v>
      </c>
      <c r="B695" s="27" t="s">
        <v>878</v>
      </c>
      <c r="C695" s="27" t="s">
        <v>743</v>
      </c>
      <c r="D695" s="32">
        <v>3674</v>
      </c>
      <c r="E695" s="32">
        <v>0</v>
      </c>
      <c r="F695" s="32">
        <v>0</v>
      </c>
      <c r="G695" s="32">
        <v>0</v>
      </c>
      <c r="H695" s="32">
        <v>0</v>
      </c>
      <c r="I695" s="32">
        <v>0</v>
      </c>
      <c r="J695" s="32">
        <v>0</v>
      </c>
      <c r="M695" s="68" t="s">
        <v>83</v>
      </c>
      <c r="N695" s="13" t="s">
        <v>878</v>
      </c>
      <c r="O695" s="13" t="s">
        <v>743</v>
      </c>
      <c r="P695" s="13">
        <v>3674</v>
      </c>
      <c r="Q695" s="13">
        <v>0</v>
      </c>
      <c r="R695" s="13">
        <v>0</v>
      </c>
      <c r="S695" s="13">
        <v>0</v>
      </c>
      <c r="T695" s="13">
        <v>0</v>
      </c>
      <c r="U695" s="13">
        <v>0</v>
      </c>
      <c r="V695" s="69">
        <v>0</v>
      </c>
    </row>
    <row r="696" spans="1:22" x14ac:dyDescent="0.25">
      <c r="A696" s="27" t="s">
        <v>826</v>
      </c>
      <c r="B696" s="27" t="s">
        <v>878</v>
      </c>
      <c r="C696" s="27" t="s">
        <v>744</v>
      </c>
      <c r="D696" s="32">
        <v>3063</v>
      </c>
      <c r="E696" s="32">
        <v>0</v>
      </c>
      <c r="F696" s="32">
        <v>0</v>
      </c>
      <c r="G696" s="32">
        <v>0</v>
      </c>
      <c r="H696" s="32">
        <v>0</v>
      </c>
      <c r="I696" s="32">
        <v>0</v>
      </c>
      <c r="J696" s="32">
        <v>0</v>
      </c>
      <c r="M696" s="65" t="s">
        <v>826</v>
      </c>
      <c r="N696" s="66" t="s">
        <v>878</v>
      </c>
      <c r="O696" s="66" t="s">
        <v>744</v>
      </c>
      <c r="P696" s="66">
        <v>3063</v>
      </c>
      <c r="Q696" s="66">
        <v>0</v>
      </c>
      <c r="R696" s="66">
        <v>0</v>
      </c>
      <c r="S696" s="66">
        <v>0</v>
      </c>
      <c r="T696" s="66">
        <v>0</v>
      </c>
      <c r="U696" s="66">
        <v>0</v>
      </c>
      <c r="V696" s="67">
        <v>0</v>
      </c>
    </row>
    <row r="697" spans="1:22" x14ac:dyDescent="0.25">
      <c r="A697" s="27" t="s">
        <v>811</v>
      </c>
      <c r="B697" s="27" t="s">
        <v>878</v>
      </c>
      <c r="C697" s="27" t="s">
        <v>745</v>
      </c>
      <c r="D697" s="32">
        <v>22845</v>
      </c>
      <c r="E697" s="32">
        <v>0</v>
      </c>
      <c r="F697" s="32">
        <v>0</v>
      </c>
      <c r="G697" s="32">
        <v>0</v>
      </c>
      <c r="H697" s="32">
        <v>0</v>
      </c>
      <c r="I697" s="32">
        <v>0</v>
      </c>
      <c r="J697" s="32">
        <v>0</v>
      </c>
      <c r="M697" s="68" t="s">
        <v>811</v>
      </c>
      <c r="N697" s="13" t="s">
        <v>878</v>
      </c>
      <c r="O697" s="13" t="s">
        <v>745</v>
      </c>
      <c r="P697" s="13">
        <v>22845</v>
      </c>
      <c r="Q697" s="13">
        <v>0</v>
      </c>
      <c r="R697" s="13">
        <v>0</v>
      </c>
      <c r="S697" s="13">
        <v>0</v>
      </c>
      <c r="T697" s="13">
        <v>0</v>
      </c>
      <c r="U697" s="13">
        <v>0</v>
      </c>
      <c r="V697" s="69">
        <v>0</v>
      </c>
    </row>
    <row r="698" spans="1:22" x14ac:dyDescent="0.25">
      <c r="A698" s="27" t="s">
        <v>248</v>
      </c>
      <c r="B698" s="27" t="s">
        <v>878</v>
      </c>
      <c r="C698" s="27" t="s">
        <v>746</v>
      </c>
      <c r="D698" s="32">
        <v>146710</v>
      </c>
      <c r="E698" s="32">
        <v>0</v>
      </c>
      <c r="F698" s="32">
        <v>0</v>
      </c>
      <c r="G698" s="32">
        <v>0</v>
      </c>
      <c r="H698" s="32">
        <v>0</v>
      </c>
      <c r="I698" s="32">
        <v>0</v>
      </c>
      <c r="J698" s="32">
        <v>0</v>
      </c>
      <c r="M698" s="65" t="s">
        <v>248</v>
      </c>
      <c r="N698" s="66" t="s">
        <v>878</v>
      </c>
      <c r="O698" s="66" t="s">
        <v>746</v>
      </c>
      <c r="P698" s="66">
        <v>146710</v>
      </c>
      <c r="Q698" s="66">
        <v>0</v>
      </c>
      <c r="R698" s="66">
        <v>0</v>
      </c>
      <c r="S698" s="66">
        <v>0</v>
      </c>
      <c r="T698" s="66">
        <v>0</v>
      </c>
      <c r="U698" s="66">
        <v>0</v>
      </c>
      <c r="V698" s="67">
        <v>0</v>
      </c>
    </row>
    <row r="699" spans="1:22" x14ac:dyDescent="0.25">
      <c r="A699" s="27" t="s">
        <v>801</v>
      </c>
      <c r="B699" s="27" t="s">
        <v>879</v>
      </c>
      <c r="C699" s="27" t="s">
        <v>747</v>
      </c>
      <c r="D699" s="32">
        <f>8862+1</f>
        <v>8863</v>
      </c>
      <c r="E699" s="32">
        <v>0</v>
      </c>
      <c r="F699" s="32">
        <v>0</v>
      </c>
      <c r="G699" s="32">
        <v>0</v>
      </c>
      <c r="H699" s="32">
        <v>0</v>
      </c>
      <c r="I699" s="32">
        <v>0</v>
      </c>
      <c r="J699" s="32">
        <v>0</v>
      </c>
      <c r="M699" s="68" t="s">
        <v>801</v>
      </c>
      <c r="N699" s="13" t="s">
        <v>879</v>
      </c>
      <c r="O699" s="13" t="s">
        <v>747</v>
      </c>
      <c r="P699" s="13">
        <v>8863</v>
      </c>
      <c r="Q699" s="13">
        <v>0</v>
      </c>
      <c r="R699" s="13">
        <v>0</v>
      </c>
      <c r="S699" s="13">
        <v>0</v>
      </c>
      <c r="T699" s="13">
        <v>0</v>
      </c>
      <c r="U699" s="13">
        <v>0</v>
      </c>
      <c r="V699" s="69">
        <v>0</v>
      </c>
    </row>
    <row r="700" spans="1:22" x14ac:dyDescent="0.25">
      <c r="A700" s="27" t="s">
        <v>809</v>
      </c>
      <c r="B700" s="27" t="s">
        <v>879</v>
      </c>
      <c r="C700" s="27" t="s">
        <v>748</v>
      </c>
      <c r="D700" s="32">
        <f>36731+3+6+2+425+1+1+16+402</f>
        <v>37587</v>
      </c>
      <c r="E700" s="32">
        <f>572+84+11</f>
        <v>667</v>
      </c>
      <c r="F700" s="32">
        <v>0</v>
      </c>
      <c r="G700" s="32">
        <v>0</v>
      </c>
      <c r="H700" s="32">
        <v>0</v>
      </c>
      <c r="I700" s="32">
        <v>0</v>
      </c>
      <c r="J700" s="32">
        <v>0</v>
      </c>
      <c r="M700" s="65" t="s">
        <v>809</v>
      </c>
      <c r="N700" s="66" t="s">
        <v>879</v>
      </c>
      <c r="O700" s="66" t="s">
        <v>748</v>
      </c>
      <c r="P700" s="66">
        <v>37587</v>
      </c>
      <c r="Q700" s="66">
        <v>667</v>
      </c>
      <c r="R700" s="66">
        <v>0</v>
      </c>
      <c r="S700" s="66">
        <v>0</v>
      </c>
      <c r="T700" s="66">
        <v>0</v>
      </c>
      <c r="U700" s="66">
        <v>0</v>
      </c>
      <c r="V700" s="67">
        <v>0</v>
      </c>
    </row>
    <row r="701" spans="1:22" x14ac:dyDescent="0.25">
      <c r="A701" s="27" t="s">
        <v>823</v>
      </c>
      <c r="B701" s="27" t="s">
        <v>879</v>
      </c>
      <c r="C701" s="27" t="s">
        <v>749</v>
      </c>
      <c r="D701" s="32"/>
      <c r="E701" s="32"/>
      <c r="F701" s="32"/>
      <c r="G701" s="32"/>
      <c r="H701" s="32"/>
      <c r="I701" s="32"/>
      <c r="J701" s="32"/>
      <c r="M701" s="68" t="s">
        <v>823</v>
      </c>
      <c r="N701" s="13" t="s">
        <v>879</v>
      </c>
      <c r="O701" s="13" t="s">
        <v>749</v>
      </c>
      <c r="P701" s="13"/>
      <c r="Q701" s="13"/>
      <c r="R701" s="13"/>
      <c r="S701" s="13"/>
      <c r="T701" s="13"/>
      <c r="U701" s="13"/>
      <c r="V701" s="69"/>
    </row>
    <row r="702" spans="1:22" x14ac:dyDescent="0.25">
      <c r="A702" s="27" t="s">
        <v>226</v>
      </c>
      <c r="B702" s="27" t="s">
        <v>879</v>
      </c>
      <c r="C702" s="27" t="s">
        <v>750</v>
      </c>
      <c r="D702" s="32">
        <f>5005+7+10</f>
        <v>5022</v>
      </c>
      <c r="E702" s="32">
        <v>56</v>
      </c>
      <c r="F702" s="32">
        <v>0</v>
      </c>
      <c r="G702" s="32">
        <v>0</v>
      </c>
      <c r="H702" s="32">
        <v>0</v>
      </c>
      <c r="I702" s="32">
        <v>0</v>
      </c>
      <c r="J702" s="32">
        <v>0</v>
      </c>
      <c r="M702" s="65" t="s">
        <v>226</v>
      </c>
      <c r="N702" s="66" t="s">
        <v>879</v>
      </c>
      <c r="O702" s="66" t="s">
        <v>750</v>
      </c>
      <c r="P702" s="66">
        <v>5022</v>
      </c>
      <c r="Q702" s="66">
        <v>56</v>
      </c>
      <c r="R702" s="66">
        <v>0</v>
      </c>
      <c r="S702" s="66">
        <v>0</v>
      </c>
      <c r="T702" s="66">
        <v>0</v>
      </c>
      <c r="U702" s="66">
        <v>0</v>
      </c>
      <c r="V702" s="67">
        <v>0</v>
      </c>
    </row>
    <row r="703" spans="1:22" x14ac:dyDescent="0.25">
      <c r="A703" s="27" t="s">
        <v>864</v>
      </c>
      <c r="B703" s="27" t="s">
        <v>879</v>
      </c>
      <c r="C703" s="27" t="s">
        <v>751</v>
      </c>
      <c r="D703" s="32">
        <f>26012+154+8</f>
        <v>26174</v>
      </c>
      <c r="E703" s="32">
        <f>45+7</f>
        <v>52</v>
      </c>
      <c r="F703" s="32">
        <v>0</v>
      </c>
      <c r="G703" s="32">
        <v>0</v>
      </c>
      <c r="H703" s="32">
        <v>0</v>
      </c>
      <c r="I703" s="32">
        <v>0</v>
      </c>
      <c r="J703" s="32">
        <v>0</v>
      </c>
      <c r="M703" s="68" t="s">
        <v>864</v>
      </c>
      <c r="N703" s="13" t="s">
        <v>879</v>
      </c>
      <c r="O703" s="13" t="s">
        <v>751</v>
      </c>
      <c r="P703" s="13">
        <v>26174</v>
      </c>
      <c r="Q703" s="13">
        <v>52</v>
      </c>
      <c r="R703" s="13">
        <v>0</v>
      </c>
      <c r="S703" s="13">
        <v>0</v>
      </c>
      <c r="T703" s="13">
        <v>0</v>
      </c>
      <c r="U703" s="13">
        <v>0</v>
      </c>
      <c r="V703" s="69">
        <v>0</v>
      </c>
    </row>
    <row r="704" spans="1:22" x14ac:dyDescent="0.25">
      <c r="A704" s="27" t="s">
        <v>797</v>
      </c>
      <c r="B704" s="27" t="s">
        <v>879</v>
      </c>
      <c r="C704" s="27" t="s">
        <v>752</v>
      </c>
      <c r="D704" s="32">
        <f>43861+1+1+18+3+26</f>
        <v>43910</v>
      </c>
      <c r="E704" s="32">
        <f>104+4</f>
        <v>108</v>
      </c>
      <c r="F704" s="32">
        <v>0</v>
      </c>
      <c r="G704" s="32">
        <v>0</v>
      </c>
      <c r="H704" s="32">
        <v>0</v>
      </c>
      <c r="I704" s="32">
        <v>0</v>
      </c>
      <c r="J704" s="32">
        <v>0</v>
      </c>
      <c r="M704" s="65" t="s">
        <v>797</v>
      </c>
      <c r="N704" s="66" t="s">
        <v>879</v>
      </c>
      <c r="O704" s="66" t="s">
        <v>752</v>
      </c>
      <c r="P704" s="66">
        <v>43910</v>
      </c>
      <c r="Q704" s="66">
        <v>108</v>
      </c>
      <c r="R704" s="66">
        <v>0</v>
      </c>
      <c r="S704" s="66">
        <v>0</v>
      </c>
      <c r="T704" s="66">
        <v>0</v>
      </c>
      <c r="U704" s="66">
        <v>0</v>
      </c>
      <c r="V704" s="67">
        <v>0</v>
      </c>
    </row>
    <row r="705" spans="1:22" x14ac:dyDescent="0.25">
      <c r="A705" s="27" t="s">
        <v>69</v>
      </c>
      <c r="B705" s="27" t="s">
        <v>879</v>
      </c>
      <c r="C705" s="27" t="s">
        <v>753</v>
      </c>
      <c r="D705" s="32">
        <f>84660+5+1+2+1+12</f>
        <v>84681</v>
      </c>
      <c r="E705" s="32">
        <f>22+4</f>
        <v>26</v>
      </c>
      <c r="F705" s="32">
        <v>0</v>
      </c>
      <c r="G705" s="32">
        <v>0</v>
      </c>
      <c r="H705" s="32">
        <v>0</v>
      </c>
      <c r="I705" s="32">
        <v>0</v>
      </c>
      <c r="J705" s="32">
        <v>0</v>
      </c>
      <c r="M705" s="68" t="s">
        <v>69</v>
      </c>
      <c r="N705" s="13" t="s">
        <v>879</v>
      </c>
      <c r="O705" s="13" t="s">
        <v>753</v>
      </c>
      <c r="P705" s="13">
        <v>84681</v>
      </c>
      <c r="Q705" s="13">
        <v>26</v>
      </c>
      <c r="R705" s="13">
        <v>0</v>
      </c>
      <c r="S705" s="13">
        <v>0</v>
      </c>
      <c r="T705" s="13">
        <v>0</v>
      </c>
      <c r="U705" s="13">
        <v>0</v>
      </c>
      <c r="V705" s="69">
        <v>0</v>
      </c>
    </row>
    <row r="706" spans="1:22" x14ac:dyDescent="0.25">
      <c r="A706" s="27" t="s">
        <v>824</v>
      </c>
      <c r="B706" s="27" t="s">
        <v>879</v>
      </c>
      <c r="C706" s="27" t="s">
        <v>754</v>
      </c>
      <c r="D706" s="32">
        <f>23030+34</f>
        <v>23064</v>
      </c>
      <c r="E706" s="32">
        <f>85+11</f>
        <v>96</v>
      </c>
      <c r="F706" s="32">
        <v>0</v>
      </c>
      <c r="G706" s="32">
        <v>0</v>
      </c>
      <c r="H706" s="32">
        <v>0</v>
      </c>
      <c r="I706" s="32">
        <v>0</v>
      </c>
      <c r="J706" s="32">
        <v>0</v>
      </c>
      <c r="M706" s="65" t="s">
        <v>824</v>
      </c>
      <c r="N706" s="66" t="s">
        <v>879</v>
      </c>
      <c r="O706" s="66" t="s">
        <v>754</v>
      </c>
      <c r="P706" s="66">
        <v>23064</v>
      </c>
      <c r="Q706" s="66">
        <v>96</v>
      </c>
      <c r="R706" s="66">
        <v>0</v>
      </c>
      <c r="S706" s="66">
        <v>0</v>
      </c>
      <c r="T706" s="66">
        <v>0</v>
      </c>
      <c r="U706" s="66">
        <v>0</v>
      </c>
      <c r="V706" s="67">
        <v>0</v>
      </c>
    </row>
    <row r="707" spans="1:22" x14ac:dyDescent="0.25">
      <c r="A707" s="27" t="s">
        <v>817</v>
      </c>
      <c r="B707" s="27" t="s">
        <v>879</v>
      </c>
      <c r="C707" s="27" t="s">
        <v>755</v>
      </c>
      <c r="D707" s="32">
        <f>79682+1+5+1+172+1+61+4+1+1+65</f>
        <v>79994</v>
      </c>
      <c r="E707" s="32">
        <f>100+1+5+27</f>
        <v>133</v>
      </c>
      <c r="F707" s="32">
        <v>0</v>
      </c>
      <c r="G707" s="32">
        <v>0</v>
      </c>
      <c r="H707" s="32">
        <v>0</v>
      </c>
      <c r="I707" s="32">
        <v>0</v>
      </c>
      <c r="J707" s="32">
        <v>0</v>
      </c>
      <c r="M707" s="68" t="s">
        <v>817</v>
      </c>
      <c r="N707" s="13" t="s">
        <v>879</v>
      </c>
      <c r="O707" s="13" t="s">
        <v>755</v>
      </c>
      <c r="P707" s="13">
        <v>79994</v>
      </c>
      <c r="Q707" s="13">
        <v>133</v>
      </c>
      <c r="R707" s="13">
        <v>0</v>
      </c>
      <c r="S707" s="13">
        <v>0</v>
      </c>
      <c r="T707" s="13">
        <v>0</v>
      </c>
      <c r="U707" s="13">
        <v>0</v>
      </c>
      <c r="V707" s="69">
        <v>0</v>
      </c>
    </row>
    <row r="708" spans="1:22" x14ac:dyDescent="0.25">
      <c r="A708" s="27" t="s">
        <v>794</v>
      </c>
      <c r="B708" s="27" t="s">
        <v>879</v>
      </c>
      <c r="C708" s="27" t="s">
        <v>756</v>
      </c>
      <c r="D708" s="32">
        <f>78783+5+72+1+4</f>
        <v>78865</v>
      </c>
      <c r="E708" s="32">
        <f>434+2+8</f>
        <v>444</v>
      </c>
      <c r="F708" s="32">
        <v>0</v>
      </c>
      <c r="G708" s="32">
        <v>0</v>
      </c>
      <c r="H708" s="32">
        <v>0</v>
      </c>
      <c r="I708" s="32">
        <v>0</v>
      </c>
      <c r="J708" s="32">
        <v>0</v>
      </c>
      <c r="M708" s="65" t="s">
        <v>794</v>
      </c>
      <c r="N708" s="66" t="s">
        <v>879</v>
      </c>
      <c r="O708" s="66" t="s">
        <v>756</v>
      </c>
      <c r="P708" s="66">
        <v>78865</v>
      </c>
      <c r="Q708" s="66">
        <v>444</v>
      </c>
      <c r="R708" s="66">
        <v>0</v>
      </c>
      <c r="S708" s="66">
        <v>0</v>
      </c>
      <c r="T708" s="66">
        <v>0</v>
      </c>
      <c r="U708" s="66">
        <v>0</v>
      </c>
      <c r="V708" s="67">
        <v>0</v>
      </c>
    </row>
    <row r="709" spans="1:22" x14ac:dyDescent="0.25">
      <c r="A709" s="27" t="s">
        <v>10</v>
      </c>
      <c r="B709" s="27" t="s">
        <v>879</v>
      </c>
      <c r="C709" s="27" t="s">
        <v>757</v>
      </c>
      <c r="D709" s="32"/>
      <c r="E709" s="32"/>
      <c r="F709" s="32"/>
      <c r="G709" s="32"/>
      <c r="H709" s="32"/>
      <c r="I709" s="32"/>
      <c r="J709" s="32"/>
      <c r="M709" s="68" t="s">
        <v>10</v>
      </c>
      <c r="N709" s="13" t="s">
        <v>879</v>
      </c>
      <c r="O709" s="13" t="s">
        <v>757</v>
      </c>
      <c r="P709" s="13"/>
      <c r="Q709" s="13"/>
      <c r="R709" s="13"/>
      <c r="S709" s="13"/>
      <c r="T709" s="13"/>
      <c r="U709" s="13"/>
      <c r="V709" s="69"/>
    </row>
    <row r="710" spans="1:22" x14ac:dyDescent="0.25">
      <c r="A710" s="27" t="s">
        <v>788</v>
      </c>
      <c r="B710" s="27" t="s">
        <v>879</v>
      </c>
      <c r="C710" s="27" t="s">
        <v>758</v>
      </c>
      <c r="D710" s="32">
        <f>39239+1111+20</f>
        <v>40370</v>
      </c>
      <c r="E710" s="32">
        <v>1</v>
      </c>
      <c r="F710" s="32">
        <v>0</v>
      </c>
      <c r="G710" s="32">
        <v>0</v>
      </c>
      <c r="H710" s="32">
        <v>0</v>
      </c>
      <c r="I710" s="32">
        <v>0</v>
      </c>
      <c r="J710" s="32">
        <v>0</v>
      </c>
      <c r="M710" s="65" t="s">
        <v>788</v>
      </c>
      <c r="N710" s="66" t="s">
        <v>879</v>
      </c>
      <c r="O710" s="66" t="s">
        <v>758</v>
      </c>
      <c r="P710" s="66">
        <v>40370</v>
      </c>
      <c r="Q710" s="66">
        <v>1</v>
      </c>
      <c r="R710" s="66">
        <v>0</v>
      </c>
      <c r="S710" s="66">
        <v>0</v>
      </c>
      <c r="T710" s="66">
        <v>0</v>
      </c>
      <c r="U710" s="66">
        <v>0</v>
      </c>
      <c r="V710" s="67">
        <v>0</v>
      </c>
    </row>
    <row r="711" spans="1:22" x14ac:dyDescent="0.25">
      <c r="A711" s="27" t="s">
        <v>146</v>
      </c>
      <c r="B711" s="27" t="s">
        <v>879</v>
      </c>
      <c r="C711" s="27" t="s">
        <v>759</v>
      </c>
      <c r="D711" s="32">
        <v>127675</v>
      </c>
      <c r="E711" s="32">
        <v>0</v>
      </c>
      <c r="F711" s="32">
        <v>0</v>
      </c>
      <c r="G711" s="32">
        <v>0</v>
      </c>
      <c r="H711" s="32">
        <v>0</v>
      </c>
      <c r="I711" s="32">
        <v>0</v>
      </c>
      <c r="J711" s="32">
        <v>0</v>
      </c>
      <c r="M711" s="68" t="s">
        <v>146</v>
      </c>
      <c r="N711" s="13" t="s">
        <v>879</v>
      </c>
      <c r="O711" s="13" t="s">
        <v>759</v>
      </c>
      <c r="P711" s="13">
        <v>127675</v>
      </c>
      <c r="Q711" s="13">
        <v>0</v>
      </c>
      <c r="R711" s="13">
        <v>0</v>
      </c>
      <c r="S711" s="13">
        <v>0</v>
      </c>
      <c r="T711" s="13">
        <v>0</v>
      </c>
      <c r="U711" s="13">
        <v>0</v>
      </c>
      <c r="V711" s="69">
        <v>0</v>
      </c>
    </row>
    <row r="712" spans="1:22" x14ac:dyDescent="0.25">
      <c r="A712" s="27" t="s">
        <v>795</v>
      </c>
      <c r="B712" s="27" t="s">
        <v>879</v>
      </c>
      <c r="C712" s="27" t="s">
        <v>760</v>
      </c>
      <c r="D712" s="32">
        <f>100801+2</f>
        <v>100803</v>
      </c>
      <c r="E712" s="32">
        <v>90</v>
      </c>
      <c r="F712" s="32">
        <v>0</v>
      </c>
      <c r="G712" s="32">
        <v>0</v>
      </c>
      <c r="H712" s="32">
        <v>0</v>
      </c>
      <c r="I712" s="32">
        <v>0</v>
      </c>
      <c r="J712" s="32">
        <v>0</v>
      </c>
      <c r="M712" s="65" t="s">
        <v>795</v>
      </c>
      <c r="N712" s="66" t="s">
        <v>879</v>
      </c>
      <c r="O712" s="66" t="s">
        <v>760</v>
      </c>
      <c r="P712" s="66">
        <v>100803</v>
      </c>
      <c r="Q712" s="66">
        <v>90</v>
      </c>
      <c r="R712" s="66">
        <v>0</v>
      </c>
      <c r="S712" s="66">
        <v>0</v>
      </c>
      <c r="T712" s="66">
        <v>0</v>
      </c>
      <c r="U712" s="66">
        <v>0</v>
      </c>
      <c r="V712" s="67">
        <v>0</v>
      </c>
    </row>
    <row r="713" spans="1:22" x14ac:dyDescent="0.25">
      <c r="A713" s="27" t="s">
        <v>248</v>
      </c>
      <c r="B713" s="27" t="s">
        <v>879</v>
      </c>
      <c r="C713" s="27" t="s">
        <v>761</v>
      </c>
      <c r="D713" s="32">
        <f>56496+6+7+40</f>
        <v>56549</v>
      </c>
      <c r="E713" s="32">
        <v>6</v>
      </c>
      <c r="F713" s="32">
        <v>0</v>
      </c>
      <c r="G713" s="32">
        <v>0</v>
      </c>
      <c r="H713" s="32">
        <v>0</v>
      </c>
      <c r="I713" s="32">
        <v>0</v>
      </c>
      <c r="J713" s="32">
        <v>0</v>
      </c>
      <c r="M713" s="68" t="s">
        <v>248</v>
      </c>
      <c r="N713" s="13" t="s">
        <v>879</v>
      </c>
      <c r="O713" s="13" t="s">
        <v>761</v>
      </c>
      <c r="P713" s="13">
        <v>56549</v>
      </c>
      <c r="Q713" s="13">
        <v>6</v>
      </c>
      <c r="R713" s="13">
        <v>0</v>
      </c>
      <c r="S713" s="13">
        <v>0</v>
      </c>
      <c r="T713" s="13">
        <v>0</v>
      </c>
      <c r="U713" s="13">
        <v>0</v>
      </c>
      <c r="V713" s="69">
        <v>0</v>
      </c>
    </row>
    <row r="714" spans="1:22" x14ac:dyDescent="0.25">
      <c r="A714" s="27" t="s">
        <v>796</v>
      </c>
      <c r="B714" s="27" t="s">
        <v>879</v>
      </c>
      <c r="C714" s="27" t="s">
        <v>762</v>
      </c>
      <c r="D714" s="32">
        <f>19916+10+1+1+49+12</f>
        <v>19989</v>
      </c>
      <c r="E714" s="32">
        <f>6+10</f>
        <v>16</v>
      </c>
      <c r="F714" s="32">
        <v>0</v>
      </c>
      <c r="G714" s="32">
        <v>0</v>
      </c>
      <c r="H714" s="32">
        <v>0</v>
      </c>
      <c r="I714" s="32">
        <v>0</v>
      </c>
      <c r="J714" s="32">
        <v>0</v>
      </c>
      <c r="M714" s="65" t="s">
        <v>796</v>
      </c>
      <c r="N714" s="66" t="s">
        <v>879</v>
      </c>
      <c r="O714" s="66" t="s">
        <v>762</v>
      </c>
      <c r="P714" s="66">
        <v>19989</v>
      </c>
      <c r="Q714" s="66">
        <v>16</v>
      </c>
      <c r="R714" s="66">
        <v>0</v>
      </c>
      <c r="S714" s="66">
        <v>0</v>
      </c>
      <c r="T714" s="66">
        <v>0</v>
      </c>
      <c r="U714" s="66">
        <v>0</v>
      </c>
      <c r="V714" s="67">
        <v>0</v>
      </c>
    </row>
    <row r="715" spans="1:22" x14ac:dyDescent="0.25">
      <c r="A715" s="27" t="s">
        <v>890</v>
      </c>
      <c r="B715" s="27" t="s">
        <v>879</v>
      </c>
      <c r="C715" s="27" t="s">
        <v>763</v>
      </c>
      <c r="D715" s="32">
        <f>35360+7+4</f>
        <v>35371</v>
      </c>
      <c r="E715" s="32">
        <f>273+20</f>
        <v>293</v>
      </c>
      <c r="F715" s="32">
        <v>0</v>
      </c>
      <c r="G715" s="32">
        <v>0</v>
      </c>
      <c r="H715" s="32">
        <v>0</v>
      </c>
      <c r="I715" s="32">
        <v>0</v>
      </c>
      <c r="J715" s="32">
        <v>0</v>
      </c>
      <c r="M715" s="68" t="s">
        <v>890</v>
      </c>
      <c r="N715" s="13" t="s">
        <v>879</v>
      </c>
      <c r="O715" s="13" t="s">
        <v>763</v>
      </c>
      <c r="P715" s="13">
        <v>35371</v>
      </c>
      <c r="Q715" s="13">
        <v>293</v>
      </c>
      <c r="R715" s="13">
        <v>0</v>
      </c>
      <c r="S715" s="13">
        <v>0</v>
      </c>
      <c r="T715" s="13">
        <v>0</v>
      </c>
      <c r="U715" s="13">
        <v>0</v>
      </c>
      <c r="V715" s="69">
        <v>0</v>
      </c>
    </row>
    <row r="716" spans="1:22" x14ac:dyDescent="0.25">
      <c r="A716" s="27" t="s">
        <v>248</v>
      </c>
      <c r="B716" s="27" t="s">
        <v>879</v>
      </c>
      <c r="C716" s="27" t="s">
        <v>764</v>
      </c>
      <c r="D716" s="32">
        <f>24786+31+2+27</f>
        <v>24846</v>
      </c>
      <c r="E716" s="32">
        <f>33+2</f>
        <v>35</v>
      </c>
      <c r="F716" s="32">
        <v>0</v>
      </c>
      <c r="G716" s="32">
        <v>0</v>
      </c>
      <c r="H716" s="32">
        <v>0</v>
      </c>
      <c r="I716" s="32">
        <v>0</v>
      </c>
      <c r="J716" s="32">
        <v>0</v>
      </c>
      <c r="M716" s="65" t="s">
        <v>248</v>
      </c>
      <c r="N716" s="66" t="s">
        <v>879</v>
      </c>
      <c r="O716" s="66" t="s">
        <v>764</v>
      </c>
      <c r="P716" s="66">
        <v>24846</v>
      </c>
      <c r="Q716" s="66">
        <v>35</v>
      </c>
      <c r="R716" s="66">
        <v>0</v>
      </c>
      <c r="S716" s="66">
        <v>0</v>
      </c>
      <c r="T716" s="66">
        <v>0</v>
      </c>
      <c r="U716" s="66">
        <v>0</v>
      </c>
      <c r="V716" s="67">
        <v>0</v>
      </c>
    </row>
    <row r="717" spans="1:22" x14ac:dyDescent="0.25">
      <c r="A717" s="27" t="s">
        <v>823</v>
      </c>
      <c r="B717" s="27" t="s">
        <v>879</v>
      </c>
      <c r="C717" s="27" t="s">
        <v>765</v>
      </c>
      <c r="D717" s="32">
        <f>38464+18+4</f>
        <v>38486</v>
      </c>
      <c r="E717" s="32">
        <f>554+1</f>
        <v>555</v>
      </c>
      <c r="F717" s="32">
        <v>0</v>
      </c>
      <c r="G717" s="32">
        <v>0</v>
      </c>
      <c r="H717" s="32">
        <v>0</v>
      </c>
      <c r="I717" s="32">
        <v>0</v>
      </c>
      <c r="J717" s="32">
        <v>0</v>
      </c>
      <c r="M717" s="68" t="s">
        <v>823</v>
      </c>
      <c r="N717" s="13" t="s">
        <v>879</v>
      </c>
      <c r="O717" s="13" t="s">
        <v>765</v>
      </c>
      <c r="P717" s="13">
        <v>38486</v>
      </c>
      <c r="Q717" s="13">
        <v>555</v>
      </c>
      <c r="R717" s="13">
        <v>0</v>
      </c>
      <c r="S717" s="13">
        <v>0</v>
      </c>
      <c r="T717" s="13">
        <v>0</v>
      </c>
      <c r="U717" s="13">
        <v>0</v>
      </c>
      <c r="V717" s="69">
        <v>0</v>
      </c>
    </row>
    <row r="718" spans="1:22" x14ac:dyDescent="0.25">
      <c r="A718" s="27" t="s">
        <v>83</v>
      </c>
      <c r="B718" s="27" t="s">
        <v>879</v>
      </c>
      <c r="C718" s="27" t="s">
        <v>766</v>
      </c>
      <c r="D718" s="32">
        <f>12281+9</f>
        <v>12290</v>
      </c>
      <c r="E718" s="32">
        <v>0</v>
      </c>
      <c r="F718" s="32">
        <v>0</v>
      </c>
      <c r="G718" s="32">
        <v>0</v>
      </c>
      <c r="H718" s="32">
        <v>0</v>
      </c>
      <c r="I718" s="32">
        <v>0</v>
      </c>
      <c r="J718" s="32">
        <v>0</v>
      </c>
      <c r="M718" s="65" t="s">
        <v>83</v>
      </c>
      <c r="N718" s="66" t="s">
        <v>879</v>
      </c>
      <c r="O718" s="66" t="s">
        <v>766</v>
      </c>
      <c r="P718" s="66">
        <v>12290</v>
      </c>
      <c r="Q718" s="66">
        <v>0</v>
      </c>
      <c r="R718" s="66">
        <v>0</v>
      </c>
      <c r="S718" s="66">
        <v>0</v>
      </c>
      <c r="T718" s="66">
        <v>0</v>
      </c>
      <c r="U718" s="66">
        <v>0</v>
      </c>
      <c r="V718" s="67">
        <v>0</v>
      </c>
    </row>
    <row r="719" spans="1:22" x14ac:dyDescent="0.25">
      <c r="A719" s="27" t="s">
        <v>864</v>
      </c>
      <c r="B719" s="27" t="s">
        <v>879</v>
      </c>
      <c r="C719" s="27" t="s">
        <v>767</v>
      </c>
      <c r="D719" s="32">
        <f>33958+1+40+7</f>
        <v>34006</v>
      </c>
      <c r="E719" s="32">
        <f>63+12+16</f>
        <v>91</v>
      </c>
      <c r="F719" s="32">
        <v>0</v>
      </c>
      <c r="G719" s="32">
        <v>0</v>
      </c>
      <c r="H719" s="32">
        <v>0</v>
      </c>
      <c r="I719" s="32">
        <v>0</v>
      </c>
      <c r="J719" s="32">
        <v>0</v>
      </c>
      <c r="M719" s="68" t="s">
        <v>864</v>
      </c>
      <c r="N719" s="13" t="s">
        <v>879</v>
      </c>
      <c r="O719" s="13" t="s">
        <v>767</v>
      </c>
      <c r="P719" s="13">
        <v>34006</v>
      </c>
      <c r="Q719" s="13">
        <v>91</v>
      </c>
      <c r="R719" s="13">
        <v>0</v>
      </c>
      <c r="S719" s="13">
        <v>0</v>
      </c>
      <c r="T719" s="13">
        <v>0</v>
      </c>
      <c r="U719" s="13">
        <v>0</v>
      </c>
      <c r="V719" s="69">
        <v>0</v>
      </c>
    </row>
    <row r="720" spans="1:22" x14ac:dyDescent="0.25">
      <c r="A720" s="27" t="s">
        <v>76</v>
      </c>
      <c r="B720" s="27" t="s">
        <v>879</v>
      </c>
      <c r="C720" s="27" t="s">
        <v>768</v>
      </c>
      <c r="D720" s="32">
        <f>61531+3</f>
        <v>61534</v>
      </c>
      <c r="E720" s="32">
        <f>117+111+3</f>
        <v>231</v>
      </c>
      <c r="F720" s="32">
        <v>0</v>
      </c>
      <c r="G720" s="32">
        <v>0</v>
      </c>
      <c r="H720" s="32">
        <v>0</v>
      </c>
      <c r="I720" s="32">
        <v>0</v>
      </c>
      <c r="J720" s="32">
        <v>0</v>
      </c>
      <c r="M720" s="65" t="s">
        <v>76</v>
      </c>
      <c r="N720" s="66" t="s">
        <v>879</v>
      </c>
      <c r="O720" s="66" t="s">
        <v>768</v>
      </c>
      <c r="P720" s="66">
        <v>61534</v>
      </c>
      <c r="Q720" s="66">
        <v>231</v>
      </c>
      <c r="R720" s="66">
        <v>0</v>
      </c>
      <c r="S720" s="66">
        <v>0</v>
      </c>
      <c r="T720" s="66">
        <v>0</v>
      </c>
      <c r="U720" s="66">
        <v>0</v>
      </c>
      <c r="V720" s="67">
        <v>0</v>
      </c>
    </row>
    <row r="721" spans="1:22" x14ac:dyDescent="0.25">
      <c r="A721" s="27" t="s">
        <v>101</v>
      </c>
      <c r="B721" s="27" t="s">
        <v>879</v>
      </c>
      <c r="C721" s="27" t="s">
        <v>769</v>
      </c>
      <c r="D721" s="32">
        <f>29457+1</f>
        <v>29458</v>
      </c>
      <c r="E721" s="32">
        <v>19</v>
      </c>
      <c r="F721" s="32">
        <v>0</v>
      </c>
      <c r="G721" s="32">
        <v>0</v>
      </c>
      <c r="H721" s="32">
        <v>0</v>
      </c>
      <c r="I721" s="32">
        <v>0</v>
      </c>
      <c r="J721" s="32">
        <v>0</v>
      </c>
      <c r="M721" s="68" t="s">
        <v>101</v>
      </c>
      <c r="N721" s="13" t="s">
        <v>879</v>
      </c>
      <c r="O721" s="13" t="s">
        <v>769</v>
      </c>
      <c r="P721" s="13">
        <v>29458</v>
      </c>
      <c r="Q721" s="13">
        <v>19</v>
      </c>
      <c r="R721" s="13">
        <v>0</v>
      </c>
      <c r="S721" s="13">
        <v>0</v>
      </c>
      <c r="T721" s="13">
        <v>0</v>
      </c>
      <c r="U721" s="13">
        <v>0</v>
      </c>
      <c r="V721" s="69">
        <v>0</v>
      </c>
    </row>
    <row r="722" spans="1:22" x14ac:dyDescent="0.25">
      <c r="A722" s="27" t="s">
        <v>831</v>
      </c>
      <c r="B722" s="27" t="s">
        <v>879</v>
      </c>
      <c r="C722" s="27" t="s">
        <v>770</v>
      </c>
      <c r="D722" s="32">
        <f>11030+3+2+3</f>
        <v>11038</v>
      </c>
      <c r="E722" s="32">
        <f>393+4+68</f>
        <v>465</v>
      </c>
      <c r="F722" s="32">
        <v>0</v>
      </c>
      <c r="G722" s="32">
        <v>0</v>
      </c>
      <c r="H722" s="32">
        <v>0</v>
      </c>
      <c r="I722" s="32">
        <v>0</v>
      </c>
      <c r="J722" s="32">
        <v>0</v>
      </c>
      <c r="M722" s="65" t="s">
        <v>831</v>
      </c>
      <c r="N722" s="66" t="s">
        <v>879</v>
      </c>
      <c r="O722" s="66" t="s">
        <v>770</v>
      </c>
      <c r="P722" s="66">
        <v>11038</v>
      </c>
      <c r="Q722" s="66">
        <v>465</v>
      </c>
      <c r="R722" s="66">
        <v>0</v>
      </c>
      <c r="S722" s="66">
        <v>0</v>
      </c>
      <c r="T722" s="66">
        <v>0</v>
      </c>
      <c r="U722" s="66">
        <v>0</v>
      </c>
      <c r="V722" s="67">
        <v>0</v>
      </c>
    </row>
    <row r="723" spans="1:22" x14ac:dyDescent="0.25">
      <c r="A723" s="27" t="s">
        <v>512</v>
      </c>
      <c r="B723" s="27" t="s">
        <v>879</v>
      </c>
      <c r="C723" s="27" t="s">
        <v>771</v>
      </c>
      <c r="D723" s="32">
        <f>24798+1</f>
        <v>24799</v>
      </c>
      <c r="E723" s="32">
        <v>1</v>
      </c>
      <c r="F723" s="32">
        <v>0</v>
      </c>
      <c r="G723" s="32">
        <v>0</v>
      </c>
      <c r="H723" s="32">
        <v>0</v>
      </c>
      <c r="I723" s="32">
        <v>0</v>
      </c>
      <c r="J723" s="32">
        <v>0</v>
      </c>
      <c r="M723" s="68" t="s">
        <v>512</v>
      </c>
      <c r="N723" s="13" t="s">
        <v>879</v>
      </c>
      <c r="O723" s="13" t="s">
        <v>771</v>
      </c>
      <c r="P723" s="13">
        <v>24799</v>
      </c>
      <c r="Q723" s="13">
        <v>1</v>
      </c>
      <c r="R723" s="13">
        <v>0</v>
      </c>
      <c r="S723" s="13">
        <v>0</v>
      </c>
      <c r="T723" s="13">
        <v>0</v>
      </c>
      <c r="U723" s="13">
        <v>0</v>
      </c>
      <c r="V723" s="69">
        <v>0</v>
      </c>
    </row>
    <row r="724" spans="1:22" x14ac:dyDescent="0.25">
      <c r="A724" s="27" t="s">
        <v>10</v>
      </c>
      <c r="B724" s="27" t="s">
        <v>879</v>
      </c>
      <c r="C724" s="27" t="s">
        <v>772</v>
      </c>
      <c r="D724" s="32"/>
      <c r="E724" s="32"/>
      <c r="F724" s="32"/>
      <c r="G724" s="32"/>
      <c r="H724" s="32"/>
      <c r="I724" s="32"/>
      <c r="J724" s="32"/>
      <c r="M724" s="65" t="s">
        <v>10</v>
      </c>
      <c r="N724" s="66" t="s">
        <v>879</v>
      </c>
      <c r="O724" s="66" t="s">
        <v>772</v>
      </c>
      <c r="P724" s="66"/>
      <c r="Q724" s="66"/>
      <c r="R724" s="66"/>
      <c r="S724" s="66"/>
      <c r="T724" s="66"/>
      <c r="U724" s="66"/>
      <c r="V724" s="67"/>
    </row>
    <row r="725" spans="1:22" x14ac:dyDescent="0.25">
      <c r="A725" s="27" t="s">
        <v>794</v>
      </c>
      <c r="B725" s="27" t="s">
        <v>879</v>
      </c>
      <c r="C725" s="27" t="s">
        <v>773</v>
      </c>
      <c r="D725" s="32">
        <f>54755+11+244+3+133+1+1+18+7</f>
        <v>55173</v>
      </c>
      <c r="E725" s="32">
        <f>117+7+2+12</f>
        <v>138</v>
      </c>
      <c r="F725" s="32">
        <v>0</v>
      </c>
      <c r="G725" s="32">
        <v>0</v>
      </c>
      <c r="H725" s="32">
        <v>0</v>
      </c>
      <c r="I725" s="32">
        <v>0</v>
      </c>
      <c r="J725" s="32">
        <v>0</v>
      </c>
      <c r="M725" s="68" t="s">
        <v>794</v>
      </c>
      <c r="N725" s="13" t="s">
        <v>879</v>
      </c>
      <c r="O725" s="13" t="s">
        <v>773</v>
      </c>
      <c r="P725" s="13">
        <v>55173</v>
      </c>
      <c r="Q725" s="13">
        <v>138</v>
      </c>
      <c r="R725" s="13">
        <v>0</v>
      </c>
      <c r="S725" s="13">
        <v>0</v>
      </c>
      <c r="T725" s="13">
        <v>0</v>
      </c>
      <c r="U725" s="13">
        <v>0</v>
      </c>
      <c r="V725" s="69">
        <v>0</v>
      </c>
    </row>
    <row r="726" spans="1:22" x14ac:dyDescent="0.25">
      <c r="A726" s="27" t="s">
        <v>826</v>
      </c>
      <c r="B726" s="27" t="s">
        <v>879</v>
      </c>
      <c r="C726" s="27" t="s">
        <v>774</v>
      </c>
      <c r="D726" s="32">
        <f>5021+6+5+3</f>
        <v>5035</v>
      </c>
      <c r="E726" s="32">
        <v>755</v>
      </c>
      <c r="F726" s="32">
        <v>0</v>
      </c>
      <c r="G726" s="32">
        <v>0</v>
      </c>
      <c r="H726" s="32">
        <v>0</v>
      </c>
      <c r="I726" s="32">
        <v>0</v>
      </c>
      <c r="J726" s="32">
        <v>0</v>
      </c>
      <c r="M726" s="65" t="s">
        <v>826</v>
      </c>
      <c r="N726" s="66" t="s">
        <v>879</v>
      </c>
      <c r="O726" s="66" t="s">
        <v>774</v>
      </c>
      <c r="P726" s="66">
        <v>5035</v>
      </c>
      <c r="Q726" s="66">
        <v>755</v>
      </c>
      <c r="R726" s="66">
        <v>0</v>
      </c>
      <c r="S726" s="66">
        <v>0</v>
      </c>
      <c r="T726" s="66">
        <v>0</v>
      </c>
      <c r="U726" s="66">
        <v>0</v>
      </c>
      <c r="V726" s="67">
        <v>0</v>
      </c>
    </row>
    <row r="727" spans="1:22" x14ac:dyDescent="0.25">
      <c r="A727" s="27" t="s">
        <v>806</v>
      </c>
      <c r="B727" s="27" t="s">
        <v>877</v>
      </c>
      <c r="C727" s="27" t="s">
        <v>775</v>
      </c>
      <c r="D727" s="32">
        <f>1734+86+2+6+3</f>
        <v>1831</v>
      </c>
      <c r="E727" s="32">
        <v>5</v>
      </c>
      <c r="F727" s="32">
        <v>0</v>
      </c>
      <c r="G727" s="32">
        <f>13134+12+272+27+120+102+84+15+22</f>
        <v>13788</v>
      </c>
      <c r="H727" s="32">
        <f>69+2+28</f>
        <v>99</v>
      </c>
      <c r="I727" s="32">
        <v>0</v>
      </c>
      <c r="J727" s="32">
        <v>0</v>
      </c>
      <c r="M727" s="68" t="s">
        <v>806</v>
      </c>
      <c r="N727" s="13" t="s">
        <v>877</v>
      </c>
      <c r="O727" s="13" t="s">
        <v>775</v>
      </c>
      <c r="P727" s="13">
        <v>1831</v>
      </c>
      <c r="Q727" s="13">
        <v>5</v>
      </c>
      <c r="R727" s="13">
        <v>0</v>
      </c>
      <c r="S727" s="13">
        <v>13788</v>
      </c>
      <c r="T727" s="13">
        <v>99</v>
      </c>
      <c r="U727" s="13">
        <v>0</v>
      </c>
      <c r="V727" s="69">
        <v>0</v>
      </c>
    </row>
    <row r="728" spans="1:22" x14ac:dyDescent="0.25">
      <c r="A728" s="27" t="s">
        <v>823</v>
      </c>
      <c r="B728" s="27" t="s">
        <v>877</v>
      </c>
      <c r="C728" s="27" t="s">
        <v>776</v>
      </c>
      <c r="D728" s="32">
        <v>1374</v>
      </c>
      <c r="E728" s="32">
        <v>0</v>
      </c>
      <c r="F728" s="32">
        <v>0</v>
      </c>
      <c r="G728" s="32">
        <f>4964+13+54</f>
        <v>5031</v>
      </c>
      <c r="H728" s="32">
        <v>44</v>
      </c>
      <c r="I728" s="32">
        <v>0</v>
      </c>
      <c r="J728" s="32">
        <v>0</v>
      </c>
      <c r="M728" s="65" t="s">
        <v>823</v>
      </c>
      <c r="N728" s="66" t="s">
        <v>877</v>
      </c>
      <c r="O728" s="66" t="s">
        <v>776</v>
      </c>
      <c r="P728" s="66">
        <v>1374</v>
      </c>
      <c r="Q728" s="66">
        <v>0</v>
      </c>
      <c r="R728" s="66">
        <v>0</v>
      </c>
      <c r="S728" s="66">
        <v>5031</v>
      </c>
      <c r="T728" s="66">
        <v>44</v>
      </c>
      <c r="U728" s="66">
        <v>0</v>
      </c>
      <c r="V728" s="67">
        <v>0</v>
      </c>
    </row>
    <row r="729" spans="1:22" x14ac:dyDescent="0.25">
      <c r="A729" s="27" t="s">
        <v>791</v>
      </c>
      <c r="B729" s="27" t="s">
        <v>877</v>
      </c>
      <c r="C729" s="27" t="s">
        <v>777</v>
      </c>
      <c r="D729" s="32">
        <f>2440+1345</f>
        <v>3785</v>
      </c>
      <c r="E729" s="32">
        <v>0</v>
      </c>
      <c r="F729" s="32">
        <v>0</v>
      </c>
      <c r="G729" s="32">
        <f>7356+1678</f>
        <v>9034</v>
      </c>
      <c r="H729" s="32">
        <v>2</v>
      </c>
      <c r="I729" s="32">
        <v>0</v>
      </c>
      <c r="J729" s="32">
        <v>0</v>
      </c>
      <c r="M729" s="68" t="s">
        <v>791</v>
      </c>
      <c r="N729" s="13" t="s">
        <v>877</v>
      </c>
      <c r="O729" s="13" t="s">
        <v>777</v>
      </c>
      <c r="P729" s="13">
        <v>3785</v>
      </c>
      <c r="Q729" s="13">
        <v>0</v>
      </c>
      <c r="R729" s="13">
        <v>0</v>
      </c>
      <c r="S729" s="13">
        <v>9034</v>
      </c>
      <c r="T729" s="13">
        <v>2</v>
      </c>
      <c r="U729" s="13">
        <v>0</v>
      </c>
      <c r="V729" s="69">
        <v>0</v>
      </c>
    </row>
  </sheetData>
  <sheetProtection formatCells="0" formatColumns="0" sort="0" autoFilter="0" pivotTables="0"/>
  <phoneticPr fontId="2" type="noConversion"/>
  <conditionalFormatting sqref="A2:J729">
    <cfRule type="expression" dxfId="7" priority="2">
      <formula>A2&lt;&gt;M2</formula>
    </cfRule>
  </conditionalFormatting>
  <conditionalFormatting sqref="M2:V729">
    <cfRule type="expression" dxfId="6" priority="1">
      <formula>M2&lt;&gt;A2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0E511-56C4-45E3-84DC-1622BED3AF49}">
  <sheetPr>
    <tabColor rgb="FF92D050"/>
  </sheetPr>
  <dimension ref="A1:V729"/>
  <sheetViews>
    <sheetView tabSelected="1" zoomScale="90" zoomScaleNormal="90" workbookViewId="0">
      <selection activeCell="P24" sqref="P24"/>
    </sheetView>
  </sheetViews>
  <sheetFormatPr baseColWidth="10" defaultColWidth="11.5703125" defaultRowHeight="15" x14ac:dyDescent="0.25"/>
  <cols>
    <col min="1" max="1" width="12" style="27" bestFit="1" customWidth="1"/>
    <col min="2" max="2" width="9.140625" style="27" bestFit="1" customWidth="1"/>
    <col min="3" max="3" width="14" style="27" bestFit="1" customWidth="1"/>
    <col min="4" max="4" width="12.42578125" style="27" customWidth="1"/>
    <col min="5" max="5" width="12.5703125" style="27" customWidth="1"/>
    <col min="6" max="6" width="9" style="27" customWidth="1"/>
    <col min="7" max="7" width="15.85546875" style="27" customWidth="1"/>
    <col min="8" max="8" width="16" style="27" customWidth="1"/>
    <col min="9" max="10" width="10.140625" style="27" customWidth="1"/>
    <col min="11" max="11" width="18.140625" style="27" bestFit="1" customWidth="1"/>
    <col min="12" max="12" width="11.5703125" style="27"/>
    <col min="13" max="13" width="12" style="27" bestFit="1" customWidth="1"/>
    <col min="14" max="14" width="9.140625" style="27" bestFit="1" customWidth="1"/>
    <col min="15" max="15" width="14" style="27" bestFit="1" customWidth="1"/>
    <col min="16" max="16" width="12.42578125" style="27" bestFit="1" customWidth="1"/>
    <col min="17" max="17" width="12.5703125" style="27" bestFit="1" customWidth="1"/>
    <col min="18" max="18" width="9" style="27" bestFit="1" customWidth="1"/>
    <col min="19" max="19" width="15.85546875" style="27" bestFit="1" customWidth="1"/>
    <col min="20" max="20" width="16" style="27" bestFit="1" customWidth="1"/>
    <col min="21" max="22" width="10.140625" style="27" bestFit="1" customWidth="1"/>
    <col min="23" max="16384" width="11.5703125" style="27"/>
  </cols>
  <sheetData>
    <row r="1" spans="1:22" ht="15" customHeight="1" x14ac:dyDescent="0.25">
      <c r="A1" s="27" t="s">
        <v>0</v>
      </c>
      <c r="B1" s="27" t="s">
        <v>869</v>
      </c>
      <c r="C1" s="27" t="s">
        <v>1</v>
      </c>
      <c r="D1" s="27" t="s">
        <v>2</v>
      </c>
      <c r="E1" s="27" t="s">
        <v>3</v>
      </c>
      <c r="F1" s="27" t="s">
        <v>4</v>
      </c>
      <c r="G1" s="27" t="s">
        <v>5</v>
      </c>
      <c r="H1" s="27" t="s">
        <v>6</v>
      </c>
      <c r="I1" s="27" t="s">
        <v>7</v>
      </c>
      <c r="J1" s="27" t="s">
        <v>8</v>
      </c>
      <c r="K1" s="27" t="s">
        <v>800</v>
      </c>
      <c r="M1" s="27" t="s">
        <v>0</v>
      </c>
      <c r="N1" s="27" t="s">
        <v>869</v>
      </c>
      <c r="O1" s="27" t="s">
        <v>1</v>
      </c>
      <c r="P1" s="27" t="s">
        <v>2</v>
      </c>
      <c r="Q1" s="27" t="s">
        <v>3</v>
      </c>
      <c r="R1" s="27" t="s">
        <v>4</v>
      </c>
      <c r="S1" s="27" t="s">
        <v>5</v>
      </c>
      <c r="T1" s="27" t="s">
        <v>6</v>
      </c>
      <c r="U1" s="27" t="s">
        <v>7</v>
      </c>
      <c r="V1" s="27" t="s">
        <v>8</v>
      </c>
    </row>
    <row r="2" spans="1:22" x14ac:dyDescent="0.25">
      <c r="A2" s="27" t="s">
        <v>811</v>
      </c>
      <c r="B2" s="27" t="s">
        <v>870</v>
      </c>
      <c r="C2" s="27" t="s">
        <v>11</v>
      </c>
      <c r="D2" s="32">
        <v>0</v>
      </c>
      <c r="E2" s="32">
        <v>0</v>
      </c>
      <c r="F2" s="32">
        <v>0</v>
      </c>
      <c r="G2" s="32">
        <v>0</v>
      </c>
      <c r="H2" s="32">
        <v>0</v>
      </c>
      <c r="I2" s="32">
        <v>54096</v>
      </c>
      <c r="J2" s="32">
        <v>0</v>
      </c>
      <c r="K2" s="32"/>
      <c r="M2" s="27" t="s">
        <v>811</v>
      </c>
      <c r="N2" s="27" t="s">
        <v>870</v>
      </c>
      <c r="O2" s="27" t="s">
        <v>11</v>
      </c>
      <c r="P2" s="27">
        <v>0</v>
      </c>
      <c r="Q2" s="27">
        <v>0</v>
      </c>
      <c r="R2" s="27">
        <v>0</v>
      </c>
      <c r="S2" s="27">
        <v>0</v>
      </c>
      <c r="T2" s="27">
        <v>0</v>
      </c>
      <c r="U2" s="27">
        <v>54096</v>
      </c>
      <c r="V2" s="27">
        <v>0</v>
      </c>
    </row>
    <row r="3" spans="1:22" x14ac:dyDescent="0.25">
      <c r="A3" s="27" t="s">
        <v>69</v>
      </c>
      <c r="B3" s="27" t="s">
        <v>870</v>
      </c>
      <c r="C3" s="27" t="s">
        <v>12</v>
      </c>
      <c r="D3" s="32">
        <v>0</v>
      </c>
      <c r="E3" s="32">
        <v>0</v>
      </c>
      <c r="F3" s="32">
        <v>0</v>
      </c>
      <c r="G3" s="32">
        <v>0</v>
      </c>
      <c r="H3" s="32">
        <v>0</v>
      </c>
      <c r="I3" s="32">
        <v>180929</v>
      </c>
      <c r="J3" s="32">
        <v>0</v>
      </c>
      <c r="K3" s="32"/>
      <c r="M3" s="27" t="s">
        <v>69</v>
      </c>
      <c r="N3" s="27" t="s">
        <v>870</v>
      </c>
      <c r="O3" s="27" t="s">
        <v>12</v>
      </c>
      <c r="P3" s="27">
        <v>0</v>
      </c>
      <c r="Q3" s="27">
        <v>0</v>
      </c>
      <c r="R3" s="27">
        <v>0</v>
      </c>
      <c r="S3" s="27">
        <v>0</v>
      </c>
      <c r="T3" s="27">
        <v>0</v>
      </c>
      <c r="U3" s="27">
        <v>180929</v>
      </c>
      <c r="V3" s="27">
        <v>0</v>
      </c>
    </row>
    <row r="4" spans="1:22" x14ac:dyDescent="0.25">
      <c r="A4" s="27" t="s">
        <v>76</v>
      </c>
      <c r="B4" s="27" t="s">
        <v>870</v>
      </c>
      <c r="C4" s="27" t="s">
        <v>13</v>
      </c>
      <c r="D4" s="32">
        <v>0</v>
      </c>
      <c r="E4" s="32">
        <v>0</v>
      </c>
      <c r="F4" s="32">
        <v>0</v>
      </c>
      <c r="G4" s="32">
        <v>0</v>
      </c>
      <c r="H4" s="32">
        <v>0</v>
      </c>
      <c r="I4" s="32">
        <v>18361</v>
      </c>
      <c r="J4" s="32">
        <v>0</v>
      </c>
      <c r="K4" s="32"/>
      <c r="M4" s="27" t="s">
        <v>76</v>
      </c>
      <c r="N4" s="27" t="s">
        <v>870</v>
      </c>
      <c r="O4" s="27" t="s">
        <v>13</v>
      </c>
      <c r="P4" s="27">
        <v>0</v>
      </c>
      <c r="Q4" s="27">
        <v>0</v>
      </c>
      <c r="R4" s="27">
        <v>0</v>
      </c>
      <c r="S4" s="27">
        <v>0</v>
      </c>
      <c r="T4" s="27">
        <v>0</v>
      </c>
      <c r="U4" s="27">
        <v>18361</v>
      </c>
      <c r="V4" s="27">
        <v>0</v>
      </c>
    </row>
    <row r="5" spans="1:22" x14ac:dyDescent="0.25">
      <c r="A5" s="27" t="s">
        <v>811</v>
      </c>
      <c r="B5" s="27" t="s">
        <v>870</v>
      </c>
      <c r="C5" s="27" t="s">
        <v>14</v>
      </c>
      <c r="D5" s="32"/>
      <c r="E5" s="32"/>
      <c r="F5" s="32"/>
      <c r="G5" s="32"/>
      <c r="H5" s="32"/>
      <c r="I5" s="32"/>
      <c r="J5" s="32"/>
      <c r="K5" s="32"/>
      <c r="M5" s="27" t="s">
        <v>811</v>
      </c>
      <c r="N5" s="27" t="s">
        <v>870</v>
      </c>
      <c r="O5" s="27" t="s">
        <v>14</v>
      </c>
    </row>
    <row r="6" spans="1:22" x14ac:dyDescent="0.25">
      <c r="A6" s="27" t="s">
        <v>826</v>
      </c>
      <c r="B6" s="27" t="s">
        <v>870</v>
      </c>
      <c r="C6" s="27" t="s">
        <v>15</v>
      </c>
      <c r="D6" s="32">
        <v>0</v>
      </c>
      <c r="E6" s="32">
        <v>0</v>
      </c>
      <c r="F6" s="32">
        <v>0</v>
      </c>
      <c r="G6" s="32">
        <v>0</v>
      </c>
      <c r="H6" s="32">
        <v>0</v>
      </c>
      <c r="I6" s="32">
        <v>13588</v>
      </c>
      <c r="J6" s="32">
        <v>0</v>
      </c>
      <c r="K6" s="32"/>
      <c r="M6" s="27" t="s">
        <v>826</v>
      </c>
      <c r="N6" s="27" t="s">
        <v>870</v>
      </c>
      <c r="O6" s="27" t="s">
        <v>15</v>
      </c>
      <c r="P6" s="27">
        <v>0</v>
      </c>
      <c r="Q6" s="27">
        <v>0</v>
      </c>
      <c r="R6" s="27">
        <v>0</v>
      </c>
      <c r="S6" s="27">
        <v>0</v>
      </c>
      <c r="T6" s="27">
        <v>0</v>
      </c>
      <c r="U6" s="27">
        <v>13588</v>
      </c>
      <c r="V6" s="27">
        <v>0</v>
      </c>
    </row>
    <row r="7" spans="1:22" x14ac:dyDescent="0.25">
      <c r="A7" s="27" t="s">
        <v>811</v>
      </c>
      <c r="B7" s="27" t="s">
        <v>870</v>
      </c>
      <c r="C7" s="27" t="s">
        <v>16</v>
      </c>
      <c r="D7" s="32">
        <v>0</v>
      </c>
      <c r="E7" s="32">
        <v>0</v>
      </c>
      <c r="F7" s="32">
        <v>0</v>
      </c>
      <c r="G7" s="32">
        <v>0</v>
      </c>
      <c r="H7" s="32">
        <v>0</v>
      </c>
      <c r="I7" s="32">
        <v>10895</v>
      </c>
      <c r="J7" s="32">
        <v>0</v>
      </c>
      <c r="K7" s="32"/>
      <c r="M7" s="27" t="s">
        <v>811</v>
      </c>
      <c r="N7" s="27" t="s">
        <v>870</v>
      </c>
      <c r="O7" s="27" t="s">
        <v>16</v>
      </c>
      <c r="P7" s="27">
        <v>0</v>
      </c>
      <c r="Q7" s="27">
        <v>0</v>
      </c>
      <c r="R7" s="27">
        <v>0</v>
      </c>
      <c r="S7" s="27">
        <v>0</v>
      </c>
      <c r="T7" s="27">
        <v>0</v>
      </c>
      <c r="U7" s="27">
        <v>10895</v>
      </c>
      <c r="V7" s="27">
        <v>0</v>
      </c>
    </row>
    <row r="8" spans="1:22" x14ac:dyDescent="0.25">
      <c r="A8" s="27" t="s">
        <v>83</v>
      </c>
      <c r="B8" s="27" t="s">
        <v>870</v>
      </c>
      <c r="C8" s="27" t="s">
        <v>17</v>
      </c>
      <c r="D8" s="32">
        <v>0</v>
      </c>
      <c r="E8" s="32">
        <v>0</v>
      </c>
      <c r="F8" s="32">
        <v>0</v>
      </c>
      <c r="G8" s="32">
        <v>0</v>
      </c>
      <c r="H8" s="32">
        <v>0</v>
      </c>
      <c r="I8" s="32">
        <v>1058</v>
      </c>
      <c r="J8" s="32">
        <v>0</v>
      </c>
      <c r="K8" s="32"/>
      <c r="M8" s="27" t="s">
        <v>83</v>
      </c>
      <c r="N8" s="27" t="s">
        <v>870</v>
      </c>
      <c r="O8" s="27" t="s">
        <v>17</v>
      </c>
      <c r="P8" s="27">
        <v>0</v>
      </c>
      <c r="Q8" s="27">
        <v>0</v>
      </c>
      <c r="R8" s="27">
        <v>0</v>
      </c>
      <c r="S8" s="27">
        <v>0</v>
      </c>
      <c r="T8" s="27">
        <v>0</v>
      </c>
      <c r="U8" s="27">
        <v>1058</v>
      </c>
      <c r="V8" s="27">
        <v>0</v>
      </c>
    </row>
    <row r="9" spans="1:22" x14ac:dyDescent="0.25">
      <c r="A9" s="27" t="s">
        <v>803</v>
      </c>
      <c r="B9" s="27" t="s">
        <v>870</v>
      </c>
      <c r="C9" s="27" t="s">
        <v>18</v>
      </c>
      <c r="D9" s="32"/>
      <c r="E9" s="32"/>
      <c r="F9" s="32"/>
      <c r="G9" s="32"/>
      <c r="H9" s="32"/>
      <c r="I9" s="32"/>
      <c r="J9" s="32"/>
      <c r="K9" s="32"/>
      <c r="M9" s="27" t="s">
        <v>803</v>
      </c>
      <c r="N9" s="27" t="s">
        <v>870</v>
      </c>
      <c r="O9" s="27" t="s">
        <v>18</v>
      </c>
    </row>
    <row r="10" spans="1:22" x14ac:dyDescent="0.25">
      <c r="A10" s="27" t="s">
        <v>76</v>
      </c>
      <c r="B10" s="27" t="s">
        <v>870</v>
      </c>
      <c r="C10" s="27" t="s">
        <v>19</v>
      </c>
      <c r="D10" s="32">
        <v>0</v>
      </c>
      <c r="E10" s="32">
        <v>0</v>
      </c>
      <c r="F10" s="32">
        <v>0</v>
      </c>
      <c r="G10" s="32">
        <v>0</v>
      </c>
      <c r="H10" s="32">
        <v>0</v>
      </c>
      <c r="I10" s="32">
        <v>37474</v>
      </c>
      <c r="J10" s="32">
        <v>0</v>
      </c>
      <c r="K10" s="32"/>
      <c r="M10" s="27" t="s">
        <v>76</v>
      </c>
      <c r="N10" s="27" t="s">
        <v>870</v>
      </c>
      <c r="O10" s="27" t="s">
        <v>19</v>
      </c>
      <c r="P10" s="27">
        <v>0</v>
      </c>
      <c r="Q10" s="27">
        <v>0</v>
      </c>
      <c r="R10" s="27">
        <v>0</v>
      </c>
      <c r="S10" s="27">
        <v>0</v>
      </c>
      <c r="T10" s="27">
        <v>0</v>
      </c>
      <c r="U10" s="27">
        <v>37474</v>
      </c>
      <c r="V10" s="27">
        <v>0</v>
      </c>
    </row>
    <row r="11" spans="1:22" x14ac:dyDescent="0.25">
      <c r="A11" s="27" t="s">
        <v>83</v>
      </c>
      <c r="B11" s="27" t="s">
        <v>870</v>
      </c>
      <c r="C11" s="27" t="s">
        <v>20</v>
      </c>
      <c r="D11" s="32">
        <v>0</v>
      </c>
      <c r="E11" s="32">
        <v>0</v>
      </c>
      <c r="F11" s="32">
        <v>0</v>
      </c>
      <c r="G11" s="32">
        <v>0</v>
      </c>
      <c r="H11" s="32">
        <v>0</v>
      </c>
      <c r="I11" s="32">
        <v>1123</v>
      </c>
      <c r="J11" s="32">
        <v>0</v>
      </c>
      <c r="K11" s="32"/>
      <c r="M11" s="27" t="s">
        <v>83</v>
      </c>
      <c r="N11" s="27" t="s">
        <v>870</v>
      </c>
      <c r="O11" s="27" t="s">
        <v>20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1123</v>
      </c>
      <c r="V11" s="27">
        <v>0</v>
      </c>
    </row>
    <row r="12" spans="1:22" x14ac:dyDescent="0.25">
      <c r="A12" s="27" t="s">
        <v>101</v>
      </c>
      <c r="B12" s="27" t="s">
        <v>870</v>
      </c>
      <c r="C12" s="27" t="s">
        <v>21</v>
      </c>
      <c r="D12" s="32"/>
      <c r="E12" s="32"/>
      <c r="F12" s="32"/>
      <c r="G12" s="32"/>
      <c r="H12" s="32"/>
      <c r="I12" s="32"/>
      <c r="J12" s="32"/>
      <c r="K12" s="32"/>
      <c r="M12" s="27" t="s">
        <v>101</v>
      </c>
      <c r="N12" s="27" t="s">
        <v>870</v>
      </c>
      <c r="O12" s="27" t="s">
        <v>21</v>
      </c>
    </row>
    <row r="13" spans="1:22" x14ac:dyDescent="0.25">
      <c r="A13" s="27" t="s">
        <v>83</v>
      </c>
      <c r="B13" s="27" t="s">
        <v>870</v>
      </c>
      <c r="C13" s="27" t="s">
        <v>22</v>
      </c>
      <c r="D13" s="32">
        <v>0</v>
      </c>
      <c r="E13" s="32">
        <v>0</v>
      </c>
      <c r="F13" s="32">
        <v>0</v>
      </c>
      <c r="G13" s="32">
        <v>0</v>
      </c>
      <c r="H13" s="32">
        <v>0</v>
      </c>
      <c r="I13" s="32">
        <v>3006</v>
      </c>
      <c r="J13" s="32">
        <v>0</v>
      </c>
      <c r="K13" s="32"/>
      <c r="M13" s="27" t="s">
        <v>83</v>
      </c>
      <c r="N13" s="27" t="s">
        <v>870</v>
      </c>
      <c r="O13" s="27" t="s">
        <v>22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3006</v>
      </c>
      <c r="V13" s="27">
        <v>0</v>
      </c>
    </row>
    <row r="14" spans="1:22" x14ac:dyDescent="0.25">
      <c r="A14" s="27" t="s">
        <v>801</v>
      </c>
      <c r="B14" s="27" t="s">
        <v>870</v>
      </c>
      <c r="C14" s="27" t="s">
        <v>23</v>
      </c>
      <c r="D14" s="32">
        <v>0</v>
      </c>
      <c r="E14" s="32">
        <v>0</v>
      </c>
      <c r="F14" s="32">
        <v>0</v>
      </c>
      <c r="G14" s="32">
        <v>0</v>
      </c>
      <c r="H14" s="32">
        <v>0</v>
      </c>
      <c r="I14" s="32">
        <v>2130</v>
      </c>
      <c r="J14" s="32">
        <v>0</v>
      </c>
      <c r="K14" s="32"/>
      <c r="M14" s="27" t="s">
        <v>801</v>
      </c>
      <c r="N14" s="27" t="s">
        <v>870</v>
      </c>
      <c r="O14" s="27" t="s">
        <v>23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2130</v>
      </c>
      <c r="V14" s="27">
        <v>0</v>
      </c>
    </row>
    <row r="15" spans="1:22" x14ac:dyDescent="0.25">
      <c r="A15" s="27" t="s">
        <v>69</v>
      </c>
      <c r="B15" s="27" t="s">
        <v>870</v>
      </c>
      <c r="C15" s="27" t="s">
        <v>24</v>
      </c>
      <c r="D15" s="32">
        <v>0</v>
      </c>
      <c r="E15" s="32">
        <v>0</v>
      </c>
      <c r="F15" s="32">
        <v>0</v>
      </c>
      <c r="G15" s="32">
        <v>0</v>
      </c>
      <c r="H15" s="32">
        <v>0</v>
      </c>
      <c r="I15" s="32">
        <v>124344</v>
      </c>
      <c r="J15" s="32">
        <v>0</v>
      </c>
      <c r="K15" s="32"/>
      <c r="M15" s="27" t="s">
        <v>69</v>
      </c>
      <c r="N15" s="27" t="s">
        <v>870</v>
      </c>
      <c r="O15" s="27" t="s">
        <v>24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124344</v>
      </c>
      <c r="V15" s="27">
        <v>0</v>
      </c>
    </row>
    <row r="16" spans="1:22" x14ac:dyDescent="0.25">
      <c r="A16" s="27" t="s">
        <v>811</v>
      </c>
      <c r="B16" s="27" t="s">
        <v>870</v>
      </c>
      <c r="C16" s="27" t="s">
        <v>25</v>
      </c>
      <c r="D16" s="32">
        <v>0</v>
      </c>
      <c r="E16" s="32">
        <v>0</v>
      </c>
      <c r="F16" s="32">
        <v>0</v>
      </c>
      <c r="G16" s="32">
        <v>0</v>
      </c>
      <c r="H16" s="32">
        <v>0</v>
      </c>
      <c r="I16" s="32">
        <v>5715</v>
      </c>
      <c r="J16" s="32">
        <v>0</v>
      </c>
      <c r="K16" s="32"/>
      <c r="M16" s="27" t="s">
        <v>811</v>
      </c>
      <c r="N16" s="27" t="s">
        <v>870</v>
      </c>
      <c r="O16" s="27" t="s">
        <v>25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5715</v>
      </c>
      <c r="V16" s="27">
        <v>0</v>
      </c>
    </row>
    <row r="17" spans="1:22" x14ac:dyDescent="0.25">
      <c r="A17" s="27" t="s">
        <v>795</v>
      </c>
      <c r="B17" s="27" t="s">
        <v>871</v>
      </c>
      <c r="C17" s="27" t="s">
        <v>26</v>
      </c>
      <c r="D17" s="32">
        <v>0</v>
      </c>
      <c r="E17" s="32"/>
      <c r="F17" s="32">
        <v>0</v>
      </c>
      <c r="G17" s="32">
        <v>0</v>
      </c>
      <c r="H17" s="32">
        <v>0</v>
      </c>
      <c r="I17" s="32">
        <v>85614</v>
      </c>
      <c r="J17" s="32">
        <v>0</v>
      </c>
      <c r="K17" s="32"/>
      <c r="M17" s="27" t="s">
        <v>795</v>
      </c>
      <c r="N17" s="27" t="s">
        <v>871</v>
      </c>
      <c r="O17" s="27" t="s">
        <v>26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27">
        <v>85614</v>
      </c>
      <c r="V17" s="27">
        <v>0</v>
      </c>
    </row>
    <row r="18" spans="1:22" x14ac:dyDescent="0.25">
      <c r="A18" s="27" t="s">
        <v>849</v>
      </c>
      <c r="B18" s="27" t="s">
        <v>872</v>
      </c>
      <c r="C18" s="27" t="s">
        <v>27</v>
      </c>
      <c r="D18" s="32">
        <f>30472+12+1+483+13+1+5+21908</f>
        <v>52895</v>
      </c>
      <c r="E18" s="32">
        <f>1689+36+46</f>
        <v>1771</v>
      </c>
      <c r="F18" s="32">
        <v>0</v>
      </c>
      <c r="G18" s="32">
        <v>0</v>
      </c>
      <c r="H18" s="32">
        <v>0</v>
      </c>
      <c r="I18" s="32">
        <v>99426</v>
      </c>
      <c r="J18" s="32">
        <v>19165</v>
      </c>
      <c r="K18" s="32"/>
      <c r="M18" s="27" t="s">
        <v>849</v>
      </c>
      <c r="N18" s="27" t="s">
        <v>872</v>
      </c>
      <c r="O18" s="27" t="s">
        <v>27</v>
      </c>
      <c r="P18" s="27">
        <v>52895</v>
      </c>
      <c r="Q18" s="27">
        <v>1771</v>
      </c>
      <c r="R18" s="27">
        <v>0</v>
      </c>
      <c r="S18" s="27">
        <v>0</v>
      </c>
      <c r="T18" s="27">
        <v>0</v>
      </c>
      <c r="U18" s="27">
        <v>99426</v>
      </c>
      <c r="V18" s="27">
        <v>19165</v>
      </c>
    </row>
    <row r="19" spans="1:22" x14ac:dyDescent="0.25">
      <c r="A19" s="27" t="s">
        <v>791</v>
      </c>
      <c r="B19" s="27" t="s">
        <v>872</v>
      </c>
      <c r="C19" s="27" t="s">
        <v>28</v>
      </c>
      <c r="D19" s="32">
        <f>111253+1390+6+42+24148+36</f>
        <v>136875</v>
      </c>
      <c r="E19" s="32">
        <f>64+74</f>
        <v>138</v>
      </c>
      <c r="F19" s="32">
        <v>0</v>
      </c>
      <c r="G19" s="32">
        <v>0</v>
      </c>
      <c r="H19" s="32">
        <v>0</v>
      </c>
      <c r="I19" s="32">
        <v>37955</v>
      </c>
      <c r="J19" s="32">
        <v>20118</v>
      </c>
      <c r="K19" s="32"/>
      <c r="M19" s="27" t="s">
        <v>791</v>
      </c>
      <c r="N19" s="27" t="s">
        <v>872</v>
      </c>
      <c r="O19" s="27" t="s">
        <v>28</v>
      </c>
      <c r="P19" s="27">
        <v>136875</v>
      </c>
      <c r="Q19" s="27">
        <v>138</v>
      </c>
      <c r="R19" s="27">
        <v>0</v>
      </c>
      <c r="S19" s="27">
        <v>0</v>
      </c>
      <c r="T19" s="27">
        <v>0</v>
      </c>
      <c r="U19" s="27">
        <v>37955</v>
      </c>
      <c r="V19" s="27">
        <v>20118</v>
      </c>
    </row>
    <row r="20" spans="1:22" x14ac:dyDescent="0.25">
      <c r="A20" s="27" t="s">
        <v>806</v>
      </c>
      <c r="B20" s="27" t="s">
        <v>872</v>
      </c>
      <c r="C20" s="27" t="s">
        <v>29</v>
      </c>
      <c r="D20" s="32">
        <f>4082+109+9+2+1+1341</f>
        <v>5544</v>
      </c>
      <c r="E20" s="32">
        <v>0</v>
      </c>
      <c r="F20" s="32">
        <v>0</v>
      </c>
      <c r="G20" s="32">
        <v>0</v>
      </c>
      <c r="H20" s="32">
        <v>0</v>
      </c>
      <c r="I20" s="32">
        <v>5570</v>
      </c>
      <c r="J20" s="32">
        <v>892</v>
      </c>
      <c r="K20" s="32"/>
      <c r="M20" s="27" t="s">
        <v>806</v>
      </c>
      <c r="N20" s="27" t="s">
        <v>872</v>
      </c>
      <c r="O20" s="27" t="s">
        <v>29</v>
      </c>
      <c r="P20" s="27">
        <v>5544</v>
      </c>
      <c r="Q20" s="27">
        <v>0</v>
      </c>
      <c r="R20" s="27">
        <v>0</v>
      </c>
      <c r="S20" s="27">
        <v>0</v>
      </c>
      <c r="T20" s="27">
        <v>0</v>
      </c>
      <c r="U20" s="27">
        <v>5570</v>
      </c>
      <c r="V20" s="27">
        <v>892</v>
      </c>
    </row>
    <row r="21" spans="1:22" x14ac:dyDescent="0.25">
      <c r="A21" s="27" t="s">
        <v>817</v>
      </c>
      <c r="B21" s="27" t="s">
        <v>872</v>
      </c>
      <c r="C21" s="32" t="s">
        <v>30</v>
      </c>
      <c r="D21" s="32">
        <f>43827+4234+2+10+16249+752</f>
        <v>65074</v>
      </c>
      <c r="E21" s="32">
        <f>289+156+42</f>
        <v>487</v>
      </c>
      <c r="F21" s="32">
        <v>0</v>
      </c>
      <c r="G21" s="32">
        <v>0</v>
      </c>
      <c r="H21" s="32">
        <v>0</v>
      </c>
      <c r="I21" s="32">
        <v>127960</v>
      </c>
      <c r="J21" s="32">
        <v>14104</v>
      </c>
      <c r="K21" s="32"/>
      <c r="M21" s="27" t="s">
        <v>817</v>
      </c>
      <c r="N21" s="27" t="s">
        <v>872</v>
      </c>
      <c r="O21" s="27" t="s">
        <v>30</v>
      </c>
      <c r="P21" s="27">
        <v>65074</v>
      </c>
      <c r="Q21" s="27">
        <v>487</v>
      </c>
      <c r="R21" s="27">
        <v>0</v>
      </c>
      <c r="S21" s="27">
        <v>0</v>
      </c>
      <c r="T21" s="27">
        <v>0</v>
      </c>
      <c r="U21" s="27">
        <v>127960</v>
      </c>
      <c r="V21" s="27">
        <v>14104</v>
      </c>
    </row>
    <row r="22" spans="1:22" x14ac:dyDescent="0.25">
      <c r="A22" s="27" t="s">
        <v>829</v>
      </c>
      <c r="B22" s="27" t="s">
        <v>872</v>
      </c>
      <c r="C22" s="27" t="s">
        <v>32</v>
      </c>
      <c r="D22" s="32">
        <f>40269+2+8246</f>
        <v>48517</v>
      </c>
      <c r="E22" s="32">
        <f>1+8+19+4</f>
        <v>32</v>
      </c>
      <c r="F22" s="32">
        <v>0</v>
      </c>
      <c r="G22" s="32">
        <v>0</v>
      </c>
      <c r="H22" s="32">
        <v>0</v>
      </c>
      <c r="I22" s="32">
        <v>30878</v>
      </c>
      <c r="J22" s="32">
        <v>7401</v>
      </c>
      <c r="K22" s="32"/>
      <c r="M22" s="27" t="s">
        <v>829</v>
      </c>
      <c r="N22" s="27" t="s">
        <v>872</v>
      </c>
      <c r="O22" s="27" t="s">
        <v>32</v>
      </c>
      <c r="P22" s="27">
        <v>48517</v>
      </c>
      <c r="Q22" s="27">
        <v>32</v>
      </c>
      <c r="R22" s="27">
        <v>0</v>
      </c>
      <c r="S22" s="27">
        <v>0</v>
      </c>
      <c r="T22" s="27">
        <v>0</v>
      </c>
      <c r="U22" s="27">
        <v>30878</v>
      </c>
      <c r="V22" s="27">
        <v>7401</v>
      </c>
    </row>
    <row r="23" spans="1:22" x14ac:dyDescent="0.25">
      <c r="A23" s="27" t="s">
        <v>830</v>
      </c>
      <c r="B23" s="27" t="s">
        <v>872</v>
      </c>
      <c r="C23" s="27" t="s">
        <v>34</v>
      </c>
      <c r="D23" s="32">
        <f>11383+91+2+9182</f>
        <v>20658</v>
      </c>
      <c r="E23" s="32">
        <f>113+21+24</f>
        <v>158</v>
      </c>
      <c r="F23" s="32">
        <v>0</v>
      </c>
      <c r="G23" s="32">
        <v>0</v>
      </c>
      <c r="H23" s="32">
        <v>0</v>
      </c>
      <c r="I23" s="32">
        <v>15630</v>
      </c>
      <c r="J23" s="32">
        <v>7981</v>
      </c>
      <c r="K23" s="32"/>
      <c r="M23" s="27" t="s">
        <v>830</v>
      </c>
      <c r="N23" s="27" t="s">
        <v>872</v>
      </c>
      <c r="O23" s="27" t="s">
        <v>34</v>
      </c>
      <c r="P23" s="27">
        <v>20658</v>
      </c>
      <c r="Q23" s="27">
        <v>158</v>
      </c>
      <c r="R23" s="27">
        <v>0</v>
      </c>
      <c r="S23" s="27">
        <v>0</v>
      </c>
      <c r="T23" s="27">
        <v>0</v>
      </c>
      <c r="U23" s="27">
        <v>15630</v>
      </c>
      <c r="V23" s="27">
        <v>7981</v>
      </c>
    </row>
    <row r="24" spans="1:22" x14ac:dyDescent="0.25">
      <c r="A24" s="27" t="s">
        <v>831</v>
      </c>
      <c r="B24" s="27" t="s">
        <v>872</v>
      </c>
      <c r="C24" s="27" t="s">
        <v>35</v>
      </c>
      <c r="D24" s="32">
        <f>13396+104+2312</f>
        <v>15812</v>
      </c>
      <c r="E24" s="32">
        <v>1</v>
      </c>
      <c r="F24" s="32">
        <v>0</v>
      </c>
      <c r="G24" s="32">
        <v>0</v>
      </c>
      <c r="H24" s="32">
        <v>0</v>
      </c>
      <c r="I24" s="32">
        <v>5439</v>
      </c>
      <c r="J24" s="32">
        <v>1803</v>
      </c>
      <c r="K24" s="32"/>
      <c r="M24" s="27" t="s">
        <v>831</v>
      </c>
      <c r="N24" s="27" t="s">
        <v>872</v>
      </c>
      <c r="O24" s="27" t="s">
        <v>35</v>
      </c>
      <c r="P24" s="27">
        <v>15812</v>
      </c>
      <c r="Q24" s="27">
        <v>1</v>
      </c>
      <c r="R24" s="27">
        <v>0</v>
      </c>
      <c r="S24" s="27">
        <v>0</v>
      </c>
      <c r="T24" s="27">
        <v>0</v>
      </c>
      <c r="U24" s="27">
        <v>5439</v>
      </c>
      <c r="V24" s="27">
        <v>1803</v>
      </c>
    </row>
    <row r="25" spans="1:22" x14ac:dyDescent="0.25">
      <c r="A25" s="27" t="s">
        <v>832</v>
      </c>
      <c r="B25" s="27" t="s">
        <v>872</v>
      </c>
      <c r="C25" s="27" t="s">
        <v>37</v>
      </c>
      <c r="D25" s="32">
        <f>12568+191+2+4993</f>
        <v>17754</v>
      </c>
      <c r="E25" s="32">
        <f>22+23+1</f>
        <v>46</v>
      </c>
      <c r="F25" s="32">
        <v>0</v>
      </c>
      <c r="G25" s="32">
        <v>0</v>
      </c>
      <c r="H25" s="32">
        <v>0</v>
      </c>
      <c r="I25" s="32">
        <v>15349</v>
      </c>
      <c r="J25" s="32">
        <v>4198</v>
      </c>
      <c r="K25" s="32"/>
      <c r="M25" s="27" t="s">
        <v>832</v>
      </c>
      <c r="N25" s="27" t="s">
        <v>872</v>
      </c>
      <c r="O25" s="27" t="s">
        <v>37</v>
      </c>
      <c r="P25" s="27">
        <v>17754</v>
      </c>
      <c r="Q25" s="27">
        <v>46</v>
      </c>
      <c r="R25" s="27">
        <v>0</v>
      </c>
      <c r="S25" s="27">
        <v>0</v>
      </c>
      <c r="T25" s="27">
        <v>0</v>
      </c>
      <c r="U25" s="27">
        <v>15349</v>
      </c>
      <c r="V25" s="27">
        <v>4198</v>
      </c>
    </row>
    <row r="26" spans="1:22" x14ac:dyDescent="0.25">
      <c r="A26" s="27" t="s">
        <v>833</v>
      </c>
      <c r="B26" s="27" t="s">
        <v>872</v>
      </c>
      <c r="C26" s="27" t="s">
        <v>39</v>
      </c>
      <c r="D26" s="32">
        <f>7136+246+12+6452</f>
        <v>13846</v>
      </c>
      <c r="E26" s="32">
        <f>5+9</f>
        <v>14</v>
      </c>
      <c r="F26" s="32">
        <v>0</v>
      </c>
      <c r="G26" s="32">
        <v>0</v>
      </c>
      <c r="H26" s="32">
        <v>0</v>
      </c>
      <c r="I26" s="32">
        <v>23297</v>
      </c>
      <c r="J26" s="32">
        <v>5346</v>
      </c>
      <c r="K26" s="32"/>
      <c r="M26" s="27" t="s">
        <v>833</v>
      </c>
      <c r="N26" s="27" t="s">
        <v>872</v>
      </c>
      <c r="O26" s="27" t="s">
        <v>39</v>
      </c>
      <c r="P26" s="27">
        <v>13846</v>
      </c>
      <c r="Q26" s="27">
        <v>14</v>
      </c>
      <c r="R26" s="27">
        <v>0</v>
      </c>
      <c r="S26" s="27">
        <v>0</v>
      </c>
      <c r="T26" s="27">
        <v>0</v>
      </c>
      <c r="U26" s="27">
        <v>23297</v>
      </c>
      <c r="V26" s="27">
        <v>5346</v>
      </c>
    </row>
    <row r="27" spans="1:22" x14ac:dyDescent="0.25">
      <c r="A27" s="27" t="s">
        <v>834</v>
      </c>
      <c r="B27" s="27" t="s">
        <v>872</v>
      </c>
      <c r="C27" s="27" t="s">
        <v>41</v>
      </c>
      <c r="D27" s="32">
        <f>22744+516+15270+17</f>
        <v>38547</v>
      </c>
      <c r="E27" s="32">
        <f>105+11+48+8</f>
        <v>172</v>
      </c>
      <c r="F27" s="32">
        <v>0</v>
      </c>
      <c r="G27" s="32">
        <v>0</v>
      </c>
      <c r="H27" s="32">
        <v>0</v>
      </c>
      <c r="I27" s="32">
        <v>12933</v>
      </c>
      <c r="J27" s="32">
        <v>9464</v>
      </c>
      <c r="K27" s="32"/>
      <c r="M27" s="27" t="s">
        <v>834</v>
      </c>
      <c r="N27" s="27" t="s">
        <v>872</v>
      </c>
      <c r="O27" s="27" t="s">
        <v>41</v>
      </c>
      <c r="P27" s="27">
        <v>38547</v>
      </c>
      <c r="Q27" s="27">
        <v>172</v>
      </c>
      <c r="R27" s="27">
        <v>0</v>
      </c>
      <c r="S27" s="27">
        <v>0</v>
      </c>
      <c r="T27" s="27">
        <v>0</v>
      </c>
      <c r="U27" s="27">
        <v>12933</v>
      </c>
      <c r="V27" s="27">
        <v>9464</v>
      </c>
    </row>
    <row r="28" spans="1:22" x14ac:dyDescent="0.25">
      <c r="A28" s="27" t="s">
        <v>835</v>
      </c>
      <c r="B28" s="27" t="s">
        <v>872</v>
      </c>
      <c r="C28" s="27" t="s">
        <v>42</v>
      </c>
      <c r="D28" s="32">
        <f>9003+1+16+15+1+1+4623</f>
        <v>13660</v>
      </c>
      <c r="E28" s="32">
        <f>50+10+6</f>
        <v>66</v>
      </c>
      <c r="F28" s="32">
        <v>0</v>
      </c>
      <c r="G28" s="32">
        <v>0</v>
      </c>
      <c r="H28" s="32">
        <v>0</v>
      </c>
      <c r="I28" s="32">
        <v>9207</v>
      </c>
      <c r="J28" s="32">
        <v>3634</v>
      </c>
      <c r="K28" s="32"/>
      <c r="M28" s="27" t="s">
        <v>835</v>
      </c>
      <c r="N28" s="27" t="s">
        <v>872</v>
      </c>
      <c r="O28" s="27" t="s">
        <v>42</v>
      </c>
      <c r="P28" s="27">
        <v>13660</v>
      </c>
      <c r="Q28" s="27">
        <v>66</v>
      </c>
      <c r="R28" s="27">
        <v>0</v>
      </c>
      <c r="S28" s="27">
        <v>0</v>
      </c>
      <c r="T28" s="27">
        <v>0</v>
      </c>
      <c r="U28" s="27">
        <v>9207</v>
      </c>
      <c r="V28" s="27">
        <v>3634</v>
      </c>
    </row>
    <row r="29" spans="1:22" x14ac:dyDescent="0.25">
      <c r="A29" s="27" t="s">
        <v>836</v>
      </c>
      <c r="B29" s="27" t="s">
        <v>872</v>
      </c>
      <c r="C29" s="27" t="s">
        <v>44</v>
      </c>
      <c r="D29" s="32">
        <f>18751+3351+3+230+10+1+16146+2538</f>
        <v>41030</v>
      </c>
      <c r="E29" s="32">
        <f>15+14+16+4+4</f>
        <v>53</v>
      </c>
      <c r="F29" s="32">
        <v>0</v>
      </c>
      <c r="G29" s="32">
        <v>0</v>
      </c>
      <c r="H29" s="32">
        <v>0</v>
      </c>
      <c r="I29" s="32">
        <v>22607</v>
      </c>
      <c r="J29" s="32">
        <v>13560</v>
      </c>
      <c r="K29" s="32"/>
      <c r="M29" s="27" t="s">
        <v>836</v>
      </c>
      <c r="N29" s="27" t="s">
        <v>872</v>
      </c>
      <c r="O29" s="27" t="s">
        <v>44</v>
      </c>
      <c r="P29" s="27">
        <v>41030</v>
      </c>
      <c r="Q29" s="27">
        <v>53</v>
      </c>
      <c r="R29" s="27">
        <v>0</v>
      </c>
      <c r="S29" s="27">
        <v>0</v>
      </c>
      <c r="T29" s="27">
        <v>0</v>
      </c>
      <c r="U29" s="27">
        <v>22607</v>
      </c>
      <c r="V29" s="27">
        <v>13560</v>
      </c>
    </row>
    <row r="30" spans="1:22" x14ac:dyDescent="0.25">
      <c r="A30" s="27" t="s">
        <v>837</v>
      </c>
      <c r="B30" s="27" t="s">
        <v>872</v>
      </c>
      <c r="C30" s="27" t="s">
        <v>46</v>
      </c>
      <c r="D30" s="32">
        <f>13292+7679</f>
        <v>20971</v>
      </c>
      <c r="E30" s="32">
        <v>90</v>
      </c>
      <c r="F30" s="32">
        <v>0</v>
      </c>
      <c r="G30" s="32">
        <v>0</v>
      </c>
      <c r="H30" s="32">
        <v>0</v>
      </c>
      <c r="I30" s="32">
        <v>20202</v>
      </c>
      <c r="J30" s="32">
        <v>4947</v>
      </c>
      <c r="K30" s="32"/>
      <c r="M30" s="27" t="s">
        <v>837</v>
      </c>
      <c r="N30" s="27" t="s">
        <v>872</v>
      </c>
      <c r="O30" s="27" t="s">
        <v>46</v>
      </c>
      <c r="P30" s="27">
        <v>32990</v>
      </c>
      <c r="Q30" s="27">
        <v>420</v>
      </c>
      <c r="R30" s="27">
        <v>0</v>
      </c>
      <c r="S30" s="27">
        <v>0</v>
      </c>
      <c r="T30" s="27">
        <v>0</v>
      </c>
      <c r="U30" s="27">
        <v>20202</v>
      </c>
      <c r="V30" s="27">
        <v>4947</v>
      </c>
    </row>
    <row r="31" spans="1:22" x14ac:dyDescent="0.25">
      <c r="A31" s="27" t="s">
        <v>838</v>
      </c>
      <c r="B31" s="27" t="s">
        <v>872</v>
      </c>
      <c r="C31" s="27" t="s">
        <v>48</v>
      </c>
      <c r="D31" s="32">
        <f>25185+2+35+3+3+17+16846+1+1+1</f>
        <v>42094</v>
      </c>
      <c r="E31" s="32">
        <f>21+2+5+25</f>
        <v>53</v>
      </c>
      <c r="F31" s="32">
        <v>0</v>
      </c>
      <c r="G31" s="32">
        <v>0</v>
      </c>
      <c r="H31" s="32">
        <v>0</v>
      </c>
      <c r="I31" s="32">
        <v>25392</v>
      </c>
      <c r="J31" s="32">
        <v>14038</v>
      </c>
      <c r="K31" s="32"/>
      <c r="M31" s="27" t="s">
        <v>838</v>
      </c>
      <c r="N31" s="27" t="s">
        <v>872</v>
      </c>
      <c r="O31" s="27" t="s">
        <v>48</v>
      </c>
      <c r="P31" s="27">
        <v>42094</v>
      </c>
      <c r="Q31" s="27">
        <v>53</v>
      </c>
      <c r="R31" s="27">
        <v>0</v>
      </c>
      <c r="S31" s="27">
        <v>0</v>
      </c>
      <c r="T31" s="27">
        <v>0</v>
      </c>
      <c r="U31" s="27">
        <v>25392</v>
      </c>
      <c r="V31" s="27">
        <v>14038</v>
      </c>
    </row>
    <row r="32" spans="1:22" x14ac:dyDescent="0.25">
      <c r="A32" s="27" t="s">
        <v>10</v>
      </c>
      <c r="B32" s="27" t="s">
        <v>872</v>
      </c>
      <c r="C32" s="27" t="s">
        <v>49</v>
      </c>
      <c r="D32" s="32"/>
      <c r="E32" s="32"/>
      <c r="F32" s="32"/>
      <c r="G32" s="32"/>
      <c r="H32" s="32"/>
      <c r="I32" s="32"/>
      <c r="J32" s="32"/>
      <c r="K32" s="32"/>
      <c r="M32" s="27" t="s">
        <v>10</v>
      </c>
      <c r="N32" s="27" t="s">
        <v>872</v>
      </c>
      <c r="O32" s="27" t="s">
        <v>49</v>
      </c>
    </row>
    <row r="33" spans="1:22" x14ac:dyDescent="0.25">
      <c r="A33" s="27" t="s">
        <v>840</v>
      </c>
      <c r="B33" s="27" t="s">
        <v>872</v>
      </c>
      <c r="C33" s="27" t="s">
        <v>51</v>
      </c>
      <c r="D33" s="32">
        <f>374+13473</f>
        <v>13847</v>
      </c>
      <c r="E33" s="32">
        <v>31</v>
      </c>
      <c r="F33" s="32">
        <v>0</v>
      </c>
      <c r="G33" s="32">
        <v>0</v>
      </c>
      <c r="H33" s="32">
        <v>0</v>
      </c>
      <c r="I33" s="32">
        <v>4580</v>
      </c>
      <c r="J33" s="32">
        <v>5615</v>
      </c>
      <c r="K33" s="32"/>
      <c r="M33" s="27" t="s">
        <v>840</v>
      </c>
      <c r="N33" s="27" t="s">
        <v>872</v>
      </c>
      <c r="O33" s="27" t="s">
        <v>51</v>
      </c>
      <c r="P33" s="27">
        <v>13847</v>
      </c>
      <c r="Q33" s="27">
        <v>31</v>
      </c>
      <c r="R33" s="27">
        <v>0</v>
      </c>
      <c r="S33" s="27">
        <v>0</v>
      </c>
      <c r="T33" s="27">
        <v>0</v>
      </c>
      <c r="U33" s="27">
        <v>4580</v>
      </c>
      <c r="V33" s="27">
        <v>5615</v>
      </c>
    </row>
    <row r="34" spans="1:22" x14ac:dyDescent="0.25">
      <c r="A34" s="27" t="s">
        <v>841</v>
      </c>
      <c r="B34" s="27" t="s">
        <v>872</v>
      </c>
      <c r="C34" s="27" t="s">
        <v>53</v>
      </c>
      <c r="D34" s="32">
        <f>16829+1184+21767+1367</f>
        <v>41147</v>
      </c>
      <c r="E34" s="32">
        <v>0</v>
      </c>
      <c r="F34" s="32">
        <v>0</v>
      </c>
      <c r="G34" s="32">
        <v>0</v>
      </c>
      <c r="H34" s="32">
        <v>0</v>
      </c>
      <c r="I34" s="32">
        <v>16024</v>
      </c>
      <c r="J34" s="32">
        <v>18519</v>
      </c>
      <c r="K34" s="32"/>
      <c r="M34" s="27" t="s">
        <v>841</v>
      </c>
      <c r="N34" s="27" t="s">
        <v>872</v>
      </c>
      <c r="O34" s="27" t="s">
        <v>53</v>
      </c>
      <c r="P34" s="27">
        <v>41147</v>
      </c>
      <c r="Q34" s="27">
        <v>0</v>
      </c>
      <c r="R34" s="27">
        <v>0</v>
      </c>
      <c r="S34" s="27">
        <v>0</v>
      </c>
      <c r="T34" s="27">
        <v>0</v>
      </c>
      <c r="U34" s="27">
        <v>16024</v>
      </c>
      <c r="V34" s="27">
        <v>18519</v>
      </c>
    </row>
    <row r="35" spans="1:22" x14ac:dyDescent="0.25">
      <c r="A35" s="27" t="s">
        <v>842</v>
      </c>
      <c r="B35" s="27" t="s">
        <v>872</v>
      </c>
      <c r="C35" s="27" t="s">
        <v>55</v>
      </c>
      <c r="D35" s="32">
        <f>18447+11024</f>
        <v>29471</v>
      </c>
      <c r="E35" s="32">
        <f>11+1+320+28+1+24</f>
        <v>385</v>
      </c>
      <c r="F35" s="32">
        <v>0</v>
      </c>
      <c r="G35" s="32">
        <v>0</v>
      </c>
      <c r="H35" s="32">
        <v>0</v>
      </c>
      <c r="I35" s="32">
        <v>24420</v>
      </c>
      <c r="J35" s="32">
        <v>8804</v>
      </c>
      <c r="K35" s="32"/>
      <c r="M35" s="27" t="s">
        <v>842</v>
      </c>
      <c r="N35" s="27" t="s">
        <v>872</v>
      </c>
      <c r="O35" s="27" t="s">
        <v>55</v>
      </c>
      <c r="P35" s="27">
        <v>29471</v>
      </c>
      <c r="Q35" s="27">
        <v>385</v>
      </c>
      <c r="R35" s="27">
        <v>0</v>
      </c>
      <c r="S35" s="27">
        <v>0</v>
      </c>
      <c r="T35" s="27">
        <v>0</v>
      </c>
      <c r="U35" s="27">
        <v>24420</v>
      </c>
      <c r="V35" s="27">
        <v>8804</v>
      </c>
    </row>
    <row r="36" spans="1:22" x14ac:dyDescent="0.25">
      <c r="A36" s="27" t="s">
        <v>788</v>
      </c>
      <c r="B36" s="27" t="s">
        <v>872</v>
      </c>
      <c r="C36" s="27" t="s">
        <v>56</v>
      </c>
      <c r="D36" s="32">
        <f>63337+1+4+1+2+6+32570</f>
        <v>95921</v>
      </c>
      <c r="E36" s="32">
        <f>111+85+3</f>
        <v>199</v>
      </c>
      <c r="F36" s="32">
        <v>0</v>
      </c>
      <c r="G36" s="32">
        <v>0</v>
      </c>
      <c r="H36" s="32">
        <v>0</v>
      </c>
      <c r="I36" s="32">
        <v>19734</v>
      </c>
      <c r="J36" s="32">
        <v>25114</v>
      </c>
      <c r="K36" s="32"/>
      <c r="M36" s="27" t="s">
        <v>788</v>
      </c>
      <c r="N36" s="27" t="s">
        <v>872</v>
      </c>
      <c r="O36" s="27" t="s">
        <v>56</v>
      </c>
      <c r="P36" s="27">
        <v>95921</v>
      </c>
      <c r="Q36" s="27">
        <v>199</v>
      </c>
      <c r="R36" s="27">
        <v>0</v>
      </c>
      <c r="S36" s="27">
        <v>0</v>
      </c>
      <c r="T36" s="27">
        <v>0</v>
      </c>
      <c r="U36" s="27">
        <v>19734</v>
      </c>
      <c r="V36" s="27">
        <v>25114</v>
      </c>
    </row>
    <row r="37" spans="1:22" x14ac:dyDescent="0.25">
      <c r="A37" s="27" t="s">
        <v>495</v>
      </c>
      <c r="B37" s="27" t="s">
        <v>872</v>
      </c>
      <c r="C37" s="27" t="s">
        <v>57</v>
      </c>
      <c r="D37" s="32">
        <f>42217+4106+3+2+1+3005</f>
        <v>49334</v>
      </c>
      <c r="E37" s="32">
        <v>33</v>
      </c>
      <c r="F37" s="32">
        <v>0</v>
      </c>
      <c r="G37" s="32">
        <v>0</v>
      </c>
      <c r="H37" s="32">
        <v>0</v>
      </c>
      <c r="I37" s="32">
        <v>7699</v>
      </c>
      <c r="J37" s="32">
        <v>2494</v>
      </c>
      <c r="K37" s="32"/>
      <c r="M37" s="27" t="s">
        <v>495</v>
      </c>
      <c r="N37" s="27" t="s">
        <v>872</v>
      </c>
      <c r="O37" s="27" t="s">
        <v>57</v>
      </c>
      <c r="P37" s="27">
        <v>49334</v>
      </c>
      <c r="Q37" s="27">
        <v>33</v>
      </c>
      <c r="R37" s="27">
        <v>0</v>
      </c>
      <c r="S37" s="27">
        <v>0</v>
      </c>
      <c r="T37" s="27">
        <v>0</v>
      </c>
      <c r="U37" s="27">
        <v>7699</v>
      </c>
      <c r="V37" s="27">
        <v>2494</v>
      </c>
    </row>
    <row r="38" spans="1:22" x14ac:dyDescent="0.25">
      <c r="A38" s="27" t="s">
        <v>248</v>
      </c>
      <c r="B38" s="27" t="s">
        <v>872</v>
      </c>
      <c r="C38" s="27" t="s">
        <v>58</v>
      </c>
      <c r="D38" s="32">
        <f>45178+219+257+96+13026</f>
        <v>58776</v>
      </c>
      <c r="E38" s="32">
        <f>433+96+2+13+6</f>
        <v>550</v>
      </c>
      <c r="F38" s="32">
        <v>0</v>
      </c>
      <c r="G38" s="32">
        <v>0</v>
      </c>
      <c r="H38" s="32">
        <v>0</v>
      </c>
      <c r="I38" s="32">
        <v>67267</v>
      </c>
      <c r="J38" s="32">
        <v>9917</v>
      </c>
      <c r="K38" s="32"/>
      <c r="M38" s="27" t="s">
        <v>248</v>
      </c>
      <c r="N38" s="27" t="s">
        <v>872</v>
      </c>
      <c r="O38" s="27" t="s">
        <v>58</v>
      </c>
      <c r="P38" s="27">
        <v>58776</v>
      </c>
      <c r="Q38" s="27">
        <v>550</v>
      </c>
      <c r="R38" s="27">
        <v>0</v>
      </c>
      <c r="S38" s="27">
        <v>0</v>
      </c>
      <c r="T38" s="27">
        <v>0</v>
      </c>
      <c r="U38" s="27">
        <v>67267</v>
      </c>
      <c r="V38" s="27">
        <v>9917</v>
      </c>
    </row>
    <row r="39" spans="1:22" x14ac:dyDescent="0.25">
      <c r="A39" s="27" t="s">
        <v>843</v>
      </c>
      <c r="B39" s="27" t="s">
        <v>872</v>
      </c>
      <c r="C39" s="27" t="s">
        <v>60</v>
      </c>
      <c r="D39" s="32">
        <f>11021+6385</f>
        <v>17406</v>
      </c>
      <c r="E39" s="32">
        <v>0</v>
      </c>
      <c r="F39" s="32">
        <v>0</v>
      </c>
      <c r="G39" s="32">
        <v>0</v>
      </c>
      <c r="H39" s="32">
        <v>0</v>
      </c>
      <c r="I39" s="32">
        <v>17231</v>
      </c>
      <c r="J39" s="32">
        <v>5078</v>
      </c>
      <c r="K39" s="32"/>
      <c r="M39" s="27" t="s">
        <v>843</v>
      </c>
      <c r="N39" s="27" t="s">
        <v>872</v>
      </c>
      <c r="O39" s="27" t="s">
        <v>60</v>
      </c>
      <c r="P39" s="27">
        <v>17406</v>
      </c>
      <c r="Q39" s="27">
        <v>0</v>
      </c>
      <c r="R39" s="27">
        <v>0</v>
      </c>
      <c r="S39" s="27">
        <v>0</v>
      </c>
      <c r="T39" s="27">
        <v>0</v>
      </c>
      <c r="U39" s="27">
        <v>17231</v>
      </c>
      <c r="V39" s="27">
        <v>5078</v>
      </c>
    </row>
    <row r="40" spans="1:22" x14ac:dyDescent="0.25">
      <c r="A40" s="27" t="s">
        <v>844</v>
      </c>
      <c r="B40" s="27" t="s">
        <v>872</v>
      </c>
      <c r="C40" s="27" t="s">
        <v>62</v>
      </c>
      <c r="D40" s="32">
        <f>12101+354+15+7345</f>
        <v>19815</v>
      </c>
      <c r="E40" s="32">
        <f>11+13+4</f>
        <v>28</v>
      </c>
      <c r="F40" s="32">
        <v>0</v>
      </c>
      <c r="G40" s="32">
        <v>0</v>
      </c>
      <c r="H40" s="32">
        <v>0</v>
      </c>
      <c r="I40" s="32">
        <v>12961</v>
      </c>
      <c r="J40" s="32">
        <v>5342</v>
      </c>
      <c r="K40" s="32"/>
      <c r="M40" s="27" t="s">
        <v>844</v>
      </c>
      <c r="N40" s="27" t="s">
        <v>872</v>
      </c>
      <c r="O40" s="27" t="s">
        <v>62</v>
      </c>
      <c r="P40" s="27">
        <v>19815</v>
      </c>
      <c r="Q40" s="27">
        <v>28</v>
      </c>
      <c r="R40" s="27">
        <v>0</v>
      </c>
      <c r="S40" s="27">
        <v>0</v>
      </c>
      <c r="T40" s="27">
        <v>0</v>
      </c>
      <c r="U40" s="27">
        <v>12961</v>
      </c>
      <c r="V40" s="27">
        <v>5345</v>
      </c>
    </row>
    <row r="41" spans="1:22" x14ac:dyDescent="0.25">
      <c r="A41" s="27" t="s">
        <v>845</v>
      </c>
      <c r="B41" s="27" t="s">
        <v>872</v>
      </c>
      <c r="C41" s="27" t="s">
        <v>63</v>
      </c>
      <c r="D41" s="32">
        <f>41477+1+5+1042+3+18+22+57+37+17+1+16917</f>
        <v>59597</v>
      </c>
      <c r="E41" s="32">
        <f>47+5+87+149+49+5+24</f>
        <v>366</v>
      </c>
      <c r="F41" s="32">
        <v>0</v>
      </c>
      <c r="G41" s="32">
        <v>0</v>
      </c>
      <c r="H41" s="32">
        <v>0</v>
      </c>
      <c r="I41" s="32">
        <v>31644</v>
      </c>
      <c r="J41" s="32">
        <v>11735</v>
      </c>
      <c r="K41" s="32"/>
      <c r="M41" s="27" t="s">
        <v>845</v>
      </c>
      <c r="N41" s="27" t="s">
        <v>872</v>
      </c>
      <c r="O41" s="27" t="s">
        <v>63</v>
      </c>
      <c r="P41" s="27">
        <v>59597</v>
      </c>
      <c r="Q41" s="27">
        <v>366</v>
      </c>
      <c r="R41" s="27">
        <v>0</v>
      </c>
      <c r="S41" s="27">
        <v>0</v>
      </c>
      <c r="T41" s="27">
        <v>0</v>
      </c>
      <c r="U41" s="27">
        <v>31644</v>
      </c>
      <c r="V41" s="27">
        <v>11735</v>
      </c>
    </row>
    <row r="42" spans="1:22" x14ac:dyDescent="0.25">
      <c r="A42" s="27" t="s">
        <v>846</v>
      </c>
      <c r="B42" s="27" t="s">
        <v>872</v>
      </c>
      <c r="C42" s="27" t="s">
        <v>64</v>
      </c>
      <c r="D42" s="32">
        <f>9495+4983</f>
        <v>14478</v>
      </c>
      <c r="E42" s="32">
        <v>0</v>
      </c>
      <c r="F42" s="32">
        <v>0</v>
      </c>
      <c r="G42" s="32">
        <v>0</v>
      </c>
      <c r="H42" s="32">
        <v>0</v>
      </c>
      <c r="I42" s="32">
        <v>23743</v>
      </c>
      <c r="J42" s="32">
        <v>4072</v>
      </c>
      <c r="K42" s="32"/>
      <c r="M42" s="27" t="s">
        <v>846</v>
      </c>
      <c r="N42" s="27" t="s">
        <v>872</v>
      </c>
      <c r="O42" s="27" t="s">
        <v>64</v>
      </c>
      <c r="P42" s="27">
        <v>14478</v>
      </c>
      <c r="Q42" s="27">
        <v>0</v>
      </c>
      <c r="R42" s="27">
        <v>0</v>
      </c>
      <c r="S42" s="27">
        <v>0</v>
      </c>
      <c r="T42" s="27">
        <v>0</v>
      </c>
      <c r="U42" s="27">
        <v>23743</v>
      </c>
      <c r="V42" s="27">
        <v>4072</v>
      </c>
    </row>
    <row r="43" spans="1:22" x14ac:dyDescent="0.25">
      <c r="A43" s="27" t="s">
        <v>788</v>
      </c>
      <c r="B43" s="27" t="s">
        <v>872</v>
      </c>
      <c r="C43" s="27" t="s">
        <v>65</v>
      </c>
      <c r="D43" s="32">
        <f>26703+18+2+2+18816+1</f>
        <v>45542</v>
      </c>
      <c r="E43" s="32">
        <f>128+2+14+15</f>
        <v>159</v>
      </c>
      <c r="F43" s="32">
        <v>0</v>
      </c>
      <c r="G43" s="32">
        <v>0</v>
      </c>
      <c r="H43" s="32">
        <v>0</v>
      </c>
      <c r="I43" s="32">
        <v>45701</v>
      </c>
      <c r="J43" s="32">
        <v>16302</v>
      </c>
      <c r="K43" s="32"/>
      <c r="M43" s="27" t="s">
        <v>788</v>
      </c>
      <c r="N43" s="27" t="s">
        <v>872</v>
      </c>
      <c r="O43" s="27" t="s">
        <v>65</v>
      </c>
      <c r="P43" s="27">
        <v>45542</v>
      </c>
      <c r="Q43" s="27">
        <v>159</v>
      </c>
      <c r="R43" s="27">
        <v>0</v>
      </c>
      <c r="S43" s="27">
        <v>0</v>
      </c>
      <c r="T43" s="27">
        <v>0</v>
      </c>
      <c r="U43" s="27">
        <v>45701</v>
      </c>
      <c r="V43" s="27">
        <v>16302</v>
      </c>
    </row>
    <row r="44" spans="1:22" x14ac:dyDescent="0.25">
      <c r="A44" s="27" t="s">
        <v>76</v>
      </c>
      <c r="B44" s="27" t="s">
        <v>872</v>
      </c>
      <c r="C44" s="27" t="s">
        <v>66</v>
      </c>
      <c r="D44" s="32">
        <f>16726+112+10+141+2+16+10181</f>
        <v>27188</v>
      </c>
      <c r="E44" s="32">
        <f>100+1+2+40+12+1</f>
        <v>156</v>
      </c>
      <c r="F44" s="32">
        <v>0</v>
      </c>
      <c r="G44" s="32">
        <v>0</v>
      </c>
      <c r="H44" s="32">
        <v>0</v>
      </c>
      <c r="I44" s="32">
        <v>4563</v>
      </c>
      <c r="J44" s="32">
        <v>6872</v>
      </c>
      <c r="K44" s="32"/>
      <c r="M44" s="27" t="s">
        <v>76</v>
      </c>
      <c r="N44" s="27" t="s">
        <v>872</v>
      </c>
      <c r="O44" s="27" t="s">
        <v>66</v>
      </c>
      <c r="P44" s="27">
        <v>27188</v>
      </c>
      <c r="Q44" s="27">
        <v>156</v>
      </c>
      <c r="R44" s="27">
        <v>0</v>
      </c>
      <c r="S44" s="27">
        <v>0</v>
      </c>
      <c r="T44" s="27">
        <v>0</v>
      </c>
      <c r="U44" s="27">
        <v>4563</v>
      </c>
      <c r="V44" s="27">
        <v>6872</v>
      </c>
    </row>
    <row r="45" spans="1:22" x14ac:dyDescent="0.25">
      <c r="A45" s="27" t="s">
        <v>67</v>
      </c>
      <c r="B45" s="27" t="s">
        <v>872</v>
      </c>
      <c r="C45" s="27" t="s">
        <v>68</v>
      </c>
      <c r="D45" s="32">
        <f>33769+37+18+64+5967</f>
        <v>39855</v>
      </c>
      <c r="E45" s="32">
        <f>353+1+149+12+3+2</f>
        <v>520</v>
      </c>
      <c r="F45" s="32">
        <v>0</v>
      </c>
      <c r="G45" s="32">
        <v>0</v>
      </c>
      <c r="H45" s="32">
        <v>0</v>
      </c>
      <c r="I45" s="32">
        <v>33220</v>
      </c>
      <c r="J45" s="32">
        <v>4897</v>
      </c>
      <c r="K45" s="32"/>
      <c r="M45" s="27" t="s">
        <v>67</v>
      </c>
      <c r="N45" s="27" t="s">
        <v>872</v>
      </c>
      <c r="O45" s="27" t="s">
        <v>68</v>
      </c>
      <c r="P45" s="27">
        <v>39855</v>
      </c>
      <c r="Q45" s="27">
        <v>520</v>
      </c>
      <c r="R45" s="27">
        <v>0</v>
      </c>
      <c r="S45" s="27">
        <v>0</v>
      </c>
      <c r="T45" s="27">
        <v>0</v>
      </c>
      <c r="U45" s="27">
        <v>33220</v>
      </c>
      <c r="V45" s="27">
        <v>4897</v>
      </c>
    </row>
    <row r="46" spans="1:22" x14ac:dyDescent="0.25">
      <c r="A46" s="27" t="s">
        <v>76</v>
      </c>
      <c r="B46" s="27" t="s">
        <v>872</v>
      </c>
      <c r="C46" s="27" t="s">
        <v>70</v>
      </c>
      <c r="D46" s="32">
        <f>117396+20+4611+26+49+46684+412</f>
        <v>169198</v>
      </c>
      <c r="E46" s="32">
        <f>655+5+2+46+81+133</f>
        <v>922</v>
      </c>
      <c r="F46" s="32">
        <v>0</v>
      </c>
      <c r="G46" s="32">
        <v>0</v>
      </c>
      <c r="H46" s="32">
        <v>0</v>
      </c>
      <c r="I46" s="32">
        <v>97678</v>
      </c>
      <c r="J46" s="32">
        <v>35584</v>
      </c>
      <c r="K46" s="32"/>
      <c r="M46" s="27" t="s">
        <v>76</v>
      </c>
      <c r="N46" s="27" t="s">
        <v>872</v>
      </c>
      <c r="O46" s="27" t="s">
        <v>70</v>
      </c>
      <c r="P46" s="27">
        <v>169198</v>
      </c>
      <c r="Q46" s="27">
        <v>922</v>
      </c>
      <c r="R46" s="27">
        <v>0</v>
      </c>
      <c r="S46" s="27">
        <v>0</v>
      </c>
      <c r="T46" s="27">
        <v>0</v>
      </c>
      <c r="U46" s="27">
        <v>97678</v>
      </c>
      <c r="V46" s="27">
        <v>35584</v>
      </c>
    </row>
    <row r="47" spans="1:22" x14ac:dyDescent="0.25">
      <c r="A47" s="27" t="s">
        <v>803</v>
      </c>
      <c r="B47" s="27" t="s">
        <v>872</v>
      </c>
      <c r="C47" s="27" t="s">
        <v>71</v>
      </c>
      <c r="D47" s="32"/>
      <c r="E47" s="32"/>
      <c r="F47" s="32"/>
      <c r="G47" s="32"/>
      <c r="H47" s="32"/>
      <c r="I47" s="32"/>
      <c r="J47" s="32"/>
      <c r="K47" s="32"/>
      <c r="M47" s="27" t="s">
        <v>803</v>
      </c>
      <c r="N47" s="27" t="s">
        <v>872</v>
      </c>
      <c r="O47" s="27" t="s">
        <v>71</v>
      </c>
    </row>
    <row r="48" spans="1:22" x14ac:dyDescent="0.25">
      <c r="A48" s="27" t="s">
        <v>72</v>
      </c>
      <c r="B48" s="27" t="s">
        <v>872</v>
      </c>
      <c r="C48" s="27" t="s">
        <v>73</v>
      </c>
      <c r="D48" s="32">
        <f>29923+13+8+7016</f>
        <v>36960</v>
      </c>
      <c r="E48" s="32">
        <v>104</v>
      </c>
      <c r="F48" s="32">
        <v>0</v>
      </c>
      <c r="G48" s="32">
        <v>0</v>
      </c>
      <c r="H48" s="32">
        <v>0</v>
      </c>
      <c r="I48" s="32">
        <v>24624</v>
      </c>
      <c r="J48" s="32">
        <v>6078</v>
      </c>
      <c r="K48" s="32"/>
      <c r="M48" s="27" t="s">
        <v>72</v>
      </c>
      <c r="N48" s="27" t="s">
        <v>872</v>
      </c>
      <c r="O48" s="27" t="s">
        <v>73</v>
      </c>
      <c r="P48" s="27">
        <v>36960</v>
      </c>
      <c r="Q48" s="27">
        <v>104</v>
      </c>
      <c r="R48" s="27">
        <v>0</v>
      </c>
      <c r="S48" s="27">
        <v>0</v>
      </c>
      <c r="T48" s="27">
        <v>0</v>
      </c>
      <c r="U48" s="27">
        <v>24624</v>
      </c>
      <c r="V48" s="27">
        <v>6078</v>
      </c>
    </row>
    <row r="49" spans="1:22" x14ac:dyDescent="0.25">
      <c r="A49" s="27" t="s">
        <v>809</v>
      </c>
      <c r="B49" s="27" t="s">
        <v>872</v>
      </c>
      <c r="C49" s="27" t="s">
        <v>74</v>
      </c>
      <c r="D49" s="32">
        <f>47982+10+321+385+3+24+1+4+1+243+12468</f>
        <v>61442</v>
      </c>
      <c r="E49" s="32">
        <f>1695+3+1+69+24</f>
        <v>1792</v>
      </c>
      <c r="F49" s="32">
        <v>0</v>
      </c>
      <c r="G49" s="32">
        <v>0</v>
      </c>
      <c r="H49" s="32">
        <v>0</v>
      </c>
      <c r="I49" s="32">
        <v>29068</v>
      </c>
      <c r="J49" s="32">
        <v>8779</v>
      </c>
      <c r="K49" s="32"/>
      <c r="M49" s="27" t="s">
        <v>809</v>
      </c>
      <c r="N49" s="27" t="s">
        <v>872</v>
      </c>
      <c r="O49" s="27" t="s">
        <v>74</v>
      </c>
      <c r="P49" s="27">
        <v>61442</v>
      </c>
      <c r="Q49" s="27">
        <v>1792</v>
      </c>
      <c r="R49" s="27">
        <v>0</v>
      </c>
      <c r="S49" s="27">
        <v>0</v>
      </c>
      <c r="T49" s="27">
        <v>0</v>
      </c>
      <c r="U49" s="27">
        <v>29068</v>
      </c>
      <c r="V49" s="27">
        <v>8779</v>
      </c>
    </row>
    <row r="50" spans="1:22" x14ac:dyDescent="0.25">
      <c r="A50" s="27" t="s">
        <v>146</v>
      </c>
      <c r="B50" s="27" t="s">
        <v>872</v>
      </c>
      <c r="C50" s="27" t="s">
        <v>75</v>
      </c>
      <c r="D50" s="32">
        <f>16547+43418</f>
        <v>59965</v>
      </c>
      <c r="E50" s="32">
        <f>590+19+8</f>
        <v>617</v>
      </c>
      <c r="F50" s="32">
        <v>0</v>
      </c>
      <c r="G50" s="32">
        <v>0</v>
      </c>
      <c r="H50" s="32">
        <v>0</v>
      </c>
      <c r="I50" s="32">
        <v>32703</v>
      </c>
      <c r="J50" s="32">
        <v>41011</v>
      </c>
      <c r="K50" s="32"/>
      <c r="M50" s="27" t="s">
        <v>146</v>
      </c>
      <c r="N50" s="27" t="s">
        <v>872</v>
      </c>
      <c r="O50" s="27" t="s">
        <v>75</v>
      </c>
      <c r="P50" s="27">
        <v>59965</v>
      </c>
      <c r="Q50" s="27">
        <v>617</v>
      </c>
      <c r="R50" s="27">
        <v>0</v>
      </c>
      <c r="S50" s="27">
        <v>0</v>
      </c>
      <c r="T50" s="27">
        <v>0</v>
      </c>
      <c r="U50" s="27">
        <v>32703</v>
      </c>
      <c r="V50" s="27">
        <v>41011</v>
      </c>
    </row>
    <row r="51" spans="1:22" x14ac:dyDescent="0.25">
      <c r="A51" s="27" t="s">
        <v>76</v>
      </c>
      <c r="B51" s="27" t="s">
        <v>872</v>
      </c>
      <c r="C51" s="27" t="s">
        <v>77</v>
      </c>
      <c r="D51" s="32">
        <f>46955+2+1069+2+1+23+32924</f>
        <v>80976</v>
      </c>
      <c r="E51" s="32">
        <f>101+2+156+15</f>
        <v>274</v>
      </c>
      <c r="F51" s="32">
        <v>0</v>
      </c>
      <c r="G51" s="32">
        <v>0</v>
      </c>
      <c r="H51" s="32">
        <v>0</v>
      </c>
      <c r="I51" s="32">
        <v>20733</v>
      </c>
      <c r="J51" s="32">
        <v>23838</v>
      </c>
      <c r="K51" s="32"/>
      <c r="M51" s="27" t="s">
        <v>76</v>
      </c>
      <c r="N51" s="27" t="s">
        <v>872</v>
      </c>
      <c r="O51" s="27" t="s">
        <v>77</v>
      </c>
      <c r="P51" s="27">
        <v>80976</v>
      </c>
      <c r="Q51" s="27">
        <v>274</v>
      </c>
      <c r="R51" s="27">
        <v>0</v>
      </c>
      <c r="S51" s="27">
        <v>0</v>
      </c>
      <c r="T51" s="27">
        <v>0</v>
      </c>
      <c r="U51" s="27">
        <v>20733</v>
      </c>
      <c r="V51" s="27">
        <v>23838</v>
      </c>
    </row>
    <row r="52" spans="1:22" x14ac:dyDescent="0.25">
      <c r="A52" s="27" t="s">
        <v>801</v>
      </c>
      <c r="B52" s="27" t="s">
        <v>872</v>
      </c>
      <c r="C52" s="27" t="s">
        <v>78</v>
      </c>
      <c r="D52" s="32">
        <f>40850+5+74+1+1+1+17904</f>
        <v>58836</v>
      </c>
      <c r="E52" s="32">
        <f>38+25+3</f>
        <v>66</v>
      </c>
      <c r="F52" s="32">
        <v>0</v>
      </c>
      <c r="G52" s="32">
        <v>0</v>
      </c>
      <c r="H52" s="32">
        <v>0</v>
      </c>
      <c r="I52" s="32">
        <v>119126</v>
      </c>
      <c r="J52" s="32">
        <v>15840</v>
      </c>
      <c r="K52" s="32"/>
      <c r="M52" s="27" t="s">
        <v>801</v>
      </c>
      <c r="N52" s="27" t="s">
        <v>872</v>
      </c>
      <c r="O52" s="27" t="s">
        <v>78</v>
      </c>
      <c r="P52" s="27">
        <v>58836</v>
      </c>
      <c r="Q52" s="27">
        <v>66</v>
      </c>
      <c r="R52" s="27">
        <v>0</v>
      </c>
      <c r="S52" s="27">
        <v>0</v>
      </c>
      <c r="T52" s="27">
        <v>0</v>
      </c>
      <c r="U52" s="27">
        <v>119126</v>
      </c>
      <c r="V52" s="27">
        <v>15840</v>
      </c>
    </row>
    <row r="53" spans="1:22" x14ac:dyDescent="0.25">
      <c r="A53" s="27" t="s">
        <v>847</v>
      </c>
      <c r="B53" s="27" t="s">
        <v>872</v>
      </c>
      <c r="C53" s="27" t="s">
        <v>79</v>
      </c>
      <c r="D53" s="32">
        <f>18049+413+4356</f>
        <v>22818</v>
      </c>
      <c r="E53" s="32">
        <v>0</v>
      </c>
      <c r="F53" s="32">
        <v>0</v>
      </c>
      <c r="G53" s="32">
        <v>0</v>
      </c>
      <c r="H53" s="32">
        <v>0</v>
      </c>
      <c r="I53" s="32">
        <v>4977</v>
      </c>
      <c r="J53" s="32">
        <v>3460</v>
      </c>
      <c r="K53" s="32"/>
      <c r="M53" s="27" t="s">
        <v>847</v>
      </c>
      <c r="N53" s="27" t="s">
        <v>872</v>
      </c>
      <c r="O53" s="27" t="s">
        <v>79</v>
      </c>
      <c r="P53" s="27">
        <v>22818</v>
      </c>
      <c r="Q53" s="27">
        <v>0</v>
      </c>
      <c r="R53" s="27">
        <v>0</v>
      </c>
      <c r="S53" s="27">
        <v>0</v>
      </c>
      <c r="T53" s="27">
        <v>0</v>
      </c>
      <c r="U53" s="27">
        <v>4977</v>
      </c>
      <c r="V53" s="27">
        <v>3460</v>
      </c>
    </row>
    <row r="54" spans="1:22" x14ac:dyDescent="0.25">
      <c r="A54" s="27" t="s">
        <v>226</v>
      </c>
      <c r="B54" s="27" t="s">
        <v>872</v>
      </c>
      <c r="C54" s="27" t="s">
        <v>80</v>
      </c>
      <c r="D54" s="32">
        <f>8606+1+15+3093</f>
        <v>11715</v>
      </c>
      <c r="E54" s="32">
        <f>7+1</f>
        <v>8</v>
      </c>
      <c r="F54" s="32">
        <v>0</v>
      </c>
      <c r="G54" s="32">
        <v>0</v>
      </c>
      <c r="H54" s="32">
        <v>0</v>
      </c>
      <c r="I54" s="32">
        <v>8555</v>
      </c>
      <c r="J54" s="32">
        <v>2943</v>
      </c>
      <c r="K54" s="32"/>
      <c r="M54" s="27" t="s">
        <v>226</v>
      </c>
      <c r="N54" s="27" t="s">
        <v>872</v>
      </c>
      <c r="O54" s="27" t="s">
        <v>80</v>
      </c>
      <c r="P54" s="27">
        <v>11715</v>
      </c>
      <c r="Q54" s="27">
        <v>8</v>
      </c>
      <c r="R54" s="27">
        <v>0</v>
      </c>
      <c r="S54" s="27">
        <v>0</v>
      </c>
      <c r="T54" s="27">
        <v>0</v>
      </c>
      <c r="U54" s="27">
        <v>8555</v>
      </c>
      <c r="V54" s="27">
        <v>2943</v>
      </c>
    </row>
    <row r="55" spans="1:22" x14ac:dyDescent="0.25">
      <c r="A55" s="27" t="s">
        <v>826</v>
      </c>
      <c r="B55" s="27" t="s">
        <v>872</v>
      </c>
      <c r="C55" s="27" t="s">
        <v>81</v>
      </c>
      <c r="D55" s="32">
        <f>16250+2+1+67+5815</f>
        <v>22135</v>
      </c>
      <c r="E55" s="32">
        <v>0</v>
      </c>
      <c r="F55" s="32">
        <v>0</v>
      </c>
      <c r="G55" s="32">
        <v>0</v>
      </c>
      <c r="H55" s="32">
        <v>0</v>
      </c>
      <c r="I55" s="32">
        <v>6825</v>
      </c>
      <c r="J55" s="32">
        <v>4847</v>
      </c>
      <c r="K55" s="32"/>
      <c r="M55" s="27" t="s">
        <v>826</v>
      </c>
      <c r="N55" s="27" t="s">
        <v>872</v>
      </c>
      <c r="O55" s="27" t="s">
        <v>81</v>
      </c>
      <c r="P55" s="27">
        <v>22135</v>
      </c>
      <c r="Q55" s="27">
        <v>0</v>
      </c>
      <c r="R55" s="27">
        <v>0</v>
      </c>
      <c r="S55" s="27">
        <v>0</v>
      </c>
      <c r="T55" s="27">
        <v>0</v>
      </c>
      <c r="U55" s="27">
        <v>6825</v>
      </c>
      <c r="V55" s="27">
        <v>4847</v>
      </c>
    </row>
    <row r="56" spans="1:22" x14ac:dyDescent="0.25">
      <c r="A56" s="27" t="s">
        <v>76</v>
      </c>
      <c r="B56" s="27" t="s">
        <v>872</v>
      </c>
      <c r="C56" s="27" t="s">
        <v>82</v>
      </c>
      <c r="D56" s="32">
        <f>92432+22+9+5+10+17747+3</f>
        <v>110228</v>
      </c>
      <c r="E56" s="32">
        <f>342+474+50</f>
        <v>866</v>
      </c>
      <c r="F56" s="32">
        <v>0</v>
      </c>
      <c r="G56" s="32">
        <v>0</v>
      </c>
      <c r="H56" s="32">
        <v>0</v>
      </c>
      <c r="I56" s="32">
        <v>16706</v>
      </c>
      <c r="J56" s="32">
        <v>11115</v>
      </c>
      <c r="K56" s="32"/>
      <c r="M56" s="27" t="s">
        <v>76</v>
      </c>
      <c r="N56" s="27" t="s">
        <v>872</v>
      </c>
      <c r="O56" s="27" t="s">
        <v>82</v>
      </c>
      <c r="P56" s="27">
        <v>110228</v>
      </c>
      <c r="Q56" s="27">
        <v>866</v>
      </c>
      <c r="R56" s="27">
        <v>0</v>
      </c>
      <c r="S56" s="27">
        <v>0</v>
      </c>
      <c r="T56" s="27">
        <v>0</v>
      </c>
      <c r="U56" s="27">
        <v>16706</v>
      </c>
      <c r="V56" s="27">
        <v>11115</v>
      </c>
    </row>
    <row r="57" spans="1:22" x14ac:dyDescent="0.25">
      <c r="A57" s="27" t="s">
        <v>83</v>
      </c>
      <c r="B57" s="27" t="s">
        <v>872</v>
      </c>
      <c r="C57" s="27" t="s">
        <v>84</v>
      </c>
      <c r="D57" s="32">
        <f>10377+2+85+5+1+25106</f>
        <v>35576</v>
      </c>
      <c r="E57" s="32">
        <f>58+21</f>
        <v>79</v>
      </c>
      <c r="F57" s="32">
        <v>0</v>
      </c>
      <c r="G57" s="32">
        <v>0</v>
      </c>
      <c r="H57" s="32">
        <v>0</v>
      </c>
      <c r="I57" s="32">
        <v>27442</v>
      </c>
      <c r="J57" s="32">
        <v>24709</v>
      </c>
      <c r="K57" s="32"/>
      <c r="M57" s="27" t="s">
        <v>83</v>
      </c>
      <c r="N57" s="27" t="s">
        <v>872</v>
      </c>
      <c r="O57" s="27" t="s">
        <v>84</v>
      </c>
      <c r="P57" s="27">
        <v>35576</v>
      </c>
      <c r="Q57" s="27">
        <v>79</v>
      </c>
      <c r="R57" s="27">
        <v>0</v>
      </c>
      <c r="S57" s="27">
        <v>0</v>
      </c>
      <c r="T57" s="27">
        <v>0</v>
      </c>
      <c r="U57" s="27">
        <v>27442</v>
      </c>
      <c r="V57" s="27">
        <v>24709</v>
      </c>
    </row>
    <row r="58" spans="1:22" x14ac:dyDescent="0.25">
      <c r="A58" s="27" t="s">
        <v>809</v>
      </c>
      <c r="B58" s="27" t="s">
        <v>872</v>
      </c>
      <c r="C58" s="27" t="s">
        <v>85</v>
      </c>
      <c r="D58" s="32">
        <f>15803+1+1+1+1+38+4804+261</f>
        <v>20910</v>
      </c>
      <c r="E58" s="32">
        <f>378+6+203+6</f>
        <v>593</v>
      </c>
      <c r="F58" s="32">
        <v>0</v>
      </c>
      <c r="G58" s="32">
        <v>0</v>
      </c>
      <c r="H58" s="32">
        <v>0</v>
      </c>
      <c r="I58" s="32">
        <v>11899</v>
      </c>
      <c r="J58" s="32">
        <v>3627</v>
      </c>
      <c r="K58" s="32"/>
      <c r="M58" s="27" t="s">
        <v>809</v>
      </c>
      <c r="N58" s="27" t="s">
        <v>872</v>
      </c>
      <c r="O58" s="27" t="s">
        <v>85</v>
      </c>
      <c r="P58" s="27">
        <v>20910</v>
      </c>
      <c r="Q58" s="27">
        <v>593</v>
      </c>
      <c r="R58" s="27">
        <v>0</v>
      </c>
      <c r="S58" s="27">
        <v>0</v>
      </c>
      <c r="T58" s="27">
        <v>0</v>
      </c>
      <c r="U58" s="27">
        <v>11899</v>
      </c>
      <c r="V58" s="27">
        <v>3627</v>
      </c>
    </row>
    <row r="59" spans="1:22" x14ac:dyDescent="0.25">
      <c r="A59" s="27" t="s">
        <v>811</v>
      </c>
      <c r="B59" s="27" t="s">
        <v>872</v>
      </c>
      <c r="C59" s="27" t="s">
        <v>86</v>
      </c>
      <c r="D59" s="32">
        <f>49206+215+6+229+2+56474+2</f>
        <v>106134</v>
      </c>
      <c r="E59" s="32">
        <f>2677+621+36+2750+17180+60</f>
        <v>23324</v>
      </c>
      <c r="F59" s="32">
        <v>0</v>
      </c>
      <c r="G59" s="32">
        <v>0</v>
      </c>
      <c r="H59" s="32">
        <v>0</v>
      </c>
      <c r="I59" s="32">
        <v>21197</v>
      </c>
      <c r="J59" s="32">
        <v>54753</v>
      </c>
      <c r="K59" s="32"/>
      <c r="M59" s="27" t="s">
        <v>811</v>
      </c>
      <c r="N59" s="27" t="s">
        <v>872</v>
      </c>
      <c r="O59" s="27" t="s">
        <v>86</v>
      </c>
      <c r="P59" s="27">
        <v>106134</v>
      </c>
      <c r="Q59" s="27">
        <v>23324</v>
      </c>
      <c r="R59" s="27">
        <v>0</v>
      </c>
      <c r="S59" s="27">
        <v>0</v>
      </c>
      <c r="T59" s="27">
        <v>0</v>
      </c>
      <c r="U59" s="27">
        <v>21197</v>
      </c>
      <c r="V59" s="27">
        <v>54753</v>
      </c>
    </row>
    <row r="60" spans="1:22" x14ac:dyDescent="0.25">
      <c r="A60" s="27" t="s">
        <v>811</v>
      </c>
      <c r="B60" s="27" t="s">
        <v>872</v>
      </c>
      <c r="C60" s="27" t="s">
        <v>87</v>
      </c>
      <c r="D60" s="32">
        <f>40542+2+7+79+102+27+278+17+2+2+1+5+41+1+2+478+17623</f>
        <v>59209</v>
      </c>
      <c r="E60" s="32">
        <f>981+2+44+1465+191</f>
        <v>2683</v>
      </c>
      <c r="F60" s="32">
        <v>0</v>
      </c>
      <c r="G60" s="32">
        <v>0</v>
      </c>
      <c r="H60" s="32">
        <v>0</v>
      </c>
      <c r="I60" s="32">
        <v>19218</v>
      </c>
      <c r="J60" s="32">
        <v>16754</v>
      </c>
      <c r="K60" s="32"/>
      <c r="M60" s="27" t="s">
        <v>811</v>
      </c>
      <c r="N60" s="27" t="s">
        <v>872</v>
      </c>
      <c r="O60" s="27" t="s">
        <v>87</v>
      </c>
      <c r="P60" s="27">
        <v>59209</v>
      </c>
      <c r="Q60" s="27">
        <v>2683</v>
      </c>
      <c r="R60" s="27">
        <v>0</v>
      </c>
      <c r="S60" s="27">
        <v>0</v>
      </c>
      <c r="T60" s="27">
        <v>0</v>
      </c>
      <c r="U60" s="27">
        <v>19218</v>
      </c>
      <c r="V60" s="27">
        <v>16754</v>
      </c>
    </row>
    <row r="61" spans="1:22" x14ac:dyDescent="0.25">
      <c r="A61" s="27" t="s">
        <v>791</v>
      </c>
      <c r="B61" s="27" t="s">
        <v>872</v>
      </c>
      <c r="C61" s="27" t="s">
        <v>88</v>
      </c>
      <c r="D61" s="32">
        <f>31026+19+75+62+17103</f>
        <v>48285</v>
      </c>
      <c r="E61" s="32">
        <f>412+26+121</f>
        <v>559</v>
      </c>
      <c r="F61" s="32">
        <v>0</v>
      </c>
      <c r="G61" s="32">
        <v>0</v>
      </c>
      <c r="H61" s="32">
        <v>0</v>
      </c>
      <c r="I61" s="32">
        <v>11367</v>
      </c>
      <c r="J61" s="32">
        <v>16060</v>
      </c>
      <c r="K61" s="32"/>
      <c r="M61" s="27" t="s">
        <v>791</v>
      </c>
      <c r="N61" s="27" t="s">
        <v>872</v>
      </c>
      <c r="O61" s="27" t="s">
        <v>88</v>
      </c>
      <c r="P61" s="27">
        <v>48285</v>
      </c>
      <c r="Q61" s="27">
        <v>559</v>
      </c>
      <c r="R61" s="27">
        <v>0</v>
      </c>
      <c r="S61" s="27">
        <v>0</v>
      </c>
      <c r="T61" s="27">
        <v>0</v>
      </c>
      <c r="U61" s="27">
        <v>11367</v>
      </c>
      <c r="V61" s="27">
        <v>16060</v>
      </c>
    </row>
    <row r="62" spans="1:22" x14ac:dyDescent="0.25">
      <c r="A62" s="27" t="s">
        <v>809</v>
      </c>
      <c r="B62" s="27" t="s">
        <v>872</v>
      </c>
      <c r="C62" s="27" t="s">
        <v>89</v>
      </c>
      <c r="D62" s="32">
        <f>8115+2+2+16+954</f>
        <v>9089</v>
      </c>
      <c r="E62" s="32">
        <f>24+24</f>
        <v>48</v>
      </c>
      <c r="F62" s="32">
        <v>0</v>
      </c>
      <c r="G62" s="32">
        <v>0</v>
      </c>
      <c r="H62" s="32">
        <v>0</v>
      </c>
      <c r="I62" s="32">
        <v>8888</v>
      </c>
      <c r="J62" s="32">
        <v>524</v>
      </c>
      <c r="K62" s="32"/>
      <c r="M62" s="27" t="s">
        <v>809</v>
      </c>
      <c r="N62" s="27" t="s">
        <v>872</v>
      </c>
      <c r="O62" s="27" t="s">
        <v>89</v>
      </c>
      <c r="P62" s="27">
        <v>9089</v>
      </c>
      <c r="Q62" s="27">
        <v>48</v>
      </c>
      <c r="R62" s="27">
        <v>0</v>
      </c>
      <c r="S62" s="27">
        <v>0</v>
      </c>
      <c r="T62" s="27">
        <v>0</v>
      </c>
      <c r="U62" s="27">
        <v>8888</v>
      </c>
      <c r="V62" s="27">
        <v>524</v>
      </c>
    </row>
    <row r="63" spans="1:22" x14ac:dyDescent="0.25">
      <c r="A63" s="27" t="s">
        <v>848</v>
      </c>
      <c r="B63" s="27" t="s">
        <v>872</v>
      </c>
      <c r="C63" s="27" t="s">
        <v>90</v>
      </c>
      <c r="D63" s="32">
        <f>32715+54+2+77+1+189+33458</f>
        <v>66496</v>
      </c>
      <c r="E63" s="32">
        <f>68+19+11+122</f>
        <v>220</v>
      </c>
      <c r="F63" s="32">
        <v>0</v>
      </c>
      <c r="G63" s="32">
        <v>0</v>
      </c>
      <c r="H63" s="32">
        <v>0</v>
      </c>
      <c r="I63" s="32">
        <v>13300</v>
      </c>
      <c r="J63" s="32">
        <v>28817</v>
      </c>
      <c r="K63" s="32"/>
      <c r="M63" s="27" t="s">
        <v>848</v>
      </c>
      <c r="N63" s="27" t="s">
        <v>872</v>
      </c>
      <c r="O63" s="27" t="s">
        <v>90</v>
      </c>
      <c r="P63" s="27">
        <v>66496</v>
      </c>
      <c r="Q63" s="27">
        <v>220</v>
      </c>
      <c r="R63" s="27">
        <v>0</v>
      </c>
      <c r="S63" s="27">
        <v>0</v>
      </c>
      <c r="T63" s="27">
        <v>0</v>
      </c>
      <c r="U63" s="27">
        <v>13300</v>
      </c>
      <c r="V63" s="27">
        <v>28817</v>
      </c>
    </row>
    <row r="64" spans="1:22" x14ac:dyDescent="0.25">
      <c r="A64" s="27" t="s">
        <v>248</v>
      </c>
      <c r="B64" s="27" t="s">
        <v>872</v>
      </c>
      <c r="C64" s="27" t="s">
        <v>91</v>
      </c>
      <c r="D64" s="32">
        <f>113531+2+7330+2+5+33+160656+1</f>
        <v>281560</v>
      </c>
      <c r="E64" s="32">
        <f>2937+1+319+1427+525+26</f>
        <v>5235</v>
      </c>
      <c r="F64" s="32">
        <v>0</v>
      </c>
      <c r="G64" s="32">
        <v>0</v>
      </c>
      <c r="H64" s="32">
        <v>0</v>
      </c>
      <c r="I64" s="32">
        <v>116493</v>
      </c>
      <c r="J64" s="32">
        <v>121753</v>
      </c>
      <c r="K64" s="32"/>
      <c r="M64" s="27" t="s">
        <v>248</v>
      </c>
      <c r="N64" s="27" t="s">
        <v>872</v>
      </c>
      <c r="O64" s="27" t="s">
        <v>91</v>
      </c>
      <c r="P64" s="27">
        <v>281560</v>
      </c>
      <c r="Q64" s="27">
        <v>5235</v>
      </c>
      <c r="R64" s="27">
        <v>0</v>
      </c>
      <c r="S64" s="27">
        <v>0</v>
      </c>
      <c r="T64" s="27">
        <v>0</v>
      </c>
      <c r="U64" s="27">
        <v>116493</v>
      </c>
      <c r="V64" s="27">
        <v>121753</v>
      </c>
    </row>
    <row r="65" spans="1:22" x14ac:dyDescent="0.25">
      <c r="A65" s="27" t="s">
        <v>826</v>
      </c>
      <c r="B65" s="27" t="s">
        <v>872</v>
      </c>
      <c r="C65" s="27" t="s">
        <v>92</v>
      </c>
      <c r="D65" s="32"/>
      <c r="E65" s="32"/>
      <c r="F65" s="32"/>
      <c r="G65" s="32"/>
      <c r="H65" s="32"/>
      <c r="I65" s="32"/>
      <c r="J65" s="32"/>
      <c r="K65" s="32"/>
      <c r="M65" s="27" t="s">
        <v>826</v>
      </c>
      <c r="N65" s="27" t="s">
        <v>872</v>
      </c>
      <c r="O65" s="27" t="s">
        <v>92</v>
      </c>
    </row>
    <row r="66" spans="1:22" x14ac:dyDescent="0.25">
      <c r="A66" s="27" t="s">
        <v>803</v>
      </c>
      <c r="B66" s="27" t="s">
        <v>872</v>
      </c>
      <c r="C66" s="27" t="s">
        <v>93</v>
      </c>
      <c r="D66" s="32"/>
      <c r="E66" s="32"/>
      <c r="F66" s="32"/>
      <c r="G66" s="32"/>
      <c r="H66" s="32"/>
      <c r="I66" s="32"/>
      <c r="J66" s="32"/>
      <c r="K66" s="32"/>
      <c r="M66" s="27" t="s">
        <v>803</v>
      </c>
      <c r="N66" s="27" t="s">
        <v>872</v>
      </c>
      <c r="O66" s="27" t="s">
        <v>93</v>
      </c>
    </row>
    <row r="67" spans="1:22" x14ac:dyDescent="0.25">
      <c r="A67" s="27" t="s">
        <v>791</v>
      </c>
      <c r="B67" s="27" t="s">
        <v>872</v>
      </c>
      <c r="C67" s="27" t="s">
        <v>94</v>
      </c>
      <c r="D67" s="32">
        <f>19373+95+56+39+7+30+2454</f>
        <v>22054</v>
      </c>
      <c r="E67" s="32">
        <f>141+3+184+4+2+1</f>
        <v>335</v>
      </c>
      <c r="F67" s="32">
        <v>0</v>
      </c>
      <c r="G67" s="32">
        <v>0</v>
      </c>
      <c r="H67" s="32">
        <v>0</v>
      </c>
      <c r="I67" s="32">
        <v>8277</v>
      </c>
      <c r="J67" s="32">
        <v>1910</v>
      </c>
      <c r="K67" s="32"/>
      <c r="M67" s="27" t="s">
        <v>791</v>
      </c>
      <c r="N67" s="27" t="s">
        <v>872</v>
      </c>
      <c r="O67" s="27" t="s">
        <v>94</v>
      </c>
      <c r="P67" s="27">
        <v>22054</v>
      </c>
      <c r="Q67" s="27">
        <v>335</v>
      </c>
      <c r="R67" s="27">
        <v>0</v>
      </c>
      <c r="S67" s="27">
        <v>0</v>
      </c>
      <c r="T67" s="27">
        <v>0</v>
      </c>
      <c r="U67" s="27">
        <v>8277</v>
      </c>
      <c r="V67" s="27">
        <v>1910</v>
      </c>
    </row>
    <row r="68" spans="1:22" x14ac:dyDescent="0.25">
      <c r="A68" s="27" t="s">
        <v>848</v>
      </c>
      <c r="B68" s="27" t="s">
        <v>872</v>
      </c>
      <c r="C68" s="27" t="s">
        <v>95</v>
      </c>
      <c r="D68" s="32">
        <f>6246+1+2733</f>
        <v>8980</v>
      </c>
      <c r="E68" s="32">
        <f>78+8+34+88</f>
        <v>208</v>
      </c>
      <c r="F68" s="32">
        <v>0</v>
      </c>
      <c r="G68" s="32">
        <v>0</v>
      </c>
      <c r="H68" s="32">
        <v>0</v>
      </c>
      <c r="I68" s="32">
        <v>3993</v>
      </c>
      <c r="J68" s="32">
        <v>2202</v>
      </c>
      <c r="K68" s="32"/>
      <c r="M68" s="27" t="s">
        <v>848</v>
      </c>
      <c r="N68" s="27" t="s">
        <v>872</v>
      </c>
      <c r="O68" s="27" t="s">
        <v>95</v>
      </c>
      <c r="P68" s="27">
        <v>8980</v>
      </c>
      <c r="Q68" s="27">
        <v>208</v>
      </c>
      <c r="R68" s="27">
        <v>0</v>
      </c>
      <c r="S68" s="27">
        <v>0</v>
      </c>
      <c r="T68" s="27">
        <v>0</v>
      </c>
      <c r="U68" s="27">
        <v>3993</v>
      </c>
      <c r="V68" s="27">
        <v>2202</v>
      </c>
    </row>
    <row r="69" spans="1:22" x14ac:dyDescent="0.25">
      <c r="A69" s="27" t="s">
        <v>826</v>
      </c>
      <c r="B69" s="27" t="s">
        <v>872</v>
      </c>
      <c r="C69" s="27" t="s">
        <v>96</v>
      </c>
      <c r="D69" s="32">
        <f>14983+129+10+16+10+4856</f>
        <v>20004</v>
      </c>
      <c r="E69" s="32">
        <f>114+10+48</f>
        <v>172</v>
      </c>
      <c r="F69" s="32">
        <v>0</v>
      </c>
      <c r="G69" s="32">
        <v>0</v>
      </c>
      <c r="H69" s="32">
        <v>0</v>
      </c>
      <c r="I69" s="32">
        <v>6768</v>
      </c>
      <c r="J69" s="32">
        <v>3509</v>
      </c>
      <c r="K69" s="32"/>
      <c r="M69" s="27" t="s">
        <v>826</v>
      </c>
      <c r="N69" s="27" t="s">
        <v>872</v>
      </c>
      <c r="O69" s="27" t="s">
        <v>96</v>
      </c>
      <c r="P69" s="27">
        <v>20004</v>
      </c>
      <c r="Q69" s="27">
        <v>172</v>
      </c>
      <c r="R69" s="27">
        <v>0</v>
      </c>
      <c r="S69" s="27">
        <v>0</v>
      </c>
      <c r="T69" s="27">
        <v>0</v>
      </c>
      <c r="U69" s="27">
        <v>6768</v>
      </c>
      <c r="V69" s="27">
        <v>3509</v>
      </c>
    </row>
    <row r="70" spans="1:22" x14ac:dyDescent="0.25">
      <c r="A70" s="27" t="s">
        <v>850</v>
      </c>
      <c r="B70" s="27" t="s">
        <v>872</v>
      </c>
      <c r="C70" s="27" t="s">
        <v>98</v>
      </c>
      <c r="D70" s="32">
        <f>11764+3+5468+1</f>
        <v>17236</v>
      </c>
      <c r="E70" s="32">
        <f>23+51+2</f>
        <v>76</v>
      </c>
      <c r="F70" s="32">
        <v>0</v>
      </c>
      <c r="G70" s="32">
        <v>0</v>
      </c>
      <c r="H70" s="32">
        <v>0</v>
      </c>
      <c r="I70" s="32">
        <v>11690</v>
      </c>
      <c r="J70" s="32">
        <v>4989</v>
      </c>
      <c r="K70" s="32"/>
      <c r="M70" s="27" t="s">
        <v>850</v>
      </c>
      <c r="N70" s="27" t="s">
        <v>872</v>
      </c>
      <c r="O70" s="27" t="s">
        <v>98</v>
      </c>
      <c r="P70" s="27">
        <v>17236</v>
      </c>
      <c r="Q70" s="27">
        <v>76</v>
      </c>
      <c r="R70" s="27">
        <v>0</v>
      </c>
      <c r="S70" s="27">
        <v>0</v>
      </c>
      <c r="T70" s="27">
        <v>0</v>
      </c>
      <c r="U70" s="27">
        <v>11690</v>
      </c>
      <c r="V70" s="27">
        <v>4989</v>
      </c>
    </row>
    <row r="71" spans="1:22" x14ac:dyDescent="0.25">
      <c r="A71" s="27" t="s">
        <v>851</v>
      </c>
      <c r="B71" s="27" t="s">
        <v>872</v>
      </c>
      <c r="C71" s="27" t="s">
        <v>100</v>
      </c>
      <c r="D71" s="32">
        <f>9627+6+1+4098</f>
        <v>13732</v>
      </c>
      <c r="E71" s="32">
        <f>291+339+8</f>
        <v>638</v>
      </c>
      <c r="F71" s="32">
        <v>0</v>
      </c>
      <c r="G71" s="32">
        <v>0</v>
      </c>
      <c r="H71" s="32">
        <v>0</v>
      </c>
      <c r="I71" s="32">
        <v>8848</v>
      </c>
      <c r="J71" s="32">
        <v>3398</v>
      </c>
      <c r="K71" s="32"/>
      <c r="M71" s="27" t="s">
        <v>851</v>
      </c>
      <c r="N71" s="27" t="s">
        <v>872</v>
      </c>
      <c r="O71" s="27" t="s">
        <v>100</v>
      </c>
      <c r="P71" s="27">
        <v>13732</v>
      </c>
      <c r="Q71" s="27">
        <v>638</v>
      </c>
      <c r="R71" s="27">
        <v>0</v>
      </c>
      <c r="S71" s="27">
        <v>0</v>
      </c>
      <c r="T71" s="27">
        <v>0</v>
      </c>
      <c r="U71" s="27">
        <v>8848</v>
      </c>
      <c r="V71" s="27">
        <v>3398</v>
      </c>
    </row>
    <row r="72" spans="1:22" x14ac:dyDescent="0.25">
      <c r="A72" s="27" t="s">
        <v>101</v>
      </c>
      <c r="B72" s="27" t="s">
        <v>872</v>
      </c>
      <c r="C72" s="27" t="s">
        <v>102</v>
      </c>
      <c r="D72" s="32">
        <f>59811+39+1+27+6+14255</f>
        <v>74139</v>
      </c>
      <c r="E72" s="32">
        <f>13+1</f>
        <v>14</v>
      </c>
      <c r="F72" s="32">
        <v>0</v>
      </c>
      <c r="G72" s="32">
        <v>0</v>
      </c>
      <c r="H72" s="32">
        <v>0</v>
      </c>
      <c r="I72" s="32">
        <v>62337</v>
      </c>
      <c r="J72" s="32">
        <v>11122</v>
      </c>
      <c r="K72" s="32"/>
      <c r="M72" s="27" t="s">
        <v>101</v>
      </c>
      <c r="N72" s="27" t="s">
        <v>872</v>
      </c>
      <c r="O72" s="27" t="s">
        <v>102</v>
      </c>
      <c r="P72" s="27">
        <v>74139</v>
      </c>
      <c r="Q72" s="27">
        <v>14</v>
      </c>
      <c r="R72" s="27">
        <v>0</v>
      </c>
      <c r="S72" s="27">
        <v>0</v>
      </c>
      <c r="T72" s="27">
        <v>0</v>
      </c>
      <c r="U72" s="27">
        <v>62337</v>
      </c>
      <c r="V72" s="27">
        <v>11122</v>
      </c>
    </row>
    <row r="73" spans="1:22" x14ac:dyDescent="0.25">
      <c r="A73" s="27" t="s">
        <v>512</v>
      </c>
      <c r="B73" s="27" t="s">
        <v>872</v>
      </c>
      <c r="C73" s="27" t="s">
        <v>103</v>
      </c>
      <c r="D73" s="32">
        <f>31397+1+1+3+11633</f>
        <v>43035</v>
      </c>
      <c r="E73" s="32">
        <v>0</v>
      </c>
      <c r="F73" s="32">
        <v>0</v>
      </c>
      <c r="G73" s="32">
        <v>0</v>
      </c>
      <c r="H73" s="32">
        <v>0</v>
      </c>
      <c r="I73" s="32">
        <v>2038</v>
      </c>
      <c r="J73" s="32">
        <v>7792</v>
      </c>
      <c r="K73" s="32"/>
      <c r="M73" s="27" t="s">
        <v>512</v>
      </c>
      <c r="N73" s="27" t="s">
        <v>872</v>
      </c>
      <c r="O73" s="27" t="s">
        <v>103</v>
      </c>
      <c r="P73" s="27">
        <v>43035</v>
      </c>
      <c r="Q73" s="27">
        <v>0</v>
      </c>
      <c r="R73" s="27">
        <v>0</v>
      </c>
      <c r="S73" s="27">
        <v>0</v>
      </c>
      <c r="T73" s="27">
        <v>0</v>
      </c>
      <c r="U73" s="27">
        <v>2038</v>
      </c>
      <c r="V73" s="27">
        <v>7792</v>
      </c>
    </row>
    <row r="74" spans="1:22" x14ac:dyDescent="0.25">
      <c r="A74" s="27" t="s">
        <v>852</v>
      </c>
      <c r="B74" s="27" t="s">
        <v>872</v>
      </c>
      <c r="C74" s="27" t="s">
        <v>105</v>
      </c>
      <c r="D74" s="32">
        <f>11050+389+1+2+9923+595</f>
        <v>21960</v>
      </c>
      <c r="E74" s="32">
        <f>1262+137+2</f>
        <v>1401</v>
      </c>
      <c r="F74" s="32">
        <v>0</v>
      </c>
      <c r="G74" s="32">
        <v>0</v>
      </c>
      <c r="H74" s="32">
        <v>0</v>
      </c>
      <c r="I74" s="32">
        <v>15296</v>
      </c>
      <c r="J74" s="32">
        <v>7730</v>
      </c>
      <c r="K74" s="32"/>
      <c r="M74" s="27" t="s">
        <v>852</v>
      </c>
      <c r="N74" s="27" t="s">
        <v>872</v>
      </c>
      <c r="O74" s="27" t="s">
        <v>105</v>
      </c>
      <c r="P74" s="27">
        <v>21960</v>
      </c>
      <c r="Q74" s="27">
        <v>1401</v>
      </c>
      <c r="R74" s="27">
        <v>0</v>
      </c>
      <c r="S74" s="27">
        <v>0</v>
      </c>
      <c r="T74" s="27">
        <v>0</v>
      </c>
      <c r="U74" s="27">
        <v>15296</v>
      </c>
      <c r="V74" s="27">
        <v>7730</v>
      </c>
    </row>
    <row r="75" spans="1:22" x14ac:dyDescent="0.25">
      <c r="A75" s="27" t="s">
        <v>853</v>
      </c>
      <c r="B75" s="27" t="s">
        <v>872</v>
      </c>
      <c r="C75" s="27" t="s">
        <v>107</v>
      </c>
      <c r="D75" s="32">
        <f>32366+2+3756+3+5+15774</f>
        <v>51906</v>
      </c>
      <c r="E75" s="32">
        <f>297+1+110+3</f>
        <v>411</v>
      </c>
      <c r="F75" s="32">
        <v>0</v>
      </c>
      <c r="G75" s="32">
        <v>0</v>
      </c>
      <c r="H75" s="32">
        <v>0</v>
      </c>
      <c r="I75" s="32">
        <v>47645</v>
      </c>
      <c r="J75" s="32">
        <v>13845</v>
      </c>
      <c r="K75" s="32"/>
      <c r="M75" s="27" t="s">
        <v>853</v>
      </c>
      <c r="N75" s="27" t="s">
        <v>872</v>
      </c>
      <c r="O75" s="27" t="s">
        <v>107</v>
      </c>
      <c r="P75" s="27">
        <v>51906</v>
      </c>
      <c r="Q75" s="27">
        <v>411</v>
      </c>
      <c r="R75" s="27">
        <v>0</v>
      </c>
      <c r="S75" s="27">
        <v>0</v>
      </c>
      <c r="T75" s="27">
        <v>0</v>
      </c>
      <c r="U75" s="27">
        <v>47645</v>
      </c>
      <c r="V75" s="27">
        <v>13845</v>
      </c>
    </row>
    <row r="76" spans="1:22" x14ac:dyDescent="0.25">
      <c r="A76" s="27" t="s">
        <v>854</v>
      </c>
      <c r="B76" s="27" t="s">
        <v>872</v>
      </c>
      <c r="C76" s="27" t="s">
        <v>109</v>
      </c>
      <c r="D76" s="32">
        <f>19188+23+3+28+12467+2</f>
        <v>31711</v>
      </c>
      <c r="E76" s="32">
        <f>212+7+41+1285+27</f>
        <v>1572</v>
      </c>
      <c r="F76" s="32">
        <v>0</v>
      </c>
      <c r="G76" s="32">
        <v>0</v>
      </c>
      <c r="H76" s="32">
        <v>0</v>
      </c>
      <c r="I76" s="32">
        <v>38496</v>
      </c>
      <c r="J76" s="32">
        <v>10588</v>
      </c>
      <c r="K76" s="32"/>
      <c r="M76" s="27" t="s">
        <v>854</v>
      </c>
      <c r="N76" s="27" t="s">
        <v>872</v>
      </c>
      <c r="O76" s="27" t="s">
        <v>109</v>
      </c>
      <c r="P76" s="27">
        <v>31711</v>
      </c>
      <c r="Q76" s="27">
        <v>1572</v>
      </c>
      <c r="R76" s="27">
        <v>0</v>
      </c>
      <c r="S76" s="27">
        <v>0</v>
      </c>
      <c r="T76" s="27">
        <v>0</v>
      </c>
      <c r="U76" s="27">
        <v>38496</v>
      </c>
      <c r="V76" s="27">
        <v>10588</v>
      </c>
    </row>
    <row r="77" spans="1:22" x14ac:dyDescent="0.25">
      <c r="A77" s="27" t="s">
        <v>855</v>
      </c>
      <c r="B77" s="27" t="s">
        <v>872</v>
      </c>
      <c r="C77" s="27" t="s">
        <v>111</v>
      </c>
      <c r="D77" s="32">
        <f>12206+4+7284</f>
        <v>19494</v>
      </c>
      <c r="E77" s="32">
        <f>117+63</f>
        <v>180</v>
      </c>
      <c r="F77" s="32">
        <v>0</v>
      </c>
      <c r="G77" s="32">
        <v>0</v>
      </c>
      <c r="H77" s="32">
        <v>0</v>
      </c>
      <c r="I77" s="32">
        <v>21010</v>
      </c>
      <c r="J77" s="32">
        <v>6583</v>
      </c>
      <c r="K77" s="32"/>
      <c r="M77" s="27" t="s">
        <v>855</v>
      </c>
      <c r="N77" s="27" t="s">
        <v>872</v>
      </c>
      <c r="O77" s="27" t="s">
        <v>111</v>
      </c>
      <c r="P77" s="27">
        <v>19494</v>
      </c>
      <c r="Q77" s="27">
        <v>180</v>
      </c>
      <c r="R77" s="27">
        <v>0</v>
      </c>
      <c r="S77" s="27">
        <v>0</v>
      </c>
      <c r="T77" s="27">
        <v>0</v>
      </c>
      <c r="U77" s="27">
        <v>21010</v>
      </c>
      <c r="V77" s="27">
        <v>6583</v>
      </c>
    </row>
    <row r="78" spans="1:22" x14ac:dyDescent="0.25">
      <c r="A78" s="27" t="s">
        <v>101</v>
      </c>
      <c r="B78" s="27" t="s">
        <v>872</v>
      </c>
      <c r="C78" s="27" t="s">
        <v>112</v>
      </c>
      <c r="D78" s="32">
        <f>42912+25+1+943+14+6639</f>
        <v>50534</v>
      </c>
      <c r="E78" s="32">
        <f>11+3</f>
        <v>14</v>
      </c>
      <c r="F78" s="32">
        <v>0</v>
      </c>
      <c r="G78" s="32">
        <v>0</v>
      </c>
      <c r="H78" s="32">
        <v>0</v>
      </c>
      <c r="I78" s="32">
        <v>121073</v>
      </c>
      <c r="J78" s="32">
        <v>5714</v>
      </c>
      <c r="K78" s="32"/>
      <c r="M78" s="27" t="s">
        <v>101</v>
      </c>
      <c r="N78" s="27" t="s">
        <v>872</v>
      </c>
      <c r="O78" s="27" t="s">
        <v>112</v>
      </c>
      <c r="P78" s="27">
        <v>50534</v>
      </c>
      <c r="Q78" s="27">
        <v>14</v>
      </c>
      <c r="R78" s="27">
        <v>0</v>
      </c>
      <c r="S78" s="27">
        <v>0</v>
      </c>
      <c r="T78" s="27">
        <v>0</v>
      </c>
      <c r="U78" s="27">
        <v>121073</v>
      </c>
      <c r="V78" s="27">
        <v>5714</v>
      </c>
    </row>
    <row r="79" spans="1:22" x14ac:dyDescent="0.25">
      <c r="A79" s="27" t="s">
        <v>856</v>
      </c>
      <c r="B79" s="27" t="s">
        <v>872</v>
      </c>
      <c r="C79" s="27" t="s">
        <v>114</v>
      </c>
      <c r="D79" s="32">
        <f>4234+2+6+18790+1</f>
        <v>23033</v>
      </c>
      <c r="E79" s="32">
        <f>378+30</f>
        <v>408</v>
      </c>
      <c r="F79" s="32">
        <v>0</v>
      </c>
      <c r="G79" s="32">
        <v>0</v>
      </c>
      <c r="H79" s="32">
        <v>0</v>
      </c>
      <c r="I79" s="32">
        <v>32058</v>
      </c>
      <c r="J79" s="32">
        <v>16690</v>
      </c>
      <c r="K79" s="32"/>
      <c r="M79" s="27" t="s">
        <v>856</v>
      </c>
      <c r="N79" s="27" t="s">
        <v>872</v>
      </c>
      <c r="O79" s="27" t="s">
        <v>114</v>
      </c>
      <c r="P79" s="27">
        <v>23033</v>
      </c>
      <c r="Q79" s="27">
        <v>408</v>
      </c>
      <c r="R79" s="27">
        <v>0</v>
      </c>
      <c r="S79" s="27">
        <v>0</v>
      </c>
      <c r="T79" s="27">
        <v>0</v>
      </c>
      <c r="U79" s="27">
        <v>32058</v>
      </c>
      <c r="V79" s="27">
        <v>16690</v>
      </c>
    </row>
    <row r="80" spans="1:22" x14ac:dyDescent="0.25">
      <c r="A80" s="27" t="s">
        <v>857</v>
      </c>
      <c r="B80" s="27" t="s">
        <v>872</v>
      </c>
      <c r="C80" s="27" t="s">
        <v>116</v>
      </c>
      <c r="D80" s="32">
        <f>17183+10352</f>
        <v>27535</v>
      </c>
      <c r="E80" s="32">
        <f>243+20+21</f>
        <v>284</v>
      </c>
      <c r="F80" s="32">
        <v>0</v>
      </c>
      <c r="G80" s="32">
        <v>0</v>
      </c>
      <c r="H80" s="32">
        <v>0</v>
      </c>
      <c r="I80" s="32">
        <v>5916</v>
      </c>
      <c r="J80" s="32">
        <v>8304</v>
      </c>
      <c r="K80" s="32"/>
      <c r="M80" s="27" t="s">
        <v>857</v>
      </c>
      <c r="N80" s="27" t="s">
        <v>872</v>
      </c>
      <c r="O80" s="27" t="s">
        <v>116</v>
      </c>
      <c r="P80" s="27">
        <v>27535</v>
      </c>
      <c r="Q80" s="27">
        <v>284</v>
      </c>
      <c r="R80" s="27">
        <v>0</v>
      </c>
      <c r="S80" s="27">
        <v>0</v>
      </c>
      <c r="T80" s="27">
        <v>0</v>
      </c>
      <c r="U80" s="27">
        <v>5916</v>
      </c>
      <c r="V80" s="27">
        <v>8304</v>
      </c>
    </row>
    <row r="81" spans="1:22" x14ac:dyDescent="0.25">
      <c r="A81" s="27" t="s">
        <v>823</v>
      </c>
      <c r="B81" s="27" t="s">
        <v>872</v>
      </c>
      <c r="C81" s="27" t="s">
        <v>117</v>
      </c>
      <c r="D81" s="32">
        <f>27555+60+11288+3</f>
        <v>38906</v>
      </c>
      <c r="E81" s="32">
        <f>33+438</f>
        <v>471</v>
      </c>
      <c r="F81" s="32">
        <v>0</v>
      </c>
      <c r="G81" s="32">
        <v>0</v>
      </c>
      <c r="H81" s="32">
        <v>0</v>
      </c>
      <c r="I81" s="32">
        <v>24550</v>
      </c>
      <c r="J81" s="32">
        <v>7969</v>
      </c>
      <c r="K81" s="32"/>
      <c r="M81" s="27" t="s">
        <v>823</v>
      </c>
      <c r="N81" s="27" t="s">
        <v>872</v>
      </c>
      <c r="O81" s="27" t="s">
        <v>117</v>
      </c>
      <c r="P81" s="27">
        <v>38906</v>
      </c>
      <c r="Q81" s="27">
        <v>471</v>
      </c>
      <c r="R81" s="27">
        <v>0</v>
      </c>
      <c r="S81" s="27">
        <v>0</v>
      </c>
      <c r="T81" s="27">
        <v>0</v>
      </c>
      <c r="U81" s="27">
        <v>24550</v>
      </c>
      <c r="V81" s="27">
        <v>7969</v>
      </c>
    </row>
    <row r="82" spans="1:22" x14ac:dyDescent="0.25">
      <c r="A82" s="27" t="s">
        <v>858</v>
      </c>
      <c r="B82" s="27" t="s">
        <v>872</v>
      </c>
      <c r="C82" s="27" t="s">
        <v>119</v>
      </c>
      <c r="D82" s="32">
        <f>13839+8+16592</f>
        <v>30439</v>
      </c>
      <c r="E82" s="32">
        <f>12+30+72+6+7+227</f>
        <v>354</v>
      </c>
      <c r="F82" s="32">
        <v>0</v>
      </c>
      <c r="G82" s="32">
        <v>0</v>
      </c>
      <c r="H82" s="32">
        <v>0</v>
      </c>
      <c r="I82" s="32">
        <v>13927</v>
      </c>
      <c r="J82" s="32">
        <v>10619</v>
      </c>
      <c r="K82" s="32"/>
      <c r="M82" s="27" t="s">
        <v>858</v>
      </c>
      <c r="N82" s="27" t="s">
        <v>872</v>
      </c>
      <c r="O82" s="27" t="s">
        <v>119</v>
      </c>
      <c r="P82" s="27">
        <v>30439</v>
      </c>
      <c r="Q82" s="27">
        <v>354</v>
      </c>
      <c r="R82" s="27">
        <v>0</v>
      </c>
      <c r="S82" s="27">
        <v>0</v>
      </c>
      <c r="T82" s="27">
        <v>0</v>
      </c>
      <c r="U82" s="27">
        <v>13927</v>
      </c>
      <c r="V82" s="27">
        <v>10619</v>
      </c>
    </row>
    <row r="83" spans="1:22" x14ac:dyDescent="0.25">
      <c r="A83" s="27" t="s">
        <v>859</v>
      </c>
      <c r="B83" s="27" t="s">
        <v>872</v>
      </c>
      <c r="C83" s="27" t="s">
        <v>121</v>
      </c>
      <c r="D83" s="32">
        <f>44440+19+45+7+13461</f>
        <v>57972</v>
      </c>
      <c r="E83" s="32">
        <f>51+41+2+2</f>
        <v>96</v>
      </c>
      <c r="F83" s="32">
        <v>0</v>
      </c>
      <c r="G83" s="32">
        <v>0</v>
      </c>
      <c r="H83" s="32">
        <v>0</v>
      </c>
      <c r="I83" s="32">
        <v>52453</v>
      </c>
      <c r="J83" s="32">
        <v>11124</v>
      </c>
      <c r="K83" s="32"/>
      <c r="M83" s="27" t="s">
        <v>859</v>
      </c>
      <c r="N83" s="27" t="s">
        <v>872</v>
      </c>
      <c r="O83" s="27" t="s">
        <v>121</v>
      </c>
      <c r="P83" s="27">
        <v>57972</v>
      </c>
      <c r="Q83" s="27">
        <v>96</v>
      </c>
      <c r="R83" s="27">
        <v>0</v>
      </c>
      <c r="S83" s="27">
        <v>0</v>
      </c>
      <c r="T83" s="27">
        <v>0</v>
      </c>
      <c r="U83" s="27">
        <v>52453</v>
      </c>
      <c r="V83" s="27">
        <v>11124</v>
      </c>
    </row>
    <row r="84" spans="1:22" x14ac:dyDescent="0.25">
      <c r="A84" s="27" t="s">
        <v>860</v>
      </c>
      <c r="B84" s="27" t="s">
        <v>872</v>
      </c>
      <c r="C84" s="27" t="s">
        <v>122</v>
      </c>
      <c r="D84" s="32">
        <f>17730+1+8452</f>
        <v>26183</v>
      </c>
      <c r="E84" s="32">
        <f>9+1+39</f>
        <v>49</v>
      </c>
      <c r="F84" s="32">
        <v>0</v>
      </c>
      <c r="G84" s="32">
        <v>0</v>
      </c>
      <c r="H84" s="32">
        <v>0</v>
      </c>
      <c r="I84" s="32">
        <v>16356</v>
      </c>
      <c r="J84" s="32">
        <v>6438</v>
      </c>
      <c r="K84" s="32"/>
      <c r="M84" s="27" t="s">
        <v>860</v>
      </c>
      <c r="N84" s="27" t="s">
        <v>872</v>
      </c>
      <c r="O84" s="27" t="s">
        <v>122</v>
      </c>
      <c r="P84" s="27">
        <v>26183</v>
      </c>
      <c r="Q84" s="27">
        <v>49</v>
      </c>
      <c r="R84" s="27">
        <v>0</v>
      </c>
      <c r="S84" s="27">
        <v>0</v>
      </c>
      <c r="T84" s="27">
        <v>0</v>
      </c>
      <c r="U84" s="27">
        <v>16356</v>
      </c>
      <c r="V84" s="27">
        <v>6438</v>
      </c>
    </row>
    <row r="85" spans="1:22" x14ac:dyDescent="0.25">
      <c r="A85" s="27" t="s">
        <v>861</v>
      </c>
      <c r="B85" s="27" t="s">
        <v>872</v>
      </c>
      <c r="C85" s="27" t="s">
        <v>124</v>
      </c>
      <c r="D85" s="32">
        <f>18048+1+9057</f>
        <v>27106</v>
      </c>
      <c r="E85" s="32">
        <v>0</v>
      </c>
      <c r="F85" s="32">
        <v>0</v>
      </c>
      <c r="G85" s="32">
        <v>0</v>
      </c>
      <c r="H85" s="32">
        <v>0</v>
      </c>
      <c r="I85" s="32">
        <v>14926</v>
      </c>
      <c r="J85" s="32">
        <v>7066</v>
      </c>
      <c r="K85" s="32"/>
      <c r="M85" s="27" t="s">
        <v>861</v>
      </c>
      <c r="N85" s="27" t="s">
        <v>872</v>
      </c>
      <c r="O85" s="27" t="s">
        <v>124</v>
      </c>
      <c r="P85" s="27">
        <v>27106</v>
      </c>
      <c r="Q85" s="27">
        <v>0</v>
      </c>
      <c r="R85" s="27">
        <v>0</v>
      </c>
      <c r="S85" s="27">
        <v>0</v>
      </c>
      <c r="T85" s="27">
        <v>0</v>
      </c>
      <c r="U85" s="27">
        <v>14926</v>
      </c>
      <c r="V85" s="27">
        <v>7066</v>
      </c>
    </row>
    <row r="86" spans="1:22" x14ac:dyDescent="0.25">
      <c r="A86" s="27" t="s">
        <v>823</v>
      </c>
      <c r="B86" s="27" t="s">
        <v>872</v>
      </c>
      <c r="C86" s="27" t="s">
        <v>125</v>
      </c>
      <c r="D86" s="32">
        <f>102687+1+2+2255+21800+1</f>
        <v>126746</v>
      </c>
      <c r="E86" s="32">
        <f>6+91+1</f>
        <v>98</v>
      </c>
      <c r="F86" s="32">
        <v>0</v>
      </c>
      <c r="G86" s="32">
        <v>0</v>
      </c>
      <c r="H86" s="32">
        <v>0</v>
      </c>
      <c r="I86" s="32">
        <v>12155</v>
      </c>
      <c r="J86" s="32">
        <v>14931</v>
      </c>
      <c r="K86" s="32"/>
      <c r="M86" s="27" t="s">
        <v>823</v>
      </c>
      <c r="N86" s="27" t="s">
        <v>872</v>
      </c>
      <c r="O86" s="27" t="s">
        <v>125</v>
      </c>
      <c r="P86" s="27">
        <v>126746</v>
      </c>
      <c r="Q86" s="27">
        <v>98</v>
      </c>
      <c r="R86" s="27">
        <v>0</v>
      </c>
      <c r="S86" s="27">
        <v>0</v>
      </c>
      <c r="T86" s="27">
        <v>0</v>
      </c>
      <c r="U86" s="27">
        <v>12155</v>
      </c>
      <c r="V86" s="27">
        <v>14931</v>
      </c>
    </row>
    <row r="87" spans="1:22" x14ac:dyDescent="0.25">
      <c r="A87" s="27" t="s">
        <v>248</v>
      </c>
      <c r="B87" s="27" t="s">
        <v>872</v>
      </c>
      <c r="C87" s="27" t="s">
        <v>126</v>
      </c>
      <c r="D87" s="32">
        <f>33960+1+2+2+11563</f>
        <v>45528</v>
      </c>
      <c r="E87" s="32">
        <f>155+5+22+1</f>
        <v>183</v>
      </c>
      <c r="F87" s="32">
        <v>0</v>
      </c>
      <c r="G87" s="32">
        <v>0</v>
      </c>
      <c r="H87" s="32">
        <v>0</v>
      </c>
      <c r="I87" s="32">
        <v>63500</v>
      </c>
      <c r="J87" s="32">
        <v>9273</v>
      </c>
      <c r="K87" s="32"/>
      <c r="M87" s="27" t="s">
        <v>248</v>
      </c>
      <c r="N87" s="27" t="s">
        <v>872</v>
      </c>
      <c r="O87" s="27" t="s">
        <v>126</v>
      </c>
      <c r="P87" s="27">
        <v>45528</v>
      </c>
      <c r="Q87" s="27">
        <v>183</v>
      </c>
      <c r="R87" s="27">
        <v>0</v>
      </c>
      <c r="S87" s="27">
        <v>0</v>
      </c>
      <c r="T87" s="27">
        <v>0</v>
      </c>
      <c r="U87" s="27">
        <v>63500</v>
      </c>
      <c r="V87" s="27">
        <v>9273</v>
      </c>
    </row>
    <row r="88" spans="1:22" x14ac:dyDescent="0.25">
      <c r="A88" s="27" t="s">
        <v>862</v>
      </c>
      <c r="B88" s="27" t="s">
        <v>872</v>
      </c>
      <c r="C88" s="27" t="s">
        <v>127</v>
      </c>
      <c r="D88" s="32">
        <f>8817+4611</f>
        <v>13428</v>
      </c>
      <c r="E88" s="32">
        <f>105+28</f>
        <v>133</v>
      </c>
      <c r="F88" s="32">
        <v>0</v>
      </c>
      <c r="G88" s="32">
        <v>0</v>
      </c>
      <c r="H88" s="32">
        <v>0</v>
      </c>
      <c r="I88" s="32">
        <v>9183</v>
      </c>
      <c r="J88" s="32">
        <v>4544</v>
      </c>
      <c r="K88" s="32"/>
      <c r="M88" s="27" t="s">
        <v>862</v>
      </c>
      <c r="N88" s="27" t="s">
        <v>872</v>
      </c>
      <c r="O88" s="27" t="s">
        <v>127</v>
      </c>
      <c r="P88" s="27">
        <v>13428</v>
      </c>
      <c r="Q88" s="27">
        <v>133</v>
      </c>
      <c r="R88" s="27">
        <v>0</v>
      </c>
      <c r="S88" s="27">
        <v>0</v>
      </c>
      <c r="T88" s="27">
        <v>0</v>
      </c>
      <c r="U88" s="27">
        <v>9183</v>
      </c>
      <c r="V88" s="27">
        <v>4544</v>
      </c>
    </row>
    <row r="89" spans="1:22" x14ac:dyDescent="0.25">
      <c r="A89" s="27" t="s">
        <v>863</v>
      </c>
      <c r="B89" s="27" t="s">
        <v>872</v>
      </c>
      <c r="C89" s="27" t="s">
        <v>129</v>
      </c>
      <c r="D89" s="32">
        <f>19416+13574</f>
        <v>32990</v>
      </c>
      <c r="E89" s="32">
        <f>382+37+1</f>
        <v>420</v>
      </c>
      <c r="F89" s="32">
        <v>0</v>
      </c>
      <c r="G89" s="32">
        <v>0</v>
      </c>
      <c r="H89" s="32">
        <v>0</v>
      </c>
      <c r="I89" s="32">
        <v>13550</v>
      </c>
      <c r="J89" s="32">
        <v>9650</v>
      </c>
      <c r="K89" s="32"/>
      <c r="M89" s="27" t="s">
        <v>863</v>
      </c>
      <c r="N89" s="27" t="s">
        <v>872</v>
      </c>
      <c r="O89" s="27" t="s">
        <v>129</v>
      </c>
      <c r="P89" s="27">
        <v>32990</v>
      </c>
      <c r="Q89" s="27">
        <v>420</v>
      </c>
      <c r="R89" s="27">
        <v>0</v>
      </c>
      <c r="S89" s="27">
        <v>0</v>
      </c>
      <c r="T89" s="27">
        <v>0</v>
      </c>
      <c r="U89" s="27">
        <v>13550</v>
      </c>
      <c r="V89" s="27">
        <v>9650</v>
      </c>
    </row>
    <row r="90" spans="1:22" x14ac:dyDescent="0.25">
      <c r="A90" s="27" t="s">
        <v>794</v>
      </c>
      <c r="B90" s="27" t="s">
        <v>872</v>
      </c>
      <c r="C90" s="27" t="s">
        <v>130</v>
      </c>
      <c r="D90" s="32">
        <f>65383+2+3490+1+18+9546+4</f>
        <v>78444</v>
      </c>
      <c r="E90" s="32">
        <f>118+69+10+8</f>
        <v>205</v>
      </c>
      <c r="F90" s="32">
        <v>0</v>
      </c>
      <c r="G90" s="32">
        <v>0</v>
      </c>
      <c r="H90" s="32">
        <v>0</v>
      </c>
      <c r="I90" s="32">
        <v>9170</v>
      </c>
      <c r="J90" s="32">
        <v>8602</v>
      </c>
      <c r="K90" s="32"/>
      <c r="M90" s="27" t="s">
        <v>794</v>
      </c>
      <c r="N90" s="27" t="s">
        <v>872</v>
      </c>
      <c r="O90" s="27" t="s">
        <v>130</v>
      </c>
      <c r="P90" s="27">
        <v>78444</v>
      </c>
      <c r="Q90" s="27">
        <v>205</v>
      </c>
      <c r="R90" s="27">
        <v>0</v>
      </c>
      <c r="S90" s="27">
        <v>0</v>
      </c>
      <c r="T90" s="27">
        <v>0</v>
      </c>
      <c r="U90" s="27">
        <v>9170</v>
      </c>
      <c r="V90" s="27">
        <v>8602</v>
      </c>
    </row>
    <row r="91" spans="1:22" x14ac:dyDescent="0.25">
      <c r="A91" s="27" t="s">
        <v>803</v>
      </c>
      <c r="B91" s="27" t="s">
        <v>872</v>
      </c>
      <c r="C91" s="27" t="s">
        <v>132</v>
      </c>
      <c r="D91" s="32"/>
      <c r="E91" s="32"/>
      <c r="F91" s="32"/>
      <c r="G91" s="32"/>
      <c r="H91" s="32"/>
      <c r="I91" s="32"/>
      <c r="J91" s="32"/>
      <c r="K91" s="32"/>
      <c r="M91" s="27" t="s">
        <v>803</v>
      </c>
      <c r="N91" s="27" t="s">
        <v>872</v>
      </c>
      <c r="O91" s="27" t="s">
        <v>132</v>
      </c>
    </row>
    <row r="92" spans="1:22" x14ac:dyDescent="0.25">
      <c r="A92" s="27" t="s">
        <v>512</v>
      </c>
      <c r="B92" s="27" t="s">
        <v>872</v>
      </c>
      <c r="C92" s="27" t="s">
        <v>133</v>
      </c>
      <c r="D92" s="32">
        <f>12758+2+4367</f>
        <v>17127</v>
      </c>
      <c r="E92" s="32">
        <f>639+61</f>
        <v>700</v>
      </c>
      <c r="F92" s="32">
        <v>0</v>
      </c>
      <c r="G92" s="32">
        <v>0</v>
      </c>
      <c r="H92" s="32">
        <v>0</v>
      </c>
      <c r="I92" s="32">
        <v>12228</v>
      </c>
      <c r="J92" s="32">
        <v>3477</v>
      </c>
      <c r="K92" s="32"/>
      <c r="M92" s="27" t="s">
        <v>512</v>
      </c>
      <c r="N92" s="27" t="s">
        <v>872</v>
      </c>
      <c r="O92" s="27" t="s">
        <v>133</v>
      </c>
      <c r="P92" s="27">
        <v>17127</v>
      </c>
      <c r="Q92" s="27">
        <v>700</v>
      </c>
      <c r="R92" s="27">
        <v>0</v>
      </c>
      <c r="S92" s="27">
        <v>0</v>
      </c>
      <c r="T92" s="27">
        <v>0</v>
      </c>
      <c r="U92" s="27">
        <v>12228</v>
      </c>
      <c r="V92" s="27">
        <v>3477</v>
      </c>
    </row>
    <row r="93" spans="1:22" x14ac:dyDescent="0.25">
      <c r="A93" s="27" t="s">
        <v>134</v>
      </c>
      <c r="B93" s="27" t="s">
        <v>872</v>
      </c>
      <c r="C93" s="27" t="s">
        <v>135</v>
      </c>
      <c r="D93" s="32">
        <f>31384+63+71+13897</f>
        <v>45415</v>
      </c>
      <c r="E93" s="32">
        <f>37+3</f>
        <v>40</v>
      </c>
      <c r="F93" s="32">
        <v>0</v>
      </c>
      <c r="G93" s="32">
        <v>0</v>
      </c>
      <c r="H93" s="32">
        <v>0</v>
      </c>
      <c r="I93" s="32">
        <v>48520</v>
      </c>
      <c r="J93" s="32">
        <v>11505</v>
      </c>
      <c r="K93" s="32"/>
      <c r="M93" s="27" t="s">
        <v>134</v>
      </c>
      <c r="N93" s="27" t="s">
        <v>872</v>
      </c>
      <c r="O93" s="27" t="s">
        <v>135</v>
      </c>
      <c r="P93" s="27">
        <v>45415</v>
      </c>
      <c r="Q93" s="27">
        <v>40</v>
      </c>
      <c r="R93" s="27">
        <v>0</v>
      </c>
      <c r="S93" s="27">
        <v>0</v>
      </c>
      <c r="T93" s="27">
        <v>0</v>
      </c>
      <c r="U93" s="27">
        <v>48520</v>
      </c>
      <c r="V93" s="27">
        <v>11505</v>
      </c>
    </row>
    <row r="94" spans="1:22" x14ac:dyDescent="0.25">
      <c r="A94" s="27" t="s">
        <v>795</v>
      </c>
      <c r="B94" s="27" t="s">
        <v>872</v>
      </c>
      <c r="C94" s="27" t="s">
        <v>136</v>
      </c>
      <c r="D94" s="32">
        <f>17411+16+4+9637</f>
        <v>27068</v>
      </c>
      <c r="E94" s="32">
        <f>318+36+102+13</f>
        <v>469</v>
      </c>
      <c r="F94" s="32">
        <v>0</v>
      </c>
      <c r="G94" s="32">
        <v>0</v>
      </c>
      <c r="H94" s="32">
        <v>0</v>
      </c>
      <c r="I94" s="32">
        <v>23694</v>
      </c>
      <c r="J94" s="32">
        <v>8620</v>
      </c>
      <c r="K94" s="32"/>
      <c r="M94" s="27" t="s">
        <v>795</v>
      </c>
      <c r="N94" s="27" t="s">
        <v>872</v>
      </c>
      <c r="O94" s="27" t="s">
        <v>136</v>
      </c>
      <c r="P94" s="27">
        <v>27068</v>
      </c>
      <c r="Q94" s="27">
        <v>469</v>
      </c>
      <c r="R94" s="27">
        <v>0</v>
      </c>
      <c r="S94" s="27">
        <v>0</v>
      </c>
      <c r="T94" s="27">
        <v>0</v>
      </c>
      <c r="U94" s="27">
        <v>23694</v>
      </c>
      <c r="V94" s="27">
        <v>8620</v>
      </c>
    </row>
    <row r="95" spans="1:22" x14ac:dyDescent="0.25">
      <c r="A95" s="27" t="s">
        <v>120</v>
      </c>
      <c r="B95" s="27" t="s">
        <v>872</v>
      </c>
      <c r="C95" s="27" t="s">
        <v>137</v>
      </c>
      <c r="D95" s="32">
        <f>58830+1+9814+1+55+18+99+11324+8</f>
        <v>80150</v>
      </c>
      <c r="E95" s="32">
        <f>108+2+3</f>
        <v>113</v>
      </c>
      <c r="F95" s="32">
        <v>0</v>
      </c>
      <c r="G95" s="32">
        <v>0</v>
      </c>
      <c r="H95" s="32">
        <v>0</v>
      </c>
      <c r="I95" s="32">
        <v>31199</v>
      </c>
      <c r="J95" s="32">
        <v>6150</v>
      </c>
      <c r="K95" s="32"/>
      <c r="M95" s="27" t="s">
        <v>120</v>
      </c>
      <c r="N95" s="27" t="s">
        <v>872</v>
      </c>
      <c r="O95" s="27" t="s">
        <v>137</v>
      </c>
      <c r="P95" s="27">
        <v>80150</v>
      </c>
      <c r="Q95" s="27">
        <v>113</v>
      </c>
      <c r="R95" s="27">
        <v>0</v>
      </c>
      <c r="S95" s="27">
        <v>0</v>
      </c>
      <c r="T95" s="27">
        <v>0</v>
      </c>
      <c r="U95" s="27">
        <v>31199</v>
      </c>
      <c r="V95" s="27">
        <v>6150</v>
      </c>
    </row>
    <row r="96" spans="1:22" x14ac:dyDescent="0.25">
      <c r="A96" s="27" t="s">
        <v>890</v>
      </c>
      <c r="B96" s="27" t="s">
        <v>872</v>
      </c>
      <c r="C96" s="27" t="s">
        <v>139</v>
      </c>
      <c r="D96" s="32">
        <f>53893+26+5+1273+4+175+16668+3</f>
        <v>72047</v>
      </c>
      <c r="E96" s="32">
        <f>45+86+1+24</f>
        <v>156</v>
      </c>
      <c r="F96" s="32">
        <v>0</v>
      </c>
      <c r="G96" s="32">
        <v>0</v>
      </c>
      <c r="H96" s="32">
        <v>0</v>
      </c>
      <c r="I96" s="32">
        <v>74691</v>
      </c>
      <c r="J96" s="32">
        <v>14879</v>
      </c>
      <c r="K96" s="32"/>
      <c r="M96" s="27" t="s">
        <v>890</v>
      </c>
      <c r="N96" s="27" t="s">
        <v>872</v>
      </c>
      <c r="O96" s="27" t="s">
        <v>139</v>
      </c>
      <c r="P96" s="27">
        <v>72047</v>
      </c>
      <c r="Q96" s="27">
        <v>156</v>
      </c>
      <c r="R96" s="27">
        <v>0</v>
      </c>
      <c r="S96" s="27">
        <v>0</v>
      </c>
      <c r="T96" s="27">
        <v>0</v>
      </c>
      <c r="U96" s="27">
        <v>74691</v>
      </c>
      <c r="V96" s="27">
        <v>14879</v>
      </c>
    </row>
    <row r="97" spans="1:22" x14ac:dyDescent="0.25">
      <c r="A97" s="27" t="s">
        <v>868</v>
      </c>
      <c r="B97" s="27" t="s">
        <v>872</v>
      </c>
      <c r="C97" s="27" t="s">
        <v>141</v>
      </c>
      <c r="D97" s="32"/>
      <c r="E97" s="32"/>
      <c r="F97" s="32"/>
      <c r="G97" s="32"/>
      <c r="H97" s="32"/>
      <c r="I97" s="32"/>
      <c r="J97" s="32"/>
      <c r="K97" s="32"/>
      <c r="M97" s="27" t="s">
        <v>868</v>
      </c>
      <c r="N97" s="27" t="s">
        <v>872</v>
      </c>
      <c r="O97" s="27" t="s">
        <v>141</v>
      </c>
    </row>
    <row r="98" spans="1:22" x14ac:dyDescent="0.25">
      <c r="A98" s="27" t="s">
        <v>67</v>
      </c>
      <c r="B98" s="27" t="s">
        <v>872</v>
      </c>
      <c r="C98" s="27" t="s">
        <v>142</v>
      </c>
      <c r="D98" s="32">
        <f>46016+2+1751+2+1+41+6238</f>
        <v>54051</v>
      </c>
      <c r="E98" s="32">
        <f>111+1+4+2+2</f>
        <v>120</v>
      </c>
      <c r="F98" s="32">
        <v>0</v>
      </c>
      <c r="G98" s="32">
        <v>0</v>
      </c>
      <c r="H98" s="32">
        <v>0</v>
      </c>
      <c r="I98" s="32">
        <v>12683</v>
      </c>
      <c r="J98" s="32">
        <v>5502</v>
      </c>
      <c r="K98" s="32"/>
      <c r="M98" s="27" t="s">
        <v>67</v>
      </c>
      <c r="N98" s="27" t="s">
        <v>872</v>
      </c>
      <c r="O98" s="27" t="s">
        <v>142</v>
      </c>
      <c r="P98" s="27">
        <v>54051</v>
      </c>
      <c r="Q98" s="27">
        <v>120</v>
      </c>
      <c r="R98" s="27">
        <v>0</v>
      </c>
      <c r="S98" s="27">
        <v>0</v>
      </c>
      <c r="T98" s="27">
        <v>0</v>
      </c>
      <c r="U98" s="27">
        <v>12683</v>
      </c>
      <c r="V98" s="27">
        <v>5502</v>
      </c>
    </row>
    <row r="99" spans="1:22" x14ac:dyDescent="0.25">
      <c r="A99" s="27" t="s">
        <v>823</v>
      </c>
      <c r="B99" s="27" t="s">
        <v>872</v>
      </c>
      <c r="C99" s="27" t="s">
        <v>143</v>
      </c>
      <c r="D99" s="32">
        <f>13275+8+21896</f>
        <v>35179</v>
      </c>
      <c r="E99" s="32">
        <v>0</v>
      </c>
      <c r="F99" s="32">
        <v>0</v>
      </c>
      <c r="G99" s="32">
        <v>0</v>
      </c>
      <c r="H99" s="32">
        <v>0</v>
      </c>
      <c r="I99" s="32">
        <v>2165</v>
      </c>
      <c r="J99" s="32">
        <v>6722</v>
      </c>
      <c r="K99" s="32"/>
      <c r="M99" s="27" t="s">
        <v>823</v>
      </c>
      <c r="N99" s="27" t="s">
        <v>872</v>
      </c>
      <c r="O99" s="27" t="s">
        <v>143</v>
      </c>
      <c r="P99" s="27">
        <v>35179</v>
      </c>
      <c r="Q99" s="27">
        <v>0</v>
      </c>
      <c r="R99" s="27">
        <v>0</v>
      </c>
      <c r="S99" s="27">
        <v>0</v>
      </c>
      <c r="T99" s="27">
        <v>0</v>
      </c>
      <c r="U99" s="27">
        <v>2165</v>
      </c>
      <c r="V99" s="27">
        <v>6722</v>
      </c>
    </row>
    <row r="100" spans="1:22" x14ac:dyDescent="0.25">
      <c r="A100" s="27" t="s">
        <v>848</v>
      </c>
      <c r="B100" s="27" t="s">
        <v>872</v>
      </c>
      <c r="C100" s="27" t="s">
        <v>144</v>
      </c>
      <c r="D100" s="32">
        <f>10571+16+7608</f>
        <v>18195</v>
      </c>
      <c r="E100" s="32">
        <f>583+1+5</f>
        <v>589</v>
      </c>
      <c r="F100" s="32">
        <v>0</v>
      </c>
      <c r="G100" s="32">
        <v>0</v>
      </c>
      <c r="H100" s="32">
        <v>0</v>
      </c>
      <c r="I100" s="32">
        <v>2375</v>
      </c>
      <c r="J100" s="32">
        <v>6600</v>
      </c>
      <c r="K100" s="32"/>
      <c r="M100" s="27" t="s">
        <v>848</v>
      </c>
      <c r="N100" s="27" t="s">
        <v>872</v>
      </c>
      <c r="O100" s="27" t="s">
        <v>144</v>
      </c>
      <c r="P100" s="27">
        <v>18195</v>
      </c>
      <c r="Q100" s="27">
        <v>589</v>
      </c>
      <c r="R100" s="27">
        <v>0</v>
      </c>
      <c r="S100" s="27">
        <v>0</v>
      </c>
      <c r="T100" s="27">
        <v>0</v>
      </c>
      <c r="U100" s="27">
        <v>2375</v>
      </c>
      <c r="V100" s="27">
        <v>6600</v>
      </c>
    </row>
    <row r="101" spans="1:22" x14ac:dyDescent="0.25">
      <c r="A101" s="27" t="s">
        <v>816</v>
      </c>
      <c r="B101" s="27" t="s">
        <v>872</v>
      </c>
      <c r="C101" s="27" t="s">
        <v>145</v>
      </c>
      <c r="D101" s="32">
        <f>56027+1+33+13+37582+1</f>
        <v>93657</v>
      </c>
      <c r="E101" s="32">
        <f>35+52+41+1</f>
        <v>129</v>
      </c>
      <c r="F101" s="32">
        <v>0</v>
      </c>
      <c r="G101" s="32">
        <v>0</v>
      </c>
      <c r="H101" s="32">
        <v>0</v>
      </c>
      <c r="I101" s="32">
        <v>74828</v>
      </c>
      <c r="J101" s="32">
        <v>32713</v>
      </c>
      <c r="K101" s="32"/>
      <c r="M101" s="27" t="s">
        <v>816</v>
      </c>
      <c r="N101" s="27" t="s">
        <v>872</v>
      </c>
      <c r="O101" s="27" t="s">
        <v>145</v>
      </c>
      <c r="P101" s="27">
        <v>93657</v>
      </c>
      <c r="Q101" s="27">
        <v>129</v>
      </c>
      <c r="R101" s="27">
        <v>0</v>
      </c>
      <c r="S101" s="27">
        <v>0</v>
      </c>
      <c r="T101" s="27">
        <v>0</v>
      </c>
      <c r="U101" s="27">
        <v>74828</v>
      </c>
      <c r="V101" s="27">
        <v>32713</v>
      </c>
    </row>
    <row r="102" spans="1:22" x14ac:dyDescent="0.25">
      <c r="A102" s="27" t="s">
        <v>146</v>
      </c>
      <c r="B102" s="27" t="s">
        <v>872</v>
      </c>
      <c r="C102" s="27" t="s">
        <v>147</v>
      </c>
      <c r="D102" s="32">
        <f>65951+179+52241</f>
        <v>118371</v>
      </c>
      <c r="E102" s="32">
        <f>64+2+115+87</f>
        <v>268</v>
      </c>
      <c r="F102" s="32">
        <v>0</v>
      </c>
      <c r="G102" s="32">
        <v>0</v>
      </c>
      <c r="H102" s="32">
        <v>0</v>
      </c>
      <c r="I102" s="32">
        <v>72287</v>
      </c>
      <c r="J102" s="32">
        <v>37951</v>
      </c>
      <c r="K102" s="32"/>
      <c r="M102" s="27" t="s">
        <v>146</v>
      </c>
      <c r="N102" s="27" t="s">
        <v>872</v>
      </c>
      <c r="O102" s="27" t="s">
        <v>147</v>
      </c>
      <c r="P102" s="27">
        <v>118371</v>
      </c>
      <c r="Q102" s="27">
        <v>268</v>
      </c>
      <c r="R102" s="27">
        <v>0</v>
      </c>
      <c r="S102" s="27">
        <v>0</v>
      </c>
      <c r="T102" s="27">
        <v>0</v>
      </c>
      <c r="U102" s="27">
        <v>72287</v>
      </c>
      <c r="V102" s="27">
        <v>37951</v>
      </c>
    </row>
    <row r="103" spans="1:22" x14ac:dyDescent="0.25">
      <c r="A103" s="27" t="s">
        <v>804</v>
      </c>
      <c r="B103" s="27" t="s">
        <v>872</v>
      </c>
      <c r="C103" s="27" t="s">
        <v>148</v>
      </c>
      <c r="D103" s="32">
        <f>94496+4+5+121+22+27054</f>
        <v>121702</v>
      </c>
      <c r="E103" s="32">
        <f>70+93+4+22+42+2</f>
        <v>233</v>
      </c>
      <c r="F103" s="32">
        <v>0</v>
      </c>
      <c r="G103" s="32">
        <v>0</v>
      </c>
      <c r="H103" s="32">
        <v>0</v>
      </c>
      <c r="I103" s="32">
        <v>120604</v>
      </c>
      <c r="J103" s="32">
        <v>21982</v>
      </c>
      <c r="K103" s="32"/>
      <c r="M103" s="27" t="s">
        <v>804</v>
      </c>
      <c r="N103" s="27" t="s">
        <v>872</v>
      </c>
      <c r="O103" s="27" t="s">
        <v>148</v>
      </c>
      <c r="P103" s="27">
        <v>121702</v>
      </c>
      <c r="Q103" s="27">
        <v>233</v>
      </c>
      <c r="R103" s="27">
        <v>0</v>
      </c>
      <c r="S103" s="27">
        <v>0</v>
      </c>
      <c r="T103" s="27">
        <v>0</v>
      </c>
      <c r="U103" s="27">
        <v>120604</v>
      </c>
      <c r="V103" s="27">
        <v>21982</v>
      </c>
    </row>
    <row r="104" spans="1:22" x14ac:dyDescent="0.25">
      <c r="A104" s="27" t="s">
        <v>817</v>
      </c>
      <c r="B104" s="27" t="s">
        <v>872</v>
      </c>
      <c r="C104" s="27" t="s">
        <v>149</v>
      </c>
      <c r="D104" s="32">
        <f>19045+738+5+19562+2</f>
        <v>39352</v>
      </c>
      <c r="E104" s="32">
        <f>577+8+4+202+294+2</f>
        <v>1087</v>
      </c>
      <c r="F104" s="32">
        <v>0</v>
      </c>
      <c r="G104" s="32">
        <v>0</v>
      </c>
      <c r="H104" s="32">
        <v>0</v>
      </c>
      <c r="I104" s="32">
        <v>39614</v>
      </c>
      <c r="J104" s="32">
        <v>16501</v>
      </c>
      <c r="K104" s="32"/>
      <c r="M104" s="27" t="s">
        <v>817</v>
      </c>
      <c r="N104" s="27" t="s">
        <v>872</v>
      </c>
      <c r="O104" s="27" t="s">
        <v>149</v>
      </c>
      <c r="P104" s="27">
        <v>39352</v>
      </c>
      <c r="Q104" s="27">
        <v>1087</v>
      </c>
      <c r="R104" s="27">
        <v>0</v>
      </c>
      <c r="S104" s="27">
        <v>0</v>
      </c>
      <c r="T104" s="27">
        <v>0</v>
      </c>
      <c r="U104" s="27">
        <v>39614</v>
      </c>
      <c r="V104" s="27">
        <v>16501</v>
      </c>
    </row>
    <row r="105" spans="1:22" x14ac:dyDescent="0.25">
      <c r="A105" s="27" t="s">
        <v>831</v>
      </c>
      <c r="B105" s="27" t="s">
        <v>872</v>
      </c>
      <c r="C105" s="27" t="s">
        <v>151</v>
      </c>
      <c r="D105" s="32">
        <f>5490+2+80+1+46+2794</f>
        <v>8413</v>
      </c>
      <c r="E105" s="32">
        <f>46+2+3</f>
        <v>51</v>
      </c>
      <c r="F105" s="32">
        <v>0</v>
      </c>
      <c r="G105" s="32">
        <v>0</v>
      </c>
      <c r="H105" s="32">
        <v>0</v>
      </c>
      <c r="I105" s="32">
        <v>3573</v>
      </c>
      <c r="J105" s="32">
        <v>1848</v>
      </c>
      <c r="K105" s="32"/>
      <c r="M105" s="27" t="s">
        <v>831</v>
      </c>
      <c r="N105" s="27" t="s">
        <v>872</v>
      </c>
      <c r="O105" s="27" t="s">
        <v>151</v>
      </c>
      <c r="P105" s="27">
        <v>8413</v>
      </c>
      <c r="Q105" s="27">
        <v>51</v>
      </c>
      <c r="R105" s="27">
        <v>0</v>
      </c>
      <c r="S105" s="27">
        <v>0</v>
      </c>
      <c r="T105" s="27">
        <v>0</v>
      </c>
      <c r="U105" s="27">
        <v>3573</v>
      </c>
      <c r="V105" s="27">
        <v>1848</v>
      </c>
    </row>
    <row r="106" spans="1:22" x14ac:dyDescent="0.25">
      <c r="A106" s="27" t="s">
        <v>146</v>
      </c>
      <c r="B106" s="27" t="s">
        <v>872</v>
      </c>
      <c r="C106" s="27" t="s">
        <v>152</v>
      </c>
      <c r="D106" s="32">
        <f>21586+857+4+365+26026</f>
        <v>48838</v>
      </c>
      <c r="E106" s="32">
        <f>85+22+4+14+212+2</f>
        <v>339</v>
      </c>
      <c r="F106" s="32">
        <v>0</v>
      </c>
      <c r="G106" s="32">
        <v>0</v>
      </c>
      <c r="H106" s="32">
        <v>0</v>
      </c>
      <c r="I106" s="32">
        <v>58794</v>
      </c>
      <c r="J106" s="32">
        <v>19104</v>
      </c>
      <c r="K106" s="32"/>
      <c r="M106" s="27" t="s">
        <v>146</v>
      </c>
      <c r="N106" s="27" t="s">
        <v>872</v>
      </c>
      <c r="O106" s="27" t="s">
        <v>152</v>
      </c>
      <c r="P106" s="27">
        <v>48838</v>
      </c>
      <c r="Q106" s="27">
        <v>339</v>
      </c>
      <c r="R106" s="27">
        <v>0</v>
      </c>
      <c r="S106" s="27">
        <v>0</v>
      </c>
      <c r="T106" s="27">
        <v>0</v>
      </c>
      <c r="U106" s="27">
        <v>58794</v>
      </c>
      <c r="V106" s="27">
        <v>19104</v>
      </c>
    </row>
    <row r="107" spans="1:22" x14ac:dyDescent="0.25">
      <c r="A107" s="27" t="s">
        <v>495</v>
      </c>
      <c r="B107" s="27" t="s">
        <v>872</v>
      </c>
      <c r="C107" s="27" t="s">
        <v>153</v>
      </c>
      <c r="D107" s="32">
        <f>11676+48+48+2483</f>
        <v>14255</v>
      </c>
      <c r="E107" s="32">
        <f>90+3</f>
        <v>93</v>
      </c>
      <c r="F107" s="32">
        <v>0</v>
      </c>
      <c r="G107" s="32">
        <v>0</v>
      </c>
      <c r="H107" s="32">
        <v>0</v>
      </c>
      <c r="I107" s="32">
        <v>13582</v>
      </c>
      <c r="J107" s="32">
        <v>1854</v>
      </c>
      <c r="K107" s="32"/>
      <c r="M107" s="27" t="s">
        <v>495</v>
      </c>
      <c r="N107" s="27" t="s">
        <v>872</v>
      </c>
      <c r="O107" s="27" t="s">
        <v>153</v>
      </c>
      <c r="P107" s="27">
        <v>14255</v>
      </c>
      <c r="Q107" s="27">
        <v>93</v>
      </c>
      <c r="R107" s="27">
        <v>0</v>
      </c>
      <c r="S107" s="27">
        <v>0</v>
      </c>
      <c r="T107" s="27">
        <v>0</v>
      </c>
      <c r="U107" s="27">
        <v>13582</v>
      </c>
      <c r="V107" s="27">
        <v>1854</v>
      </c>
    </row>
    <row r="108" spans="1:22" x14ac:dyDescent="0.25">
      <c r="A108" s="27" t="s">
        <v>76</v>
      </c>
      <c r="B108" s="27" t="s">
        <v>872</v>
      </c>
      <c r="C108" s="27" t="s">
        <v>154</v>
      </c>
      <c r="D108" s="32">
        <f>35828+669+2+31827+30</f>
        <v>68356</v>
      </c>
      <c r="E108" s="32">
        <f>11+1+494+1</f>
        <v>507</v>
      </c>
      <c r="F108" s="32">
        <v>0</v>
      </c>
      <c r="G108" s="32">
        <v>0</v>
      </c>
      <c r="H108" s="32">
        <v>0</v>
      </c>
      <c r="I108" s="32">
        <v>12216</v>
      </c>
      <c r="J108" s="32">
        <v>24285</v>
      </c>
      <c r="K108" s="32"/>
      <c r="M108" s="27" t="s">
        <v>76</v>
      </c>
      <c r="N108" s="27" t="s">
        <v>872</v>
      </c>
      <c r="O108" s="27" t="s">
        <v>154</v>
      </c>
      <c r="P108" s="27">
        <v>68356</v>
      </c>
      <c r="Q108" s="27">
        <v>507</v>
      </c>
      <c r="R108" s="27">
        <v>0</v>
      </c>
      <c r="S108" s="27">
        <v>0</v>
      </c>
      <c r="T108" s="27">
        <v>0</v>
      </c>
      <c r="U108" s="27">
        <v>12216</v>
      </c>
      <c r="V108" s="27">
        <v>24285</v>
      </c>
    </row>
    <row r="109" spans="1:22" x14ac:dyDescent="0.25">
      <c r="A109" s="27" t="s">
        <v>83</v>
      </c>
      <c r="B109" s="27" t="s">
        <v>872</v>
      </c>
      <c r="C109" s="27" t="s">
        <v>155</v>
      </c>
      <c r="D109" s="32">
        <f>17866+5964</f>
        <v>23830</v>
      </c>
      <c r="E109" s="32">
        <f>19+191</f>
        <v>210</v>
      </c>
      <c r="F109" s="32">
        <v>0</v>
      </c>
      <c r="G109" s="32">
        <v>0</v>
      </c>
      <c r="H109" s="32">
        <v>0</v>
      </c>
      <c r="I109" s="32">
        <v>83360</v>
      </c>
      <c r="J109" s="32">
        <v>4846</v>
      </c>
      <c r="K109" s="32"/>
      <c r="M109" s="27" t="s">
        <v>83</v>
      </c>
      <c r="N109" s="27" t="s">
        <v>872</v>
      </c>
      <c r="O109" s="27" t="s">
        <v>155</v>
      </c>
      <c r="P109" s="27">
        <v>23830</v>
      </c>
      <c r="Q109" s="27">
        <v>210</v>
      </c>
      <c r="R109" s="27">
        <v>0</v>
      </c>
      <c r="S109" s="27">
        <v>0</v>
      </c>
      <c r="T109" s="27">
        <v>0</v>
      </c>
      <c r="U109" s="27">
        <v>83360</v>
      </c>
      <c r="V109" s="27">
        <v>4846</v>
      </c>
    </row>
    <row r="110" spans="1:22" x14ac:dyDescent="0.25">
      <c r="A110" s="27" t="s">
        <v>890</v>
      </c>
      <c r="B110" s="27" t="s">
        <v>872</v>
      </c>
      <c r="C110" s="27" t="s">
        <v>156</v>
      </c>
      <c r="D110" s="32">
        <f>63825+1+28601</f>
        <v>92427</v>
      </c>
      <c r="E110" s="32">
        <f>46+1+2+22+166</f>
        <v>237</v>
      </c>
      <c r="F110" s="32">
        <v>0</v>
      </c>
      <c r="G110" s="32">
        <v>0</v>
      </c>
      <c r="H110" s="32">
        <v>0</v>
      </c>
      <c r="I110" s="32">
        <v>92482</v>
      </c>
      <c r="J110" s="32">
        <v>21930</v>
      </c>
      <c r="K110" s="32"/>
      <c r="M110" s="27" t="s">
        <v>890</v>
      </c>
      <c r="N110" s="27" t="s">
        <v>872</v>
      </c>
      <c r="O110" s="27" t="s">
        <v>156</v>
      </c>
      <c r="P110" s="27">
        <v>92427</v>
      </c>
      <c r="Q110" s="27">
        <v>237</v>
      </c>
      <c r="R110" s="27">
        <v>0</v>
      </c>
      <c r="S110" s="27">
        <v>0</v>
      </c>
      <c r="T110" s="27">
        <v>0</v>
      </c>
      <c r="U110" s="27">
        <v>92482</v>
      </c>
      <c r="V110" s="27">
        <v>21930</v>
      </c>
    </row>
    <row r="111" spans="1:22" x14ac:dyDescent="0.25">
      <c r="A111" s="27" t="s">
        <v>831</v>
      </c>
      <c r="B111" s="27" t="s">
        <v>872</v>
      </c>
      <c r="C111" s="27" t="s">
        <v>157</v>
      </c>
      <c r="D111" s="32">
        <f>7287+1+7+3086</f>
        <v>10381</v>
      </c>
      <c r="E111" s="32">
        <f>160+27+31</f>
        <v>218</v>
      </c>
      <c r="F111" s="32">
        <v>0</v>
      </c>
      <c r="G111" s="32">
        <v>0</v>
      </c>
      <c r="H111" s="32">
        <v>0</v>
      </c>
      <c r="I111" s="32">
        <v>4125</v>
      </c>
      <c r="J111" s="32">
        <v>2770</v>
      </c>
      <c r="K111" s="32"/>
      <c r="M111" s="27" t="s">
        <v>831</v>
      </c>
      <c r="N111" s="27" t="s">
        <v>872</v>
      </c>
      <c r="O111" s="27" t="s">
        <v>157</v>
      </c>
      <c r="P111" s="27">
        <v>10381</v>
      </c>
      <c r="Q111" s="27">
        <v>218</v>
      </c>
      <c r="R111" s="27">
        <v>0</v>
      </c>
      <c r="S111" s="27">
        <v>0</v>
      </c>
      <c r="T111" s="27">
        <v>0</v>
      </c>
      <c r="U111" s="27">
        <v>4125</v>
      </c>
      <c r="V111" s="27">
        <v>2770</v>
      </c>
    </row>
    <row r="112" spans="1:22" x14ac:dyDescent="0.25">
      <c r="A112" s="27" t="s">
        <v>818</v>
      </c>
      <c r="B112" s="27" t="s">
        <v>872</v>
      </c>
      <c r="C112" s="27" t="s">
        <v>158</v>
      </c>
      <c r="D112" s="32">
        <f>27721+1+664+5+156+5461</f>
        <v>34008</v>
      </c>
      <c r="E112" s="32">
        <f>18+19</f>
        <v>37</v>
      </c>
      <c r="F112" s="32">
        <v>0</v>
      </c>
      <c r="G112" s="32">
        <v>0</v>
      </c>
      <c r="H112" s="32">
        <v>0</v>
      </c>
      <c r="I112" s="32">
        <v>22098</v>
      </c>
      <c r="J112" s="32">
        <v>4786</v>
      </c>
      <c r="K112" s="32"/>
      <c r="M112" s="27" t="s">
        <v>818</v>
      </c>
      <c r="N112" s="27" t="s">
        <v>872</v>
      </c>
      <c r="O112" s="27" t="s">
        <v>158</v>
      </c>
      <c r="P112" s="27">
        <v>34008</v>
      </c>
      <c r="Q112" s="27">
        <v>37</v>
      </c>
      <c r="R112" s="27">
        <v>0</v>
      </c>
      <c r="S112" s="27">
        <v>0</v>
      </c>
      <c r="T112" s="27">
        <v>0</v>
      </c>
      <c r="U112" s="27">
        <v>22098</v>
      </c>
      <c r="V112" s="27">
        <v>4786</v>
      </c>
    </row>
    <row r="113" spans="1:22" x14ac:dyDescent="0.25">
      <c r="A113" s="27" t="s">
        <v>134</v>
      </c>
      <c r="B113" s="27" t="s">
        <v>872</v>
      </c>
      <c r="C113" s="27" t="s">
        <v>159</v>
      </c>
      <c r="D113" s="32">
        <f>9844+1+65+1+10+4356</f>
        <v>14277</v>
      </c>
      <c r="E113" s="32">
        <f>84+6</f>
        <v>90</v>
      </c>
      <c r="F113" s="32">
        <v>0</v>
      </c>
      <c r="G113" s="32">
        <v>0</v>
      </c>
      <c r="H113" s="32">
        <v>0</v>
      </c>
      <c r="I113" s="32">
        <v>14644</v>
      </c>
      <c r="J113" s="32">
        <v>3580</v>
      </c>
      <c r="K113" s="32"/>
      <c r="M113" s="27" t="s">
        <v>134</v>
      </c>
      <c r="N113" s="27" t="s">
        <v>872</v>
      </c>
      <c r="O113" s="27" t="s">
        <v>159</v>
      </c>
      <c r="P113" s="27">
        <v>14277</v>
      </c>
      <c r="Q113" s="27">
        <v>90</v>
      </c>
      <c r="R113" s="27">
        <v>0</v>
      </c>
      <c r="S113" s="27">
        <v>0</v>
      </c>
      <c r="T113" s="27">
        <v>0</v>
      </c>
      <c r="U113" s="27">
        <v>14644</v>
      </c>
      <c r="V113" s="27">
        <v>3580</v>
      </c>
    </row>
    <row r="114" spans="1:22" x14ac:dyDescent="0.25">
      <c r="A114" s="27" t="s">
        <v>72</v>
      </c>
      <c r="B114" s="27" t="s">
        <v>872</v>
      </c>
      <c r="C114" s="27" t="s">
        <v>160</v>
      </c>
      <c r="D114" s="32">
        <f>66377+20+32082</f>
        <v>98479</v>
      </c>
      <c r="E114" s="32">
        <f>198+56+7+131+503+889</f>
        <v>1784</v>
      </c>
      <c r="F114" s="32">
        <v>0</v>
      </c>
      <c r="G114" s="32">
        <v>0</v>
      </c>
      <c r="H114" s="32">
        <v>0</v>
      </c>
      <c r="I114" s="32">
        <v>53286</v>
      </c>
      <c r="J114" s="32">
        <v>27049</v>
      </c>
      <c r="K114" s="32"/>
      <c r="M114" s="27" t="s">
        <v>72</v>
      </c>
      <c r="N114" s="27" t="s">
        <v>872</v>
      </c>
      <c r="O114" s="27" t="s">
        <v>160</v>
      </c>
      <c r="P114" s="27">
        <v>98479</v>
      </c>
      <c r="Q114" s="27">
        <v>1784</v>
      </c>
      <c r="R114" s="27">
        <v>0</v>
      </c>
      <c r="S114" s="27">
        <v>0</v>
      </c>
      <c r="T114" s="27">
        <v>0</v>
      </c>
      <c r="U114" s="27">
        <v>53286</v>
      </c>
      <c r="V114" s="27">
        <v>27049</v>
      </c>
    </row>
    <row r="115" spans="1:22" x14ac:dyDescent="0.25">
      <c r="A115" s="27" t="s">
        <v>226</v>
      </c>
      <c r="B115" s="27" t="s">
        <v>872</v>
      </c>
      <c r="C115" s="27" t="s">
        <v>161</v>
      </c>
      <c r="D115" s="32">
        <f>7080+26+44+348</f>
        <v>7498</v>
      </c>
      <c r="E115" s="32">
        <v>1</v>
      </c>
      <c r="F115" s="32">
        <v>0</v>
      </c>
      <c r="G115" s="32">
        <v>0</v>
      </c>
      <c r="H115" s="32">
        <v>0</v>
      </c>
      <c r="I115" s="32">
        <v>1270</v>
      </c>
      <c r="J115" s="32">
        <v>345</v>
      </c>
      <c r="K115" s="32"/>
      <c r="M115" s="27" t="s">
        <v>226</v>
      </c>
      <c r="N115" s="27" t="s">
        <v>872</v>
      </c>
      <c r="O115" s="27" t="s">
        <v>161</v>
      </c>
      <c r="P115" s="27">
        <v>7498</v>
      </c>
      <c r="Q115" s="27">
        <v>1</v>
      </c>
      <c r="R115" s="27">
        <v>0</v>
      </c>
      <c r="S115" s="27">
        <v>0</v>
      </c>
      <c r="T115" s="27">
        <v>0</v>
      </c>
      <c r="U115" s="27">
        <v>1270</v>
      </c>
      <c r="V115" s="27">
        <v>345</v>
      </c>
    </row>
    <row r="116" spans="1:22" x14ac:dyDescent="0.25">
      <c r="A116" s="27" t="s">
        <v>791</v>
      </c>
      <c r="B116" s="27" t="s">
        <v>872</v>
      </c>
      <c r="C116" s="27" t="s">
        <v>162</v>
      </c>
      <c r="D116" s="32">
        <f>21144+1+112+1+1+3+34+1+231+11335</f>
        <v>32863</v>
      </c>
      <c r="E116" s="32">
        <f>61+33+1+7+139</f>
        <v>241</v>
      </c>
      <c r="F116" s="32">
        <v>0</v>
      </c>
      <c r="G116" s="32">
        <v>0</v>
      </c>
      <c r="H116" s="32">
        <v>0</v>
      </c>
      <c r="I116" s="32">
        <v>11665</v>
      </c>
      <c r="J116" s="32">
        <v>10419</v>
      </c>
      <c r="K116" s="32"/>
      <c r="M116" s="27" t="s">
        <v>791</v>
      </c>
      <c r="N116" s="27" t="s">
        <v>872</v>
      </c>
      <c r="O116" s="27" t="s">
        <v>162</v>
      </c>
      <c r="P116" s="27">
        <v>32863</v>
      </c>
      <c r="Q116" s="27">
        <v>241</v>
      </c>
      <c r="R116" s="27">
        <v>0</v>
      </c>
      <c r="S116" s="27">
        <v>0</v>
      </c>
      <c r="T116" s="27">
        <v>0</v>
      </c>
      <c r="U116" s="27">
        <v>11665</v>
      </c>
      <c r="V116" s="27">
        <v>10419</v>
      </c>
    </row>
    <row r="117" spans="1:22" x14ac:dyDescent="0.25">
      <c r="A117" s="27" t="s">
        <v>811</v>
      </c>
      <c r="B117" s="27" t="s">
        <v>872</v>
      </c>
      <c r="C117" s="27" t="s">
        <v>163</v>
      </c>
      <c r="D117" s="32">
        <f>54155+4+2+4+8+61+35492</f>
        <v>89726</v>
      </c>
      <c r="E117" s="32">
        <f>1680+24+4+355+29</f>
        <v>2092</v>
      </c>
      <c r="F117" s="32">
        <v>0</v>
      </c>
      <c r="G117" s="32">
        <v>0</v>
      </c>
      <c r="H117" s="32">
        <v>0</v>
      </c>
      <c r="I117" s="32">
        <v>67115</v>
      </c>
      <c r="J117" s="32">
        <v>30290</v>
      </c>
      <c r="K117" s="32"/>
      <c r="M117" s="27" t="s">
        <v>811</v>
      </c>
      <c r="N117" s="27" t="s">
        <v>872</v>
      </c>
      <c r="O117" s="27" t="s">
        <v>163</v>
      </c>
      <c r="P117" s="27">
        <v>89726</v>
      </c>
      <c r="Q117" s="27">
        <v>2092</v>
      </c>
      <c r="R117" s="27">
        <v>0</v>
      </c>
      <c r="S117" s="27">
        <v>0</v>
      </c>
      <c r="T117" s="27">
        <v>0</v>
      </c>
      <c r="U117" s="27">
        <v>67115</v>
      </c>
      <c r="V117" s="27">
        <v>30290</v>
      </c>
    </row>
    <row r="118" spans="1:22" x14ac:dyDescent="0.25">
      <c r="A118" s="27" t="s">
        <v>791</v>
      </c>
      <c r="B118" s="27" t="s">
        <v>872</v>
      </c>
      <c r="C118" s="27" t="s">
        <v>164</v>
      </c>
      <c r="D118" s="32">
        <f>51448+2+19+19101</f>
        <v>70570</v>
      </c>
      <c r="E118" s="32">
        <f>89+36+36+38</f>
        <v>199</v>
      </c>
      <c r="F118" s="32">
        <v>0</v>
      </c>
      <c r="G118" s="32">
        <v>0</v>
      </c>
      <c r="H118" s="32">
        <v>0</v>
      </c>
      <c r="I118" s="32">
        <v>35031</v>
      </c>
      <c r="J118" s="32">
        <v>16222</v>
      </c>
      <c r="K118" s="32"/>
      <c r="M118" s="27" t="s">
        <v>791</v>
      </c>
      <c r="N118" s="27" t="s">
        <v>872</v>
      </c>
      <c r="O118" s="27" t="s">
        <v>164</v>
      </c>
      <c r="P118" s="27">
        <v>70570</v>
      </c>
      <c r="Q118" s="27">
        <v>199</v>
      </c>
      <c r="R118" s="27">
        <v>0</v>
      </c>
      <c r="S118" s="27">
        <v>0</v>
      </c>
      <c r="T118" s="27">
        <v>0</v>
      </c>
      <c r="U118" s="27">
        <v>35031</v>
      </c>
      <c r="V118" s="27">
        <v>16222</v>
      </c>
    </row>
    <row r="119" spans="1:22" x14ac:dyDescent="0.25">
      <c r="A119" s="27" t="s">
        <v>83</v>
      </c>
      <c r="B119" s="27" t="s">
        <v>872</v>
      </c>
      <c r="C119" s="27" t="s">
        <v>165</v>
      </c>
      <c r="D119" s="32">
        <f>11507+1+5628</f>
        <v>17136</v>
      </c>
      <c r="E119" s="32">
        <f>134+24+13</f>
        <v>171</v>
      </c>
      <c r="F119" s="32">
        <v>0</v>
      </c>
      <c r="G119" s="32">
        <v>0</v>
      </c>
      <c r="H119" s="32">
        <v>0</v>
      </c>
      <c r="I119" s="32">
        <v>7011</v>
      </c>
      <c r="J119" s="32">
        <v>3054</v>
      </c>
      <c r="K119" s="32"/>
      <c r="M119" s="27" t="s">
        <v>83</v>
      </c>
      <c r="N119" s="27" t="s">
        <v>872</v>
      </c>
      <c r="O119" s="27" t="s">
        <v>165</v>
      </c>
      <c r="P119" s="27">
        <v>17136</v>
      </c>
      <c r="Q119" s="27">
        <v>171</v>
      </c>
      <c r="R119" s="27">
        <v>0</v>
      </c>
      <c r="S119" s="27">
        <v>0</v>
      </c>
      <c r="T119" s="27">
        <v>0</v>
      </c>
      <c r="U119" s="27">
        <v>7011</v>
      </c>
      <c r="V119" s="27">
        <v>3054</v>
      </c>
    </row>
    <row r="120" spans="1:22" x14ac:dyDescent="0.25">
      <c r="A120" s="27" t="s">
        <v>818</v>
      </c>
      <c r="B120" s="27" t="s">
        <v>872</v>
      </c>
      <c r="C120" s="27" t="s">
        <v>166</v>
      </c>
      <c r="D120" s="32">
        <f>9719+1+1455+2+34+1064</f>
        <v>12275</v>
      </c>
      <c r="E120" s="32">
        <f>10+8+2</f>
        <v>20</v>
      </c>
      <c r="F120" s="32">
        <v>0</v>
      </c>
      <c r="G120" s="32">
        <v>0</v>
      </c>
      <c r="H120" s="32">
        <v>0</v>
      </c>
      <c r="I120" s="32">
        <v>12166</v>
      </c>
      <c r="J120" s="32">
        <v>961</v>
      </c>
      <c r="K120" s="32"/>
      <c r="M120" s="27" t="s">
        <v>818</v>
      </c>
      <c r="N120" s="27" t="s">
        <v>872</v>
      </c>
      <c r="O120" s="27" t="s">
        <v>166</v>
      </c>
      <c r="P120" s="27">
        <v>12275</v>
      </c>
      <c r="Q120" s="27">
        <v>20</v>
      </c>
      <c r="R120" s="27">
        <v>0</v>
      </c>
      <c r="S120" s="27">
        <v>0</v>
      </c>
      <c r="T120" s="27">
        <v>0</v>
      </c>
      <c r="U120" s="27">
        <v>12166</v>
      </c>
      <c r="V120" s="27">
        <v>961</v>
      </c>
    </row>
    <row r="121" spans="1:22" x14ac:dyDescent="0.25">
      <c r="A121" s="27" t="s">
        <v>801</v>
      </c>
      <c r="B121" s="27" t="s">
        <v>872</v>
      </c>
      <c r="C121" s="27" t="s">
        <v>167</v>
      </c>
      <c r="D121" s="32">
        <f>36649+1+493+19+4+1+5243</f>
        <v>42410</v>
      </c>
      <c r="E121" s="32">
        <f>99+1+2+1</f>
        <v>103</v>
      </c>
      <c r="F121" s="32">
        <v>0</v>
      </c>
      <c r="G121" s="32">
        <v>0</v>
      </c>
      <c r="H121" s="32">
        <v>0</v>
      </c>
      <c r="I121" s="32">
        <v>37430</v>
      </c>
      <c r="J121" s="32">
        <v>4761</v>
      </c>
      <c r="K121" s="32"/>
      <c r="M121" s="27" t="s">
        <v>801</v>
      </c>
      <c r="N121" s="27" t="s">
        <v>872</v>
      </c>
      <c r="O121" s="27" t="s">
        <v>167</v>
      </c>
      <c r="P121" s="27">
        <v>42410</v>
      </c>
      <c r="Q121" s="27">
        <v>103</v>
      </c>
      <c r="R121" s="27">
        <v>0</v>
      </c>
      <c r="S121" s="27">
        <v>0</v>
      </c>
      <c r="T121" s="27">
        <v>0</v>
      </c>
      <c r="U121" s="27">
        <v>37430</v>
      </c>
      <c r="V121" s="27">
        <v>4761</v>
      </c>
    </row>
    <row r="122" spans="1:22" x14ac:dyDescent="0.25">
      <c r="A122" s="27" t="s">
        <v>826</v>
      </c>
      <c r="B122" s="27" t="s">
        <v>872</v>
      </c>
      <c r="C122" s="27" t="s">
        <v>168</v>
      </c>
      <c r="D122" s="32">
        <f>58147+14+5+42+1126+29+1+4+6+3+20+453+3650</f>
        <v>63500</v>
      </c>
      <c r="E122" s="32">
        <f>492+16+2+5+7</f>
        <v>522</v>
      </c>
      <c r="F122" s="32">
        <v>0</v>
      </c>
      <c r="G122" s="32">
        <v>0</v>
      </c>
      <c r="H122" s="32">
        <v>0</v>
      </c>
      <c r="I122" s="32">
        <v>22381</v>
      </c>
      <c r="J122" s="32">
        <v>3255</v>
      </c>
      <c r="K122" s="32"/>
      <c r="M122" s="27" t="s">
        <v>826</v>
      </c>
      <c r="N122" s="27" t="s">
        <v>872</v>
      </c>
      <c r="O122" s="27" t="s">
        <v>168</v>
      </c>
      <c r="P122" s="27">
        <v>63500</v>
      </c>
      <c r="Q122" s="27">
        <v>522</v>
      </c>
      <c r="R122" s="27">
        <v>0</v>
      </c>
      <c r="S122" s="27">
        <v>0</v>
      </c>
      <c r="T122" s="27">
        <v>0</v>
      </c>
      <c r="U122" s="27">
        <v>22381</v>
      </c>
      <c r="V122" s="27">
        <v>3255</v>
      </c>
    </row>
    <row r="123" spans="1:22" x14ac:dyDescent="0.25">
      <c r="A123" s="27" t="s">
        <v>848</v>
      </c>
      <c r="B123" s="27" t="s">
        <v>872</v>
      </c>
      <c r="C123" s="27" t="s">
        <v>169</v>
      </c>
      <c r="D123" s="32">
        <f>10325+1+40+2+4+35+5211+1</f>
        <v>15619</v>
      </c>
      <c r="E123" s="32">
        <f>73+2+39+55+1</f>
        <v>170</v>
      </c>
      <c r="F123" s="32">
        <v>0</v>
      </c>
      <c r="G123" s="32">
        <v>0</v>
      </c>
      <c r="H123" s="32">
        <v>0</v>
      </c>
      <c r="I123" s="32">
        <v>3046</v>
      </c>
      <c r="J123" s="32">
        <v>4974</v>
      </c>
      <c r="K123" s="32"/>
      <c r="M123" s="27" t="s">
        <v>848</v>
      </c>
      <c r="N123" s="27" t="s">
        <v>872</v>
      </c>
      <c r="O123" s="27" t="s">
        <v>169</v>
      </c>
      <c r="P123" s="27">
        <v>15619</v>
      </c>
      <c r="Q123" s="27">
        <v>170</v>
      </c>
      <c r="R123" s="27">
        <v>0</v>
      </c>
      <c r="S123" s="27">
        <v>0</v>
      </c>
      <c r="T123" s="27">
        <v>0</v>
      </c>
      <c r="U123" s="27">
        <v>3046</v>
      </c>
      <c r="V123" s="27">
        <v>4974</v>
      </c>
    </row>
    <row r="124" spans="1:22" x14ac:dyDescent="0.25">
      <c r="A124" s="27" t="s">
        <v>811</v>
      </c>
      <c r="B124" s="27" t="s">
        <v>872</v>
      </c>
      <c r="C124" s="27" t="s">
        <v>170</v>
      </c>
      <c r="D124" s="32">
        <f>39265+1320+119+21371+5</f>
        <v>62080</v>
      </c>
      <c r="E124" s="32">
        <f>1295+88+7+126+29</f>
        <v>1545</v>
      </c>
      <c r="F124" s="32">
        <v>0</v>
      </c>
      <c r="G124" s="32">
        <v>0</v>
      </c>
      <c r="H124" s="32">
        <v>0</v>
      </c>
      <c r="I124" s="32">
        <v>22762</v>
      </c>
      <c r="J124" s="32">
        <v>18849</v>
      </c>
      <c r="K124" s="32"/>
      <c r="M124" s="27" t="s">
        <v>811</v>
      </c>
      <c r="N124" s="27" t="s">
        <v>872</v>
      </c>
      <c r="O124" s="27" t="s">
        <v>170</v>
      </c>
      <c r="P124" s="27">
        <v>62080</v>
      </c>
      <c r="Q124" s="27">
        <v>1545</v>
      </c>
      <c r="R124" s="27">
        <v>0</v>
      </c>
      <c r="S124" s="27">
        <v>0</v>
      </c>
      <c r="T124" s="27">
        <v>0</v>
      </c>
      <c r="U124" s="27">
        <v>22762</v>
      </c>
      <c r="V124" s="27">
        <v>18849</v>
      </c>
    </row>
    <row r="125" spans="1:22" x14ac:dyDescent="0.25">
      <c r="A125" s="27" t="s">
        <v>512</v>
      </c>
      <c r="B125" s="27" t="s">
        <v>872</v>
      </c>
      <c r="C125" s="27" t="s">
        <v>171</v>
      </c>
      <c r="D125" s="32">
        <f>11527+7295</f>
        <v>18822</v>
      </c>
      <c r="E125" s="32">
        <v>4</v>
      </c>
      <c r="F125" s="32">
        <v>0</v>
      </c>
      <c r="G125" s="32">
        <v>0</v>
      </c>
      <c r="H125" s="32">
        <v>0</v>
      </c>
      <c r="I125" s="32">
        <v>5923</v>
      </c>
      <c r="J125" s="32">
        <v>4705</v>
      </c>
      <c r="K125" s="32"/>
      <c r="M125" s="27" t="s">
        <v>512</v>
      </c>
      <c r="N125" s="27" t="s">
        <v>872</v>
      </c>
      <c r="O125" s="27" t="s">
        <v>171</v>
      </c>
      <c r="P125" s="27">
        <v>18822</v>
      </c>
      <c r="Q125" s="27">
        <v>4</v>
      </c>
      <c r="R125" s="27">
        <v>0</v>
      </c>
      <c r="S125" s="27">
        <v>0</v>
      </c>
      <c r="T125" s="27">
        <v>0</v>
      </c>
      <c r="U125" s="27">
        <v>5923</v>
      </c>
      <c r="V125" s="27">
        <v>4705</v>
      </c>
    </row>
    <row r="126" spans="1:22" x14ac:dyDescent="0.25">
      <c r="A126" s="27" t="s">
        <v>848</v>
      </c>
      <c r="B126" s="27" t="s">
        <v>872</v>
      </c>
      <c r="C126" s="27" t="s">
        <v>172</v>
      </c>
      <c r="D126" s="32">
        <f>9230+4798</f>
        <v>14028</v>
      </c>
      <c r="E126" s="32">
        <f>6+24+83+154</f>
        <v>267</v>
      </c>
      <c r="F126" s="32">
        <v>0</v>
      </c>
      <c r="G126" s="32">
        <v>0</v>
      </c>
      <c r="H126" s="32">
        <v>0</v>
      </c>
      <c r="I126" s="32">
        <v>4932</v>
      </c>
      <c r="J126" s="32">
        <v>2573</v>
      </c>
      <c r="K126" s="32"/>
      <c r="M126" s="27" t="s">
        <v>848</v>
      </c>
      <c r="N126" s="27" t="s">
        <v>872</v>
      </c>
      <c r="O126" s="27" t="s">
        <v>172</v>
      </c>
      <c r="P126" s="27">
        <v>14028</v>
      </c>
      <c r="Q126" s="27">
        <v>267</v>
      </c>
      <c r="R126" s="27">
        <v>0</v>
      </c>
      <c r="S126" s="27">
        <v>0</v>
      </c>
      <c r="T126" s="27">
        <v>0</v>
      </c>
      <c r="U126" s="27">
        <v>4932</v>
      </c>
      <c r="V126" s="27">
        <v>2573</v>
      </c>
    </row>
    <row r="127" spans="1:22" x14ac:dyDescent="0.25">
      <c r="A127" s="27" t="s">
        <v>801</v>
      </c>
      <c r="B127" s="27" t="s">
        <v>872</v>
      </c>
      <c r="C127" s="27" t="s">
        <v>173</v>
      </c>
      <c r="D127" s="32">
        <f>49261+1+1+5667+7+1+3+4+33393</f>
        <v>88338</v>
      </c>
      <c r="E127" s="32">
        <f>270+9+1+7+1567+17+47</f>
        <v>1918</v>
      </c>
      <c r="F127" s="32">
        <v>0</v>
      </c>
      <c r="G127" s="32">
        <v>0</v>
      </c>
      <c r="H127" s="32">
        <v>0</v>
      </c>
      <c r="I127" s="32">
        <v>0</v>
      </c>
      <c r="J127" s="32">
        <v>0</v>
      </c>
      <c r="K127" s="32"/>
      <c r="M127" s="27" t="s">
        <v>801</v>
      </c>
      <c r="N127" s="27" t="s">
        <v>872</v>
      </c>
      <c r="O127" s="27" t="s">
        <v>173</v>
      </c>
      <c r="P127" s="27">
        <v>88338</v>
      </c>
      <c r="Q127" s="27">
        <v>1918</v>
      </c>
      <c r="R127" s="27">
        <v>0</v>
      </c>
      <c r="S127" s="27">
        <v>0</v>
      </c>
      <c r="T127" s="27">
        <v>0</v>
      </c>
    </row>
    <row r="128" spans="1:22" x14ac:dyDescent="0.25">
      <c r="A128" s="27" t="s">
        <v>864</v>
      </c>
      <c r="B128" s="27" t="s">
        <v>872</v>
      </c>
      <c r="C128" s="27" t="s">
        <v>174</v>
      </c>
      <c r="D128" s="32">
        <f>25119+5+72+6+12+8507+3+2</f>
        <v>33726</v>
      </c>
      <c r="E128" s="32">
        <f>25+26+35+18</f>
        <v>104</v>
      </c>
      <c r="F128" s="32">
        <v>0</v>
      </c>
      <c r="G128" s="32">
        <v>0</v>
      </c>
      <c r="H128" s="32">
        <v>0</v>
      </c>
      <c r="I128" s="32">
        <v>26730</v>
      </c>
      <c r="J128" s="32">
        <v>7000</v>
      </c>
      <c r="K128" s="32"/>
      <c r="M128" s="27" t="s">
        <v>864</v>
      </c>
      <c r="N128" s="27" t="s">
        <v>872</v>
      </c>
      <c r="O128" s="27" t="s">
        <v>174</v>
      </c>
      <c r="P128" s="27">
        <v>33726</v>
      </c>
      <c r="Q128" s="27">
        <v>104</v>
      </c>
      <c r="R128" s="27">
        <v>0</v>
      </c>
      <c r="S128" s="27">
        <v>0</v>
      </c>
      <c r="T128" s="27">
        <v>0</v>
      </c>
      <c r="U128" s="27">
        <v>26730</v>
      </c>
      <c r="V128" s="27">
        <v>7000</v>
      </c>
    </row>
    <row r="129" spans="1:22" x14ac:dyDescent="0.25">
      <c r="A129" s="27" t="s">
        <v>226</v>
      </c>
      <c r="B129" s="27" t="s">
        <v>872</v>
      </c>
      <c r="C129" s="27" t="s">
        <v>175</v>
      </c>
      <c r="D129" s="32">
        <f>4505+24+19+1300</f>
        <v>5848</v>
      </c>
      <c r="E129" s="32">
        <v>344</v>
      </c>
      <c r="F129" s="32">
        <v>0</v>
      </c>
      <c r="G129" s="32">
        <v>0</v>
      </c>
      <c r="H129" s="32">
        <v>0</v>
      </c>
      <c r="I129" s="32">
        <v>2073</v>
      </c>
      <c r="J129" s="32">
        <v>1105</v>
      </c>
      <c r="K129" s="32"/>
      <c r="M129" s="27" t="s">
        <v>226</v>
      </c>
      <c r="N129" s="27" t="s">
        <v>872</v>
      </c>
      <c r="O129" s="27" t="s">
        <v>175</v>
      </c>
      <c r="P129" s="27">
        <v>5848</v>
      </c>
      <c r="Q129" s="27">
        <v>344</v>
      </c>
      <c r="R129" s="27">
        <v>0</v>
      </c>
      <c r="S129" s="27">
        <v>0</v>
      </c>
      <c r="T129" s="27">
        <v>0</v>
      </c>
      <c r="U129" s="27">
        <v>2073</v>
      </c>
      <c r="V129" s="27">
        <v>1105</v>
      </c>
    </row>
    <row r="130" spans="1:22" x14ac:dyDescent="0.25">
      <c r="A130" s="27" t="s">
        <v>794</v>
      </c>
      <c r="B130" s="27" t="s">
        <v>872</v>
      </c>
      <c r="C130" s="27" t="s">
        <v>176</v>
      </c>
      <c r="D130" s="32">
        <f>105542+347+12+11405</f>
        <v>117306</v>
      </c>
      <c r="E130" s="32">
        <f>107+3+13+4</f>
        <v>127</v>
      </c>
      <c r="F130" s="32">
        <v>0</v>
      </c>
      <c r="G130" s="32">
        <v>0</v>
      </c>
      <c r="H130" s="32">
        <v>0</v>
      </c>
      <c r="I130" s="32">
        <v>28544</v>
      </c>
      <c r="J130" s="32">
        <v>9358</v>
      </c>
      <c r="K130" s="32"/>
      <c r="M130" s="27" t="s">
        <v>794</v>
      </c>
      <c r="N130" s="27" t="s">
        <v>872</v>
      </c>
      <c r="O130" s="27" t="s">
        <v>176</v>
      </c>
      <c r="P130" s="27">
        <v>117306</v>
      </c>
      <c r="Q130" s="27">
        <v>127</v>
      </c>
      <c r="R130" s="27">
        <v>0</v>
      </c>
      <c r="S130" s="27">
        <v>0</v>
      </c>
      <c r="T130" s="27">
        <v>0</v>
      </c>
      <c r="U130" s="27">
        <v>28544</v>
      </c>
      <c r="V130" s="27">
        <v>9358</v>
      </c>
    </row>
    <row r="131" spans="1:22" x14ac:dyDescent="0.25">
      <c r="A131" s="27" t="s">
        <v>248</v>
      </c>
      <c r="B131" s="27" t="s">
        <v>872</v>
      </c>
      <c r="C131" s="27" t="s">
        <v>177</v>
      </c>
      <c r="D131" s="32">
        <f>23549+3+1+12+2+19+5+64+13108</f>
        <v>36763</v>
      </c>
      <c r="E131" s="32">
        <f>25+2+14+107+61</f>
        <v>209</v>
      </c>
      <c r="F131" s="32">
        <v>0</v>
      </c>
      <c r="G131" s="32">
        <v>0</v>
      </c>
      <c r="H131" s="32">
        <v>0</v>
      </c>
      <c r="I131" s="32">
        <v>39914</v>
      </c>
      <c r="J131" s="32">
        <v>9707</v>
      </c>
      <c r="K131" s="32"/>
      <c r="M131" s="27" t="s">
        <v>248</v>
      </c>
      <c r="N131" s="27" t="s">
        <v>872</v>
      </c>
      <c r="O131" s="27" t="s">
        <v>177</v>
      </c>
      <c r="P131" s="27">
        <v>36763</v>
      </c>
      <c r="Q131" s="27">
        <v>209</v>
      </c>
      <c r="R131" s="27">
        <v>0</v>
      </c>
      <c r="S131" s="27">
        <v>0</v>
      </c>
      <c r="T131" s="27">
        <v>0</v>
      </c>
      <c r="U131" s="27">
        <v>39914</v>
      </c>
      <c r="V131" s="27">
        <v>9707</v>
      </c>
    </row>
    <row r="132" spans="1:22" x14ac:dyDescent="0.25">
      <c r="A132" s="27" t="s">
        <v>83</v>
      </c>
      <c r="B132" s="27" t="s">
        <v>872</v>
      </c>
      <c r="C132" s="27" t="s">
        <v>178</v>
      </c>
      <c r="D132" s="32">
        <f>60872+278+34+2+1+13742</f>
        <v>74929</v>
      </c>
      <c r="E132" s="32">
        <f>612+26+47</f>
        <v>685</v>
      </c>
      <c r="F132" s="32">
        <v>0</v>
      </c>
      <c r="G132" s="32">
        <v>0</v>
      </c>
      <c r="H132" s="32">
        <v>0</v>
      </c>
      <c r="I132" s="32">
        <v>89192</v>
      </c>
      <c r="J132" s="32">
        <v>12593</v>
      </c>
      <c r="K132" s="32"/>
      <c r="M132" s="27" t="s">
        <v>83</v>
      </c>
      <c r="N132" s="27" t="s">
        <v>872</v>
      </c>
      <c r="O132" s="27" t="s">
        <v>178</v>
      </c>
      <c r="P132" s="27">
        <v>74929</v>
      </c>
      <c r="Q132" s="27">
        <v>685</v>
      </c>
      <c r="R132" s="27">
        <v>0</v>
      </c>
      <c r="S132" s="27">
        <v>0</v>
      </c>
      <c r="T132" s="27">
        <v>0</v>
      </c>
      <c r="U132" s="27">
        <v>89192</v>
      </c>
      <c r="V132" s="27">
        <v>12593</v>
      </c>
    </row>
    <row r="133" spans="1:22" x14ac:dyDescent="0.25">
      <c r="A133" s="27" t="s">
        <v>823</v>
      </c>
      <c r="B133" s="27" t="s">
        <v>872</v>
      </c>
      <c r="C133" s="27" t="s">
        <v>179</v>
      </c>
      <c r="D133" s="32">
        <f>49932+92+3138+1+1+33693+1658</f>
        <v>88515</v>
      </c>
      <c r="E133" s="32">
        <f>277+1+45+4+97+508+180</f>
        <v>1112</v>
      </c>
      <c r="F133" s="32">
        <v>0</v>
      </c>
      <c r="G133" s="32">
        <v>0</v>
      </c>
      <c r="H133" s="32">
        <v>0</v>
      </c>
      <c r="I133" s="32">
        <v>15404</v>
      </c>
      <c r="J133" s="32">
        <v>31240</v>
      </c>
      <c r="K133" s="32"/>
      <c r="M133" s="27" t="s">
        <v>823</v>
      </c>
      <c r="N133" s="27" t="s">
        <v>872</v>
      </c>
      <c r="O133" s="27" t="s">
        <v>179</v>
      </c>
      <c r="P133" s="27">
        <v>88515</v>
      </c>
      <c r="Q133" s="27">
        <v>1112</v>
      </c>
      <c r="R133" s="27">
        <v>0</v>
      </c>
      <c r="S133" s="27">
        <v>0</v>
      </c>
      <c r="T133" s="27">
        <v>0</v>
      </c>
      <c r="U133" s="27">
        <v>15404</v>
      </c>
      <c r="V133" s="27">
        <v>31240</v>
      </c>
    </row>
    <row r="134" spans="1:22" x14ac:dyDescent="0.25">
      <c r="A134" s="27" t="s">
        <v>795</v>
      </c>
      <c r="B134" s="27" t="s">
        <v>872</v>
      </c>
      <c r="C134" s="27" t="s">
        <v>180</v>
      </c>
      <c r="D134" s="32">
        <f>97900+16+52181</f>
        <v>150097</v>
      </c>
      <c r="E134" s="32">
        <f>24+69</f>
        <v>93</v>
      </c>
      <c r="F134" s="32">
        <v>0</v>
      </c>
      <c r="G134" s="32">
        <v>0</v>
      </c>
      <c r="H134" s="32">
        <v>0</v>
      </c>
      <c r="I134" s="32">
        <v>79613</v>
      </c>
      <c r="J134" s="32">
        <v>48938</v>
      </c>
      <c r="K134" s="32"/>
      <c r="M134" s="27" t="s">
        <v>795</v>
      </c>
      <c r="N134" s="27" t="s">
        <v>872</v>
      </c>
      <c r="O134" s="27" t="s">
        <v>180</v>
      </c>
      <c r="P134" s="27">
        <v>150097</v>
      </c>
      <c r="Q134" s="27">
        <v>93</v>
      </c>
      <c r="R134" s="27">
        <v>0</v>
      </c>
      <c r="S134" s="27">
        <v>0</v>
      </c>
      <c r="T134" s="27">
        <v>0</v>
      </c>
      <c r="U134" s="27">
        <v>79613</v>
      </c>
      <c r="V134" s="27">
        <v>48938</v>
      </c>
    </row>
    <row r="135" spans="1:22" x14ac:dyDescent="0.25">
      <c r="A135" s="27" t="s">
        <v>791</v>
      </c>
      <c r="B135" s="27" t="s">
        <v>872</v>
      </c>
      <c r="C135" s="27" t="s">
        <v>181</v>
      </c>
      <c r="D135" s="32">
        <f>5827+65+4+1+8+56+8879+1</f>
        <v>14841</v>
      </c>
      <c r="E135" s="32">
        <f>5+465+81+2</f>
        <v>553</v>
      </c>
      <c r="F135" s="32">
        <v>0</v>
      </c>
      <c r="G135" s="32">
        <v>0</v>
      </c>
      <c r="H135" s="32">
        <v>0</v>
      </c>
      <c r="I135" s="32">
        <v>20380</v>
      </c>
      <c r="J135" s="32">
        <v>4429</v>
      </c>
      <c r="K135" s="32"/>
      <c r="M135" s="27" t="s">
        <v>791</v>
      </c>
      <c r="N135" s="27" t="s">
        <v>872</v>
      </c>
      <c r="O135" s="27" t="s">
        <v>181</v>
      </c>
      <c r="P135" s="27">
        <v>14841</v>
      </c>
      <c r="Q135" s="27">
        <v>553</v>
      </c>
      <c r="R135" s="27">
        <v>0</v>
      </c>
      <c r="S135" s="27">
        <v>0</v>
      </c>
      <c r="T135" s="27">
        <v>0</v>
      </c>
      <c r="U135" s="27">
        <v>20380</v>
      </c>
      <c r="V135" s="27">
        <v>4429</v>
      </c>
    </row>
    <row r="136" spans="1:22" x14ac:dyDescent="0.25">
      <c r="A136" s="27" t="s">
        <v>83</v>
      </c>
      <c r="B136" s="27" t="s">
        <v>872</v>
      </c>
      <c r="C136" s="27" t="s">
        <v>182</v>
      </c>
      <c r="D136" s="32">
        <f>27427+10191</f>
        <v>37618</v>
      </c>
      <c r="E136" s="32">
        <f>76+5</f>
        <v>81</v>
      </c>
      <c r="F136" s="32">
        <v>0</v>
      </c>
      <c r="G136" s="32">
        <v>0</v>
      </c>
      <c r="H136" s="32">
        <v>0</v>
      </c>
      <c r="I136" s="32">
        <v>5637</v>
      </c>
      <c r="J136" s="32">
        <v>9752</v>
      </c>
      <c r="K136" s="32"/>
      <c r="M136" s="27" t="s">
        <v>83</v>
      </c>
      <c r="N136" s="27" t="s">
        <v>872</v>
      </c>
      <c r="O136" s="27" t="s">
        <v>182</v>
      </c>
      <c r="P136" s="27">
        <v>37618</v>
      </c>
      <c r="Q136" s="27">
        <v>81</v>
      </c>
      <c r="R136" s="27">
        <v>0</v>
      </c>
      <c r="S136" s="27">
        <v>0</v>
      </c>
      <c r="T136" s="27">
        <v>0</v>
      </c>
      <c r="U136" s="27">
        <v>5637</v>
      </c>
      <c r="V136" s="27">
        <v>9752</v>
      </c>
    </row>
    <row r="137" spans="1:22" x14ac:dyDescent="0.25">
      <c r="A137" s="27" t="s">
        <v>803</v>
      </c>
      <c r="B137" s="27" t="s">
        <v>872</v>
      </c>
      <c r="C137" s="27" t="s">
        <v>183</v>
      </c>
      <c r="D137" s="32"/>
      <c r="E137" s="32"/>
      <c r="F137" s="32"/>
      <c r="G137" s="32"/>
      <c r="H137" s="32"/>
      <c r="I137" s="32"/>
      <c r="J137" s="32"/>
      <c r="K137" s="32"/>
      <c r="M137" s="27" t="s">
        <v>803</v>
      </c>
      <c r="N137" s="27" t="s">
        <v>872</v>
      </c>
      <c r="O137" s="27" t="s">
        <v>183</v>
      </c>
    </row>
    <row r="138" spans="1:22" x14ac:dyDescent="0.25">
      <c r="A138" s="27" t="s">
        <v>67</v>
      </c>
      <c r="B138" s="27" t="s">
        <v>872</v>
      </c>
      <c r="C138" s="27" t="s">
        <v>184</v>
      </c>
      <c r="D138" s="32">
        <f>58503+2+1763+11+17+12350+156+9</f>
        <v>72811</v>
      </c>
      <c r="E138" s="32">
        <f>181+84+40+9+19</f>
        <v>333</v>
      </c>
      <c r="F138" s="32">
        <v>0</v>
      </c>
      <c r="G138" s="32">
        <v>0</v>
      </c>
      <c r="H138" s="32">
        <v>0</v>
      </c>
      <c r="I138" s="32">
        <v>74801</v>
      </c>
      <c r="J138" s="32">
        <v>10533</v>
      </c>
      <c r="K138" s="32"/>
      <c r="M138" s="27" t="s">
        <v>67</v>
      </c>
      <c r="N138" s="27" t="s">
        <v>872</v>
      </c>
      <c r="O138" s="27" t="s">
        <v>184</v>
      </c>
      <c r="P138" s="27">
        <v>72811</v>
      </c>
      <c r="Q138" s="27">
        <v>333</v>
      </c>
      <c r="R138" s="27">
        <v>0</v>
      </c>
      <c r="S138" s="27">
        <v>0</v>
      </c>
      <c r="T138" s="27">
        <v>0</v>
      </c>
      <c r="U138" s="27">
        <v>74801</v>
      </c>
      <c r="V138" s="27">
        <v>10533</v>
      </c>
    </row>
    <row r="139" spans="1:22" x14ac:dyDescent="0.25">
      <c r="A139" s="27" t="s">
        <v>865</v>
      </c>
      <c r="B139" s="27" t="s">
        <v>872</v>
      </c>
      <c r="C139" s="27" t="s">
        <v>186</v>
      </c>
      <c r="D139" s="32">
        <f>18783+1+1+7+16+13071</f>
        <v>31879</v>
      </c>
      <c r="E139" s="32">
        <f>11+1+16+4+16</f>
        <v>48</v>
      </c>
      <c r="F139" s="32">
        <v>0</v>
      </c>
      <c r="G139" s="32">
        <v>0</v>
      </c>
      <c r="H139" s="32">
        <v>0</v>
      </c>
      <c r="I139" s="32">
        <v>42406</v>
      </c>
      <c r="J139" s="32">
        <v>7617</v>
      </c>
      <c r="K139" s="32"/>
      <c r="M139" s="27" t="s">
        <v>865</v>
      </c>
      <c r="N139" s="27" t="s">
        <v>872</v>
      </c>
      <c r="O139" s="27" t="s">
        <v>186</v>
      </c>
      <c r="P139" s="27">
        <v>31879</v>
      </c>
      <c r="Q139" s="27">
        <v>48</v>
      </c>
      <c r="R139" s="27">
        <v>0</v>
      </c>
      <c r="S139" s="27">
        <v>0</v>
      </c>
      <c r="T139" s="27">
        <v>0</v>
      </c>
      <c r="U139" s="27">
        <v>42406</v>
      </c>
      <c r="V139" s="27">
        <v>7617</v>
      </c>
    </row>
    <row r="140" spans="1:22" x14ac:dyDescent="0.25">
      <c r="A140" s="27" t="s">
        <v>512</v>
      </c>
      <c r="B140" s="27" t="s">
        <v>872</v>
      </c>
      <c r="C140" s="27" t="s">
        <v>187</v>
      </c>
      <c r="D140" s="32">
        <f>36714+1+3+549+29+77+8466</f>
        <v>45839</v>
      </c>
      <c r="E140" s="32">
        <f>3+5+5+2</f>
        <v>15</v>
      </c>
      <c r="F140" s="32">
        <v>0</v>
      </c>
      <c r="G140" s="32">
        <v>0</v>
      </c>
      <c r="H140" s="32">
        <v>0</v>
      </c>
      <c r="I140" s="32">
        <v>19164</v>
      </c>
      <c r="J140" s="32">
        <v>7160</v>
      </c>
      <c r="K140" s="32"/>
      <c r="M140" s="27" t="s">
        <v>512</v>
      </c>
      <c r="N140" s="27" t="s">
        <v>872</v>
      </c>
      <c r="O140" s="27" t="s">
        <v>187</v>
      </c>
      <c r="P140" s="27">
        <v>45839</v>
      </c>
      <c r="Q140" s="27">
        <v>15</v>
      </c>
      <c r="R140" s="27">
        <v>0</v>
      </c>
      <c r="S140" s="27">
        <v>0</v>
      </c>
      <c r="T140" s="27">
        <v>0</v>
      </c>
      <c r="U140" s="27">
        <v>19164</v>
      </c>
      <c r="V140" s="27">
        <v>7160</v>
      </c>
    </row>
    <row r="141" spans="1:22" x14ac:dyDescent="0.25">
      <c r="A141" s="27" t="s">
        <v>824</v>
      </c>
      <c r="B141" s="27" t="s">
        <v>872</v>
      </c>
      <c r="C141" s="27" t="s">
        <v>189</v>
      </c>
      <c r="D141" s="32">
        <f>45329+8+1082+45+3+12+53+11327</f>
        <v>57859</v>
      </c>
      <c r="E141" s="32">
        <f>2+119+40</f>
        <v>161</v>
      </c>
      <c r="F141" s="32">
        <v>0</v>
      </c>
      <c r="G141" s="32">
        <v>0</v>
      </c>
      <c r="H141" s="32">
        <v>0</v>
      </c>
      <c r="I141" s="32">
        <v>9915</v>
      </c>
      <c r="J141" s="32">
        <v>8180</v>
      </c>
      <c r="K141" s="32"/>
      <c r="M141" s="27" t="s">
        <v>824</v>
      </c>
      <c r="N141" s="27" t="s">
        <v>872</v>
      </c>
      <c r="O141" s="27" t="s">
        <v>189</v>
      </c>
      <c r="P141" s="27">
        <v>57859</v>
      </c>
      <c r="Q141" s="27">
        <v>161</v>
      </c>
      <c r="R141" s="27">
        <v>0</v>
      </c>
      <c r="S141" s="27">
        <v>0</v>
      </c>
      <c r="T141" s="27">
        <v>0</v>
      </c>
      <c r="U141" s="27">
        <v>9915</v>
      </c>
      <c r="V141" s="27">
        <v>8180</v>
      </c>
    </row>
    <row r="142" spans="1:22" x14ac:dyDescent="0.25">
      <c r="A142" s="27" t="s">
        <v>83</v>
      </c>
      <c r="B142" s="27" t="s">
        <v>872</v>
      </c>
      <c r="C142" s="27" t="s">
        <v>190</v>
      </c>
      <c r="D142" s="32">
        <f>33747+106+1+12+1811</f>
        <v>35677</v>
      </c>
      <c r="E142" s="32">
        <f>105+8+18</f>
        <v>131</v>
      </c>
      <c r="F142" s="32">
        <v>0</v>
      </c>
      <c r="G142" s="32">
        <v>0</v>
      </c>
      <c r="H142" s="32">
        <v>0</v>
      </c>
      <c r="I142" s="32">
        <v>3748</v>
      </c>
      <c r="J142" s="32">
        <v>1911</v>
      </c>
      <c r="K142" s="32"/>
      <c r="M142" s="27" t="s">
        <v>83</v>
      </c>
      <c r="N142" s="27" t="s">
        <v>872</v>
      </c>
      <c r="O142" s="27" t="s">
        <v>190</v>
      </c>
      <c r="P142" s="27">
        <v>35677</v>
      </c>
      <c r="Q142" s="27">
        <v>131</v>
      </c>
      <c r="R142" s="27">
        <v>0</v>
      </c>
      <c r="S142" s="27">
        <v>0</v>
      </c>
      <c r="T142" s="27">
        <v>0</v>
      </c>
      <c r="U142" s="27">
        <v>3748</v>
      </c>
      <c r="V142" s="27">
        <v>1911</v>
      </c>
    </row>
    <row r="143" spans="1:22" x14ac:dyDescent="0.25">
      <c r="A143" s="27" t="s">
        <v>76</v>
      </c>
      <c r="B143" s="27" t="s">
        <v>872</v>
      </c>
      <c r="C143" s="27" t="s">
        <v>191</v>
      </c>
      <c r="D143" s="32">
        <f>77149+137+31169</f>
        <v>108455</v>
      </c>
      <c r="E143" s="32">
        <f>8+1+2539+258+4</f>
        <v>2810</v>
      </c>
      <c r="F143" s="32">
        <v>0</v>
      </c>
      <c r="G143" s="32">
        <v>0</v>
      </c>
      <c r="H143" s="32">
        <v>0</v>
      </c>
      <c r="I143" s="32">
        <v>6383</v>
      </c>
      <c r="J143" s="32">
        <v>22671</v>
      </c>
      <c r="K143" s="32"/>
      <c r="M143" s="27" t="s">
        <v>76</v>
      </c>
      <c r="N143" s="27" t="s">
        <v>872</v>
      </c>
      <c r="O143" s="27" t="s">
        <v>191</v>
      </c>
      <c r="P143" s="27">
        <v>108455</v>
      </c>
      <c r="Q143" s="27">
        <v>2810</v>
      </c>
      <c r="R143" s="27">
        <v>0</v>
      </c>
      <c r="S143" s="27">
        <v>0</v>
      </c>
      <c r="T143" s="27">
        <v>0</v>
      </c>
      <c r="U143" s="27">
        <v>6383</v>
      </c>
      <c r="V143" s="27">
        <v>22671</v>
      </c>
    </row>
    <row r="144" spans="1:22" x14ac:dyDescent="0.25">
      <c r="A144" s="27" t="s">
        <v>101</v>
      </c>
      <c r="B144" s="27" t="s">
        <v>872</v>
      </c>
      <c r="C144" s="27" t="s">
        <v>192</v>
      </c>
      <c r="D144" s="32">
        <f>60268+98+8+12462</f>
        <v>72836</v>
      </c>
      <c r="E144" s="32">
        <f>402+13+15</f>
        <v>430</v>
      </c>
      <c r="F144" s="32">
        <v>0</v>
      </c>
      <c r="G144" s="32">
        <v>0</v>
      </c>
      <c r="H144" s="32">
        <v>0</v>
      </c>
      <c r="I144" s="32">
        <v>90659</v>
      </c>
      <c r="J144" s="32">
        <v>9639</v>
      </c>
      <c r="K144" s="32"/>
      <c r="M144" s="27" t="s">
        <v>101</v>
      </c>
      <c r="N144" s="27" t="s">
        <v>872</v>
      </c>
      <c r="O144" s="27" t="s">
        <v>192</v>
      </c>
      <c r="P144" s="27">
        <v>72836</v>
      </c>
      <c r="Q144" s="27">
        <v>430</v>
      </c>
      <c r="R144" s="27">
        <v>0</v>
      </c>
      <c r="S144" s="27">
        <v>0</v>
      </c>
      <c r="T144" s="27">
        <v>0</v>
      </c>
      <c r="U144" s="27">
        <v>90659</v>
      </c>
      <c r="V144" s="27">
        <v>9639</v>
      </c>
    </row>
    <row r="145" spans="1:22" x14ac:dyDescent="0.25">
      <c r="A145" s="27" t="s">
        <v>831</v>
      </c>
      <c r="B145" s="27" t="s">
        <v>872</v>
      </c>
      <c r="C145" s="27" t="s">
        <v>193</v>
      </c>
      <c r="D145" s="32">
        <f>3147+541</f>
        <v>3688</v>
      </c>
      <c r="E145" s="32">
        <v>0</v>
      </c>
      <c r="F145" s="32">
        <v>0</v>
      </c>
      <c r="G145" s="32">
        <v>0</v>
      </c>
      <c r="H145" s="32">
        <v>0</v>
      </c>
      <c r="I145" s="32">
        <v>1819</v>
      </c>
      <c r="J145" s="32">
        <v>404</v>
      </c>
      <c r="K145" s="32"/>
      <c r="M145" s="27" t="s">
        <v>831</v>
      </c>
      <c r="N145" s="27" t="s">
        <v>872</v>
      </c>
      <c r="O145" s="27" t="s">
        <v>193</v>
      </c>
      <c r="P145" s="27">
        <v>3688</v>
      </c>
      <c r="Q145" s="27">
        <v>0</v>
      </c>
      <c r="R145" s="27">
        <v>0</v>
      </c>
      <c r="S145" s="27">
        <v>0</v>
      </c>
      <c r="T145" s="27">
        <v>0</v>
      </c>
      <c r="U145" s="27">
        <v>1819</v>
      </c>
      <c r="V145" s="27">
        <v>404</v>
      </c>
    </row>
    <row r="146" spans="1:22" x14ac:dyDescent="0.25">
      <c r="A146" s="27" t="s">
        <v>811</v>
      </c>
      <c r="B146" s="27" t="s">
        <v>872</v>
      </c>
      <c r="C146" s="27" t="s">
        <v>194</v>
      </c>
      <c r="D146" s="32">
        <f>125731+95+2+7+18418</f>
        <v>144253</v>
      </c>
      <c r="E146" s="32">
        <f>785+278+220+4</f>
        <v>1287</v>
      </c>
      <c r="F146" s="32">
        <v>0</v>
      </c>
      <c r="G146" s="32">
        <v>0</v>
      </c>
      <c r="H146" s="32">
        <v>0</v>
      </c>
      <c r="I146" s="32">
        <v>3654</v>
      </c>
      <c r="J146" s="32">
        <v>14176</v>
      </c>
      <c r="K146" s="32"/>
      <c r="M146" s="27" t="s">
        <v>811</v>
      </c>
      <c r="N146" s="27" t="s">
        <v>872</v>
      </c>
      <c r="O146" s="27" t="s">
        <v>194</v>
      </c>
      <c r="P146" s="27">
        <v>144253</v>
      </c>
      <c r="Q146" s="27">
        <v>1287</v>
      </c>
      <c r="R146" s="27">
        <v>0</v>
      </c>
      <c r="S146" s="27">
        <v>0</v>
      </c>
      <c r="T146" s="27">
        <v>0</v>
      </c>
      <c r="U146" s="27">
        <v>3654</v>
      </c>
      <c r="V146" s="27">
        <v>14176</v>
      </c>
    </row>
    <row r="147" spans="1:22" x14ac:dyDescent="0.25">
      <c r="A147" s="27" t="s">
        <v>76</v>
      </c>
      <c r="B147" s="27" t="s">
        <v>872</v>
      </c>
      <c r="C147" s="27" t="s">
        <v>195</v>
      </c>
      <c r="D147" s="32">
        <f>75292+46+8+56+23297</f>
        <v>98699</v>
      </c>
      <c r="E147" s="32">
        <f>354+26+148+592+21</f>
        <v>1141</v>
      </c>
      <c r="F147" s="32">
        <v>0</v>
      </c>
      <c r="G147" s="32">
        <v>0</v>
      </c>
      <c r="H147" s="32">
        <v>0</v>
      </c>
      <c r="I147" s="32">
        <v>69012</v>
      </c>
      <c r="J147" s="32">
        <v>20130</v>
      </c>
      <c r="K147" s="32"/>
      <c r="M147" s="27" t="s">
        <v>76</v>
      </c>
      <c r="N147" s="27" t="s">
        <v>872</v>
      </c>
      <c r="O147" s="27" t="s">
        <v>195</v>
      </c>
      <c r="P147" s="27">
        <v>98699</v>
      </c>
      <c r="Q147" s="27">
        <v>1141</v>
      </c>
      <c r="R147" s="27">
        <v>0</v>
      </c>
      <c r="S147" s="27">
        <v>0</v>
      </c>
      <c r="T147" s="27">
        <v>0</v>
      </c>
      <c r="U147" s="27">
        <v>69012</v>
      </c>
      <c r="V147" s="27">
        <v>20130</v>
      </c>
    </row>
    <row r="148" spans="1:22" x14ac:dyDescent="0.25">
      <c r="A148" s="27" t="s">
        <v>10</v>
      </c>
      <c r="B148" s="27" t="s">
        <v>872</v>
      </c>
      <c r="C148" s="27" t="s">
        <v>196</v>
      </c>
      <c r="D148" s="32"/>
      <c r="E148" s="32"/>
      <c r="F148" s="32"/>
      <c r="G148" s="32"/>
      <c r="H148" s="32"/>
      <c r="I148" s="32"/>
      <c r="J148" s="32"/>
      <c r="K148" s="32"/>
      <c r="M148" s="27" t="s">
        <v>10</v>
      </c>
      <c r="N148" s="27" t="s">
        <v>872</v>
      </c>
      <c r="O148" s="27" t="s">
        <v>196</v>
      </c>
    </row>
    <row r="149" spans="1:22" x14ac:dyDescent="0.25">
      <c r="A149" s="27" t="s">
        <v>817</v>
      </c>
      <c r="B149" s="27" t="s">
        <v>872</v>
      </c>
      <c r="C149" s="27" t="s">
        <v>197</v>
      </c>
      <c r="D149" s="32">
        <f>8684+2+30+43+31083</f>
        <v>39842</v>
      </c>
      <c r="E149" s="32">
        <f>17+5+25+133</f>
        <v>180</v>
      </c>
      <c r="F149" s="32">
        <v>0</v>
      </c>
      <c r="G149" s="32">
        <v>0</v>
      </c>
      <c r="H149" s="32">
        <v>0</v>
      </c>
      <c r="I149" s="32">
        <v>82278</v>
      </c>
      <c r="J149" s="32">
        <v>27266</v>
      </c>
      <c r="K149" s="32"/>
      <c r="M149" s="27" t="s">
        <v>817</v>
      </c>
      <c r="N149" s="27" t="s">
        <v>872</v>
      </c>
      <c r="O149" s="27" t="s">
        <v>197</v>
      </c>
      <c r="P149" s="27">
        <v>39842</v>
      </c>
      <c r="Q149" s="27">
        <v>180</v>
      </c>
      <c r="R149" s="27">
        <v>0</v>
      </c>
      <c r="S149" s="27">
        <v>0</v>
      </c>
      <c r="T149" s="27">
        <v>0</v>
      </c>
      <c r="U149" s="27">
        <v>82278</v>
      </c>
      <c r="V149" s="27">
        <v>27266</v>
      </c>
    </row>
    <row r="150" spans="1:22" x14ac:dyDescent="0.25">
      <c r="A150" s="27" t="s">
        <v>817</v>
      </c>
      <c r="B150" s="27" t="s">
        <v>872</v>
      </c>
      <c r="C150" s="27" t="s">
        <v>198</v>
      </c>
      <c r="D150" s="32">
        <f>12675+6+1+5+19622</f>
        <v>32309</v>
      </c>
      <c r="E150" s="32">
        <f>48+3+27+576+133</f>
        <v>787</v>
      </c>
      <c r="F150" s="32">
        <v>0</v>
      </c>
      <c r="G150" s="32">
        <v>0</v>
      </c>
      <c r="H150" s="32">
        <v>0</v>
      </c>
      <c r="I150" s="32">
        <v>35525</v>
      </c>
      <c r="J150" s="32">
        <v>19634</v>
      </c>
      <c r="K150" s="32"/>
      <c r="M150" s="27" t="s">
        <v>817</v>
      </c>
      <c r="N150" s="27" t="s">
        <v>872</v>
      </c>
      <c r="O150" s="27" t="s">
        <v>198</v>
      </c>
      <c r="P150" s="27">
        <v>32309</v>
      </c>
      <c r="Q150" s="27">
        <v>787</v>
      </c>
      <c r="R150" s="27">
        <v>0</v>
      </c>
      <c r="S150" s="27">
        <v>0</v>
      </c>
      <c r="T150" s="27">
        <v>0</v>
      </c>
      <c r="U150" s="27">
        <v>35525</v>
      </c>
      <c r="V150" s="27">
        <v>19634</v>
      </c>
    </row>
    <row r="151" spans="1:22" x14ac:dyDescent="0.25">
      <c r="A151" s="27" t="s">
        <v>69</v>
      </c>
      <c r="B151" s="27" t="s">
        <v>872</v>
      </c>
      <c r="C151" s="27" t="s">
        <v>199</v>
      </c>
      <c r="D151" s="32">
        <f>69094+17+2+12+16+1+74+27001</f>
        <v>96217</v>
      </c>
      <c r="E151" s="32">
        <f>16+75+14</f>
        <v>105</v>
      </c>
      <c r="F151" s="32">
        <v>0</v>
      </c>
      <c r="G151" s="32">
        <v>0</v>
      </c>
      <c r="H151" s="32">
        <v>0</v>
      </c>
      <c r="I151" s="32">
        <v>154739</v>
      </c>
      <c r="J151" s="32">
        <v>22296</v>
      </c>
      <c r="K151" s="32"/>
      <c r="M151" s="27" t="s">
        <v>69</v>
      </c>
      <c r="N151" s="27" t="s">
        <v>872</v>
      </c>
      <c r="O151" s="27" t="s">
        <v>199</v>
      </c>
      <c r="P151" s="27">
        <v>96217</v>
      </c>
      <c r="Q151" s="27">
        <v>105</v>
      </c>
      <c r="R151" s="27">
        <v>0</v>
      </c>
      <c r="S151" s="27">
        <v>0</v>
      </c>
      <c r="T151" s="27">
        <v>0</v>
      </c>
      <c r="U151" s="27">
        <v>154739</v>
      </c>
      <c r="V151" s="27">
        <v>22296</v>
      </c>
    </row>
    <row r="152" spans="1:22" x14ac:dyDescent="0.25">
      <c r="A152" s="27" t="s">
        <v>76</v>
      </c>
      <c r="B152" s="27" t="s">
        <v>872</v>
      </c>
      <c r="C152" s="27" t="s">
        <v>200</v>
      </c>
      <c r="D152" s="32">
        <f>33803+331+26+5+13879+21</f>
        <v>48065</v>
      </c>
      <c r="E152" s="32">
        <f>275+2+15+13+4+2</f>
        <v>311</v>
      </c>
      <c r="F152" s="32">
        <v>0</v>
      </c>
      <c r="G152" s="32">
        <v>0</v>
      </c>
      <c r="H152" s="32">
        <v>0</v>
      </c>
      <c r="I152" s="32">
        <v>35822</v>
      </c>
      <c r="J152" s="32">
        <v>11172</v>
      </c>
      <c r="K152" s="32"/>
      <c r="M152" s="27" t="s">
        <v>76</v>
      </c>
      <c r="N152" s="27" t="s">
        <v>872</v>
      </c>
      <c r="O152" s="27" t="s">
        <v>200</v>
      </c>
      <c r="P152" s="27">
        <v>48065</v>
      </c>
      <c r="Q152" s="27">
        <v>311</v>
      </c>
      <c r="R152" s="27">
        <v>0</v>
      </c>
      <c r="S152" s="27">
        <v>0</v>
      </c>
      <c r="T152" s="27">
        <v>0</v>
      </c>
      <c r="U152" s="27">
        <v>35822</v>
      </c>
      <c r="V152" s="27">
        <v>11172</v>
      </c>
    </row>
    <row r="153" spans="1:22" x14ac:dyDescent="0.25">
      <c r="A153" s="27" t="s">
        <v>120</v>
      </c>
      <c r="B153" s="27" t="s">
        <v>872</v>
      </c>
      <c r="C153" s="27" t="s">
        <v>201</v>
      </c>
      <c r="D153" s="32">
        <f>28543+2+764+10544</f>
        <v>39853</v>
      </c>
      <c r="E153" s="32">
        <f>215+233+21</f>
        <v>469</v>
      </c>
      <c r="F153" s="32">
        <v>0</v>
      </c>
      <c r="G153" s="32">
        <v>0</v>
      </c>
      <c r="H153" s="32">
        <v>0</v>
      </c>
      <c r="I153" s="32">
        <v>11072</v>
      </c>
      <c r="J153" s="32">
        <v>5592</v>
      </c>
      <c r="K153" s="32"/>
      <c r="M153" s="27" t="s">
        <v>120</v>
      </c>
      <c r="N153" s="27" t="s">
        <v>872</v>
      </c>
      <c r="O153" s="27" t="s">
        <v>201</v>
      </c>
      <c r="P153" s="27">
        <v>39853</v>
      </c>
      <c r="Q153" s="27">
        <v>469</v>
      </c>
      <c r="R153" s="27">
        <v>0</v>
      </c>
      <c r="S153" s="27">
        <v>0</v>
      </c>
      <c r="T153" s="27">
        <v>0</v>
      </c>
      <c r="U153" s="27">
        <v>11072</v>
      </c>
      <c r="V153" s="27">
        <v>5592</v>
      </c>
    </row>
    <row r="154" spans="1:22" x14ac:dyDescent="0.25">
      <c r="A154" s="27" t="s">
        <v>495</v>
      </c>
      <c r="B154" s="27" t="s">
        <v>872</v>
      </c>
      <c r="C154" s="27" t="s">
        <v>202</v>
      </c>
      <c r="D154" s="32">
        <f>80424+2+42+361+1+476+28443+2+44</f>
        <v>109795</v>
      </c>
      <c r="E154" s="32">
        <f>360+8+5+2+48+11</f>
        <v>434</v>
      </c>
      <c r="F154" s="32">
        <v>0</v>
      </c>
      <c r="G154" s="32">
        <v>0</v>
      </c>
      <c r="H154" s="32">
        <v>0</v>
      </c>
      <c r="I154" s="32">
        <v>46502</v>
      </c>
      <c r="J154" s="32">
        <v>21714</v>
      </c>
      <c r="K154" s="32"/>
      <c r="M154" s="27" t="s">
        <v>495</v>
      </c>
      <c r="N154" s="27" t="s">
        <v>872</v>
      </c>
      <c r="O154" s="27" t="s">
        <v>202</v>
      </c>
      <c r="P154" s="27">
        <v>109795</v>
      </c>
      <c r="Q154" s="27">
        <v>434</v>
      </c>
      <c r="R154" s="27">
        <v>0</v>
      </c>
      <c r="S154" s="27">
        <v>0</v>
      </c>
      <c r="T154" s="27">
        <v>0</v>
      </c>
      <c r="U154" s="27">
        <v>46502</v>
      </c>
      <c r="V154" s="27">
        <v>21714</v>
      </c>
    </row>
    <row r="155" spans="1:22" x14ac:dyDescent="0.25">
      <c r="A155" s="27" t="s">
        <v>788</v>
      </c>
      <c r="B155" s="27" t="s">
        <v>872</v>
      </c>
      <c r="C155" s="27" t="s">
        <v>203</v>
      </c>
      <c r="D155" s="32">
        <f>61379+9+1+1897+14+2+3+6+11+5+46543+15+30+11</f>
        <v>109926</v>
      </c>
      <c r="E155" s="32">
        <f>168+10+3+9+19+18+10</f>
        <v>237</v>
      </c>
      <c r="F155" s="32">
        <v>0</v>
      </c>
      <c r="G155" s="32">
        <v>0</v>
      </c>
      <c r="H155" s="32">
        <v>0</v>
      </c>
      <c r="I155" s="32">
        <v>36827</v>
      </c>
      <c r="J155" s="32">
        <v>18799</v>
      </c>
      <c r="K155" s="32"/>
      <c r="M155" s="27" t="s">
        <v>788</v>
      </c>
      <c r="N155" s="27" t="s">
        <v>872</v>
      </c>
      <c r="O155" s="27" t="s">
        <v>203</v>
      </c>
      <c r="P155" s="27">
        <v>109926</v>
      </c>
      <c r="Q155" s="27">
        <v>237</v>
      </c>
      <c r="R155" s="27">
        <v>0</v>
      </c>
      <c r="S155" s="27">
        <v>0</v>
      </c>
      <c r="T155" s="27">
        <v>0</v>
      </c>
      <c r="U155" s="27">
        <v>36827</v>
      </c>
      <c r="V155" s="27">
        <v>18799</v>
      </c>
    </row>
    <row r="156" spans="1:22" x14ac:dyDescent="0.25">
      <c r="A156" s="27" t="s">
        <v>72</v>
      </c>
      <c r="B156" s="27" t="s">
        <v>872</v>
      </c>
      <c r="C156" s="27" t="s">
        <v>204</v>
      </c>
      <c r="D156" s="32">
        <f>27346+5+1+64+36+2+28+6781</f>
        <v>34263</v>
      </c>
      <c r="E156" s="32">
        <f>136+10+37</f>
        <v>183</v>
      </c>
      <c r="F156" s="32">
        <v>0</v>
      </c>
      <c r="G156" s="32">
        <v>0</v>
      </c>
      <c r="H156" s="32">
        <v>0</v>
      </c>
      <c r="I156" s="32">
        <v>14514</v>
      </c>
      <c r="J156" s="32">
        <v>5102</v>
      </c>
      <c r="K156" s="32"/>
      <c r="M156" s="27" t="s">
        <v>72</v>
      </c>
      <c r="N156" s="27" t="s">
        <v>872</v>
      </c>
      <c r="O156" s="27" t="s">
        <v>204</v>
      </c>
      <c r="P156" s="27">
        <v>34263</v>
      </c>
      <c r="Q156" s="27">
        <v>183</v>
      </c>
      <c r="R156" s="27">
        <v>0</v>
      </c>
      <c r="S156" s="27">
        <v>0</v>
      </c>
      <c r="T156" s="27">
        <v>0</v>
      </c>
      <c r="U156" s="27">
        <v>14514</v>
      </c>
      <c r="V156" s="27">
        <v>5102</v>
      </c>
    </row>
    <row r="157" spans="1:22" x14ac:dyDescent="0.25">
      <c r="A157" s="27" t="s">
        <v>76</v>
      </c>
      <c r="B157" s="27" t="s">
        <v>873</v>
      </c>
      <c r="C157" s="27" t="s">
        <v>205</v>
      </c>
      <c r="D157" s="32">
        <f>16493+18+58+1+5+34791+2+1+4</f>
        <v>51373</v>
      </c>
      <c r="E157" s="32">
        <f>46+164</f>
        <v>210</v>
      </c>
      <c r="F157" s="32">
        <v>0</v>
      </c>
      <c r="G157" s="32">
        <v>0</v>
      </c>
      <c r="H157" s="32">
        <v>0</v>
      </c>
      <c r="I157" s="32">
        <v>26817</v>
      </c>
      <c r="J157" s="32">
        <v>23601</v>
      </c>
      <c r="K157" s="32"/>
      <c r="M157" s="27" t="s">
        <v>76</v>
      </c>
      <c r="N157" s="27" t="s">
        <v>873</v>
      </c>
      <c r="O157" s="27" t="s">
        <v>205</v>
      </c>
      <c r="P157" s="27">
        <v>51373</v>
      </c>
      <c r="Q157" s="27">
        <v>210</v>
      </c>
      <c r="R157" s="27">
        <v>0</v>
      </c>
      <c r="S157" s="27">
        <v>0</v>
      </c>
      <c r="T157" s="27">
        <v>0</v>
      </c>
      <c r="U157" s="27">
        <v>26817</v>
      </c>
      <c r="V157" s="27">
        <v>23601</v>
      </c>
    </row>
    <row r="158" spans="1:22" x14ac:dyDescent="0.25">
      <c r="A158" s="27" t="s">
        <v>864</v>
      </c>
      <c r="B158" s="27" t="s">
        <v>872</v>
      </c>
      <c r="C158" s="27" t="s">
        <v>206</v>
      </c>
      <c r="D158" s="32">
        <f>25913+284+8+38023+1017</f>
        <v>65245</v>
      </c>
      <c r="E158" s="32">
        <f>3+2+4+9+3</f>
        <v>21</v>
      </c>
      <c r="F158" s="32">
        <v>0</v>
      </c>
      <c r="G158" s="32">
        <v>0</v>
      </c>
      <c r="H158" s="32">
        <v>0</v>
      </c>
      <c r="I158" s="32">
        <v>35330</v>
      </c>
      <c r="J158" s="32">
        <v>36481</v>
      </c>
      <c r="K158" s="32"/>
      <c r="M158" s="27" t="s">
        <v>864</v>
      </c>
      <c r="N158" s="27" t="s">
        <v>872</v>
      </c>
      <c r="O158" s="27" t="s">
        <v>206</v>
      </c>
      <c r="P158" s="27">
        <v>65245</v>
      </c>
      <c r="Q158" s="27">
        <v>21</v>
      </c>
      <c r="R158" s="27">
        <v>0</v>
      </c>
      <c r="S158" s="27">
        <v>0</v>
      </c>
      <c r="T158" s="27">
        <v>0</v>
      </c>
      <c r="U158" s="27">
        <v>35330</v>
      </c>
      <c r="V158" s="27">
        <v>36481</v>
      </c>
    </row>
    <row r="159" spans="1:22" x14ac:dyDescent="0.25">
      <c r="A159" s="27" t="s">
        <v>76</v>
      </c>
      <c r="B159" s="27" t="s">
        <v>872</v>
      </c>
      <c r="C159" s="27" t="s">
        <v>207</v>
      </c>
      <c r="D159" s="32">
        <f>40472+2+11+27011</f>
        <v>67496</v>
      </c>
      <c r="E159" s="32">
        <f>17+2+26+10</f>
        <v>55</v>
      </c>
      <c r="F159" s="32">
        <v>0</v>
      </c>
      <c r="G159" s="32">
        <v>0</v>
      </c>
      <c r="H159" s="32">
        <v>0</v>
      </c>
      <c r="I159" s="32">
        <v>62489</v>
      </c>
      <c r="J159" s="32">
        <v>23974</v>
      </c>
      <c r="K159" s="32"/>
      <c r="M159" s="27" t="s">
        <v>76</v>
      </c>
      <c r="N159" s="27" t="s">
        <v>872</v>
      </c>
      <c r="O159" s="27" t="s">
        <v>207</v>
      </c>
      <c r="P159" s="27">
        <v>67496</v>
      </c>
      <c r="Q159" s="27">
        <v>55</v>
      </c>
      <c r="R159" s="27">
        <v>0</v>
      </c>
      <c r="S159" s="27">
        <v>0</v>
      </c>
      <c r="T159" s="27">
        <v>0</v>
      </c>
      <c r="U159" s="27">
        <v>62489</v>
      </c>
      <c r="V159" s="27">
        <v>23974</v>
      </c>
    </row>
    <row r="160" spans="1:22" x14ac:dyDescent="0.25">
      <c r="A160" s="27" t="s">
        <v>265</v>
      </c>
      <c r="B160" s="27" t="s">
        <v>872</v>
      </c>
      <c r="C160" s="27" t="s">
        <v>208</v>
      </c>
      <c r="D160" s="32">
        <f>20066+6+1+6+5362</f>
        <v>25441</v>
      </c>
      <c r="E160" s="32">
        <f>238+6</f>
        <v>244</v>
      </c>
      <c r="F160" s="32">
        <v>0</v>
      </c>
      <c r="G160" s="32">
        <v>0</v>
      </c>
      <c r="H160" s="32">
        <v>0</v>
      </c>
      <c r="I160" s="32">
        <v>11047</v>
      </c>
      <c r="J160" s="32">
        <v>4932</v>
      </c>
      <c r="K160" s="32"/>
      <c r="M160" s="27" t="s">
        <v>265</v>
      </c>
      <c r="N160" s="27" t="s">
        <v>872</v>
      </c>
      <c r="O160" s="27" t="s">
        <v>208</v>
      </c>
      <c r="P160" s="27">
        <v>25441</v>
      </c>
      <c r="Q160" s="27">
        <v>244</v>
      </c>
      <c r="R160" s="27">
        <v>0</v>
      </c>
      <c r="S160" s="27">
        <v>0</v>
      </c>
      <c r="T160" s="27">
        <v>0</v>
      </c>
      <c r="U160" s="27">
        <v>11047</v>
      </c>
      <c r="V160" s="27">
        <v>4932</v>
      </c>
    </row>
    <row r="161" spans="1:22" x14ac:dyDescent="0.25">
      <c r="A161" s="27" t="s">
        <v>801</v>
      </c>
      <c r="B161" s="27" t="s">
        <v>872</v>
      </c>
      <c r="C161" s="27" t="s">
        <v>209</v>
      </c>
      <c r="D161" s="32">
        <f>25842+39+14+30304+2</f>
        <v>56201</v>
      </c>
      <c r="E161" s="32">
        <f>139+2+269+6+84</f>
        <v>500</v>
      </c>
      <c r="F161" s="32">
        <v>0</v>
      </c>
      <c r="G161" s="32">
        <v>0</v>
      </c>
      <c r="H161" s="32">
        <v>0</v>
      </c>
      <c r="I161" s="32">
        <v>83461</v>
      </c>
      <c r="J161" s="32">
        <v>27928</v>
      </c>
      <c r="K161" s="32"/>
      <c r="M161" s="27" t="s">
        <v>801</v>
      </c>
      <c r="N161" s="27" t="s">
        <v>872</v>
      </c>
      <c r="O161" s="27" t="s">
        <v>209</v>
      </c>
      <c r="P161" s="27">
        <v>56201</v>
      </c>
      <c r="Q161" s="27">
        <v>500</v>
      </c>
      <c r="R161" s="27">
        <v>0</v>
      </c>
      <c r="S161" s="27">
        <v>0</v>
      </c>
      <c r="T161" s="27">
        <v>0</v>
      </c>
      <c r="U161" s="27">
        <v>83461</v>
      </c>
      <c r="V161" s="27">
        <v>27928</v>
      </c>
    </row>
    <row r="162" spans="1:22" x14ac:dyDescent="0.25">
      <c r="A162" s="27" t="s">
        <v>72</v>
      </c>
      <c r="B162" s="27" t="s">
        <v>872</v>
      </c>
      <c r="C162" s="27" t="s">
        <v>210</v>
      </c>
      <c r="D162" s="32">
        <f>41945+4+69+5+1+17+21703</f>
        <v>63744</v>
      </c>
      <c r="E162" s="32">
        <f>45+9+34+8+12</f>
        <v>108</v>
      </c>
      <c r="F162" s="32">
        <v>0</v>
      </c>
      <c r="G162" s="32">
        <v>0</v>
      </c>
      <c r="H162" s="32">
        <v>0</v>
      </c>
      <c r="I162" s="32">
        <v>46017</v>
      </c>
      <c r="J162" s="32">
        <v>19776</v>
      </c>
      <c r="K162" s="32"/>
      <c r="M162" s="27" t="s">
        <v>72</v>
      </c>
      <c r="N162" s="27" t="s">
        <v>872</v>
      </c>
      <c r="O162" s="27" t="s">
        <v>210</v>
      </c>
      <c r="P162" s="27">
        <v>63744</v>
      </c>
      <c r="Q162" s="27">
        <v>108</v>
      </c>
      <c r="R162" s="27">
        <v>0</v>
      </c>
      <c r="S162" s="27">
        <v>0</v>
      </c>
      <c r="T162" s="27">
        <v>0</v>
      </c>
      <c r="U162" s="27">
        <v>46017</v>
      </c>
      <c r="V162" s="27">
        <v>19776</v>
      </c>
    </row>
    <row r="163" spans="1:22" x14ac:dyDescent="0.25">
      <c r="A163" s="27" t="s">
        <v>817</v>
      </c>
      <c r="B163" s="27" t="s">
        <v>872</v>
      </c>
      <c r="C163" s="27" t="s">
        <v>211</v>
      </c>
      <c r="D163" s="32">
        <f>2727+53+6+129183+2</f>
        <v>131971</v>
      </c>
      <c r="E163" s="32">
        <f>165+209+36</f>
        <v>410</v>
      </c>
      <c r="F163" s="32">
        <v>0</v>
      </c>
      <c r="G163" s="32">
        <v>0</v>
      </c>
      <c r="H163" s="32">
        <v>0</v>
      </c>
      <c r="I163" s="32">
        <v>94015</v>
      </c>
      <c r="J163" s="32">
        <v>118604</v>
      </c>
      <c r="K163" s="32"/>
      <c r="M163" s="27" t="s">
        <v>817</v>
      </c>
      <c r="N163" s="27" t="s">
        <v>872</v>
      </c>
      <c r="O163" s="27" t="s">
        <v>211</v>
      </c>
      <c r="P163" s="27">
        <v>131971</v>
      </c>
      <c r="Q163" s="27">
        <v>410</v>
      </c>
      <c r="R163" s="27">
        <v>0</v>
      </c>
      <c r="S163" s="27">
        <v>0</v>
      </c>
      <c r="T163" s="27">
        <v>0</v>
      </c>
      <c r="U163" s="27">
        <v>94015</v>
      </c>
      <c r="V163" s="27">
        <v>118604</v>
      </c>
    </row>
    <row r="164" spans="1:22" x14ac:dyDescent="0.25">
      <c r="A164" s="27" t="s">
        <v>72</v>
      </c>
      <c r="B164" s="27" t="s">
        <v>872</v>
      </c>
      <c r="C164" s="27" t="s">
        <v>212</v>
      </c>
      <c r="D164" s="32">
        <f>37986+14+7+4148+2</f>
        <v>42157</v>
      </c>
      <c r="E164" s="32">
        <v>1</v>
      </c>
      <c r="F164" s="32">
        <v>0</v>
      </c>
      <c r="G164" s="32">
        <v>0</v>
      </c>
      <c r="H164" s="32">
        <v>0</v>
      </c>
      <c r="I164" s="32">
        <v>5064</v>
      </c>
      <c r="J164" s="32">
        <v>4075</v>
      </c>
      <c r="K164" s="32"/>
      <c r="M164" s="27" t="s">
        <v>72</v>
      </c>
      <c r="N164" s="27" t="s">
        <v>872</v>
      </c>
      <c r="O164" s="27" t="s">
        <v>212</v>
      </c>
      <c r="P164" s="27">
        <v>42157</v>
      </c>
      <c r="Q164" s="27">
        <v>1</v>
      </c>
      <c r="R164" s="27">
        <v>0</v>
      </c>
      <c r="S164" s="27">
        <v>0</v>
      </c>
      <c r="T164" s="27">
        <v>0</v>
      </c>
      <c r="U164" s="27">
        <v>5064</v>
      </c>
      <c r="V164" s="27">
        <v>4075</v>
      </c>
    </row>
    <row r="165" spans="1:22" x14ac:dyDescent="0.25">
      <c r="A165" s="27" t="s">
        <v>134</v>
      </c>
      <c r="B165" s="27" t="s">
        <v>872</v>
      </c>
      <c r="C165" s="27" t="s">
        <v>213</v>
      </c>
      <c r="D165" s="32">
        <f>34536+1606</f>
        <v>36142</v>
      </c>
      <c r="E165" s="32">
        <v>0</v>
      </c>
      <c r="F165" s="32">
        <v>0</v>
      </c>
      <c r="G165" s="32">
        <v>0</v>
      </c>
      <c r="H165" s="32">
        <v>0</v>
      </c>
      <c r="I165" s="32">
        <v>68077</v>
      </c>
      <c r="J165" s="32">
        <v>1468</v>
      </c>
      <c r="K165" s="32"/>
      <c r="M165" s="27" t="s">
        <v>134</v>
      </c>
      <c r="N165" s="27" t="s">
        <v>872</v>
      </c>
      <c r="O165" s="27" t="s">
        <v>213</v>
      </c>
      <c r="P165" s="27">
        <v>36142</v>
      </c>
      <c r="Q165" s="27">
        <v>0</v>
      </c>
      <c r="R165" s="27">
        <v>0</v>
      </c>
      <c r="S165" s="27">
        <v>0</v>
      </c>
      <c r="T165" s="27">
        <v>0</v>
      </c>
      <c r="U165" s="27">
        <v>68077</v>
      </c>
      <c r="V165" s="27">
        <v>1468</v>
      </c>
    </row>
    <row r="166" spans="1:22" x14ac:dyDescent="0.25">
      <c r="A166" s="27" t="s">
        <v>495</v>
      </c>
      <c r="B166" s="27" t="s">
        <v>872</v>
      </c>
      <c r="C166" s="27" t="s">
        <v>214</v>
      </c>
      <c r="D166" s="32">
        <f>60251+1+2+52+6531+1+49+26647+1+6</f>
        <v>93541</v>
      </c>
      <c r="E166" s="32">
        <f>3904+11+73+169+394+21</f>
        <v>4572</v>
      </c>
      <c r="F166" s="32">
        <v>0</v>
      </c>
      <c r="G166" s="32">
        <v>0</v>
      </c>
      <c r="H166" s="32">
        <v>0</v>
      </c>
      <c r="I166" s="32">
        <v>42751</v>
      </c>
      <c r="J166" s="32">
        <v>21374</v>
      </c>
      <c r="K166" s="32"/>
      <c r="M166" s="27" t="s">
        <v>495</v>
      </c>
      <c r="N166" s="27" t="s">
        <v>872</v>
      </c>
      <c r="O166" s="27" t="s">
        <v>214</v>
      </c>
      <c r="P166" s="27">
        <v>93541</v>
      </c>
      <c r="Q166" s="27">
        <v>4572</v>
      </c>
      <c r="R166" s="27">
        <v>0</v>
      </c>
      <c r="S166" s="27">
        <v>0</v>
      </c>
      <c r="T166" s="27">
        <v>0</v>
      </c>
      <c r="U166" s="27">
        <v>42751</v>
      </c>
      <c r="V166" s="27">
        <v>21374</v>
      </c>
    </row>
    <row r="167" spans="1:22" x14ac:dyDescent="0.25">
      <c r="A167" s="27" t="s">
        <v>146</v>
      </c>
      <c r="B167" s="27" t="s">
        <v>872</v>
      </c>
      <c r="C167" s="27" t="s">
        <v>215</v>
      </c>
      <c r="D167" s="32">
        <f>66725+392+5+1+5+34+25198+6</f>
        <v>92366</v>
      </c>
      <c r="E167" s="32">
        <f>11421+190+36+36+300+19</f>
        <v>12002</v>
      </c>
      <c r="F167" s="32">
        <v>0</v>
      </c>
      <c r="G167" s="32">
        <v>0</v>
      </c>
      <c r="H167" s="32">
        <v>0</v>
      </c>
      <c r="I167" s="32">
        <v>82167</v>
      </c>
      <c r="J167" s="32">
        <v>23019</v>
      </c>
      <c r="K167" s="32"/>
      <c r="M167" s="27" t="s">
        <v>146</v>
      </c>
      <c r="N167" s="27" t="s">
        <v>872</v>
      </c>
      <c r="O167" s="27" t="s">
        <v>215</v>
      </c>
      <c r="P167" s="27">
        <v>92366</v>
      </c>
      <c r="Q167" s="27">
        <v>12002</v>
      </c>
      <c r="R167" s="27">
        <v>0</v>
      </c>
      <c r="S167" s="27">
        <v>0</v>
      </c>
      <c r="T167" s="27">
        <v>0</v>
      </c>
      <c r="U167" s="27">
        <v>82167</v>
      </c>
      <c r="V167" s="27">
        <v>23019</v>
      </c>
    </row>
    <row r="168" spans="1:22" x14ac:dyDescent="0.25">
      <c r="A168" s="27" t="s">
        <v>890</v>
      </c>
      <c r="B168" s="27" t="s">
        <v>872</v>
      </c>
      <c r="C168" s="27" t="s">
        <v>216</v>
      </c>
      <c r="D168" s="32">
        <f>29160+1+152+24+13375</f>
        <v>42712</v>
      </c>
      <c r="E168" s="32">
        <f>69+3+8</f>
        <v>80</v>
      </c>
      <c r="F168" s="32">
        <v>0</v>
      </c>
      <c r="G168" s="32">
        <v>0</v>
      </c>
      <c r="H168" s="32">
        <v>0</v>
      </c>
      <c r="I168" s="32">
        <v>77373</v>
      </c>
      <c r="J168" s="32">
        <v>12318</v>
      </c>
      <c r="K168" s="32"/>
      <c r="M168" s="27" t="s">
        <v>890</v>
      </c>
      <c r="N168" s="27" t="s">
        <v>872</v>
      </c>
      <c r="O168" s="27" t="s">
        <v>216</v>
      </c>
      <c r="P168" s="27">
        <v>42712</v>
      </c>
      <c r="Q168" s="27">
        <v>80</v>
      </c>
      <c r="R168" s="27">
        <v>0</v>
      </c>
      <c r="S168" s="27">
        <v>0</v>
      </c>
      <c r="T168" s="27">
        <v>0</v>
      </c>
      <c r="U168" s="27">
        <v>77373</v>
      </c>
      <c r="V168" s="27">
        <v>12318</v>
      </c>
    </row>
    <row r="169" spans="1:22" x14ac:dyDescent="0.25">
      <c r="A169" s="27" t="s">
        <v>794</v>
      </c>
      <c r="B169" s="27" t="s">
        <v>872</v>
      </c>
      <c r="C169" s="27" t="s">
        <v>217</v>
      </c>
      <c r="D169" s="32">
        <f>22026+1+8231</f>
        <v>30258</v>
      </c>
      <c r="E169" s="32">
        <v>5</v>
      </c>
      <c r="F169" s="32">
        <v>0</v>
      </c>
      <c r="G169" s="32">
        <v>0</v>
      </c>
      <c r="H169" s="32">
        <v>0</v>
      </c>
      <c r="I169" s="32">
        <v>38009</v>
      </c>
      <c r="J169" s="32">
        <v>5918</v>
      </c>
      <c r="K169" s="32"/>
      <c r="M169" s="27" t="s">
        <v>794</v>
      </c>
      <c r="N169" s="27" t="s">
        <v>872</v>
      </c>
      <c r="O169" s="27" t="s">
        <v>217</v>
      </c>
      <c r="P169" s="27">
        <v>30258</v>
      </c>
      <c r="Q169" s="27">
        <v>5</v>
      </c>
      <c r="R169" s="27">
        <v>0</v>
      </c>
      <c r="S169" s="27">
        <v>0</v>
      </c>
      <c r="T169" s="27">
        <v>0</v>
      </c>
      <c r="U169" s="27">
        <v>38009</v>
      </c>
      <c r="V169" s="27">
        <v>5918</v>
      </c>
    </row>
    <row r="170" spans="1:22" x14ac:dyDescent="0.25">
      <c r="A170" s="27" t="s">
        <v>265</v>
      </c>
      <c r="B170" s="27" t="s">
        <v>872</v>
      </c>
      <c r="C170" s="27" t="s">
        <v>218</v>
      </c>
      <c r="D170" s="32">
        <f>23872+2+5+3+4+1+1+9335</f>
        <v>33223</v>
      </c>
      <c r="E170" s="32">
        <v>18</v>
      </c>
      <c r="F170" s="32">
        <v>0</v>
      </c>
      <c r="G170" s="32">
        <v>0</v>
      </c>
      <c r="H170" s="32">
        <v>0</v>
      </c>
      <c r="I170" s="32">
        <v>66574</v>
      </c>
      <c r="J170" s="32">
        <v>7669</v>
      </c>
      <c r="K170" s="32"/>
      <c r="M170" s="27" t="s">
        <v>265</v>
      </c>
      <c r="N170" s="27" t="s">
        <v>872</v>
      </c>
      <c r="O170" s="27" t="s">
        <v>218</v>
      </c>
      <c r="P170" s="27">
        <v>33223</v>
      </c>
      <c r="Q170" s="27">
        <v>18</v>
      </c>
      <c r="R170" s="27">
        <v>0</v>
      </c>
      <c r="S170" s="27">
        <v>0</v>
      </c>
      <c r="T170" s="27">
        <v>0</v>
      </c>
      <c r="U170" s="27">
        <v>66574</v>
      </c>
      <c r="V170" s="27">
        <v>7669</v>
      </c>
    </row>
    <row r="171" spans="1:22" x14ac:dyDescent="0.25">
      <c r="A171" s="27" t="s">
        <v>801</v>
      </c>
      <c r="B171" s="27" t="s">
        <v>872</v>
      </c>
      <c r="C171" s="27" t="s">
        <v>219</v>
      </c>
      <c r="D171" s="32">
        <f>61776+2+2+584+10+13228</f>
        <v>75602</v>
      </c>
      <c r="E171" s="32">
        <f>345+28+126+30</f>
        <v>529</v>
      </c>
      <c r="F171" s="32">
        <v>0</v>
      </c>
      <c r="G171" s="32">
        <v>0</v>
      </c>
      <c r="H171" s="32">
        <v>0</v>
      </c>
      <c r="I171" s="32">
        <v>45934</v>
      </c>
      <c r="J171" s="32">
        <v>11084</v>
      </c>
      <c r="K171" s="32"/>
      <c r="M171" s="27" t="s">
        <v>801</v>
      </c>
      <c r="N171" s="27" t="s">
        <v>872</v>
      </c>
      <c r="O171" s="27" t="s">
        <v>219</v>
      </c>
      <c r="P171" s="27">
        <v>75602</v>
      </c>
      <c r="Q171" s="27">
        <v>529</v>
      </c>
      <c r="R171" s="27">
        <v>0</v>
      </c>
      <c r="S171" s="27">
        <v>0</v>
      </c>
      <c r="T171" s="27">
        <v>0</v>
      </c>
      <c r="U171" s="27">
        <v>45934</v>
      </c>
      <c r="V171" s="27">
        <v>11084</v>
      </c>
    </row>
    <row r="172" spans="1:22" x14ac:dyDescent="0.25">
      <c r="A172" s="27" t="s">
        <v>831</v>
      </c>
      <c r="B172" s="27" t="s">
        <v>872</v>
      </c>
      <c r="C172" s="27" t="s">
        <v>220</v>
      </c>
      <c r="D172" s="32">
        <f>5462+5+1349</f>
        <v>6816</v>
      </c>
      <c r="E172" s="32">
        <f>30+6</f>
        <v>36</v>
      </c>
      <c r="F172" s="32">
        <v>0</v>
      </c>
      <c r="G172" s="32">
        <v>0</v>
      </c>
      <c r="H172" s="32">
        <v>0</v>
      </c>
      <c r="I172" s="32">
        <v>8318</v>
      </c>
      <c r="J172" s="32">
        <v>1240</v>
      </c>
      <c r="K172" s="32"/>
      <c r="M172" s="27" t="s">
        <v>831</v>
      </c>
      <c r="N172" s="27" t="s">
        <v>872</v>
      </c>
      <c r="O172" s="27" t="s">
        <v>220</v>
      </c>
      <c r="P172" s="27">
        <v>6816</v>
      </c>
      <c r="Q172" s="27">
        <v>36</v>
      </c>
      <c r="R172" s="27">
        <v>0</v>
      </c>
      <c r="S172" s="27">
        <v>0</v>
      </c>
      <c r="T172" s="27">
        <v>0</v>
      </c>
      <c r="U172" s="27">
        <v>8318</v>
      </c>
      <c r="V172" s="27">
        <v>1240</v>
      </c>
    </row>
    <row r="173" spans="1:22" x14ac:dyDescent="0.25">
      <c r="A173" s="27" t="s">
        <v>794</v>
      </c>
      <c r="B173" s="27" t="s">
        <v>872</v>
      </c>
      <c r="C173" s="27" t="s">
        <v>221</v>
      </c>
      <c r="D173" s="32">
        <f>38511+1+4+25+4+107+20+169+31665+2</f>
        <v>70508</v>
      </c>
      <c r="E173" s="32">
        <f>1+12+13+41</f>
        <v>67</v>
      </c>
      <c r="F173" s="32">
        <v>0</v>
      </c>
      <c r="G173" s="32">
        <v>0</v>
      </c>
      <c r="H173" s="32">
        <v>0</v>
      </c>
      <c r="I173" s="32">
        <v>34657</v>
      </c>
      <c r="J173" s="32">
        <v>24529</v>
      </c>
      <c r="K173" s="32"/>
      <c r="M173" s="27" t="s">
        <v>794</v>
      </c>
      <c r="N173" s="27" t="s">
        <v>872</v>
      </c>
      <c r="O173" s="27" t="s">
        <v>221</v>
      </c>
      <c r="P173" s="27">
        <v>70508</v>
      </c>
      <c r="Q173" s="27">
        <v>67</v>
      </c>
      <c r="R173" s="27">
        <v>0</v>
      </c>
      <c r="S173" s="27">
        <v>0</v>
      </c>
      <c r="T173" s="27">
        <v>0</v>
      </c>
      <c r="U173" s="27">
        <v>34657</v>
      </c>
      <c r="V173" s="27">
        <v>24529</v>
      </c>
    </row>
    <row r="174" spans="1:22" x14ac:dyDescent="0.25">
      <c r="A174" s="27" t="s">
        <v>120</v>
      </c>
      <c r="B174" s="27" t="s">
        <v>872</v>
      </c>
      <c r="C174" s="27" t="s">
        <v>222</v>
      </c>
      <c r="D174" s="32">
        <f>90034+1+1+4455+6+6+12964</f>
        <v>107467</v>
      </c>
      <c r="E174" s="32">
        <f>53+1+84</f>
        <v>138</v>
      </c>
      <c r="F174" s="32">
        <v>0</v>
      </c>
      <c r="G174" s="32">
        <v>0</v>
      </c>
      <c r="H174" s="32">
        <v>0</v>
      </c>
      <c r="I174" s="32">
        <v>11593</v>
      </c>
      <c r="J174" s="32">
        <v>8002</v>
      </c>
      <c r="K174" s="32"/>
      <c r="M174" s="27" t="s">
        <v>120</v>
      </c>
      <c r="N174" s="27" t="s">
        <v>872</v>
      </c>
      <c r="O174" s="27" t="s">
        <v>222</v>
      </c>
      <c r="P174" s="27">
        <v>107467</v>
      </c>
      <c r="Q174" s="27">
        <v>138</v>
      </c>
      <c r="R174" s="27">
        <v>0</v>
      </c>
      <c r="S174" s="27">
        <v>0</v>
      </c>
      <c r="T174" s="27">
        <v>0</v>
      </c>
      <c r="U174" s="27">
        <v>11593</v>
      </c>
      <c r="V174" s="27">
        <v>8002</v>
      </c>
    </row>
    <row r="175" spans="1:22" x14ac:dyDescent="0.25">
      <c r="A175" s="27" t="s">
        <v>848</v>
      </c>
      <c r="B175" s="27" t="s">
        <v>872</v>
      </c>
      <c r="C175" s="27" t="s">
        <v>223</v>
      </c>
      <c r="D175" s="32">
        <f>20029+6+4405</f>
        <v>24440</v>
      </c>
      <c r="E175" s="32">
        <v>13</v>
      </c>
      <c r="F175" s="32">
        <v>0</v>
      </c>
      <c r="G175" s="32">
        <v>0</v>
      </c>
      <c r="H175" s="32">
        <v>0</v>
      </c>
      <c r="I175" s="32">
        <v>2842</v>
      </c>
      <c r="J175" s="32">
        <v>3642</v>
      </c>
      <c r="K175" s="32"/>
      <c r="M175" s="27" t="s">
        <v>848</v>
      </c>
      <c r="N175" s="27" t="s">
        <v>872</v>
      </c>
      <c r="O175" s="27" t="s">
        <v>223</v>
      </c>
      <c r="P175" s="27">
        <v>24440</v>
      </c>
      <c r="Q175" s="27">
        <v>13</v>
      </c>
      <c r="R175" s="27">
        <v>0</v>
      </c>
      <c r="S175" s="27">
        <v>0</v>
      </c>
      <c r="T175" s="27">
        <v>0</v>
      </c>
      <c r="U175" s="27">
        <v>2842</v>
      </c>
      <c r="V175" s="27">
        <v>3642</v>
      </c>
    </row>
    <row r="176" spans="1:22" x14ac:dyDescent="0.25">
      <c r="A176" s="27" t="s">
        <v>825</v>
      </c>
      <c r="B176" s="27" t="s">
        <v>872</v>
      </c>
      <c r="C176" s="27" t="s">
        <v>224</v>
      </c>
      <c r="D176" s="32">
        <f>17801+1662+15+3153</f>
        <v>22631</v>
      </c>
      <c r="E176" s="32">
        <f>82+21+24+3</f>
        <v>130</v>
      </c>
      <c r="F176" s="32">
        <v>0</v>
      </c>
      <c r="G176" s="32">
        <v>0</v>
      </c>
      <c r="H176" s="32">
        <v>0</v>
      </c>
      <c r="I176" s="32">
        <v>11487</v>
      </c>
      <c r="J176" s="32">
        <v>2367</v>
      </c>
      <c r="K176" s="32"/>
      <c r="M176" s="27" t="s">
        <v>825</v>
      </c>
      <c r="N176" s="27" t="s">
        <v>872</v>
      </c>
      <c r="O176" s="27" t="s">
        <v>224</v>
      </c>
      <c r="P176" s="27">
        <v>22631</v>
      </c>
      <c r="Q176" s="27">
        <v>130</v>
      </c>
      <c r="R176" s="27">
        <v>0</v>
      </c>
      <c r="S176" s="27">
        <v>0</v>
      </c>
      <c r="T176" s="27">
        <v>0</v>
      </c>
      <c r="U176" s="27">
        <v>11487</v>
      </c>
      <c r="V176" s="27">
        <v>2367</v>
      </c>
    </row>
    <row r="177" spans="1:22" x14ac:dyDescent="0.25">
      <c r="A177" s="27" t="s">
        <v>788</v>
      </c>
      <c r="B177" s="27" t="s">
        <v>872</v>
      </c>
      <c r="C177" s="27" t="s">
        <v>225</v>
      </c>
      <c r="D177" s="32">
        <f>31151+1+2+38323</f>
        <v>69477</v>
      </c>
      <c r="E177" s="32">
        <f>1+42+2</f>
        <v>45</v>
      </c>
      <c r="F177" s="32">
        <v>0</v>
      </c>
      <c r="G177" s="32">
        <v>0</v>
      </c>
      <c r="H177" s="32">
        <v>0</v>
      </c>
      <c r="I177" s="32">
        <v>133297</v>
      </c>
      <c r="J177" s="32">
        <v>31689</v>
      </c>
      <c r="K177" s="32"/>
      <c r="M177" s="27" t="s">
        <v>788</v>
      </c>
      <c r="N177" s="27" t="s">
        <v>872</v>
      </c>
      <c r="O177" s="27" t="s">
        <v>225</v>
      </c>
      <c r="P177" s="27">
        <v>69477</v>
      </c>
      <c r="Q177" s="27">
        <v>45</v>
      </c>
      <c r="R177" s="27">
        <v>0</v>
      </c>
      <c r="S177" s="27">
        <v>0</v>
      </c>
      <c r="T177" s="27">
        <v>0</v>
      </c>
      <c r="U177" s="27">
        <v>133297</v>
      </c>
      <c r="V177" s="27">
        <v>31689</v>
      </c>
    </row>
    <row r="178" spans="1:22" x14ac:dyDescent="0.25">
      <c r="A178" s="27" t="s">
        <v>226</v>
      </c>
      <c r="B178" s="27" t="s">
        <v>872</v>
      </c>
      <c r="C178" s="27" t="s">
        <v>227</v>
      </c>
      <c r="D178" s="32">
        <f>30542+1+3+10782</f>
        <v>41328</v>
      </c>
      <c r="E178" s="32">
        <v>17</v>
      </c>
      <c r="F178" s="32">
        <v>0</v>
      </c>
      <c r="G178" s="32">
        <v>0</v>
      </c>
      <c r="H178" s="32">
        <v>0</v>
      </c>
      <c r="I178" s="32">
        <v>23513</v>
      </c>
      <c r="J178" s="32">
        <v>9251</v>
      </c>
      <c r="K178" s="32"/>
      <c r="M178" s="27" t="s">
        <v>226</v>
      </c>
      <c r="N178" s="27" t="s">
        <v>872</v>
      </c>
      <c r="O178" s="27" t="s">
        <v>227</v>
      </c>
      <c r="P178" s="27">
        <v>41328</v>
      </c>
      <c r="Q178" s="27">
        <v>17</v>
      </c>
      <c r="R178" s="27">
        <v>0</v>
      </c>
      <c r="S178" s="27">
        <v>0</v>
      </c>
      <c r="T178" s="27">
        <v>0</v>
      </c>
      <c r="U178" s="27">
        <v>23513</v>
      </c>
      <c r="V178" s="27">
        <v>9251</v>
      </c>
    </row>
    <row r="179" spans="1:22" x14ac:dyDescent="0.25">
      <c r="A179" s="27" t="s">
        <v>226</v>
      </c>
      <c r="B179" s="27" t="s">
        <v>872</v>
      </c>
      <c r="C179" s="27" t="s">
        <v>228</v>
      </c>
      <c r="D179" s="32">
        <f>14834+4+1+12+4334</f>
        <v>19185</v>
      </c>
      <c r="E179" s="32">
        <f>20+6+1</f>
        <v>27</v>
      </c>
      <c r="F179" s="32">
        <v>0</v>
      </c>
      <c r="G179" s="32">
        <v>0</v>
      </c>
      <c r="H179" s="32">
        <v>0</v>
      </c>
      <c r="I179" s="32">
        <v>15990</v>
      </c>
      <c r="J179" s="32">
        <v>3226</v>
      </c>
      <c r="K179" s="32"/>
      <c r="M179" s="27" t="s">
        <v>226</v>
      </c>
      <c r="N179" s="27" t="s">
        <v>872</v>
      </c>
      <c r="O179" s="27" t="s">
        <v>228</v>
      </c>
      <c r="P179" s="27">
        <v>19185</v>
      </c>
      <c r="Q179" s="27">
        <v>27</v>
      </c>
      <c r="R179" s="27">
        <v>0</v>
      </c>
      <c r="S179" s="27">
        <v>0</v>
      </c>
      <c r="T179" s="27">
        <v>0</v>
      </c>
      <c r="U179" s="27">
        <v>15990</v>
      </c>
      <c r="V179" s="27">
        <v>3226</v>
      </c>
    </row>
    <row r="180" spans="1:22" x14ac:dyDescent="0.25">
      <c r="A180" s="27" t="s">
        <v>229</v>
      </c>
      <c r="B180" s="27" t="s">
        <v>872</v>
      </c>
      <c r="C180" s="27" t="s">
        <v>230</v>
      </c>
      <c r="D180" s="32">
        <f>25807+1+8+11224</f>
        <v>37040</v>
      </c>
      <c r="E180" s="32">
        <f>13+11+1+2</f>
        <v>27</v>
      </c>
      <c r="F180" s="32">
        <v>0</v>
      </c>
      <c r="G180" s="32">
        <v>0</v>
      </c>
      <c r="H180" s="32">
        <v>0</v>
      </c>
      <c r="I180" s="32">
        <v>22380</v>
      </c>
      <c r="J180" s="32">
        <v>9279</v>
      </c>
      <c r="K180" s="32"/>
      <c r="M180" s="27" t="s">
        <v>229</v>
      </c>
      <c r="N180" s="27" t="s">
        <v>872</v>
      </c>
      <c r="O180" s="27" t="s">
        <v>230</v>
      </c>
      <c r="P180" s="27">
        <v>37040</v>
      </c>
      <c r="Q180" s="27">
        <v>27</v>
      </c>
      <c r="R180" s="27">
        <v>0</v>
      </c>
      <c r="S180" s="27">
        <v>0</v>
      </c>
      <c r="T180" s="27">
        <v>0</v>
      </c>
      <c r="U180" s="27">
        <v>22380</v>
      </c>
      <c r="V180" s="27">
        <v>9279</v>
      </c>
    </row>
    <row r="181" spans="1:22" x14ac:dyDescent="0.25">
      <c r="A181" s="27" t="s">
        <v>231</v>
      </c>
      <c r="B181" s="27" t="s">
        <v>872</v>
      </c>
      <c r="C181" s="27" t="s">
        <v>232</v>
      </c>
      <c r="D181" s="32">
        <f>30588+35+1+14+3525</f>
        <v>34163</v>
      </c>
      <c r="E181" s="32">
        <f>20+2+1+1</f>
        <v>24</v>
      </c>
      <c r="F181" s="32">
        <v>0</v>
      </c>
      <c r="G181" s="32">
        <v>0</v>
      </c>
      <c r="H181" s="32">
        <v>0</v>
      </c>
      <c r="I181" s="32">
        <v>3877</v>
      </c>
      <c r="J181" s="32">
        <v>2926</v>
      </c>
      <c r="K181" s="32"/>
      <c r="M181" s="27" t="s">
        <v>231</v>
      </c>
      <c r="N181" s="27" t="s">
        <v>872</v>
      </c>
      <c r="O181" s="27" t="s">
        <v>232</v>
      </c>
      <c r="P181" s="27">
        <v>34163</v>
      </c>
      <c r="Q181" s="27">
        <v>24</v>
      </c>
      <c r="R181" s="27">
        <v>0</v>
      </c>
      <c r="S181" s="27">
        <v>0</v>
      </c>
      <c r="T181" s="27">
        <v>0</v>
      </c>
      <c r="U181" s="27">
        <v>3877</v>
      </c>
      <c r="V181" s="27">
        <v>2926</v>
      </c>
    </row>
    <row r="182" spans="1:22" x14ac:dyDescent="0.25">
      <c r="A182" s="27" t="s">
        <v>248</v>
      </c>
      <c r="B182" s="27" t="s">
        <v>872</v>
      </c>
      <c r="C182" s="27" t="s">
        <v>233</v>
      </c>
      <c r="D182" s="32">
        <f>20417+27+644+2401+36</f>
        <v>23525</v>
      </c>
      <c r="E182" s="32">
        <v>81</v>
      </c>
      <c r="F182" s="32">
        <v>0</v>
      </c>
      <c r="G182" s="32">
        <v>0</v>
      </c>
      <c r="H182" s="32">
        <v>0</v>
      </c>
      <c r="I182" s="32">
        <v>31305</v>
      </c>
      <c r="J182" s="32">
        <v>1863</v>
      </c>
      <c r="K182" s="32"/>
      <c r="M182" s="27" t="s">
        <v>248</v>
      </c>
      <c r="N182" s="27" t="s">
        <v>872</v>
      </c>
      <c r="O182" s="27" t="s">
        <v>233</v>
      </c>
      <c r="P182" s="27">
        <v>23525</v>
      </c>
      <c r="Q182" s="27">
        <v>81</v>
      </c>
      <c r="R182" s="27">
        <v>0</v>
      </c>
      <c r="S182" s="27">
        <v>0</v>
      </c>
      <c r="T182" s="27">
        <v>0</v>
      </c>
      <c r="U182" s="27">
        <v>31305</v>
      </c>
      <c r="V182" s="27">
        <v>1863</v>
      </c>
    </row>
    <row r="183" spans="1:22" x14ac:dyDescent="0.25">
      <c r="A183" s="27" t="s">
        <v>69</v>
      </c>
      <c r="B183" s="27" t="s">
        <v>872</v>
      </c>
      <c r="C183" s="27" t="s">
        <v>234</v>
      </c>
      <c r="D183" s="32">
        <f>117021+37+93+293+24484</f>
        <v>141928</v>
      </c>
      <c r="E183" s="32">
        <f>30+12+39+1+59</f>
        <v>141</v>
      </c>
      <c r="F183" s="32">
        <v>0</v>
      </c>
      <c r="G183" s="32">
        <v>0</v>
      </c>
      <c r="H183" s="32">
        <v>0</v>
      </c>
      <c r="I183" s="32">
        <v>355377</v>
      </c>
      <c r="J183" s="32">
        <v>20500</v>
      </c>
      <c r="K183" s="32"/>
      <c r="M183" s="27" t="s">
        <v>69</v>
      </c>
      <c r="N183" s="27" t="s">
        <v>872</v>
      </c>
      <c r="O183" s="27" t="s">
        <v>234</v>
      </c>
      <c r="P183" s="27">
        <v>141928</v>
      </c>
      <c r="Q183" s="27">
        <v>141</v>
      </c>
      <c r="R183" s="27">
        <v>0</v>
      </c>
      <c r="S183" s="27">
        <v>0</v>
      </c>
      <c r="T183" s="27">
        <v>0</v>
      </c>
      <c r="U183" s="27">
        <v>355377</v>
      </c>
      <c r="V183" s="27">
        <v>20500</v>
      </c>
    </row>
    <row r="184" spans="1:22" x14ac:dyDescent="0.25">
      <c r="A184" s="27" t="s">
        <v>795</v>
      </c>
      <c r="B184" s="27" t="s">
        <v>872</v>
      </c>
      <c r="C184" s="27" t="s">
        <v>235</v>
      </c>
      <c r="D184" s="32">
        <f>24669+28+31976+7</f>
        <v>56680</v>
      </c>
      <c r="E184" s="32">
        <f>29+1</f>
        <v>30</v>
      </c>
      <c r="F184" s="32">
        <v>0</v>
      </c>
      <c r="G184" s="32">
        <v>0</v>
      </c>
      <c r="H184" s="32">
        <v>0</v>
      </c>
      <c r="I184" s="32">
        <v>2832</v>
      </c>
      <c r="J184" s="32">
        <v>30185</v>
      </c>
      <c r="K184" s="32"/>
      <c r="M184" s="27" t="s">
        <v>795</v>
      </c>
      <c r="N184" s="27" t="s">
        <v>872</v>
      </c>
      <c r="O184" s="27" t="s">
        <v>235</v>
      </c>
      <c r="P184" s="27">
        <v>56680</v>
      </c>
      <c r="Q184" s="27">
        <v>30</v>
      </c>
      <c r="R184" s="27">
        <v>0</v>
      </c>
      <c r="S184" s="27">
        <v>0</v>
      </c>
      <c r="T184" s="27">
        <v>0</v>
      </c>
      <c r="U184" s="27">
        <v>2832</v>
      </c>
      <c r="V184" s="27">
        <v>30185</v>
      </c>
    </row>
    <row r="185" spans="1:22" x14ac:dyDescent="0.25">
      <c r="A185" s="27" t="s">
        <v>795</v>
      </c>
      <c r="B185" s="27" t="s">
        <v>872</v>
      </c>
      <c r="C185" s="27" t="s">
        <v>236</v>
      </c>
      <c r="D185" s="32">
        <f>18524+1+1+315+2+2+26208+1</f>
        <v>45054</v>
      </c>
      <c r="E185" s="32">
        <f>87+1+23+187+6</f>
        <v>304</v>
      </c>
      <c r="F185" s="32">
        <v>0</v>
      </c>
      <c r="G185" s="32">
        <v>0</v>
      </c>
      <c r="H185" s="32">
        <v>0</v>
      </c>
      <c r="I185" s="32">
        <v>37950</v>
      </c>
      <c r="J185" s="32">
        <v>20263</v>
      </c>
      <c r="K185" s="32"/>
      <c r="M185" s="27" t="s">
        <v>795</v>
      </c>
      <c r="N185" s="27" t="s">
        <v>872</v>
      </c>
      <c r="O185" s="27" t="s">
        <v>236</v>
      </c>
      <c r="P185" s="27">
        <v>45054</v>
      </c>
      <c r="Q185" s="27">
        <v>304</v>
      </c>
      <c r="R185" s="27">
        <v>0</v>
      </c>
      <c r="S185" s="27">
        <v>0</v>
      </c>
      <c r="T185" s="27">
        <v>0</v>
      </c>
      <c r="U185" s="27">
        <v>37950</v>
      </c>
      <c r="V185" s="27">
        <v>20263</v>
      </c>
    </row>
    <row r="186" spans="1:22" x14ac:dyDescent="0.25">
      <c r="A186" s="27" t="s">
        <v>801</v>
      </c>
      <c r="B186" s="27" t="s">
        <v>872</v>
      </c>
      <c r="C186" s="27" t="s">
        <v>237</v>
      </c>
      <c r="D186" s="32">
        <f>50954+1+2729+2+8+1+7486</f>
        <v>61181</v>
      </c>
      <c r="E186" s="32">
        <f>299+1+9+14+41</f>
        <v>364</v>
      </c>
      <c r="F186" s="32">
        <v>0</v>
      </c>
      <c r="G186" s="32">
        <v>0</v>
      </c>
      <c r="H186" s="32">
        <v>0</v>
      </c>
      <c r="I186" s="32">
        <v>52847</v>
      </c>
      <c r="J186" s="32">
        <v>6349</v>
      </c>
      <c r="K186" s="32"/>
      <c r="M186" s="27" t="s">
        <v>801</v>
      </c>
      <c r="N186" s="27" t="s">
        <v>872</v>
      </c>
      <c r="O186" s="27" t="s">
        <v>237</v>
      </c>
      <c r="P186" s="27">
        <v>61181</v>
      </c>
      <c r="Q186" s="27">
        <v>364</v>
      </c>
      <c r="R186" s="27">
        <v>0</v>
      </c>
      <c r="S186" s="27">
        <v>0</v>
      </c>
      <c r="T186" s="27">
        <v>0</v>
      </c>
      <c r="U186" s="27">
        <v>52847</v>
      </c>
      <c r="V186" s="27">
        <v>6349</v>
      </c>
    </row>
    <row r="187" spans="1:22" x14ac:dyDescent="0.25">
      <c r="A187" s="27" t="s">
        <v>788</v>
      </c>
      <c r="B187" s="27" t="s">
        <v>872</v>
      </c>
      <c r="C187" s="27" t="s">
        <v>238</v>
      </c>
      <c r="D187" s="32">
        <f>34669+91+1234+2+12+5+11006+76</f>
        <v>47095</v>
      </c>
      <c r="E187" s="32">
        <f>60+9+4+6</f>
        <v>79</v>
      </c>
      <c r="F187" s="32">
        <v>0</v>
      </c>
      <c r="G187" s="32">
        <v>0</v>
      </c>
      <c r="H187" s="32">
        <v>0</v>
      </c>
      <c r="I187" s="32">
        <v>26379</v>
      </c>
      <c r="J187" s="32">
        <v>10011</v>
      </c>
      <c r="K187" s="32"/>
      <c r="M187" s="27" t="s">
        <v>788</v>
      </c>
      <c r="N187" s="27" t="s">
        <v>872</v>
      </c>
      <c r="O187" s="27" t="s">
        <v>238</v>
      </c>
      <c r="P187" s="27">
        <v>47095</v>
      </c>
      <c r="Q187" s="27">
        <v>79</v>
      </c>
      <c r="R187" s="27">
        <v>0</v>
      </c>
      <c r="S187" s="27">
        <v>0</v>
      </c>
      <c r="T187" s="27">
        <v>0</v>
      </c>
      <c r="U187" s="27">
        <v>26379</v>
      </c>
      <c r="V187" s="27">
        <v>10011</v>
      </c>
    </row>
    <row r="188" spans="1:22" x14ac:dyDescent="0.25">
      <c r="A188" s="27" t="s">
        <v>791</v>
      </c>
      <c r="B188" s="27" t="s">
        <v>872</v>
      </c>
      <c r="C188" s="27" t="s">
        <v>239</v>
      </c>
      <c r="D188" s="32">
        <f>11957+1+206+19+6841</f>
        <v>19024</v>
      </c>
      <c r="E188" s="32">
        <f>67+8</f>
        <v>75</v>
      </c>
      <c r="F188" s="32">
        <v>0</v>
      </c>
      <c r="G188" s="32">
        <v>0</v>
      </c>
      <c r="H188" s="32">
        <v>0</v>
      </c>
      <c r="I188" s="32">
        <v>8806</v>
      </c>
      <c r="J188" s="32">
        <v>5300</v>
      </c>
      <c r="K188" s="32"/>
      <c r="M188" s="27" t="s">
        <v>791</v>
      </c>
      <c r="N188" s="27" t="s">
        <v>872</v>
      </c>
      <c r="O188" s="27" t="s">
        <v>239</v>
      </c>
      <c r="P188" s="27">
        <v>19024</v>
      </c>
      <c r="Q188" s="27">
        <v>75</v>
      </c>
      <c r="R188" s="27">
        <v>0</v>
      </c>
      <c r="S188" s="27">
        <v>0</v>
      </c>
      <c r="T188" s="27">
        <v>0</v>
      </c>
      <c r="U188" s="27">
        <v>8806</v>
      </c>
      <c r="V188" s="27">
        <v>5300</v>
      </c>
    </row>
    <row r="189" spans="1:22" x14ac:dyDescent="0.25">
      <c r="A189" s="27" t="s">
        <v>801</v>
      </c>
      <c r="B189" s="27" t="s">
        <v>872</v>
      </c>
      <c r="C189" s="27" t="s">
        <v>240</v>
      </c>
      <c r="D189" s="32">
        <f>71069+7+3868+3</f>
        <v>74947</v>
      </c>
      <c r="E189" s="32">
        <f>178+10+4+51+22</f>
        <v>265</v>
      </c>
      <c r="F189" s="32">
        <v>0</v>
      </c>
      <c r="G189" s="32">
        <v>0</v>
      </c>
      <c r="H189" s="32">
        <v>0</v>
      </c>
      <c r="I189" s="32">
        <v>24298</v>
      </c>
      <c r="J189" s="32">
        <v>3257</v>
      </c>
      <c r="K189" s="32"/>
      <c r="M189" s="27" t="s">
        <v>801</v>
      </c>
      <c r="N189" s="27" t="s">
        <v>872</v>
      </c>
      <c r="O189" s="27" t="s">
        <v>240</v>
      </c>
      <c r="P189" s="27">
        <v>74947</v>
      </c>
      <c r="Q189" s="27">
        <v>265</v>
      </c>
      <c r="R189" s="27">
        <v>0</v>
      </c>
      <c r="S189" s="27">
        <v>0</v>
      </c>
      <c r="T189" s="27">
        <v>0</v>
      </c>
      <c r="U189" s="27">
        <v>24298</v>
      </c>
      <c r="V189" s="27">
        <v>3257</v>
      </c>
    </row>
    <row r="190" spans="1:22" x14ac:dyDescent="0.25">
      <c r="A190" s="27" t="s">
        <v>788</v>
      </c>
      <c r="B190" s="27" t="s">
        <v>872</v>
      </c>
      <c r="C190" s="27" t="s">
        <v>241</v>
      </c>
      <c r="D190" s="32">
        <f>85126+1+26+528+5+32465</f>
        <v>118151</v>
      </c>
      <c r="E190" s="32">
        <f>44+12</f>
        <v>56</v>
      </c>
      <c r="F190" s="32">
        <v>0</v>
      </c>
      <c r="G190" s="32">
        <v>0</v>
      </c>
      <c r="H190" s="32">
        <v>0</v>
      </c>
      <c r="I190" s="32">
        <v>75907</v>
      </c>
      <c r="J190" s="32">
        <v>27527</v>
      </c>
      <c r="K190" s="32"/>
      <c r="M190" s="27" t="s">
        <v>788</v>
      </c>
      <c r="N190" s="27" t="s">
        <v>872</v>
      </c>
      <c r="O190" s="27" t="s">
        <v>241</v>
      </c>
      <c r="P190" s="27">
        <v>118151</v>
      </c>
      <c r="Q190" s="27">
        <v>56</v>
      </c>
      <c r="R190" s="27">
        <v>0</v>
      </c>
      <c r="S190" s="27">
        <v>0</v>
      </c>
      <c r="T190" s="27">
        <v>0</v>
      </c>
      <c r="U190" s="27">
        <v>75907</v>
      </c>
      <c r="V190" s="27">
        <v>27527</v>
      </c>
    </row>
    <row r="191" spans="1:22" x14ac:dyDescent="0.25">
      <c r="A191" s="27" t="s">
        <v>890</v>
      </c>
      <c r="B191" s="27" t="s">
        <v>872</v>
      </c>
      <c r="C191" s="27" t="s">
        <v>242</v>
      </c>
      <c r="D191" s="32">
        <f>66158+1+5+10+13+546+2+9+16277+1</f>
        <v>83022</v>
      </c>
      <c r="E191" s="32">
        <f>130+4+15+7</f>
        <v>156</v>
      </c>
      <c r="F191" s="32">
        <v>0</v>
      </c>
      <c r="G191" s="32">
        <v>0</v>
      </c>
      <c r="H191" s="32">
        <v>0</v>
      </c>
      <c r="I191" s="32">
        <v>20997</v>
      </c>
      <c r="J191" s="32">
        <v>8838</v>
      </c>
      <c r="K191" s="32"/>
      <c r="M191" s="27" t="s">
        <v>890</v>
      </c>
      <c r="N191" s="27" t="s">
        <v>872</v>
      </c>
      <c r="O191" s="27" t="s">
        <v>242</v>
      </c>
      <c r="P191" s="27">
        <v>83022</v>
      </c>
      <c r="Q191" s="27">
        <v>156</v>
      </c>
      <c r="R191" s="27">
        <v>0</v>
      </c>
      <c r="S191" s="27">
        <v>0</v>
      </c>
      <c r="T191" s="27">
        <v>0</v>
      </c>
      <c r="U191" s="27">
        <v>20997</v>
      </c>
      <c r="V191" s="27">
        <v>8838</v>
      </c>
    </row>
    <row r="192" spans="1:22" x14ac:dyDescent="0.25">
      <c r="A192" s="27" t="s">
        <v>512</v>
      </c>
      <c r="B192" s="27" t="s">
        <v>872</v>
      </c>
      <c r="C192" s="27" t="s">
        <v>243</v>
      </c>
      <c r="D192" s="32">
        <f>16277+2+3012</f>
        <v>19291</v>
      </c>
      <c r="E192" s="32">
        <v>39</v>
      </c>
      <c r="F192" s="32">
        <v>0</v>
      </c>
      <c r="G192" s="32">
        <v>0</v>
      </c>
      <c r="H192" s="32">
        <v>0</v>
      </c>
      <c r="I192" s="32">
        <v>1267</v>
      </c>
      <c r="J192" s="32">
        <v>2009</v>
      </c>
      <c r="K192" s="32"/>
      <c r="M192" s="27" t="s">
        <v>512</v>
      </c>
      <c r="N192" s="27" t="s">
        <v>872</v>
      </c>
      <c r="O192" s="27" t="s">
        <v>243</v>
      </c>
      <c r="P192" s="27">
        <v>19291</v>
      </c>
      <c r="Q192" s="27">
        <v>39</v>
      </c>
      <c r="R192" s="27">
        <v>0</v>
      </c>
      <c r="S192" s="27">
        <v>0</v>
      </c>
      <c r="T192" s="27">
        <v>0</v>
      </c>
      <c r="U192" s="27">
        <v>1267</v>
      </c>
      <c r="V192" s="27">
        <v>2009</v>
      </c>
    </row>
    <row r="193" spans="1:22" x14ac:dyDescent="0.25">
      <c r="A193" s="27" t="s">
        <v>796</v>
      </c>
      <c r="B193" s="27" t="s">
        <v>872</v>
      </c>
      <c r="C193" s="27" t="s">
        <v>244</v>
      </c>
      <c r="D193" s="32">
        <f>63491+3+1162+5+5+19+18877+25</f>
        <v>83587</v>
      </c>
      <c r="E193" s="32">
        <f>597+10+19+4+115+124+120</f>
        <v>989</v>
      </c>
      <c r="F193" s="32">
        <v>0</v>
      </c>
      <c r="G193" s="32">
        <v>0</v>
      </c>
      <c r="H193" s="32">
        <v>0</v>
      </c>
      <c r="I193" s="32">
        <v>102125</v>
      </c>
      <c r="J193" s="32">
        <v>16903</v>
      </c>
      <c r="K193" s="32"/>
      <c r="M193" s="27" t="s">
        <v>796</v>
      </c>
      <c r="N193" s="27" t="s">
        <v>872</v>
      </c>
      <c r="O193" s="27" t="s">
        <v>244</v>
      </c>
      <c r="P193" s="27">
        <v>83587</v>
      </c>
      <c r="Q193" s="27">
        <v>989</v>
      </c>
      <c r="R193" s="27">
        <v>0</v>
      </c>
      <c r="S193" s="27">
        <v>0</v>
      </c>
      <c r="T193" s="27">
        <v>0</v>
      </c>
      <c r="U193" s="27">
        <v>102125</v>
      </c>
      <c r="V193" s="27">
        <v>16903</v>
      </c>
    </row>
    <row r="194" spans="1:22" x14ac:dyDescent="0.25">
      <c r="A194" s="27" t="s">
        <v>146</v>
      </c>
      <c r="B194" s="27" t="s">
        <v>872</v>
      </c>
      <c r="C194" s="27" t="s">
        <v>245</v>
      </c>
      <c r="D194" s="32">
        <f>33991+155+5+12913+149</f>
        <v>47213</v>
      </c>
      <c r="E194" s="32">
        <f>72+21+4+91+28</f>
        <v>216</v>
      </c>
      <c r="F194" s="32">
        <v>0</v>
      </c>
      <c r="G194" s="32">
        <v>0</v>
      </c>
      <c r="H194" s="32">
        <v>0</v>
      </c>
      <c r="I194" s="32">
        <v>49484</v>
      </c>
      <c r="J194" s="32">
        <v>12010</v>
      </c>
      <c r="K194" s="32"/>
      <c r="M194" s="27" t="s">
        <v>146</v>
      </c>
      <c r="N194" s="27" t="s">
        <v>872</v>
      </c>
      <c r="O194" s="27" t="s">
        <v>245</v>
      </c>
      <c r="P194" s="27">
        <v>47213</v>
      </c>
      <c r="Q194" s="27">
        <v>216</v>
      </c>
      <c r="R194" s="27">
        <v>0</v>
      </c>
      <c r="S194" s="27">
        <v>0</v>
      </c>
      <c r="T194" s="27">
        <v>0</v>
      </c>
      <c r="U194" s="27">
        <v>49484</v>
      </c>
      <c r="V194" s="27">
        <v>12010</v>
      </c>
    </row>
    <row r="195" spans="1:22" x14ac:dyDescent="0.25">
      <c r="A195" s="27" t="s">
        <v>831</v>
      </c>
      <c r="B195" s="27" t="s">
        <v>872</v>
      </c>
      <c r="C195" s="27" t="s">
        <v>246</v>
      </c>
      <c r="D195" s="32">
        <f>4011+2133</f>
        <v>6144</v>
      </c>
      <c r="E195" s="32">
        <v>13</v>
      </c>
      <c r="F195" s="32">
        <v>0</v>
      </c>
      <c r="G195" s="32">
        <v>0</v>
      </c>
      <c r="H195" s="32">
        <v>0</v>
      </c>
      <c r="I195" s="32">
        <v>2064</v>
      </c>
      <c r="J195" s="32">
        <v>1697</v>
      </c>
      <c r="K195" s="32"/>
      <c r="M195" s="27" t="s">
        <v>831</v>
      </c>
      <c r="N195" s="27" t="s">
        <v>872</v>
      </c>
      <c r="O195" s="27" t="s">
        <v>246</v>
      </c>
      <c r="P195" s="27">
        <v>6144</v>
      </c>
      <c r="Q195" s="27">
        <v>13</v>
      </c>
      <c r="R195" s="27">
        <v>0</v>
      </c>
      <c r="S195" s="27">
        <v>0</v>
      </c>
      <c r="T195" s="27">
        <v>0</v>
      </c>
      <c r="U195" s="27">
        <v>2064</v>
      </c>
      <c r="V195" s="27">
        <v>1697</v>
      </c>
    </row>
    <row r="196" spans="1:22" x14ac:dyDescent="0.25">
      <c r="A196" s="27" t="s">
        <v>791</v>
      </c>
      <c r="B196" s="27" t="s">
        <v>872</v>
      </c>
      <c r="C196" s="27" t="s">
        <v>247</v>
      </c>
      <c r="D196" s="32">
        <f>2363+9137</f>
        <v>11500</v>
      </c>
      <c r="E196" s="32">
        <f>3+306</f>
        <v>309</v>
      </c>
      <c r="F196" s="32">
        <v>0</v>
      </c>
      <c r="G196" s="32">
        <v>0</v>
      </c>
      <c r="H196" s="32">
        <v>0</v>
      </c>
      <c r="I196" s="32">
        <v>3470</v>
      </c>
      <c r="J196" s="32">
        <v>5716</v>
      </c>
      <c r="K196" s="32"/>
      <c r="M196" s="27" t="s">
        <v>791</v>
      </c>
      <c r="N196" s="27" t="s">
        <v>872</v>
      </c>
      <c r="O196" s="27" t="s">
        <v>247</v>
      </c>
      <c r="P196" s="27">
        <v>11500</v>
      </c>
      <c r="Q196" s="27">
        <v>309</v>
      </c>
      <c r="R196" s="27">
        <v>0</v>
      </c>
      <c r="S196" s="27">
        <v>0</v>
      </c>
      <c r="T196" s="27">
        <v>0</v>
      </c>
      <c r="U196" s="27">
        <v>3470</v>
      </c>
      <c r="V196" s="27">
        <v>5716</v>
      </c>
    </row>
    <row r="197" spans="1:22" x14ac:dyDescent="0.25">
      <c r="A197" s="27" t="s">
        <v>248</v>
      </c>
      <c r="B197" s="27" t="s">
        <v>872</v>
      </c>
      <c r="C197" s="27" t="s">
        <v>249</v>
      </c>
      <c r="D197" s="32">
        <f>57429+1+198+1+10+3+18908+2+1</f>
        <v>76553</v>
      </c>
      <c r="E197" s="32">
        <f>313+4+33+134+11</f>
        <v>495</v>
      </c>
      <c r="F197" s="32">
        <v>0</v>
      </c>
      <c r="G197" s="32">
        <v>0</v>
      </c>
      <c r="H197" s="32">
        <v>0</v>
      </c>
      <c r="I197" s="32">
        <v>95018</v>
      </c>
      <c r="J197" s="32">
        <v>15327</v>
      </c>
      <c r="K197" s="32"/>
      <c r="M197" s="27" t="s">
        <v>248</v>
      </c>
      <c r="N197" s="27" t="s">
        <v>872</v>
      </c>
      <c r="O197" s="27" t="s">
        <v>249</v>
      </c>
      <c r="P197" s="27">
        <v>76553</v>
      </c>
      <c r="Q197" s="27">
        <v>495</v>
      </c>
      <c r="R197" s="27">
        <v>0</v>
      </c>
      <c r="S197" s="27">
        <v>0</v>
      </c>
      <c r="T197" s="27">
        <v>0</v>
      </c>
      <c r="U197" s="27">
        <v>95018</v>
      </c>
      <c r="V197" s="27">
        <v>15327</v>
      </c>
    </row>
    <row r="198" spans="1:22" x14ac:dyDescent="0.25">
      <c r="A198" s="27" t="s">
        <v>865</v>
      </c>
      <c r="B198" s="27" t="s">
        <v>872</v>
      </c>
      <c r="C198" s="27" t="s">
        <v>250</v>
      </c>
      <c r="D198" s="32">
        <f>23510+8+1+19+1+4094</f>
        <v>27633</v>
      </c>
      <c r="E198" s="32">
        <f>26+2+7+4</f>
        <v>39</v>
      </c>
      <c r="F198" s="32">
        <v>0</v>
      </c>
      <c r="G198" s="32">
        <v>0</v>
      </c>
      <c r="H198" s="32">
        <v>0</v>
      </c>
      <c r="I198" s="32">
        <v>12057</v>
      </c>
      <c r="J198" s="32">
        <v>3409</v>
      </c>
      <c r="K198" s="32"/>
      <c r="M198" s="27" t="s">
        <v>865</v>
      </c>
      <c r="N198" s="27" t="s">
        <v>872</v>
      </c>
      <c r="O198" s="27" t="s">
        <v>250</v>
      </c>
      <c r="P198" s="27">
        <v>27633</v>
      </c>
      <c r="Q198" s="27">
        <v>39</v>
      </c>
      <c r="R198" s="27">
        <v>0</v>
      </c>
      <c r="S198" s="27">
        <v>0</v>
      </c>
      <c r="T198" s="27">
        <v>0</v>
      </c>
      <c r="U198" s="27">
        <v>12057</v>
      </c>
      <c r="V198" s="27">
        <v>3409</v>
      </c>
    </row>
    <row r="199" spans="1:22" x14ac:dyDescent="0.25">
      <c r="A199" s="27" t="s">
        <v>248</v>
      </c>
      <c r="B199" s="27" t="s">
        <v>872</v>
      </c>
      <c r="C199" s="27" t="s">
        <v>251</v>
      </c>
      <c r="D199" s="32">
        <f>35255+6+3+9792</f>
        <v>45056</v>
      </c>
      <c r="E199" s="32">
        <f>466+2+192+36+11</f>
        <v>707</v>
      </c>
      <c r="F199" s="32">
        <v>0</v>
      </c>
      <c r="G199" s="32">
        <v>0</v>
      </c>
      <c r="H199" s="32">
        <v>0</v>
      </c>
      <c r="I199" s="32">
        <v>57731</v>
      </c>
      <c r="J199" s="32">
        <v>7804</v>
      </c>
      <c r="K199" s="32"/>
      <c r="M199" s="27" t="s">
        <v>248</v>
      </c>
      <c r="N199" s="27" t="s">
        <v>872</v>
      </c>
      <c r="O199" s="27" t="s">
        <v>251</v>
      </c>
      <c r="P199" s="27">
        <v>45056</v>
      </c>
      <c r="Q199" s="27">
        <v>707</v>
      </c>
      <c r="R199" s="27">
        <v>0</v>
      </c>
      <c r="S199" s="27">
        <v>0</v>
      </c>
      <c r="T199" s="27">
        <v>0</v>
      </c>
      <c r="U199" s="27">
        <v>57731</v>
      </c>
      <c r="V199" s="27">
        <v>7804</v>
      </c>
    </row>
    <row r="200" spans="1:22" x14ac:dyDescent="0.25">
      <c r="A200" s="27" t="s">
        <v>795</v>
      </c>
      <c r="B200" s="27" t="s">
        <v>872</v>
      </c>
      <c r="C200" s="27" t="s">
        <v>252</v>
      </c>
      <c r="D200" s="32">
        <f>32072+74+29+578+2+19819</f>
        <v>52574</v>
      </c>
      <c r="E200" s="32">
        <f>19+10+14+16+1+57</f>
        <v>117</v>
      </c>
      <c r="F200" s="32">
        <v>0</v>
      </c>
      <c r="G200" s="32">
        <v>0</v>
      </c>
      <c r="H200" s="32">
        <v>0</v>
      </c>
      <c r="I200" s="32">
        <v>19866</v>
      </c>
      <c r="J200" s="32">
        <v>15123</v>
      </c>
      <c r="K200" s="32"/>
      <c r="M200" s="27" t="s">
        <v>795</v>
      </c>
      <c r="N200" s="27" t="s">
        <v>872</v>
      </c>
      <c r="O200" s="27" t="s">
        <v>252</v>
      </c>
      <c r="P200" s="27">
        <v>52574</v>
      </c>
      <c r="Q200" s="27">
        <v>117</v>
      </c>
      <c r="R200" s="27">
        <v>0</v>
      </c>
      <c r="S200" s="27">
        <v>0</v>
      </c>
      <c r="T200" s="27">
        <v>0</v>
      </c>
      <c r="U200" s="27">
        <v>19866</v>
      </c>
      <c r="V200" s="27">
        <v>15123</v>
      </c>
    </row>
    <row r="201" spans="1:22" x14ac:dyDescent="0.25">
      <c r="A201" s="27" t="s">
        <v>248</v>
      </c>
      <c r="B201" s="27" t="s">
        <v>872</v>
      </c>
      <c r="C201" s="27" t="s">
        <v>253</v>
      </c>
      <c r="D201" s="32">
        <f>77296+4+1160+9+4+70+24311</f>
        <v>102854</v>
      </c>
      <c r="E201" s="32">
        <f>225+1+167+79+1</f>
        <v>473</v>
      </c>
      <c r="F201" s="32">
        <v>0</v>
      </c>
      <c r="G201" s="32">
        <v>0</v>
      </c>
      <c r="H201" s="32">
        <v>0</v>
      </c>
      <c r="I201" s="32">
        <v>49467</v>
      </c>
      <c r="J201" s="32">
        <v>19339</v>
      </c>
      <c r="K201" s="32"/>
      <c r="M201" s="27" t="s">
        <v>248</v>
      </c>
      <c r="N201" s="27" t="s">
        <v>872</v>
      </c>
      <c r="O201" s="27" t="s">
        <v>253</v>
      </c>
      <c r="P201" s="27">
        <v>102854</v>
      </c>
      <c r="Q201" s="27">
        <v>473</v>
      </c>
      <c r="R201" s="27">
        <v>0</v>
      </c>
      <c r="S201" s="27">
        <v>0</v>
      </c>
      <c r="T201" s="27">
        <v>0</v>
      </c>
      <c r="U201" s="27">
        <v>49467</v>
      </c>
      <c r="V201" s="27">
        <v>19339</v>
      </c>
    </row>
    <row r="202" spans="1:22" x14ac:dyDescent="0.25">
      <c r="A202" s="27" t="s">
        <v>823</v>
      </c>
      <c r="B202" s="27" t="s">
        <v>872</v>
      </c>
      <c r="C202" s="27" t="s">
        <v>254</v>
      </c>
      <c r="D202" s="32">
        <f>37394+1+7+27+10+33636</f>
        <v>71075</v>
      </c>
      <c r="E202" s="32">
        <f>297+5+21+43</f>
        <v>366</v>
      </c>
      <c r="F202" s="32">
        <v>0</v>
      </c>
      <c r="G202" s="32">
        <v>0</v>
      </c>
      <c r="H202" s="32">
        <v>0</v>
      </c>
      <c r="I202" s="32">
        <v>15780</v>
      </c>
      <c r="J202" s="32">
        <v>23193</v>
      </c>
      <c r="K202" s="32"/>
      <c r="M202" s="27" t="s">
        <v>823</v>
      </c>
      <c r="N202" s="27" t="s">
        <v>872</v>
      </c>
      <c r="O202" s="27" t="s">
        <v>254</v>
      </c>
      <c r="P202" s="27">
        <v>71075</v>
      </c>
      <c r="Q202" s="27">
        <v>366</v>
      </c>
      <c r="R202" s="27">
        <v>0</v>
      </c>
      <c r="S202" s="27">
        <v>0</v>
      </c>
      <c r="T202" s="27">
        <v>0</v>
      </c>
      <c r="U202" s="27">
        <v>15780</v>
      </c>
      <c r="V202" s="27">
        <v>23193</v>
      </c>
    </row>
    <row r="203" spans="1:22" x14ac:dyDescent="0.25">
      <c r="A203" s="27" t="s">
        <v>67</v>
      </c>
      <c r="B203" s="27" t="s">
        <v>872</v>
      </c>
      <c r="C203" s="27" t="s">
        <v>255</v>
      </c>
      <c r="D203" s="32">
        <f>37776+5+19+8854</f>
        <v>46654</v>
      </c>
      <c r="E203" s="32">
        <f>97+43+20</f>
        <v>160</v>
      </c>
      <c r="F203" s="32">
        <v>0</v>
      </c>
      <c r="G203" s="32">
        <v>0</v>
      </c>
      <c r="H203" s="32">
        <v>0</v>
      </c>
      <c r="I203" s="32">
        <v>50249</v>
      </c>
      <c r="J203" s="32">
        <v>8127</v>
      </c>
      <c r="K203" s="32"/>
      <c r="M203" s="27" t="s">
        <v>67</v>
      </c>
      <c r="N203" s="27" t="s">
        <v>872</v>
      </c>
      <c r="O203" s="27" t="s">
        <v>255</v>
      </c>
      <c r="P203" s="27">
        <v>46654</v>
      </c>
      <c r="Q203" s="27">
        <v>160</v>
      </c>
      <c r="R203" s="27">
        <v>0</v>
      </c>
      <c r="S203" s="27">
        <v>0</v>
      </c>
      <c r="T203" s="27">
        <v>0</v>
      </c>
      <c r="U203" s="27">
        <v>50249</v>
      </c>
      <c r="V203" s="27">
        <v>8127</v>
      </c>
    </row>
    <row r="204" spans="1:22" x14ac:dyDescent="0.25">
      <c r="A204" s="27" t="s">
        <v>72</v>
      </c>
      <c r="B204" s="27" t="s">
        <v>872</v>
      </c>
      <c r="C204" s="27" t="s">
        <v>256</v>
      </c>
      <c r="D204" s="32">
        <f>22928+475+1+2+28+5505</f>
        <v>28939</v>
      </c>
      <c r="E204" s="32">
        <f>18+4</f>
        <v>22</v>
      </c>
      <c r="F204" s="32">
        <v>0</v>
      </c>
      <c r="G204" s="32">
        <v>0</v>
      </c>
      <c r="H204" s="32">
        <v>0</v>
      </c>
      <c r="I204" s="32">
        <v>36415</v>
      </c>
      <c r="J204" s="32">
        <v>5111</v>
      </c>
      <c r="K204" s="32"/>
      <c r="M204" s="27" t="s">
        <v>72</v>
      </c>
      <c r="N204" s="27" t="s">
        <v>872</v>
      </c>
      <c r="O204" s="27" t="s">
        <v>256</v>
      </c>
      <c r="P204" s="27">
        <v>28939</v>
      </c>
      <c r="Q204" s="27">
        <v>22</v>
      </c>
      <c r="R204" s="27">
        <v>0</v>
      </c>
      <c r="S204" s="27">
        <v>0</v>
      </c>
      <c r="T204" s="27">
        <v>0</v>
      </c>
      <c r="U204" s="27">
        <v>36415</v>
      </c>
      <c r="V204" s="27">
        <v>5111</v>
      </c>
    </row>
    <row r="205" spans="1:22" x14ac:dyDescent="0.25">
      <c r="A205" s="27" t="s">
        <v>890</v>
      </c>
      <c r="B205" s="27" t="s">
        <v>872</v>
      </c>
      <c r="C205" s="27" t="s">
        <v>257</v>
      </c>
      <c r="D205" s="32">
        <f>55669+1+26+13687</f>
        <v>69383</v>
      </c>
      <c r="E205" s="32">
        <f>270+74+70+777+64+1553</f>
        <v>2808</v>
      </c>
      <c r="F205" s="32">
        <v>0</v>
      </c>
      <c r="G205" s="32">
        <v>0</v>
      </c>
      <c r="H205" s="32">
        <v>0</v>
      </c>
      <c r="I205" s="32">
        <v>11926</v>
      </c>
      <c r="J205" s="32">
        <v>12220</v>
      </c>
      <c r="K205" s="32"/>
      <c r="M205" s="27" t="s">
        <v>890</v>
      </c>
      <c r="N205" s="27" t="s">
        <v>872</v>
      </c>
      <c r="O205" s="27" t="s">
        <v>257</v>
      </c>
      <c r="P205" s="27">
        <v>69383</v>
      </c>
      <c r="Q205" s="27">
        <v>2808</v>
      </c>
      <c r="R205" s="27">
        <v>0</v>
      </c>
      <c r="S205" s="27">
        <v>0</v>
      </c>
      <c r="T205" s="27">
        <v>0</v>
      </c>
      <c r="U205" s="27">
        <v>11926</v>
      </c>
      <c r="V205" s="27">
        <v>12220</v>
      </c>
    </row>
    <row r="206" spans="1:22" x14ac:dyDescent="0.25">
      <c r="A206" s="27" t="s">
        <v>817</v>
      </c>
      <c r="B206" s="27" t="s">
        <v>872</v>
      </c>
      <c r="C206" s="27" t="s">
        <v>258</v>
      </c>
      <c r="D206" s="32">
        <f>33647+681+7+1+22377+1</f>
        <v>56714</v>
      </c>
      <c r="E206" s="32">
        <f>828+4+2+19+21+29</f>
        <v>903</v>
      </c>
      <c r="F206" s="32">
        <v>0</v>
      </c>
      <c r="G206" s="32">
        <v>0</v>
      </c>
      <c r="H206" s="32">
        <v>0</v>
      </c>
      <c r="I206" s="32">
        <v>91910</v>
      </c>
      <c r="J206" s="32">
        <v>18073</v>
      </c>
      <c r="K206" s="32"/>
      <c r="M206" s="27" t="s">
        <v>817</v>
      </c>
      <c r="N206" s="27" t="s">
        <v>872</v>
      </c>
      <c r="O206" s="27" t="s">
        <v>258</v>
      </c>
      <c r="P206" s="27">
        <v>56714</v>
      </c>
      <c r="Q206" s="27">
        <v>903</v>
      </c>
      <c r="R206" s="27">
        <v>0</v>
      </c>
      <c r="S206" s="27">
        <v>0</v>
      </c>
      <c r="T206" s="27">
        <v>0</v>
      </c>
      <c r="U206" s="27">
        <v>91910</v>
      </c>
      <c r="V206" s="27">
        <v>18073</v>
      </c>
    </row>
    <row r="207" spans="1:22" x14ac:dyDescent="0.25">
      <c r="A207" s="27" t="s">
        <v>795</v>
      </c>
      <c r="B207" s="27" t="s">
        <v>872</v>
      </c>
      <c r="C207" s="27" t="s">
        <v>259</v>
      </c>
      <c r="D207" s="32">
        <f>51572+15743+30087+858</f>
        <v>98260</v>
      </c>
      <c r="E207" s="32">
        <f>483+3+9+40</f>
        <v>535</v>
      </c>
      <c r="F207" s="32">
        <v>0</v>
      </c>
      <c r="G207" s="32">
        <v>0</v>
      </c>
      <c r="H207" s="32">
        <v>0</v>
      </c>
      <c r="I207" s="32">
        <v>37095</v>
      </c>
      <c r="J207" s="32">
        <v>25200</v>
      </c>
      <c r="K207" s="32"/>
      <c r="M207" s="27" t="s">
        <v>795</v>
      </c>
      <c r="N207" s="27" t="s">
        <v>872</v>
      </c>
      <c r="O207" s="27" t="s">
        <v>259</v>
      </c>
      <c r="P207" s="27">
        <v>98260</v>
      </c>
      <c r="Q207" s="27">
        <v>535</v>
      </c>
      <c r="R207" s="27">
        <v>0</v>
      </c>
      <c r="S207" s="27">
        <v>0</v>
      </c>
      <c r="T207" s="27">
        <v>0</v>
      </c>
      <c r="U207" s="27">
        <v>37095</v>
      </c>
      <c r="V207" s="27">
        <v>25200</v>
      </c>
    </row>
    <row r="208" spans="1:22" x14ac:dyDescent="0.25">
      <c r="A208" s="27" t="s">
        <v>864</v>
      </c>
      <c r="B208" s="27" t="s">
        <v>872</v>
      </c>
      <c r="C208" s="27" t="s">
        <v>260</v>
      </c>
      <c r="D208" s="32">
        <f>29629+4+1367+2+4+11+2+8+24357+2</f>
        <v>55386</v>
      </c>
      <c r="E208" s="32">
        <f>213+1+233+41+258</f>
        <v>746</v>
      </c>
      <c r="F208" s="32">
        <v>0</v>
      </c>
      <c r="G208" s="32">
        <v>0</v>
      </c>
      <c r="H208" s="32">
        <v>0</v>
      </c>
      <c r="I208" s="32">
        <v>49764</v>
      </c>
      <c r="J208" s="32">
        <v>20043</v>
      </c>
      <c r="K208" s="32"/>
      <c r="M208" s="27" t="s">
        <v>864</v>
      </c>
      <c r="N208" s="27" t="s">
        <v>872</v>
      </c>
      <c r="O208" s="27" t="s">
        <v>260</v>
      </c>
      <c r="P208" s="27">
        <v>55386</v>
      </c>
      <c r="Q208" s="27">
        <v>746</v>
      </c>
      <c r="R208" s="27">
        <v>0</v>
      </c>
      <c r="S208" s="27">
        <v>0</v>
      </c>
      <c r="T208" s="27">
        <v>0</v>
      </c>
      <c r="U208" s="27">
        <v>49764</v>
      </c>
      <c r="V208" s="27">
        <v>20043</v>
      </c>
    </row>
    <row r="209" spans="1:22" x14ac:dyDescent="0.25">
      <c r="A209" s="27" t="s">
        <v>826</v>
      </c>
      <c r="B209" s="27" t="s">
        <v>872</v>
      </c>
      <c r="C209" s="27" t="s">
        <v>261</v>
      </c>
      <c r="D209" s="32">
        <f>912+1+4+126+2912</f>
        <v>3955</v>
      </c>
      <c r="E209" s="32">
        <f>5+17</f>
        <v>22</v>
      </c>
      <c r="F209" s="32">
        <v>0</v>
      </c>
      <c r="G209" s="32">
        <v>0</v>
      </c>
      <c r="H209" s="32">
        <v>0</v>
      </c>
      <c r="I209" s="32">
        <v>1642</v>
      </c>
      <c r="J209" s="32">
        <v>2159</v>
      </c>
      <c r="K209" s="32"/>
      <c r="M209" s="27" t="s">
        <v>826</v>
      </c>
      <c r="N209" s="27" t="s">
        <v>872</v>
      </c>
      <c r="O209" s="27" t="s">
        <v>261</v>
      </c>
      <c r="P209" s="27">
        <v>3955</v>
      </c>
      <c r="Q209" s="27">
        <v>22</v>
      </c>
      <c r="R209" s="27">
        <v>0</v>
      </c>
      <c r="S209" s="27">
        <v>0</v>
      </c>
      <c r="T209" s="27">
        <v>0</v>
      </c>
      <c r="U209" s="27">
        <v>1642</v>
      </c>
      <c r="V209" s="27">
        <v>2159</v>
      </c>
    </row>
    <row r="210" spans="1:22" x14ac:dyDescent="0.25">
      <c r="A210" s="27" t="s">
        <v>801</v>
      </c>
      <c r="B210" s="27" t="s">
        <v>872</v>
      </c>
      <c r="C210" s="27" t="s">
        <v>262</v>
      </c>
      <c r="D210" s="32">
        <f>50893+1+2+1429+1+25+16+1+1+11+25549</f>
        <v>77929</v>
      </c>
      <c r="E210" s="32">
        <f>301+23+241+405+22+2</f>
        <v>994</v>
      </c>
      <c r="F210" s="32">
        <v>0</v>
      </c>
      <c r="G210" s="32">
        <v>0</v>
      </c>
      <c r="H210" s="32">
        <v>0</v>
      </c>
      <c r="I210" s="32">
        <v>0</v>
      </c>
      <c r="J210" s="32">
        <v>0</v>
      </c>
      <c r="K210" s="32"/>
      <c r="M210" s="27" t="s">
        <v>801</v>
      </c>
      <c r="N210" s="27" t="s">
        <v>872</v>
      </c>
      <c r="O210" s="27" t="s">
        <v>262</v>
      </c>
      <c r="P210" s="27">
        <v>77929</v>
      </c>
      <c r="Q210" s="27">
        <v>994</v>
      </c>
      <c r="R210" s="27">
        <v>0</v>
      </c>
      <c r="S210" s="27">
        <v>0</v>
      </c>
      <c r="T210" s="27">
        <v>0</v>
      </c>
    </row>
    <row r="211" spans="1:22" x14ac:dyDescent="0.25">
      <c r="A211" s="27" t="s">
        <v>120</v>
      </c>
      <c r="B211" s="27" t="s">
        <v>872</v>
      </c>
      <c r="C211" s="27" t="s">
        <v>263</v>
      </c>
      <c r="D211" s="32">
        <f>40053+62+5+1248+3+19+4218</f>
        <v>45608</v>
      </c>
      <c r="E211" s="32">
        <f>25+1</f>
        <v>26</v>
      </c>
      <c r="F211" s="32">
        <v>0</v>
      </c>
      <c r="G211" s="32">
        <v>0</v>
      </c>
      <c r="H211" s="32">
        <v>0</v>
      </c>
      <c r="I211" s="32">
        <v>5415</v>
      </c>
      <c r="J211" s="32">
        <v>3401</v>
      </c>
      <c r="K211" s="32"/>
      <c r="M211" s="27" t="s">
        <v>120</v>
      </c>
      <c r="N211" s="27" t="s">
        <v>872</v>
      </c>
      <c r="O211" s="27" t="s">
        <v>263</v>
      </c>
      <c r="P211" s="27">
        <v>45608</v>
      </c>
      <c r="Q211" s="27">
        <v>26</v>
      </c>
      <c r="R211" s="27">
        <v>0</v>
      </c>
      <c r="S211" s="27">
        <v>0</v>
      </c>
      <c r="T211" s="27">
        <v>0</v>
      </c>
      <c r="U211" s="27">
        <v>5415</v>
      </c>
      <c r="V211" s="27">
        <v>3401</v>
      </c>
    </row>
    <row r="212" spans="1:22" x14ac:dyDescent="0.25">
      <c r="A212" s="27" t="s">
        <v>868</v>
      </c>
      <c r="B212" s="27" t="s">
        <v>872</v>
      </c>
      <c r="C212" s="27" t="s">
        <v>264</v>
      </c>
      <c r="D212" s="32"/>
      <c r="E212" s="32"/>
      <c r="F212" s="32"/>
      <c r="G212" s="32"/>
      <c r="H212" s="32"/>
      <c r="I212" s="32"/>
      <c r="J212" s="32"/>
      <c r="K212" s="32"/>
      <c r="M212" s="27" t="s">
        <v>868</v>
      </c>
      <c r="N212" s="27" t="s">
        <v>872</v>
      </c>
      <c r="O212" s="27" t="s">
        <v>264</v>
      </c>
    </row>
    <row r="213" spans="1:22" x14ac:dyDescent="0.25">
      <c r="A213" s="27" t="s">
        <v>265</v>
      </c>
      <c r="B213" s="27" t="s">
        <v>872</v>
      </c>
      <c r="C213" s="27" t="s">
        <v>266</v>
      </c>
      <c r="D213" s="32">
        <f>88870+4+1+126+16+2+1+92+25171</f>
        <v>114283</v>
      </c>
      <c r="E213" s="32">
        <f>220+6+280</f>
        <v>506</v>
      </c>
      <c r="F213" s="32">
        <v>0</v>
      </c>
      <c r="G213" s="32">
        <v>0</v>
      </c>
      <c r="H213" s="32">
        <v>0</v>
      </c>
      <c r="I213" s="32">
        <v>66256</v>
      </c>
      <c r="J213" s="32">
        <v>22513</v>
      </c>
      <c r="K213" s="32"/>
      <c r="M213" s="27" t="s">
        <v>265</v>
      </c>
      <c r="N213" s="27" t="s">
        <v>872</v>
      </c>
      <c r="O213" s="27" t="s">
        <v>266</v>
      </c>
      <c r="P213" s="27">
        <v>114283</v>
      </c>
      <c r="Q213" s="27">
        <v>506</v>
      </c>
      <c r="R213" s="27">
        <v>0</v>
      </c>
      <c r="S213" s="27">
        <v>0</v>
      </c>
      <c r="T213" s="27">
        <v>0</v>
      </c>
      <c r="U213" s="27">
        <v>66256</v>
      </c>
      <c r="V213" s="27">
        <v>22513</v>
      </c>
    </row>
    <row r="214" spans="1:22" x14ac:dyDescent="0.25">
      <c r="A214" s="27" t="s">
        <v>797</v>
      </c>
      <c r="B214" s="27" t="s">
        <v>872</v>
      </c>
      <c r="C214" s="27" t="s">
        <v>267</v>
      </c>
      <c r="D214" s="32">
        <f>32619+4+1+1+37+1+1+52582</f>
        <v>85246</v>
      </c>
      <c r="E214" s="32">
        <f>301+1+56+1181+27</f>
        <v>1566</v>
      </c>
      <c r="F214" s="32">
        <v>0</v>
      </c>
      <c r="G214" s="32">
        <v>0</v>
      </c>
      <c r="H214" s="32">
        <v>0</v>
      </c>
      <c r="I214" s="32">
        <v>55309</v>
      </c>
      <c r="J214" s="32">
        <v>44832</v>
      </c>
      <c r="K214" s="32"/>
      <c r="M214" s="27" t="s">
        <v>797</v>
      </c>
      <c r="N214" s="27" t="s">
        <v>872</v>
      </c>
      <c r="O214" s="27" t="s">
        <v>267</v>
      </c>
      <c r="P214" s="27">
        <v>85246</v>
      </c>
      <c r="Q214" s="27">
        <v>1566</v>
      </c>
      <c r="R214" s="27">
        <v>0</v>
      </c>
      <c r="S214" s="27">
        <v>0</v>
      </c>
      <c r="T214" s="27">
        <v>0</v>
      </c>
      <c r="U214" s="27">
        <v>55309</v>
      </c>
      <c r="V214" s="27">
        <v>44832</v>
      </c>
    </row>
    <row r="215" spans="1:22" x14ac:dyDescent="0.25">
      <c r="A215" s="27" t="s">
        <v>831</v>
      </c>
      <c r="B215" s="27" t="s">
        <v>872</v>
      </c>
      <c r="C215" s="27" t="s">
        <v>268</v>
      </c>
      <c r="D215" s="32">
        <f>22574+3+3+9645</f>
        <v>32225</v>
      </c>
      <c r="E215" s="32">
        <f>273+53</f>
        <v>326</v>
      </c>
      <c r="F215" s="32">
        <v>0</v>
      </c>
      <c r="G215" s="32">
        <v>0</v>
      </c>
      <c r="H215" s="32">
        <v>0</v>
      </c>
      <c r="I215" s="32">
        <v>46011</v>
      </c>
      <c r="J215" s="32">
        <v>8677</v>
      </c>
      <c r="K215" s="32"/>
      <c r="M215" s="27" t="s">
        <v>831</v>
      </c>
      <c r="N215" s="27" t="s">
        <v>872</v>
      </c>
      <c r="O215" s="27" t="s">
        <v>268</v>
      </c>
      <c r="P215" s="27">
        <v>32225</v>
      </c>
      <c r="Q215" s="27">
        <v>326</v>
      </c>
      <c r="R215" s="27">
        <v>0</v>
      </c>
      <c r="S215" s="27">
        <v>0</v>
      </c>
      <c r="T215" s="27">
        <v>0</v>
      </c>
      <c r="U215" s="27">
        <v>46011</v>
      </c>
      <c r="V215" s="27">
        <v>8677</v>
      </c>
    </row>
    <row r="216" spans="1:22" x14ac:dyDescent="0.25">
      <c r="A216" s="27" t="s">
        <v>794</v>
      </c>
      <c r="B216" s="27" t="s">
        <v>872</v>
      </c>
      <c r="C216" s="27" t="s">
        <v>269</v>
      </c>
      <c r="D216" s="32">
        <f>42849+4+1+328+3+48+11525</f>
        <v>54758</v>
      </c>
      <c r="E216" s="32">
        <f>175+4+3+2+2</f>
        <v>186</v>
      </c>
      <c r="F216" s="32">
        <v>0</v>
      </c>
      <c r="G216" s="32">
        <v>0</v>
      </c>
      <c r="H216" s="32">
        <v>0</v>
      </c>
      <c r="I216" s="32">
        <v>25185</v>
      </c>
      <c r="J216" s="32">
        <v>9705</v>
      </c>
      <c r="K216" s="32"/>
      <c r="M216" s="27" t="s">
        <v>794</v>
      </c>
      <c r="N216" s="27" t="s">
        <v>872</v>
      </c>
      <c r="O216" s="27" t="s">
        <v>269</v>
      </c>
      <c r="P216" s="27">
        <v>54758</v>
      </c>
      <c r="Q216" s="27">
        <v>186</v>
      </c>
      <c r="R216" s="27">
        <v>0</v>
      </c>
      <c r="S216" s="27">
        <v>0</v>
      </c>
      <c r="T216" s="27">
        <v>0</v>
      </c>
      <c r="U216" s="27">
        <v>25185</v>
      </c>
      <c r="V216" s="27">
        <v>9705</v>
      </c>
    </row>
    <row r="217" spans="1:22" x14ac:dyDescent="0.25">
      <c r="A217" s="27" t="s">
        <v>809</v>
      </c>
      <c r="B217" s="27" t="s">
        <v>872</v>
      </c>
      <c r="C217" s="27" t="s">
        <v>270</v>
      </c>
      <c r="D217" s="32">
        <f>22299+1+45+1+1+1+90+15639</f>
        <v>38077</v>
      </c>
      <c r="E217" s="32">
        <f>24+99+2</f>
        <v>125</v>
      </c>
      <c r="F217" s="32">
        <v>0</v>
      </c>
      <c r="G217" s="32">
        <v>0</v>
      </c>
      <c r="H217" s="32">
        <v>0</v>
      </c>
      <c r="I217" s="32">
        <v>19428</v>
      </c>
      <c r="J217" s="32">
        <v>9022</v>
      </c>
      <c r="K217" s="32"/>
      <c r="M217" s="27" t="s">
        <v>809</v>
      </c>
      <c r="N217" s="27" t="s">
        <v>872</v>
      </c>
      <c r="O217" s="27" t="s">
        <v>270</v>
      </c>
      <c r="P217" s="27">
        <v>38077</v>
      </c>
      <c r="Q217" s="27">
        <v>125</v>
      </c>
      <c r="R217" s="27">
        <v>0</v>
      </c>
      <c r="S217" s="27">
        <v>0</v>
      </c>
      <c r="T217" s="27">
        <v>0</v>
      </c>
      <c r="U217" s="27">
        <v>19428</v>
      </c>
      <c r="V217" s="27">
        <v>9022</v>
      </c>
    </row>
    <row r="218" spans="1:22" x14ac:dyDescent="0.25">
      <c r="A218" s="27" t="s">
        <v>265</v>
      </c>
      <c r="B218" s="27" t="s">
        <v>872</v>
      </c>
      <c r="C218" s="27" t="s">
        <v>271</v>
      </c>
      <c r="D218" s="32">
        <f>124557+36+871+59+8+1+1+2+1+4+14+34801</f>
        <v>160355</v>
      </c>
      <c r="E218" s="32">
        <f>2152+10+14+28+16+4</f>
        <v>2224</v>
      </c>
      <c r="F218" s="32">
        <v>0</v>
      </c>
      <c r="G218" s="32">
        <v>0</v>
      </c>
      <c r="H218" s="32">
        <v>0</v>
      </c>
      <c r="I218" s="32">
        <v>159212</v>
      </c>
      <c r="J218" s="32">
        <v>24332</v>
      </c>
      <c r="K218" s="32"/>
      <c r="M218" s="27" t="s">
        <v>265</v>
      </c>
      <c r="N218" s="27" t="s">
        <v>872</v>
      </c>
      <c r="O218" s="27" t="s">
        <v>271</v>
      </c>
      <c r="P218" s="27">
        <v>160355</v>
      </c>
      <c r="Q218" s="27">
        <v>2224</v>
      </c>
      <c r="R218" s="27">
        <v>0</v>
      </c>
      <c r="S218" s="27">
        <v>0</v>
      </c>
      <c r="T218" s="27">
        <v>0</v>
      </c>
      <c r="U218" s="27">
        <v>159212</v>
      </c>
      <c r="V218" s="27">
        <v>24332</v>
      </c>
    </row>
    <row r="219" spans="1:22" x14ac:dyDescent="0.25">
      <c r="A219" s="27" t="s">
        <v>823</v>
      </c>
      <c r="B219" s="27" t="s">
        <v>872</v>
      </c>
      <c r="C219" s="27" t="s">
        <v>272</v>
      </c>
      <c r="D219" s="32">
        <f>45722+1+61+1+20+71+38844+2</f>
        <v>84722</v>
      </c>
      <c r="E219" s="32">
        <f>158+11+194+101</f>
        <v>464</v>
      </c>
      <c r="F219" s="32">
        <v>0</v>
      </c>
      <c r="G219" s="32">
        <v>0</v>
      </c>
      <c r="H219" s="32">
        <v>0</v>
      </c>
      <c r="I219" s="32">
        <v>40311</v>
      </c>
      <c r="J219" s="32">
        <v>29397</v>
      </c>
      <c r="K219" s="32"/>
      <c r="M219" s="27" t="s">
        <v>823</v>
      </c>
      <c r="N219" s="27" t="s">
        <v>872</v>
      </c>
      <c r="O219" s="27" t="s">
        <v>272</v>
      </c>
      <c r="P219" s="27">
        <v>84722</v>
      </c>
      <c r="Q219" s="27">
        <v>464</v>
      </c>
      <c r="R219" s="27">
        <v>0</v>
      </c>
      <c r="S219" s="27">
        <v>0</v>
      </c>
      <c r="T219" s="27">
        <v>0</v>
      </c>
      <c r="U219" s="27">
        <v>40311</v>
      </c>
      <c r="V219" s="27">
        <v>29397</v>
      </c>
    </row>
    <row r="220" spans="1:22" x14ac:dyDescent="0.25">
      <c r="A220" s="27" t="s">
        <v>146</v>
      </c>
      <c r="B220" s="27" t="s">
        <v>872</v>
      </c>
      <c r="C220" s="27" t="s">
        <v>273</v>
      </c>
      <c r="D220" s="32">
        <f>20773+1+7535+9+30585+3+2+1</f>
        <v>58909</v>
      </c>
      <c r="E220" s="32">
        <f>158+446+2+10</f>
        <v>616</v>
      </c>
      <c r="F220" s="32">
        <v>0</v>
      </c>
      <c r="G220" s="32">
        <v>0</v>
      </c>
      <c r="H220" s="32">
        <v>0</v>
      </c>
      <c r="I220" s="32">
        <v>128628</v>
      </c>
      <c r="J220" s="32">
        <v>26928</v>
      </c>
      <c r="K220" s="32"/>
      <c r="M220" s="27" t="s">
        <v>146</v>
      </c>
      <c r="N220" s="27" t="s">
        <v>872</v>
      </c>
      <c r="O220" s="27" t="s">
        <v>273</v>
      </c>
      <c r="P220" s="27">
        <v>58909</v>
      </c>
      <c r="Q220" s="27">
        <v>616</v>
      </c>
      <c r="R220" s="27">
        <v>0</v>
      </c>
      <c r="S220" s="27">
        <v>0</v>
      </c>
      <c r="T220" s="27">
        <v>0</v>
      </c>
      <c r="U220" s="27">
        <v>128628</v>
      </c>
      <c r="V220" s="27">
        <v>26928</v>
      </c>
    </row>
    <row r="221" spans="1:22" x14ac:dyDescent="0.25">
      <c r="A221" s="27" t="s">
        <v>788</v>
      </c>
      <c r="B221" s="27" t="s">
        <v>872</v>
      </c>
      <c r="C221" s="27" t="s">
        <v>274</v>
      </c>
      <c r="D221" s="32">
        <f>32939+670+24+17631+1</f>
        <v>51265</v>
      </c>
      <c r="E221" s="32">
        <f>39+3+1+12</f>
        <v>55</v>
      </c>
      <c r="F221" s="32">
        <v>0</v>
      </c>
      <c r="G221" s="32">
        <v>0</v>
      </c>
      <c r="H221" s="32">
        <v>0</v>
      </c>
      <c r="I221" s="32">
        <v>42705</v>
      </c>
      <c r="J221" s="32">
        <v>12805</v>
      </c>
      <c r="K221" s="32"/>
      <c r="M221" s="27" t="s">
        <v>788</v>
      </c>
      <c r="N221" s="27" t="s">
        <v>872</v>
      </c>
      <c r="O221" s="27" t="s">
        <v>274</v>
      </c>
      <c r="P221" s="27">
        <v>51265</v>
      </c>
      <c r="Q221" s="27">
        <v>55</v>
      </c>
      <c r="R221" s="27">
        <v>0</v>
      </c>
      <c r="S221" s="27">
        <v>0</v>
      </c>
      <c r="T221" s="27">
        <v>0</v>
      </c>
      <c r="U221" s="27">
        <v>42705</v>
      </c>
      <c r="V221" s="27">
        <v>12805</v>
      </c>
    </row>
    <row r="222" spans="1:22" x14ac:dyDescent="0.25">
      <c r="A222" s="27" t="s">
        <v>495</v>
      </c>
      <c r="B222" s="27" t="s">
        <v>874</v>
      </c>
      <c r="C222" s="27" t="s">
        <v>275</v>
      </c>
      <c r="D222" s="32">
        <f>403326+1929+18+4+12749+1+2+19+194918+3682+1+81+7574+1+1</f>
        <v>624306</v>
      </c>
      <c r="E222" s="32">
        <f>3140+119+7+3+751+274+90+73+23+4</f>
        <v>4484</v>
      </c>
      <c r="F222" s="32">
        <v>0</v>
      </c>
      <c r="G222" s="32">
        <v>0</v>
      </c>
      <c r="H222" s="32">
        <v>0</v>
      </c>
      <c r="I222" s="32">
        <v>84136</v>
      </c>
      <c r="J222" s="32">
        <v>181033</v>
      </c>
      <c r="K222" s="32"/>
      <c r="M222" s="27" t="s">
        <v>495</v>
      </c>
      <c r="N222" s="27" t="s">
        <v>874</v>
      </c>
      <c r="O222" s="27" t="s">
        <v>275</v>
      </c>
      <c r="P222" s="27">
        <v>624306</v>
      </c>
      <c r="Q222" s="27">
        <v>4484</v>
      </c>
      <c r="R222" s="27">
        <v>0</v>
      </c>
      <c r="S222" s="27">
        <v>0</v>
      </c>
      <c r="T222" s="27">
        <v>0</v>
      </c>
      <c r="U222" s="27">
        <v>84136</v>
      </c>
      <c r="V222" s="27">
        <v>181033</v>
      </c>
    </row>
    <row r="223" spans="1:22" x14ac:dyDescent="0.25">
      <c r="A223" s="27" t="s">
        <v>120</v>
      </c>
      <c r="B223" s="27" t="s">
        <v>874</v>
      </c>
      <c r="C223" s="27" t="s">
        <v>276</v>
      </c>
      <c r="D223" s="32">
        <f>203298+16542+2+301+40+102315+1902+1+5+4</f>
        <v>324410</v>
      </c>
      <c r="E223" s="32">
        <f>190+143+187+33+1272+48+78+704+13+1+689</f>
        <v>3358</v>
      </c>
      <c r="F223" s="32">
        <v>0</v>
      </c>
      <c r="G223" s="32">
        <v>0</v>
      </c>
      <c r="H223" s="32">
        <v>0</v>
      </c>
      <c r="I223" s="32">
        <v>64796</v>
      </c>
      <c r="J223" s="32">
        <v>83636</v>
      </c>
      <c r="K223" s="32"/>
      <c r="M223" s="27" t="s">
        <v>120</v>
      </c>
      <c r="N223" s="27" t="s">
        <v>874</v>
      </c>
      <c r="O223" s="27" t="s">
        <v>276</v>
      </c>
      <c r="P223" s="27">
        <v>324410</v>
      </c>
      <c r="Q223" s="27">
        <v>3358</v>
      </c>
      <c r="R223" s="27">
        <v>0</v>
      </c>
      <c r="S223" s="27">
        <v>0</v>
      </c>
      <c r="T223" s="27">
        <v>0</v>
      </c>
      <c r="U223" s="27">
        <v>64796</v>
      </c>
      <c r="V223" s="27">
        <v>83636</v>
      </c>
    </row>
    <row r="224" spans="1:22" x14ac:dyDescent="0.25">
      <c r="A224" s="27" t="s">
        <v>76</v>
      </c>
      <c r="B224" s="27" t="s">
        <v>875</v>
      </c>
      <c r="C224" s="27" t="s">
        <v>277</v>
      </c>
      <c r="D224" s="32">
        <f>126445+2+1+10094+10+5946</f>
        <v>142498</v>
      </c>
      <c r="E224" s="32">
        <f>566+2+870</f>
        <v>1438</v>
      </c>
      <c r="F224" s="32">
        <v>0</v>
      </c>
      <c r="G224" s="32">
        <v>0</v>
      </c>
      <c r="H224" s="32">
        <v>0</v>
      </c>
      <c r="I224" s="32">
        <v>0</v>
      </c>
      <c r="J224" s="32">
        <v>0</v>
      </c>
      <c r="K224" s="32"/>
      <c r="M224" s="27" t="s">
        <v>76</v>
      </c>
      <c r="N224" s="27" t="s">
        <v>875</v>
      </c>
      <c r="O224" s="27" t="s">
        <v>277</v>
      </c>
      <c r="P224" s="27">
        <v>142498</v>
      </c>
      <c r="Q224" s="27">
        <v>1438</v>
      </c>
      <c r="R224" s="27">
        <v>0</v>
      </c>
      <c r="S224" s="27">
        <v>0</v>
      </c>
      <c r="T224" s="27">
        <v>0</v>
      </c>
      <c r="U224" s="27">
        <v>0</v>
      </c>
      <c r="V224" s="27">
        <v>0</v>
      </c>
    </row>
    <row r="225" spans="1:22" x14ac:dyDescent="0.25">
      <c r="A225" s="27" t="s">
        <v>823</v>
      </c>
      <c r="B225" s="27" t="s">
        <v>875</v>
      </c>
      <c r="C225" s="27" t="s">
        <v>278</v>
      </c>
      <c r="D225" s="32">
        <v>98532</v>
      </c>
      <c r="E225" s="32">
        <v>0</v>
      </c>
      <c r="F225" s="32">
        <v>0</v>
      </c>
      <c r="G225" s="32">
        <v>0</v>
      </c>
      <c r="H225" s="32">
        <v>0</v>
      </c>
      <c r="I225" s="32">
        <v>0</v>
      </c>
      <c r="J225" s="32">
        <v>0</v>
      </c>
      <c r="K225" s="32"/>
      <c r="M225" s="27" t="s">
        <v>823</v>
      </c>
      <c r="N225" s="27" t="s">
        <v>875</v>
      </c>
      <c r="O225" s="27" t="s">
        <v>278</v>
      </c>
      <c r="P225" s="27">
        <v>98532</v>
      </c>
      <c r="Q225" s="27">
        <v>0</v>
      </c>
      <c r="R225" s="27">
        <v>0</v>
      </c>
      <c r="S225" s="27">
        <v>0</v>
      </c>
      <c r="T225" s="27">
        <v>0</v>
      </c>
      <c r="U225" s="27">
        <v>0</v>
      </c>
      <c r="V225" s="27">
        <v>0</v>
      </c>
    </row>
    <row r="226" spans="1:22" x14ac:dyDescent="0.25">
      <c r="A226" s="27" t="s">
        <v>795</v>
      </c>
      <c r="B226" s="27" t="s">
        <v>876</v>
      </c>
      <c r="C226" s="27" t="s">
        <v>279</v>
      </c>
      <c r="D226" s="32">
        <v>0</v>
      </c>
      <c r="E226" s="32">
        <v>0</v>
      </c>
      <c r="F226" s="32">
        <v>0</v>
      </c>
      <c r="G226" s="32">
        <v>0</v>
      </c>
      <c r="H226" s="32">
        <v>0</v>
      </c>
      <c r="I226" s="32">
        <f>39460+43150+5700</f>
        <v>88310</v>
      </c>
      <c r="J226" s="32">
        <v>0</v>
      </c>
      <c r="K226" s="32"/>
      <c r="M226" s="27" t="s">
        <v>795</v>
      </c>
      <c r="N226" s="27" t="s">
        <v>876</v>
      </c>
      <c r="O226" s="27" t="s">
        <v>279</v>
      </c>
      <c r="P226" s="27">
        <v>0</v>
      </c>
      <c r="Q226" s="27">
        <v>0</v>
      </c>
      <c r="R226" s="27">
        <v>0</v>
      </c>
      <c r="S226" s="27">
        <v>0</v>
      </c>
      <c r="T226" s="27">
        <v>0</v>
      </c>
      <c r="U226" s="27">
        <v>88310</v>
      </c>
      <c r="V226" s="27">
        <v>0</v>
      </c>
    </row>
    <row r="227" spans="1:22" x14ac:dyDescent="0.25">
      <c r="A227" s="27" t="s">
        <v>817</v>
      </c>
      <c r="B227" s="27" t="s">
        <v>875</v>
      </c>
      <c r="C227" s="27" t="s">
        <v>280</v>
      </c>
      <c r="D227" s="32">
        <f>333145+1+236+400</f>
        <v>333782</v>
      </c>
      <c r="E227" s="32">
        <f>559+9+16</f>
        <v>584</v>
      </c>
      <c r="F227" s="32">
        <v>0</v>
      </c>
      <c r="G227" s="32">
        <v>0</v>
      </c>
      <c r="H227" s="32">
        <v>0</v>
      </c>
      <c r="I227" s="32">
        <v>0</v>
      </c>
      <c r="J227" s="32">
        <v>0</v>
      </c>
      <c r="K227" s="32"/>
      <c r="M227" s="27" t="s">
        <v>817</v>
      </c>
      <c r="N227" s="27" t="s">
        <v>875</v>
      </c>
      <c r="O227" s="27" t="s">
        <v>280</v>
      </c>
      <c r="P227" s="27">
        <v>333782</v>
      </c>
      <c r="Q227" s="27">
        <v>584</v>
      </c>
      <c r="R227" s="27">
        <v>0</v>
      </c>
      <c r="S227" s="27">
        <v>0</v>
      </c>
      <c r="T227" s="27">
        <v>0</v>
      </c>
      <c r="U227" s="27">
        <v>0</v>
      </c>
      <c r="V227" s="27">
        <v>0</v>
      </c>
    </row>
    <row r="228" spans="1:22" x14ac:dyDescent="0.25">
      <c r="A228" s="27" t="s">
        <v>791</v>
      </c>
      <c r="B228" s="27" t="s">
        <v>875</v>
      </c>
      <c r="C228" s="27" t="s">
        <v>281</v>
      </c>
      <c r="D228" s="32">
        <f>25961+63+2+68</f>
        <v>26094</v>
      </c>
      <c r="E228" s="32">
        <v>6</v>
      </c>
      <c r="F228" s="32">
        <v>0</v>
      </c>
      <c r="G228" s="32">
        <v>0</v>
      </c>
      <c r="H228" s="32">
        <v>0</v>
      </c>
      <c r="I228" s="32">
        <v>0</v>
      </c>
      <c r="J228" s="32">
        <v>0</v>
      </c>
      <c r="K228" s="32"/>
      <c r="M228" s="27" t="s">
        <v>791</v>
      </c>
      <c r="N228" s="27" t="s">
        <v>875</v>
      </c>
      <c r="O228" s="27" t="s">
        <v>281</v>
      </c>
      <c r="P228" s="27">
        <v>26094</v>
      </c>
      <c r="Q228" s="27">
        <v>6</v>
      </c>
      <c r="R228" s="27">
        <v>0</v>
      </c>
      <c r="S228" s="27">
        <v>0</v>
      </c>
      <c r="T228" s="27">
        <v>0</v>
      </c>
      <c r="U228" s="27">
        <v>0</v>
      </c>
      <c r="V228" s="27">
        <v>0</v>
      </c>
    </row>
    <row r="229" spans="1:22" x14ac:dyDescent="0.25">
      <c r="A229" s="27" t="s">
        <v>801</v>
      </c>
      <c r="B229" s="27" t="s">
        <v>875</v>
      </c>
      <c r="C229" s="27" t="s">
        <v>282</v>
      </c>
      <c r="D229" s="32">
        <f>23366+40</f>
        <v>23406</v>
      </c>
      <c r="E229" s="32">
        <v>138</v>
      </c>
      <c r="F229" s="32">
        <v>0</v>
      </c>
      <c r="G229" s="32">
        <v>0</v>
      </c>
      <c r="H229" s="32">
        <v>0</v>
      </c>
      <c r="I229" s="32">
        <v>0</v>
      </c>
      <c r="J229" s="32">
        <v>0</v>
      </c>
      <c r="K229" s="32"/>
      <c r="M229" s="27" t="s">
        <v>801</v>
      </c>
      <c r="N229" s="27" t="s">
        <v>875</v>
      </c>
      <c r="O229" s="27" t="s">
        <v>282</v>
      </c>
      <c r="P229" s="27">
        <v>23406</v>
      </c>
      <c r="Q229" s="27">
        <v>138</v>
      </c>
      <c r="R229" s="27">
        <v>0</v>
      </c>
      <c r="S229" s="27">
        <v>0</v>
      </c>
      <c r="T229" s="27">
        <v>0</v>
      </c>
      <c r="U229" s="27">
        <v>0</v>
      </c>
      <c r="V229" s="27">
        <v>0</v>
      </c>
    </row>
    <row r="230" spans="1:22" x14ac:dyDescent="0.25">
      <c r="A230" s="27" t="s">
        <v>795</v>
      </c>
      <c r="B230" s="27" t="s">
        <v>875</v>
      </c>
      <c r="C230" s="27" t="s">
        <v>283</v>
      </c>
      <c r="D230" s="32">
        <f>238526+1+99+270</f>
        <v>238896</v>
      </c>
      <c r="E230" s="32">
        <f>174+39+4</f>
        <v>217</v>
      </c>
      <c r="F230" s="32">
        <v>0</v>
      </c>
      <c r="G230" s="32">
        <v>0</v>
      </c>
      <c r="H230" s="32">
        <v>0</v>
      </c>
      <c r="I230" s="32">
        <v>0</v>
      </c>
      <c r="J230" s="32">
        <v>0</v>
      </c>
      <c r="K230" s="32"/>
      <c r="M230" s="27" t="s">
        <v>795</v>
      </c>
      <c r="N230" s="27" t="s">
        <v>875</v>
      </c>
      <c r="O230" s="27" t="s">
        <v>283</v>
      </c>
      <c r="P230" s="27">
        <v>238896</v>
      </c>
      <c r="Q230" s="27">
        <v>217</v>
      </c>
      <c r="R230" s="27">
        <v>0</v>
      </c>
      <c r="S230" s="27">
        <v>0</v>
      </c>
      <c r="T230" s="27">
        <v>0</v>
      </c>
      <c r="U230" s="27">
        <v>0</v>
      </c>
      <c r="V230" s="27">
        <v>0</v>
      </c>
    </row>
    <row r="231" spans="1:22" x14ac:dyDescent="0.25">
      <c r="A231" s="27" t="s">
        <v>811</v>
      </c>
      <c r="B231" s="27" t="s">
        <v>875</v>
      </c>
      <c r="C231" s="27" t="s">
        <v>284</v>
      </c>
      <c r="D231" s="32">
        <f>160104+1080+21</f>
        <v>161205</v>
      </c>
      <c r="E231" s="32">
        <f>2533+171+2193</f>
        <v>4897</v>
      </c>
      <c r="F231" s="32">
        <v>0</v>
      </c>
      <c r="G231" s="32">
        <v>0</v>
      </c>
      <c r="H231" s="32">
        <v>0</v>
      </c>
      <c r="I231" s="32">
        <v>0</v>
      </c>
      <c r="J231" s="32">
        <v>0</v>
      </c>
      <c r="K231" s="32"/>
      <c r="M231" s="27" t="s">
        <v>811</v>
      </c>
      <c r="N231" s="27" t="s">
        <v>875</v>
      </c>
      <c r="O231" s="27" t="s">
        <v>284</v>
      </c>
      <c r="P231" s="27">
        <v>161205</v>
      </c>
      <c r="Q231" s="27">
        <v>4897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</row>
    <row r="232" spans="1:22" x14ac:dyDescent="0.25">
      <c r="A232" s="27" t="s">
        <v>495</v>
      </c>
      <c r="B232" s="27" t="s">
        <v>875</v>
      </c>
      <c r="C232" s="27" t="s">
        <v>285</v>
      </c>
      <c r="D232" s="32">
        <f>32136+2256+4+3+33</f>
        <v>34432</v>
      </c>
      <c r="E232" s="32">
        <v>165</v>
      </c>
      <c r="F232" s="32">
        <v>0</v>
      </c>
      <c r="G232" s="32">
        <v>0</v>
      </c>
      <c r="H232" s="32">
        <v>0</v>
      </c>
      <c r="I232" s="32">
        <v>0</v>
      </c>
      <c r="J232" s="32">
        <v>0</v>
      </c>
      <c r="K232" s="32"/>
      <c r="M232" s="27" t="s">
        <v>495</v>
      </c>
      <c r="N232" s="27" t="s">
        <v>875</v>
      </c>
      <c r="O232" s="27" t="s">
        <v>285</v>
      </c>
      <c r="P232" s="27">
        <v>34432</v>
      </c>
      <c r="Q232" s="27">
        <v>165</v>
      </c>
      <c r="R232" s="27">
        <v>0</v>
      </c>
      <c r="S232" s="27">
        <v>0</v>
      </c>
      <c r="T232" s="27">
        <v>0</v>
      </c>
      <c r="U232" s="27">
        <v>0</v>
      </c>
      <c r="V232" s="27">
        <v>0</v>
      </c>
    </row>
    <row r="233" spans="1:22" x14ac:dyDescent="0.25">
      <c r="A233" s="27" t="s">
        <v>101</v>
      </c>
      <c r="B233" s="27" t="s">
        <v>875</v>
      </c>
      <c r="C233" s="27" t="s">
        <v>286</v>
      </c>
      <c r="D233" s="32">
        <f>43817+996+2+11</f>
        <v>44826</v>
      </c>
      <c r="E233" s="32">
        <f>297+20</f>
        <v>317</v>
      </c>
      <c r="F233" s="32">
        <v>0</v>
      </c>
      <c r="G233" s="32">
        <v>0</v>
      </c>
      <c r="H233" s="32">
        <v>0</v>
      </c>
      <c r="I233" s="32">
        <v>0</v>
      </c>
      <c r="J233" s="32">
        <v>0</v>
      </c>
      <c r="K233" s="32"/>
      <c r="M233" s="27" t="s">
        <v>101</v>
      </c>
      <c r="N233" s="27" t="s">
        <v>875</v>
      </c>
      <c r="O233" s="27" t="s">
        <v>286</v>
      </c>
      <c r="P233" s="27">
        <v>44826</v>
      </c>
      <c r="Q233" s="27">
        <v>317</v>
      </c>
      <c r="R233" s="27">
        <v>0</v>
      </c>
      <c r="S233" s="27">
        <v>0</v>
      </c>
      <c r="T233" s="27">
        <v>0</v>
      </c>
      <c r="U233" s="27">
        <v>0</v>
      </c>
      <c r="V233" s="27">
        <v>0</v>
      </c>
    </row>
    <row r="234" spans="1:22" x14ac:dyDescent="0.25">
      <c r="A234" s="27" t="s">
        <v>226</v>
      </c>
      <c r="B234" s="27" t="s">
        <v>875</v>
      </c>
      <c r="C234" s="27" t="s">
        <v>287</v>
      </c>
      <c r="D234" s="32">
        <f>17376+24+3+12+5</f>
        <v>17420</v>
      </c>
      <c r="E234" s="32">
        <v>0</v>
      </c>
      <c r="F234" s="32">
        <v>0</v>
      </c>
      <c r="G234" s="32">
        <v>0</v>
      </c>
      <c r="H234" s="32">
        <v>0</v>
      </c>
      <c r="I234" s="32">
        <v>0</v>
      </c>
      <c r="J234" s="32">
        <v>0</v>
      </c>
      <c r="K234" s="32"/>
      <c r="M234" s="27" t="s">
        <v>226</v>
      </c>
      <c r="N234" s="27" t="s">
        <v>875</v>
      </c>
      <c r="O234" s="27" t="s">
        <v>287</v>
      </c>
      <c r="P234" s="27">
        <v>17420</v>
      </c>
      <c r="Q234" s="27">
        <v>0</v>
      </c>
      <c r="R234" s="27">
        <v>0</v>
      </c>
      <c r="S234" s="27">
        <v>0</v>
      </c>
      <c r="T234" s="27">
        <v>0</v>
      </c>
      <c r="U234" s="27">
        <v>0</v>
      </c>
      <c r="V234" s="27">
        <v>0</v>
      </c>
    </row>
    <row r="235" spans="1:22" x14ac:dyDescent="0.25">
      <c r="A235" s="27" t="s">
        <v>120</v>
      </c>
      <c r="B235" s="27" t="s">
        <v>877</v>
      </c>
      <c r="C235" s="27" t="s">
        <v>288</v>
      </c>
      <c r="D235" s="32">
        <v>11062</v>
      </c>
      <c r="E235" s="32">
        <v>2</v>
      </c>
      <c r="F235" s="32">
        <v>0</v>
      </c>
      <c r="G235" s="32">
        <f>102295+2+3+9</f>
        <v>102309</v>
      </c>
      <c r="H235" s="32">
        <v>46</v>
      </c>
      <c r="I235" s="32">
        <v>0</v>
      </c>
      <c r="J235" s="32">
        <v>0</v>
      </c>
      <c r="K235" s="32"/>
      <c r="M235" s="27" t="s">
        <v>120</v>
      </c>
      <c r="N235" s="27" t="s">
        <v>877</v>
      </c>
      <c r="O235" s="27" t="s">
        <v>288</v>
      </c>
      <c r="P235" s="27">
        <v>11062</v>
      </c>
      <c r="Q235" s="27">
        <v>2</v>
      </c>
      <c r="R235" s="27">
        <v>0</v>
      </c>
      <c r="S235" s="27">
        <v>102309</v>
      </c>
      <c r="T235" s="27">
        <v>46</v>
      </c>
      <c r="U235" s="27">
        <v>0</v>
      </c>
      <c r="V235" s="27">
        <v>0</v>
      </c>
    </row>
    <row r="236" spans="1:22" x14ac:dyDescent="0.25">
      <c r="A236" s="27" t="s">
        <v>826</v>
      </c>
      <c r="B236" s="27" t="s">
        <v>877</v>
      </c>
      <c r="C236" s="27" t="s">
        <v>289</v>
      </c>
      <c r="D236" s="32">
        <f>4495+50+10</f>
        <v>4555</v>
      </c>
      <c r="E236" s="32">
        <f>121+8</f>
        <v>129</v>
      </c>
      <c r="F236" s="32">
        <v>0</v>
      </c>
      <c r="G236" s="32">
        <f>10092+51+34</f>
        <v>10177</v>
      </c>
      <c r="H236" s="32">
        <f>197+2</f>
        <v>199</v>
      </c>
      <c r="I236" s="32">
        <v>0</v>
      </c>
      <c r="J236" s="32">
        <v>0</v>
      </c>
      <c r="K236" s="32"/>
      <c r="M236" s="27" t="s">
        <v>826</v>
      </c>
      <c r="N236" s="27" t="s">
        <v>877</v>
      </c>
      <c r="O236" s="27" t="s">
        <v>289</v>
      </c>
      <c r="P236" s="27">
        <v>4555</v>
      </c>
      <c r="Q236" s="27">
        <v>129</v>
      </c>
      <c r="R236" s="27">
        <v>0</v>
      </c>
      <c r="S236" s="27">
        <v>10177</v>
      </c>
      <c r="T236" s="27">
        <v>199</v>
      </c>
      <c r="U236" s="27">
        <v>0</v>
      </c>
      <c r="V236" s="27">
        <v>0</v>
      </c>
    </row>
    <row r="237" spans="1:22" x14ac:dyDescent="0.25">
      <c r="A237" s="27" t="s">
        <v>791</v>
      </c>
      <c r="B237" s="27" t="s">
        <v>877</v>
      </c>
      <c r="C237" s="27" t="s">
        <v>290</v>
      </c>
      <c r="D237" s="32">
        <f>6763+3+16+2+3+3+30</f>
        <v>6820</v>
      </c>
      <c r="E237" s="32">
        <f>1648+5</f>
        <v>1653</v>
      </c>
      <c r="F237" s="32">
        <v>0</v>
      </c>
      <c r="G237" s="32">
        <f>19508+7+33+25+12+15+142+2+1+7+676</f>
        <v>20428</v>
      </c>
      <c r="H237" s="32">
        <f>61+230</f>
        <v>291</v>
      </c>
      <c r="I237" s="32">
        <v>0</v>
      </c>
      <c r="J237" s="32">
        <v>0</v>
      </c>
      <c r="K237" s="32"/>
      <c r="M237" s="27" t="s">
        <v>791</v>
      </c>
      <c r="N237" s="27" t="s">
        <v>877</v>
      </c>
      <c r="O237" s="27" t="s">
        <v>290</v>
      </c>
      <c r="P237" s="27">
        <v>6820</v>
      </c>
      <c r="Q237" s="27">
        <v>1653</v>
      </c>
      <c r="R237" s="27">
        <v>0</v>
      </c>
      <c r="S237" s="27">
        <v>20428</v>
      </c>
      <c r="T237" s="27">
        <v>291</v>
      </c>
      <c r="U237" s="27">
        <v>0</v>
      </c>
      <c r="V237" s="27">
        <v>0</v>
      </c>
    </row>
    <row r="238" spans="1:22" x14ac:dyDescent="0.25">
      <c r="A238" s="27" t="s">
        <v>826</v>
      </c>
      <c r="B238" s="27" t="s">
        <v>877</v>
      </c>
      <c r="C238" s="27" t="s">
        <v>291</v>
      </c>
      <c r="D238" s="32">
        <f>2403+13+2</f>
        <v>2418</v>
      </c>
      <c r="E238" s="32">
        <v>69</v>
      </c>
      <c r="F238" s="32">
        <v>0</v>
      </c>
      <c r="G238" s="32">
        <f>14594+12+2+15+13+50</f>
        <v>14686</v>
      </c>
      <c r="H238" s="32">
        <v>87</v>
      </c>
      <c r="I238" s="32">
        <v>0</v>
      </c>
      <c r="J238" s="32">
        <v>0</v>
      </c>
      <c r="K238" s="32"/>
      <c r="M238" s="27" t="s">
        <v>826</v>
      </c>
      <c r="N238" s="27" t="s">
        <v>877</v>
      </c>
      <c r="O238" s="27" t="s">
        <v>291</v>
      </c>
      <c r="P238" s="27">
        <v>2418</v>
      </c>
      <c r="Q238" s="27">
        <v>69</v>
      </c>
      <c r="R238" s="27">
        <v>0</v>
      </c>
      <c r="S238" s="27">
        <v>14686</v>
      </c>
      <c r="T238" s="27">
        <v>87</v>
      </c>
      <c r="U238" s="27">
        <v>0</v>
      </c>
      <c r="V238" s="27">
        <v>0</v>
      </c>
    </row>
    <row r="239" spans="1:22" x14ac:dyDescent="0.25">
      <c r="A239" s="27" t="s">
        <v>226</v>
      </c>
      <c r="B239" s="27" t="s">
        <v>877</v>
      </c>
      <c r="C239" s="27" t="s">
        <v>292</v>
      </c>
      <c r="D239" s="32">
        <f>1689+2+2+1</f>
        <v>1694</v>
      </c>
      <c r="E239" s="32">
        <v>36</v>
      </c>
      <c r="F239" s="32">
        <v>0</v>
      </c>
      <c r="G239" s="32">
        <f>18941+7+1+100+131+2+5+2+32</f>
        <v>19221</v>
      </c>
      <c r="H239" s="32">
        <v>92</v>
      </c>
      <c r="I239" s="32">
        <v>0</v>
      </c>
      <c r="J239" s="32">
        <v>0</v>
      </c>
      <c r="K239" s="32"/>
      <c r="M239" s="27" t="s">
        <v>226</v>
      </c>
      <c r="N239" s="27" t="s">
        <v>877</v>
      </c>
      <c r="O239" s="27" t="s">
        <v>292</v>
      </c>
      <c r="P239" s="27">
        <v>1694</v>
      </c>
      <c r="Q239" s="27">
        <v>36</v>
      </c>
      <c r="R239" s="27">
        <v>0</v>
      </c>
      <c r="S239" s="27">
        <v>19221</v>
      </c>
      <c r="T239" s="27">
        <v>92</v>
      </c>
      <c r="U239" s="27">
        <v>0</v>
      </c>
      <c r="V239" s="27">
        <v>0</v>
      </c>
    </row>
    <row r="240" spans="1:22" x14ac:dyDescent="0.25">
      <c r="A240" s="27" t="s">
        <v>495</v>
      </c>
      <c r="B240" s="27" t="s">
        <v>877</v>
      </c>
      <c r="C240" s="27" t="s">
        <v>293</v>
      </c>
      <c r="D240" s="32">
        <f>16550+25+22+38</f>
        <v>16635</v>
      </c>
      <c r="E240" s="32">
        <f>14+26+25</f>
        <v>65</v>
      </c>
      <c r="F240" s="32">
        <v>0</v>
      </c>
      <c r="G240" s="32">
        <f>18988+6+8+2+235</f>
        <v>19239</v>
      </c>
      <c r="H240" s="32">
        <f>25+5+47</f>
        <v>77</v>
      </c>
      <c r="I240" s="32">
        <v>0</v>
      </c>
      <c r="J240" s="32">
        <v>0</v>
      </c>
      <c r="K240" s="32"/>
      <c r="M240" s="27" t="s">
        <v>495</v>
      </c>
      <c r="N240" s="27" t="s">
        <v>877</v>
      </c>
      <c r="O240" s="27" t="s">
        <v>293</v>
      </c>
      <c r="P240" s="27">
        <v>16635</v>
      </c>
      <c r="Q240" s="27">
        <v>65</v>
      </c>
      <c r="R240" s="27">
        <v>0</v>
      </c>
      <c r="S240" s="27">
        <v>19239</v>
      </c>
      <c r="T240" s="27">
        <v>77</v>
      </c>
      <c r="U240" s="27">
        <v>0</v>
      </c>
      <c r="V240" s="27">
        <v>0</v>
      </c>
    </row>
    <row r="241" spans="1:22" x14ac:dyDescent="0.25">
      <c r="A241" s="27" t="s">
        <v>248</v>
      </c>
      <c r="B241" s="27" t="s">
        <v>877</v>
      </c>
      <c r="C241" s="27" t="s">
        <v>294</v>
      </c>
      <c r="D241" s="32">
        <v>4536</v>
      </c>
      <c r="E241" s="32">
        <v>30</v>
      </c>
      <c r="F241" s="32">
        <v>0</v>
      </c>
      <c r="G241" s="32">
        <f>20483+7+2+85</f>
        <v>20577</v>
      </c>
      <c r="H241" s="32">
        <f>234+8</f>
        <v>242</v>
      </c>
      <c r="I241" s="32">
        <v>0</v>
      </c>
      <c r="J241" s="32">
        <v>0</v>
      </c>
      <c r="K241" s="32"/>
      <c r="M241" s="27" t="s">
        <v>248</v>
      </c>
      <c r="N241" s="27" t="s">
        <v>877</v>
      </c>
      <c r="O241" s="27" t="s">
        <v>294</v>
      </c>
      <c r="P241" s="27">
        <v>4536</v>
      </c>
      <c r="Q241" s="27">
        <v>30</v>
      </c>
      <c r="R241" s="27">
        <v>0</v>
      </c>
      <c r="S241" s="27">
        <v>20577</v>
      </c>
      <c r="T241" s="27">
        <v>242</v>
      </c>
      <c r="U241" s="27">
        <v>0</v>
      </c>
      <c r="V241" s="27">
        <v>0</v>
      </c>
    </row>
    <row r="242" spans="1:22" x14ac:dyDescent="0.25">
      <c r="A242" s="27" t="s">
        <v>865</v>
      </c>
      <c r="B242" s="27" t="s">
        <v>877</v>
      </c>
      <c r="C242" s="27" t="s">
        <v>295</v>
      </c>
      <c r="D242" s="32">
        <f>2303+12+2</f>
        <v>2317</v>
      </c>
      <c r="E242" s="32">
        <v>45</v>
      </c>
      <c r="F242" s="32">
        <v>0</v>
      </c>
      <c r="G242" s="32">
        <f>29323+6+4+11+2+340</f>
        <v>29686</v>
      </c>
      <c r="H242" s="32">
        <f>81+12+6</f>
        <v>99</v>
      </c>
      <c r="I242" s="32">
        <v>0</v>
      </c>
      <c r="J242" s="32">
        <v>0</v>
      </c>
      <c r="K242" s="32"/>
      <c r="M242" s="27" t="s">
        <v>865</v>
      </c>
      <c r="N242" s="27" t="s">
        <v>877</v>
      </c>
      <c r="O242" s="27" t="s">
        <v>295</v>
      </c>
      <c r="P242" s="27">
        <v>2317</v>
      </c>
      <c r="Q242" s="27">
        <v>45</v>
      </c>
      <c r="R242" s="27">
        <v>0</v>
      </c>
      <c r="S242" s="27">
        <v>29686</v>
      </c>
      <c r="T242" s="27">
        <v>99</v>
      </c>
      <c r="U242" s="27">
        <v>0</v>
      </c>
      <c r="V242" s="27">
        <v>0</v>
      </c>
    </row>
    <row r="243" spans="1:22" x14ac:dyDescent="0.25">
      <c r="A243" s="27" t="s">
        <v>831</v>
      </c>
      <c r="B243" s="27" t="s">
        <v>877</v>
      </c>
      <c r="C243" s="27" t="s">
        <v>296</v>
      </c>
      <c r="D243" s="32">
        <f>1705+1+2+5+13</f>
        <v>1726</v>
      </c>
      <c r="E243" s="32">
        <v>13</v>
      </c>
      <c r="F243" s="32">
        <v>0</v>
      </c>
      <c r="G243" s="32">
        <f>25587+9+5+1+32+57+255</f>
        <v>25946</v>
      </c>
      <c r="H243" s="32">
        <f>59+18</f>
        <v>77</v>
      </c>
      <c r="I243" s="32">
        <v>0</v>
      </c>
      <c r="J243" s="32">
        <v>0</v>
      </c>
      <c r="K243" s="32"/>
      <c r="M243" s="27" t="s">
        <v>831</v>
      </c>
      <c r="N243" s="27" t="s">
        <v>877</v>
      </c>
      <c r="O243" s="27" t="s">
        <v>296</v>
      </c>
      <c r="P243" s="27">
        <v>1726</v>
      </c>
      <c r="Q243" s="27">
        <v>13</v>
      </c>
      <c r="R243" s="27">
        <v>0</v>
      </c>
      <c r="S243" s="27">
        <v>25946</v>
      </c>
      <c r="T243" s="27">
        <v>77</v>
      </c>
      <c r="U243" s="27">
        <v>0</v>
      </c>
      <c r="V243" s="27">
        <v>0</v>
      </c>
    </row>
    <row r="244" spans="1:22" x14ac:dyDescent="0.25">
      <c r="A244" s="27" t="s">
        <v>818</v>
      </c>
      <c r="B244" s="27" t="s">
        <v>877</v>
      </c>
      <c r="C244" s="27" t="s">
        <v>297</v>
      </c>
      <c r="D244" s="32">
        <f>7109+47+1</f>
        <v>7157</v>
      </c>
      <c r="E244" s="32">
        <v>0</v>
      </c>
      <c r="F244" s="32">
        <v>0</v>
      </c>
      <c r="G244" s="32">
        <f>20942+10+196+1+1+30</f>
        <v>21180</v>
      </c>
      <c r="H244" s="32">
        <f>2+1+52</f>
        <v>55</v>
      </c>
      <c r="I244" s="32">
        <v>0</v>
      </c>
      <c r="J244" s="32">
        <v>0</v>
      </c>
      <c r="K244" s="32"/>
      <c r="M244" s="27" t="s">
        <v>818</v>
      </c>
      <c r="N244" s="27" t="s">
        <v>877</v>
      </c>
      <c r="O244" s="27" t="s">
        <v>297</v>
      </c>
      <c r="P244" s="27">
        <v>7157</v>
      </c>
      <c r="Q244" s="27">
        <v>0</v>
      </c>
      <c r="R244" s="27">
        <v>0</v>
      </c>
      <c r="S244" s="27">
        <v>21180</v>
      </c>
      <c r="T244" s="27">
        <v>55</v>
      </c>
      <c r="U244" s="27">
        <v>0</v>
      </c>
      <c r="V244" s="27">
        <v>0</v>
      </c>
    </row>
    <row r="245" spans="1:22" x14ac:dyDescent="0.25">
      <c r="A245" s="27" t="s">
        <v>811</v>
      </c>
      <c r="B245" s="27" t="s">
        <v>877</v>
      </c>
      <c r="C245" s="27" t="s">
        <v>298</v>
      </c>
      <c r="D245" s="32">
        <f>17004+2+53+30+1+1+1+71</f>
        <v>17163</v>
      </c>
      <c r="E245" s="32">
        <f>293+4</f>
        <v>297</v>
      </c>
      <c r="F245" s="32">
        <v>0</v>
      </c>
      <c r="G245" s="32">
        <f>16596+4+13+2+384+22+1+2+3+1+9+1+1+242</f>
        <v>17281</v>
      </c>
      <c r="H245" s="32">
        <f>454+6+8</f>
        <v>468</v>
      </c>
      <c r="I245" s="32">
        <v>0</v>
      </c>
      <c r="J245" s="32">
        <v>0</v>
      </c>
      <c r="K245" s="32"/>
      <c r="M245" s="27" t="s">
        <v>811</v>
      </c>
      <c r="N245" s="27" t="s">
        <v>877</v>
      </c>
      <c r="O245" s="27" t="s">
        <v>298</v>
      </c>
      <c r="P245" s="27">
        <v>17163</v>
      </c>
      <c r="Q245" s="27">
        <v>297</v>
      </c>
      <c r="R245" s="27">
        <v>0</v>
      </c>
      <c r="S245" s="27">
        <v>17281</v>
      </c>
      <c r="T245" s="27">
        <v>468</v>
      </c>
      <c r="U245" s="27">
        <v>0</v>
      </c>
      <c r="V245" s="27">
        <v>0</v>
      </c>
    </row>
    <row r="246" spans="1:22" x14ac:dyDescent="0.25">
      <c r="A246" s="27" t="s">
        <v>72</v>
      </c>
      <c r="B246" s="27" t="s">
        <v>877</v>
      </c>
      <c r="C246" s="27" t="s">
        <v>299</v>
      </c>
      <c r="D246" s="32">
        <f>3642+510</f>
        <v>4152</v>
      </c>
      <c r="E246" s="32">
        <v>0</v>
      </c>
      <c r="F246" s="32">
        <v>0</v>
      </c>
      <c r="G246" s="32">
        <f>17092+1+4+1037+16</f>
        <v>18150</v>
      </c>
      <c r="H246" s="32">
        <f>114+1</f>
        <v>115</v>
      </c>
      <c r="I246" s="32">
        <v>0</v>
      </c>
      <c r="J246" s="32">
        <v>0</v>
      </c>
      <c r="K246" s="32"/>
      <c r="M246" s="27" t="s">
        <v>72</v>
      </c>
      <c r="N246" s="27" t="s">
        <v>877</v>
      </c>
      <c r="O246" s="27" t="s">
        <v>299</v>
      </c>
      <c r="P246" s="27">
        <v>4152</v>
      </c>
      <c r="Q246" s="27">
        <v>0</v>
      </c>
      <c r="R246" s="27">
        <v>0</v>
      </c>
      <c r="S246" s="27">
        <v>18150</v>
      </c>
      <c r="T246" s="27">
        <v>115</v>
      </c>
      <c r="U246" s="27">
        <v>0</v>
      </c>
      <c r="V246" s="27">
        <v>0</v>
      </c>
    </row>
    <row r="247" spans="1:22" x14ac:dyDescent="0.25">
      <c r="A247" s="27" t="s">
        <v>67</v>
      </c>
      <c r="B247" s="27" t="s">
        <v>877</v>
      </c>
      <c r="C247" s="27" t="s">
        <v>300</v>
      </c>
      <c r="D247" s="32">
        <v>3089</v>
      </c>
      <c r="E247" s="32">
        <v>0</v>
      </c>
      <c r="F247" s="32">
        <v>0</v>
      </c>
      <c r="G247" s="32">
        <f>7512+5</f>
        <v>7517</v>
      </c>
      <c r="H247" s="32">
        <v>8</v>
      </c>
      <c r="I247" s="32">
        <v>0</v>
      </c>
      <c r="J247" s="32">
        <v>0</v>
      </c>
      <c r="K247" s="32"/>
      <c r="M247" s="27" t="s">
        <v>67</v>
      </c>
      <c r="N247" s="27" t="s">
        <v>877</v>
      </c>
      <c r="O247" s="27" t="s">
        <v>300</v>
      </c>
      <c r="P247" s="27">
        <v>3089</v>
      </c>
      <c r="Q247" s="27">
        <v>0</v>
      </c>
      <c r="R247" s="27">
        <v>0</v>
      </c>
      <c r="S247" s="27">
        <v>7517</v>
      </c>
      <c r="T247" s="27">
        <v>8</v>
      </c>
      <c r="U247" s="27">
        <v>0</v>
      </c>
      <c r="V247" s="27">
        <v>0</v>
      </c>
    </row>
    <row r="248" spans="1:22" x14ac:dyDescent="0.25">
      <c r="A248" s="27" t="s">
        <v>798</v>
      </c>
      <c r="B248" s="27" t="s">
        <v>877</v>
      </c>
      <c r="C248" s="27" t="s">
        <v>301</v>
      </c>
      <c r="D248" s="32">
        <v>4150</v>
      </c>
      <c r="E248" s="32">
        <v>26</v>
      </c>
      <c r="F248" s="32">
        <v>0</v>
      </c>
      <c r="G248" s="32">
        <f>26302+1</f>
        <v>26303</v>
      </c>
      <c r="H248" s="32">
        <f>152+1+1</f>
        <v>154</v>
      </c>
      <c r="I248" s="32">
        <v>0</v>
      </c>
      <c r="J248" s="32">
        <v>0</v>
      </c>
      <c r="K248" s="32"/>
      <c r="M248" s="27" t="s">
        <v>798</v>
      </c>
      <c r="N248" s="27" t="s">
        <v>877</v>
      </c>
      <c r="O248" s="27" t="s">
        <v>301</v>
      </c>
      <c r="P248" s="27">
        <v>4150</v>
      </c>
      <c r="Q248" s="27">
        <v>26</v>
      </c>
      <c r="R248" s="27">
        <v>0</v>
      </c>
      <c r="S248" s="27">
        <v>26303</v>
      </c>
      <c r="T248" s="27">
        <v>154</v>
      </c>
      <c r="U248" s="27">
        <v>0</v>
      </c>
      <c r="V248" s="27">
        <v>0</v>
      </c>
    </row>
    <row r="249" spans="1:22" x14ac:dyDescent="0.25">
      <c r="A249" s="27" t="s">
        <v>824</v>
      </c>
      <c r="B249" s="27" t="s">
        <v>877</v>
      </c>
      <c r="C249" s="27" t="s">
        <v>302</v>
      </c>
      <c r="D249" s="32">
        <f>12050+1+1169+88</f>
        <v>13308</v>
      </c>
      <c r="E249" s="32">
        <v>18</v>
      </c>
      <c r="F249" s="32">
        <v>0</v>
      </c>
      <c r="G249" s="32">
        <f>48113+3+7+23+2912+15+1+1+888</f>
        <v>51963</v>
      </c>
      <c r="H249" s="32">
        <f>52+14</f>
        <v>66</v>
      </c>
      <c r="I249" s="32">
        <v>0</v>
      </c>
      <c r="J249" s="32">
        <v>0</v>
      </c>
      <c r="K249" s="32"/>
      <c r="M249" s="27" t="s">
        <v>824</v>
      </c>
      <c r="N249" s="27" t="s">
        <v>877</v>
      </c>
      <c r="O249" s="27" t="s">
        <v>302</v>
      </c>
      <c r="P249" s="27">
        <v>13308</v>
      </c>
      <c r="Q249" s="27">
        <v>18</v>
      </c>
      <c r="R249" s="27">
        <v>0</v>
      </c>
      <c r="S249" s="27">
        <v>51963</v>
      </c>
      <c r="T249" s="27">
        <v>66</v>
      </c>
      <c r="U249" s="27">
        <v>0</v>
      </c>
      <c r="V249" s="27">
        <v>0</v>
      </c>
    </row>
    <row r="250" spans="1:22" x14ac:dyDescent="0.25">
      <c r="A250" s="27" t="s">
        <v>788</v>
      </c>
      <c r="B250" s="27" t="s">
        <v>877</v>
      </c>
      <c r="C250" s="27" t="s">
        <v>303</v>
      </c>
      <c r="D250" s="32">
        <v>3213</v>
      </c>
      <c r="E250" s="32">
        <f>4+2</f>
        <v>6</v>
      </c>
      <c r="F250" s="32">
        <v>0</v>
      </c>
      <c r="G250" s="32">
        <f>34904+11+57+2+37</f>
        <v>35011</v>
      </c>
      <c r="H250" s="32">
        <f>17+73+11</f>
        <v>101</v>
      </c>
      <c r="I250" s="32">
        <v>0</v>
      </c>
      <c r="J250" s="32">
        <v>0</v>
      </c>
      <c r="K250" s="32"/>
      <c r="M250" s="27" t="s">
        <v>788</v>
      </c>
      <c r="N250" s="27" t="s">
        <v>877</v>
      </c>
      <c r="O250" s="27" t="s">
        <v>303</v>
      </c>
      <c r="P250" s="27">
        <v>3213</v>
      </c>
      <c r="Q250" s="27">
        <v>6</v>
      </c>
      <c r="R250" s="27">
        <v>0</v>
      </c>
      <c r="S250" s="27">
        <v>35011</v>
      </c>
      <c r="T250" s="27">
        <v>101</v>
      </c>
      <c r="U250" s="27">
        <v>0</v>
      </c>
      <c r="V250" s="27">
        <v>0</v>
      </c>
    </row>
    <row r="251" spans="1:22" x14ac:dyDescent="0.25">
      <c r="A251" s="27" t="s">
        <v>120</v>
      </c>
      <c r="B251" s="27" t="s">
        <v>877</v>
      </c>
      <c r="C251" s="27" t="s">
        <v>304</v>
      </c>
      <c r="D251" s="32">
        <f>6891+23</f>
        <v>6914</v>
      </c>
      <c r="E251" s="32">
        <v>6</v>
      </c>
      <c r="F251" s="32">
        <v>0</v>
      </c>
      <c r="G251" s="32">
        <f>46116+4+1+52+981+1+1+1+14</f>
        <v>47171</v>
      </c>
      <c r="H251" s="32">
        <v>230</v>
      </c>
      <c r="I251" s="32">
        <v>0</v>
      </c>
      <c r="J251" s="32">
        <v>0</v>
      </c>
      <c r="K251" s="32"/>
      <c r="M251" s="27" t="s">
        <v>120</v>
      </c>
      <c r="N251" s="27" t="s">
        <v>877</v>
      </c>
      <c r="O251" s="27" t="s">
        <v>304</v>
      </c>
      <c r="P251" s="27">
        <v>6914</v>
      </c>
      <c r="Q251" s="27">
        <v>6</v>
      </c>
      <c r="R251" s="27">
        <v>0</v>
      </c>
      <c r="S251" s="27">
        <v>47171</v>
      </c>
      <c r="T251" s="27">
        <v>230</v>
      </c>
      <c r="U251" s="27">
        <v>0</v>
      </c>
      <c r="V251" s="27">
        <v>0</v>
      </c>
    </row>
    <row r="252" spans="1:22" x14ac:dyDescent="0.25">
      <c r="A252" s="27" t="s">
        <v>229</v>
      </c>
      <c r="B252" s="27" t="s">
        <v>877</v>
      </c>
      <c r="C252" s="27" t="s">
        <v>306</v>
      </c>
      <c r="D252" s="32">
        <f>6485+10+1+22+1</f>
        <v>6519</v>
      </c>
      <c r="E252" s="32">
        <v>0</v>
      </c>
      <c r="F252" s="32">
        <v>0</v>
      </c>
      <c r="G252" s="32">
        <f>15373+25+33+126+2</f>
        <v>15559</v>
      </c>
      <c r="H252" s="32">
        <v>59</v>
      </c>
      <c r="I252" s="32">
        <v>0</v>
      </c>
      <c r="J252" s="32">
        <v>0</v>
      </c>
      <c r="K252" s="32"/>
      <c r="M252" s="27" t="s">
        <v>229</v>
      </c>
      <c r="N252" s="27" t="s">
        <v>877</v>
      </c>
      <c r="O252" s="27" t="s">
        <v>306</v>
      </c>
      <c r="P252" s="27">
        <v>6519</v>
      </c>
      <c r="Q252" s="27">
        <v>0</v>
      </c>
      <c r="R252" s="27">
        <v>0</v>
      </c>
      <c r="S252" s="27">
        <v>15559</v>
      </c>
      <c r="T252" s="27">
        <v>59</v>
      </c>
      <c r="U252" s="27">
        <v>0</v>
      </c>
      <c r="V252" s="27">
        <v>0</v>
      </c>
    </row>
    <row r="253" spans="1:22" x14ac:dyDescent="0.25">
      <c r="A253" s="27" t="s">
        <v>512</v>
      </c>
      <c r="B253" s="27" t="s">
        <v>877</v>
      </c>
      <c r="C253" s="27" t="s">
        <v>307</v>
      </c>
      <c r="D253" s="32">
        <f>1750+4</f>
        <v>1754</v>
      </c>
      <c r="E253" s="32">
        <v>9</v>
      </c>
      <c r="F253" s="32">
        <v>0</v>
      </c>
      <c r="G253" s="32">
        <f>14824+13+8</f>
        <v>14845</v>
      </c>
      <c r="H253" s="32">
        <f>39+4</f>
        <v>43</v>
      </c>
      <c r="I253" s="32">
        <v>0</v>
      </c>
      <c r="J253" s="32">
        <v>0</v>
      </c>
      <c r="K253" s="32"/>
      <c r="M253" s="27" t="s">
        <v>512</v>
      </c>
      <c r="N253" s="27" t="s">
        <v>877</v>
      </c>
      <c r="O253" s="27" t="s">
        <v>307</v>
      </c>
      <c r="P253" s="27">
        <v>1754</v>
      </c>
      <c r="Q253" s="27">
        <v>9</v>
      </c>
      <c r="R253" s="27">
        <v>0</v>
      </c>
      <c r="S253" s="27">
        <v>14845</v>
      </c>
      <c r="T253" s="27">
        <v>43</v>
      </c>
      <c r="U253" s="27">
        <v>0</v>
      </c>
      <c r="V253" s="27">
        <v>0</v>
      </c>
    </row>
    <row r="254" spans="1:22" x14ac:dyDescent="0.25">
      <c r="A254" s="27" t="s">
        <v>791</v>
      </c>
      <c r="B254" s="27" t="s">
        <v>877</v>
      </c>
      <c r="C254" s="27" t="s">
        <v>308</v>
      </c>
      <c r="D254" s="32">
        <f>1758+3+6+1+22</f>
        <v>1790</v>
      </c>
      <c r="E254" s="32">
        <v>0</v>
      </c>
      <c r="F254" s="32">
        <v>0</v>
      </c>
      <c r="G254" s="32">
        <f>10846+2+1+12+2+520</f>
        <v>11383</v>
      </c>
      <c r="H254" s="32">
        <v>25</v>
      </c>
      <c r="I254" s="32">
        <v>0</v>
      </c>
      <c r="J254" s="32">
        <v>0</v>
      </c>
      <c r="K254" s="32"/>
      <c r="M254" s="27" t="s">
        <v>791</v>
      </c>
      <c r="N254" s="27" t="s">
        <v>877</v>
      </c>
      <c r="O254" s="27" t="s">
        <v>308</v>
      </c>
      <c r="P254" s="27">
        <v>1790</v>
      </c>
      <c r="Q254" s="27">
        <v>0</v>
      </c>
      <c r="R254" s="27">
        <v>0</v>
      </c>
      <c r="S254" s="27">
        <v>11383</v>
      </c>
      <c r="T254" s="27">
        <v>25</v>
      </c>
      <c r="U254" s="27">
        <v>0</v>
      </c>
      <c r="V254" s="27">
        <v>0</v>
      </c>
    </row>
    <row r="255" spans="1:22" x14ac:dyDescent="0.25">
      <c r="A255" s="27" t="s">
        <v>841</v>
      </c>
      <c r="B255" s="27" t="s">
        <v>877</v>
      </c>
      <c r="C255" s="27" t="s">
        <v>309</v>
      </c>
      <c r="D255" s="32">
        <f>6787+2</f>
        <v>6789</v>
      </c>
      <c r="E255" s="32">
        <v>3</v>
      </c>
      <c r="F255" s="32">
        <v>0</v>
      </c>
      <c r="G255" s="32">
        <f>54666+25+10+2+1+4</f>
        <v>54708</v>
      </c>
      <c r="H255" s="32">
        <f>7+20</f>
        <v>27</v>
      </c>
      <c r="I255" s="32">
        <v>0</v>
      </c>
      <c r="J255" s="32">
        <v>0</v>
      </c>
      <c r="K255" s="32"/>
      <c r="M255" s="27" t="s">
        <v>841</v>
      </c>
      <c r="N255" s="27" t="s">
        <v>877</v>
      </c>
      <c r="O255" s="27" t="s">
        <v>309</v>
      </c>
      <c r="P255" s="27">
        <v>6789</v>
      </c>
      <c r="Q255" s="27">
        <v>3</v>
      </c>
      <c r="R255" s="27">
        <v>0</v>
      </c>
      <c r="S255" s="27">
        <v>54708</v>
      </c>
      <c r="T255" s="27">
        <v>27</v>
      </c>
      <c r="U255" s="27">
        <v>0</v>
      </c>
      <c r="V255" s="27">
        <v>0</v>
      </c>
    </row>
    <row r="256" spans="1:22" x14ac:dyDescent="0.25">
      <c r="A256" s="27" t="s">
        <v>831</v>
      </c>
      <c r="B256" s="27" t="s">
        <v>877</v>
      </c>
      <c r="C256" s="27" t="s">
        <v>310</v>
      </c>
      <c r="D256" s="32">
        <v>646</v>
      </c>
      <c r="E256" s="32">
        <v>0</v>
      </c>
      <c r="F256" s="32">
        <v>0</v>
      </c>
      <c r="G256" s="32">
        <f>4672+4</f>
        <v>4676</v>
      </c>
      <c r="H256" s="32">
        <f>10+2</f>
        <v>12</v>
      </c>
      <c r="I256" s="32">
        <v>0</v>
      </c>
      <c r="J256" s="32">
        <v>0</v>
      </c>
      <c r="K256" s="32"/>
      <c r="M256" s="27" t="s">
        <v>831</v>
      </c>
      <c r="N256" s="27" t="s">
        <v>877</v>
      </c>
      <c r="O256" s="27" t="s">
        <v>310</v>
      </c>
      <c r="P256" s="27">
        <v>646</v>
      </c>
      <c r="Q256" s="27">
        <v>0</v>
      </c>
      <c r="R256" s="27">
        <v>0</v>
      </c>
      <c r="S256" s="27">
        <v>4676</v>
      </c>
      <c r="T256" s="27">
        <v>12</v>
      </c>
      <c r="U256" s="27">
        <v>0</v>
      </c>
      <c r="V256" s="27">
        <v>0</v>
      </c>
    </row>
    <row r="257" spans="1:22" x14ac:dyDescent="0.25">
      <c r="A257" s="27" t="s">
        <v>864</v>
      </c>
      <c r="B257" s="27" t="s">
        <v>877</v>
      </c>
      <c r="C257" s="27" t="s">
        <v>311</v>
      </c>
      <c r="D257" s="32"/>
      <c r="E257" s="32"/>
      <c r="F257" s="32"/>
      <c r="G257" s="32"/>
      <c r="H257" s="32"/>
      <c r="I257" s="32"/>
      <c r="J257" s="32"/>
      <c r="K257" s="32"/>
      <c r="M257" s="27" t="s">
        <v>864</v>
      </c>
      <c r="N257" s="27" t="s">
        <v>877</v>
      </c>
      <c r="O257" s="27" t="s">
        <v>311</v>
      </c>
    </row>
    <row r="258" spans="1:22" x14ac:dyDescent="0.25">
      <c r="A258" s="27" t="s">
        <v>838</v>
      </c>
      <c r="B258" s="27" t="s">
        <v>877</v>
      </c>
      <c r="C258" s="27" t="s">
        <v>312</v>
      </c>
      <c r="D258" s="32">
        <f>17627+29</f>
        <v>17656</v>
      </c>
      <c r="E258" s="32">
        <v>25</v>
      </c>
      <c r="F258" s="32">
        <v>0</v>
      </c>
      <c r="G258" s="32">
        <v>2429</v>
      </c>
      <c r="H258" s="32">
        <v>0</v>
      </c>
      <c r="I258" s="32">
        <v>0</v>
      </c>
      <c r="J258" s="32">
        <v>0</v>
      </c>
      <c r="K258" s="32"/>
      <c r="M258" s="27" t="s">
        <v>838</v>
      </c>
      <c r="N258" s="27" t="s">
        <v>877</v>
      </c>
      <c r="O258" s="27" t="s">
        <v>312</v>
      </c>
      <c r="P258" s="27">
        <v>17656</v>
      </c>
      <c r="Q258" s="27">
        <v>25</v>
      </c>
      <c r="R258" s="27">
        <v>0</v>
      </c>
      <c r="S258" s="27">
        <v>2429</v>
      </c>
      <c r="T258" s="27">
        <v>0</v>
      </c>
      <c r="U258" s="27">
        <v>0</v>
      </c>
      <c r="V258" s="27">
        <v>0</v>
      </c>
    </row>
    <row r="259" spans="1:22" x14ac:dyDescent="0.25">
      <c r="A259" s="27" t="s">
        <v>794</v>
      </c>
      <c r="B259" s="27" t="s">
        <v>877</v>
      </c>
      <c r="C259" s="27" t="s">
        <v>313</v>
      </c>
      <c r="D259" s="32">
        <f>8255+2</f>
        <v>8257</v>
      </c>
      <c r="E259" s="32">
        <v>0</v>
      </c>
      <c r="F259" s="32">
        <v>0</v>
      </c>
      <c r="G259" s="32">
        <f>20458+10+69+2+495</f>
        <v>21034</v>
      </c>
      <c r="H259" s="32">
        <f>374+6</f>
        <v>380</v>
      </c>
      <c r="I259" s="32">
        <v>0</v>
      </c>
      <c r="J259" s="32">
        <v>0</v>
      </c>
      <c r="K259" s="32"/>
      <c r="M259" s="27" t="s">
        <v>794</v>
      </c>
      <c r="N259" s="27" t="s">
        <v>877</v>
      </c>
      <c r="O259" s="27" t="s">
        <v>313</v>
      </c>
      <c r="P259" s="27">
        <v>8257</v>
      </c>
      <c r="Q259" s="27">
        <v>0</v>
      </c>
      <c r="R259" s="27">
        <v>0</v>
      </c>
      <c r="S259" s="27">
        <v>21034</v>
      </c>
      <c r="T259" s="27">
        <v>380</v>
      </c>
      <c r="U259" s="27">
        <v>0</v>
      </c>
      <c r="V259" s="27">
        <v>0</v>
      </c>
    </row>
    <row r="260" spans="1:22" x14ac:dyDescent="0.25">
      <c r="A260" s="27" t="s">
        <v>830</v>
      </c>
      <c r="B260" s="27" t="s">
        <v>877</v>
      </c>
      <c r="C260" s="27" t="s">
        <v>314</v>
      </c>
      <c r="D260" s="32">
        <f>3914+145+3</f>
        <v>4062</v>
      </c>
      <c r="E260" s="32">
        <f>230+505</f>
        <v>735</v>
      </c>
      <c r="F260" s="32">
        <v>0</v>
      </c>
      <c r="G260" s="32">
        <f>3930+4+179+26</f>
        <v>4139</v>
      </c>
      <c r="H260" s="32">
        <f>58+39+6</f>
        <v>103</v>
      </c>
      <c r="I260" s="32">
        <v>0</v>
      </c>
      <c r="J260" s="32">
        <v>0</v>
      </c>
      <c r="K260" s="32"/>
      <c r="M260" s="27" t="s">
        <v>830</v>
      </c>
      <c r="N260" s="27" t="s">
        <v>877</v>
      </c>
      <c r="O260" s="27" t="s">
        <v>314</v>
      </c>
      <c r="P260" s="27">
        <v>4062</v>
      </c>
      <c r="Q260" s="27">
        <v>735</v>
      </c>
      <c r="R260" s="27">
        <v>0</v>
      </c>
      <c r="S260" s="27">
        <v>4139</v>
      </c>
      <c r="T260" s="27">
        <v>103</v>
      </c>
      <c r="U260" s="27">
        <v>0</v>
      </c>
      <c r="V260" s="27">
        <v>0</v>
      </c>
    </row>
    <row r="261" spans="1:22" x14ac:dyDescent="0.25">
      <c r="A261" s="27" t="s">
        <v>844</v>
      </c>
      <c r="B261" s="27" t="s">
        <v>877</v>
      </c>
      <c r="C261" s="27" t="s">
        <v>315</v>
      </c>
      <c r="D261" s="32">
        <v>1706</v>
      </c>
      <c r="E261" s="32">
        <v>8</v>
      </c>
      <c r="F261" s="32">
        <v>0</v>
      </c>
      <c r="G261" s="32">
        <f>9446+8+22</f>
        <v>9476</v>
      </c>
      <c r="H261" s="32">
        <v>50</v>
      </c>
      <c r="I261" s="32">
        <v>0</v>
      </c>
      <c r="J261" s="32">
        <v>0</v>
      </c>
      <c r="K261" s="32"/>
      <c r="M261" s="27" t="s">
        <v>844</v>
      </c>
      <c r="N261" s="27" t="s">
        <v>877</v>
      </c>
      <c r="O261" s="27" t="s">
        <v>315</v>
      </c>
      <c r="P261" s="27">
        <v>1706</v>
      </c>
      <c r="Q261" s="27">
        <v>8</v>
      </c>
      <c r="R261" s="27">
        <v>0</v>
      </c>
      <c r="S261" s="27">
        <v>9476</v>
      </c>
      <c r="T261" s="27">
        <v>50</v>
      </c>
      <c r="U261" s="27">
        <v>0</v>
      </c>
      <c r="V261" s="27">
        <v>0</v>
      </c>
    </row>
    <row r="262" spans="1:22" x14ac:dyDescent="0.25">
      <c r="A262" s="27" t="s">
        <v>836</v>
      </c>
      <c r="B262" s="27" t="s">
        <v>877</v>
      </c>
      <c r="C262" s="27" t="s">
        <v>316</v>
      </c>
      <c r="D262" s="32">
        <f>2143+16</f>
        <v>2159</v>
      </c>
      <c r="E262" s="32">
        <v>0</v>
      </c>
      <c r="F262" s="32">
        <v>0</v>
      </c>
      <c r="G262" s="32">
        <f>11009+1+751+3</f>
        <v>11764</v>
      </c>
      <c r="H262" s="32">
        <v>18</v>
      </c>
      <c r="I262" s="32">
        <v>0</v>
      </c>
      <c r="J262" s="32">
        <v>0</v>
      </c>
      <c r="K262" s="32"/>
      <c r="M262" s="27" t="s">
        <v>836</v>
      </c>
      <c r="N262" s="27" t="s">
        <v>877</v>
      </c>
      <c r="O262" s="27" t="s">
        <v>316</v>
      </c>
      <c r="P262" s="27">
        <v>2159</v>
      </c>
      <c r="Q262" s="27">
        <v>0</v>
      </c>
      <c r="R262" s="27">
        <v>0</v>
      </c>
      <c r="S262" s="27">
        <v>11764</v>
      </c>
      <c r="T262" s="27">
        <v>18</v>
      </c>
      <c r="U262" s="27">
        <v>0</v>
      </c>
      <c r="V262" s="27">
        <v>0</v>
      </c>
    </row>
    <row r="263" spans="1:22" x14ac:dyDescent="0.25">
      <c r="A263" s="27" t="s">
        <v>845</v>
      </c>
      <c r="B263" s="27" t="s">
        <v>877</v>
      </c>
      <c r="C263" s="27" t="s">
        <v>317</v>
      </c>
      <c r="D263" s="32">
        <f>10225+1+119+2</f>
        <v>10347</v>
      </c>
      <c r="E263" s="32">
        <f>7+2</f>
        <v>9</v>
      </c>
      <c r="F263" s="32">
        <v>0</v>
      </c>
      <c r="G263" s="32">
        <f>6565+2+147+10+1</f>
        <v>6725</v>
      </c>
      <c r="H263" s="32">
        <f>28+14</f>
        <v>42</v>
      </c>
      <c r="I263" s="32">
        <v>0</v>
      </c>
      <c r="J263" s="32">
        <v>0</v>
      </c>
      <c r="K263" s="32"/>
      <c r="M263" s="27" t="s">
        <v>845</v>
      </c>
      <c r="N263" s="27" t="s">
        <v>877</v>
      </c>
      <c r="O263" s="27" t="s">
        <v>317</v>
      </c>
      <c r="P263" s="27">
        <v>1144</v>
      </c>
      <c r="Q263" s="27">
        <v>9</v>
      </c>
      <c r="R263" s="27">
        <v>0</v>
      </c>
      <c r="S263" s="27">
        <v>6725</v>
      </c>
      <c r="T263" s="27">
        <v>42</v>
      </c>
      <c r="U263" s="27">
        <v>0</v>
      </c>
      <c r="V263" s="27">
        <v>0</v>
      </c>
    </row>
    <row r="264" spans="1:22" x14ac:dyDescent="0.25">
      <c r="A264" s="27" t="s">
        <v>846</v>
      </c>
      <c r="B264" s="27" t="s">
        <v>877</v>
      </c>
      <c r="C264" s="27" t="s">
        <v>318</v>
      </c>
      <c r="D264" s="32">
        <f>3393+28</f>
        <v>3421</v>
      </c>
      <c r="E264" s="32">
        <v>13</v>
      </c>
      <c r="F264" s="32">
        <v>0</v>
      </c>
      <c r="G264" s="32">
        <f>7683+31</f>
        <v>7714</v>
      </c>
      <c r="H264" s="32">
        <v>6</v>
      </c>
      <c r="I264" s="32">
        <v>0</v>
      </c>
      <c r="J264" s="32">
        <v>0</v>
      </c>
      <c r="K264" s="32"/>
      <c r="M264" s="27" t="s">
        <v>846</v>
      </c>
      <c r="N264" s="27" t="s">
        <v>877</v>
      </c>
      <c r="O264" s="27" t="s">
        <v>318</v>
      </c>
      <c r="P264" s="27">
        <v>3421</v>
      </c>
      <c r="Q264" s="27">
        <v>13</v>
      </c>
      <c r="R264" s="27">
        <v>0</v>
      </c>
      <c r="S264" s="27">
        <v>7714</v>
      </c>
      <c r="T264" s="27">
        <v>6</v>
      </c>
      <c r="U264" s="27">
        <v>0</v>
      </c>
      <c r="V264" s="27">
        <v>0</v>
      </c>
    </row>
    <row r="265" spans="1:22" x14ac:dyDescent="0.25">
      <c r="A265" s="27" t="s">
        <v>804</v>
      </c>
      <c r="B265" s="27" t="s">
        <v>877</v>
      </c>
      <c r="C265" s="27" t="s">
        <v>319</v>
      </c>
      <c r="D265" s="32">
        <f>8910+2</f>
        <v>8912</v>
      </c>
      <c r="E265" s="32">
        <v>23</v>
      </c>
      <c r="F265" s="32">
        <v>0</v>
      </c>
      <c r="G265" s="32">
        <f>23133+2+1+4+10</f>
        <v>23150</v>
      </c>
      <c r="H265" s="32">
        <v>55</v>
      </c>
      <c r="I265" s="32">
        <v>0</v>
      </c>
      <c r="J265" s="32">
        <v>0</v>
      </c>
      <c r="K265" s="32"/>
      <c r="M265" s="27" t="s">
        <v>804</v>
      </c>
      <c r="N265" s="27" t="s">
        <v>877</v>
      </c>
      <c r="O265" s="27" t="s">
        <v>319</v>
      </c>
      <c r="P265" s="27">
        <v>8912</v>
      </c>
      <c r="Q265" s="27">
        <v>23</v>
      </c>
      <c r="R265" s="27">
        <v>0</v>
      </c>
      <c r="S265" s="27">
        <v>23150</v>
      </c>
      <c r="T265" s="27">
        <v>55</v>
      </c>
      <c r="U265" s="27">
        <v>0</v>
      </c>
      <c r="V265" s="27">
        <v>0</v>
      </c>
    </row>
    <row r="266" spans="1:22" x14ac:dyDescent="0.25">
      <c r="A266" s="27" t="s">
        <v>809</v>
      </c>
      <c r="B266" s="27" t="s">
        <v>877</v>
      </c>
      <c r="C266" s="27" t="s">
        <v>320</v>
      </c>
      <c r="D266" s="32">
        <f>12864+1+2</f>
        <v>12867</v>
      </c>
      <c r="E266" s="32">
        <v>10</v>
      </c>
      <c r="F266" s="32">
        <v>0</v>
      </c>
      <c r="G266" s="32">
        <f>19024+8+9+1+393</f>
        <v>19435</v>
      </c>
      <c r="H266" s="32">
        <f>39+15+4+14</f>
        <v>72</v>
      </c>
      <c r="I266" s="32">
        <v>0</v>
      </c>
      <c r="J266" s="32">
        <v>0</v>
      </c>
      <c r="K266" s="32"/>
      <c r="M266" s="27" t="s">
        <v>809</v>
      </c>
      <c r="N266" s="27" t="s">
        <v>877</v>
      </c>
      <c r="O266" s="27" t="s">
        <v>320</v>
      </c>
      <c r="P266" s="27">
        <v>12867</v>
      </c>
      <c r="Q266" s="27">
        <v>10</v>
      </c>
      <c r="R266" s="27">
        <v>0</v>
      </c>
      <c r="S266" s="27">
        <v>19435</v>
      </c>
      <c r="T266" s="27">
        <v>72</v>
      </c>
      <c r="U266" s="27">
        <v>0</v>
      </c>
      <c r="V266" s="27">
        <v>0</v>
      </c>
    </row>
    <row r="267" spans="1:22" x14ac:dyDescent="0.25">
      <c r="A267" s="27" t="s">
        <v>801</v>
      </c>
      <c r="B267" s="27" t="s">
        <v>877</v>
      </c>
      <c r="C267" s="27" t="s">
        <v>321</v>
      </c>
      <c r="D267" s="32">
        <f>10819+2+51+1+1</f>
        <v>10874</v>
      </c>
      <c r="E267" s="32">
        <f>51+4</f>
        <v>55</v>
      </c>
      <c r="F267" s="32">
        <v>0</v>
      </c>
      <c r="G267" s="32">
        <f>36399+1+14+1+1+1+123+12+16+4+35</f>
        <v>36607</v>
      </c>
      <c r="H267" s="32">
        <f>459+19+4</f>
        <v>482</v>
      </c>
      <c r="I267" s="32">
        <v>0</v>
      </c>
      <c r="J267" s="32">
        <v>0</v>
      </c>
      <c r="K267" s="32"/>
      <c r="M267" s="27" t="s">
        <v>801</v>
      </c>
      <c r="N267" s="27" t="s">
        <v>877</v>
      </c>
      <c r="O267" s="27" t="s">
        <v>321</v>
      </c>
      <c r="P267" s="27">
        <v>10874</v>
      </c>
      <c r="Q267" s="27">
        <v>55</v>
      </c>
      <c r="R267" s="27">
        <v>0</v>
      </c>
      <c r="S267" s="27">
        <v>36607</v>
      </c>
      <c r="T267" s="27">
        <v>482</v>
      </c>
      <c r="U267" s="27">
        <v>0</v>
      </c>
      <c r="V267" s="27">
        <v>0</v>
      </c>
    </row>
    <row r="268" spans="1:22" x14ac:dyDescent="0.25">
      <c r="A268" s="27" t="s">
        <v>890</v>
      </c>
      <c r="B268" s="27" t="s">
        <v>877</v>
      </c>
      <c r="C268" s="27" t="s">
        <v>322</v>
      </c>
      <c r="D268" s="32">
        <f>15211+3+2</f>
        <v>15216</v>
      </c>
      <c r="E268" s="32">
        <v>35</v>
      </c>
      <c r="F268" s="32">
        <v>0</v>
      </c>
      <c r="G268" s="32">
        <f>97844+4+5+17+2+2+1+1+424</f>
        <v>98300</v>
      </c>
      <c r="H268" s="32">
        <f>369+20+232</f>
        <v>621</v>
      </c>
      <c r="I268" s="32">
        <v>0</v>
      </c>
      <c r="J268" s="32">
        <v>0</v>
      </c>
      <c r="K268" s="32"/>
      <c r="M268" s="27" t="s">
        <v>890</v>
      </c>
      <c r="N268" s="27" t="s">
        <v>877</v>
      </c>
      <c r="O268" s="27" t="s">
        <v>322</v>
      </c>
      <c r="P268" s="27">
        <v>15216</v>
      </c>
      <c r="Q268" s="27">
        <v>35</v>
      </c>
      <c r="R268" s="27">
        <v>0</v>
      </c>
      <c r="S268" s="27">
        <v>98300</v>
      </c>
      <c r="T268" s="27">
        <v>621</v>
      </c>
      <c r="U268" s="27">
        <v>0</v>
      </c>
      <c r="V268" s="27">
        <v>0</v>
      </c>
    </row>
    <row r="269" spans="1:22" x14ac:dyDescent="0.25">
      <c r="A269" s="27" t="s">
        <v>83</v>
      </c>
      <c r="B269" s="27" t="s">
        <v>877</v>
      </c>
      <c r="C269" s="27" t="s">
        <v>323</v>
      </c>
      <c r="D269" s="32">
        <f>16759+1+137+5</f>
        <v>16902</v>
      </c>
      <c r="E269" s="32">
        <f>40+21</f>
        <v>61</v>
      </c>
      <c r="F269" s="32">
        <v>0</v>
      </c>
      <c r="G269" s="32">
        <f>10654+147+1+201</f>
        <v>11003</v>
      </c>
      <c r="H269" s="32">
        <f>112+4+11</f>
        <v>127</v>
      </c>
      <c r="I269" s="32">
        <v>0</v>
      </c>
      <c r="J269" s="32">
        <v>0</v>
      </c>
      <c r="K269" s="32"/>
      <c r="M269" s="27" t="s">
        <v>83</v>
      </c>
      <c r="N269" s="27" t="s">
        <v>877</v>
      </c>
      <c r="O269" s="27" t="s">
        <v>323</v>
      </c>
      <c r="P269" s="27">
        <v>16902</v>
      </c>
      <c r="Q269" s="27">
        <v>61</v>
      </c>
      <c r="R269" s="27">
        <v>0</v>
      </c>
      <c r="S269" s="27">
        <v>11003</v>
      </c>
      <c r="T269" s="27">
        <v>127</v>
      </c>
      <c r="U269" s="27">
        <v>0</v>
      </c>
      <c r="V269" s="27">
        <v>0</v>
      </c>
    </row>
    <row r="270" spans="1:22" x14ac:dyDescent="0.25">
      <c r="A270" s="27" t="s">
        <v>825</v>
      </c>
      <c r="B270" s="27" t="s">
        <v>877</v>
      </c>
      <c r="C270" s="27" t="s">
        <v>324</v>
      </c>
      <c r="D270" s="32">
        <f>4530+249</f>
        <v>4779</v>
      </c>
      <c r="E270" s="32">
        <v>40</v>
      </c>
      <c r="F270" s="32">
        <v>0</v>
      </c>
      <c r="G270" s="32">
        <f>14150+3+1+2653+22</f>
        <v>16829</v>
      </c>
      <c r="H270" s="32">
        <f>226+6</f>
        <v>232</v>
      </c>
      <c r="I270" s="32">
        <v>0</v>
      </c>
      <c r="J270" s="32">
        <v>0</v>
      </c>
      <c r="K270" s="32"/>
      <c r="M270" s="27" t="s">
        <v>825</v>
      </c>
      <c r="N270" s="27" t="s">
        <v>877</v>
      </c>
      <c r="O270" s="27" t="s">
        <v>324</v>
      </c>
      <c r="P270" s="27">
        <v>4779</v>
      </c>
      <c r="Q270" s="27">
        <v>40</v>
      </c>
      <c r="R270" s="27">
        <v>0</v>
      </c>
      <c r="S270" s="27">
        <v>16829</v>
      </c>
      <c r="T270" s="27">
        <v>232</v>
      </c>
      <c r="U270" s="27">
        <v>0</v>
      </c>
      <c r="V270" s="27">
        <v>0</v>
      </c>
    </row>
    <row r="271" spans="1:22" x14ac:dyDescent="0.25">
      <c r="A271" s="27" t="s">
        <v>248</v>
      </c>
      <c r="B271" s="27" t="s">
        <v>877</v>
      </c>
      <c r="C271" s="27" t="s">
        <v>325</v>
      </c>
      <c r="D271" s="32">
        <f>1834+1+1+1+20</f>
        <v>1857</v>
      </c>
      <c r="E271" s="32">
        <v>0</v>
      </c>
      <c r="F271" s="32">
        <v>0</v>
      </c>
      <c r="G271" s="32">
        <f>9200+77+20</f>
        <v>9297</v>
      </c>
      <c r="H271" s="32">
        <v>46</v>
      </c>
      <c r="I271" s="32">
        <v>0</v>
      </c>
      <c r="J271" s="32">
        <v>0</v>
      </c>
      <c r="K271" s="32"/>
      <c r="M271" s="27" t="s">
        <v>248</v>
      </c>
      <c r="N271" s="27" t="s">
        <v>877</v>
      </c>
      <c r="O271" s="27" t="s">
        <v>325</v>
      </c>
      <c r="P271" s="27">
        <v>1857</v>
      </c>
      <c r="Q271" s="27">
        <v>0</v>
      </c>
      <c r="R271" s="27">
        <v>0</v>
      </c>
      <c r="S271" s="27">
        <v>9297</v>
      </c>
      <c r="T271" s="27">
        <v>46</v>
      </c>
      <c r="U271" s="27">
        <v>0</v>
      </c>
      <c r="V271" s="27">
        <v>0</v>
      </c>
    </row>
    <row r="272" spans="1:22" x14ac:dyDescent="0.25">
      <c r="A272" s="27" t="s">
        <v>83</v>
      </c>
      <c r="B272" s="27" t="s">
        <v>877</v>
      </c>
      <c r="C272" s="27" t="s">
        <v>326</v>
      </c>
      <c r="D272" s="32">
        <v>1463</v>
      </c>
      <c r="E272" s="32">
        <v>0</v>
      </c>
      <c r="F272" s="32">
        <v>0</v>
      </c>
      <c r="G272" s="32">
        <f>6415+135</f>
        <v>6550</v>
      </c>
      <c r="H272" s="32">
        <f>38+2</f>
        <v>40</v>
      </c>
      <c r="I272" s="32">
        <v>0</v>
      </c>
      <c r="J272" s="32">
        <v>0</v>
      </c>
      <c r="K272" s="32"/>
      <c r="M272" s="27" t="s">
        <v>83</v>
      </c>
      <c r="N272" s="27" t="s">
        <v>877</v>
      </c>
      <c r="O272" s="27" t="s">
        <v>326</v>
      </c>
      <c r="P272" s="27">
        <v>1463</v>
      </c>
      <c r="Q272" s="27">
        <v>0</v>
      </c>
      <c r="R272" s="27">
        <v>0</v>
      </c>
      <c r="S272" s="27">
        <v>6550</v>
      </c>
      <c r="T272" s="27">
        <v>40</v>
      </c>
      <c r="U272" s="27">
        <v>0</v>
      </c>
      <c r="V272" s="27">
        <v>0</v>
      </c>
    </row>
    <row r="273" spans="1:22" x14ac:dyDescent="0.25">
      <c r="A273" s="27" t="s">
        <v>795</v>
      </c>
      <c r="B273" s="27" t="s">
        <v>877</v>
      </c>
      <c r="C273" s="27" t="s">
        <v>327</v>
      </c>
      <c r="D273" s="32">
        <v>9809</v>
      </c>
      <c r="E273" s="32">
        <v>2</v>
      </c>
      <c r="F273" s="32">
        <v>0</v>
      </c>
      <c r="G273" s="32">
        <v>2321</v>
      </c>
      <c r="H273" s="32">
        <v>55</v>
      </c>
      <c r="I273" s="32">
        <v>0</v>
      </c>
      <c r="J273" s="32">
        <v>0</v>
      </c>
      <c r="K273" s="32"/>
      <c r="M273" s="27" t="s">
        <v>795</v>
      </c>
      <c r="N273" s="27" t="s">
        <v>877</v>
      </c>
      <c r="O273" s="27" t="s">
        <v>327</v>
      </c>
      <c r="P273" s="27">
        <v>9809</v>
      </c>
      <c r="Q273" s="27">
        <v>2</v>
      </c>
      <c r="R273" s="27">
        <v>0</v>
      </c>
      <c r="S273" s="27">
        <v>2321</v>
      </c>
      <c r="T273" s="27">
        <v>55</v>
      </c>
      <c r="U273" s="27">
        <v>0</v>
      </c>
      <c r="V273" s="27">
        <v>0</v>
      </c>
    </row>
    <row r="274" spans="1:22" x14ac:dyDescent="0.25">
      <c r="A274" s="27" t="s">
        <v>76</v>
      </c>
      <c r="B274" s="27" t="s">
        <v>877</v>
      </c>
      <c r="C274" s="27" t="s">
        <v>329</v>
      </c>
      <c r="D274" s="32">
        <f>5968+33+4+1</f>
        <v>6006</v>
      </c>
      <c r="E274" s="32">
        <f>25+2+19</f>
        <v>46</v>
      </c>
      <c r="F274" s="32">
        <v>0</v>
      </c>
      <c r="G274" s="32">
        <f>34940+29+1+2+1+2+580</f>
        <v>35555</v>
      </c>
      <c r="H274" s="32">
        <f>665+52+8</f>
        <v>725</v>
      </c>
      <c r="I274" s="32">
        <v>0</v>
      </c>
      <c r="J274" s="32">
        <v>0</v>
      </c>
      <c r="K274" s="32"/>
      <c r="M274" s="27" t="s">
        <v>76</v>
      </c>
      <c r="N274" s="27" t="s">
        <v>877</v>
      </c>
      <c r="O274" s="27" t="s">
        <v>329</v>
      </c>
      <c r="P274" s="27">
        <v>6006</v>
      </c>
      <c r="Q274" s="27">
        <v>46</v>
      </c>
      <c r="R274" s="27">
        <v>0</v>
      </c>
      <c r="S274" s="27">
        <v>35555</v>
      </c>
      <c r="T274" s="27">
        <v>725</v>
      </c>
      <c r="U274" s="27">
        <v>0</v>
      </c>
      <c r="V274" s="27">
        <v>0</v>
      </c>
    </row>
    <row r="275" spans="1:22" x14ac:dyDescent="0.25">
      <c r="A275" s="27" t="s">
        <v>809</v>
      </c>
      <c r="B275" s="27" t="s">
        <v>877</v>
      </c>
      <c r="C275" s="27" t="s">
        <v>330</v>
      </c>
      <c r="D275" s="32">
        <f>9289+1+2+1+1+1+11+4+4+297</f>
        <v>9611</v>
      </c>
      <c r="E275" s="32">
        <f>672+72</f>
        <v>744</v>
      </c>
      <c r="F275" s="32">
        <v>0</v>
      </c>
      <c r="G275" s="32">
        <f>62969+1+2+18+24+2+34+2+2+5+1+4+618</f>
        <v>63682</v>
      </c>
      <c r="H275" s="32">
        <f>805+2+1</f>
        <v>808</v>
      </c>
      <c r="I275" s="32">
        <v>0</v>
      </c>
      <c r="J275" s="32">
        <v>0</v>
      </c>
      <c r="K275" s="32"/>
      <c r="M275" s="27" t="s">
        <v>809</v>
      </c>
      <c r="N275" s="27" t="s">
        <v>877</v>
      </c>
      <c r="O275" s="27" t="s">
        <v>330</v>
      </c>
      <c r="P275" s="27">
        <v>9611</v>
      </c>
      <c r="Q275" s="27">
        <v>744</v>
      </c>
      <c r="R275" s="27">
        <v>0</v>
      </c>
      <c r="S275" s="27">
        <v>63682</v>
      </c>
      <c r="T275" s="27">
        <v>808</v>
      </c>
      <c r="U275" s="27">
        <v>0</v>
      </c>
      <c r="V275" s="27">
        <v>0</v>
      </c>
    </row>
    <row r="276" spans="1:22" x14ac:dyDescent="0.25">
      <c r="A276" s="27" t="s">
        <v>839</v>
      </c>
      <c r="B276" s="27" t="s">
        <v>877</v>
      </c>
      <c r="C276" s="27" t="s">
        <v>331</v>
      </c>
      <c r="D276" s="32">
        <f>2658+44</f>
        <v>2702</v>
      </c>
      <c r="E276" s="32">
        <v>2</v>
      </c>
      <c r="F276" s="32">
        <v>0</v>
      </c>
      <c r="G276" s="32">
        <f>14487+6+10+500+1</f>
        <v>15004</v>
      </c>
      <c r="H276" s="32">
        <f>22+7</f>
        <v>29</v>
      </c>
      <c r="I276" s="32">
        <v>0</v>
      </c>
      <c r="J276" s="32">
        <v>0</v>
      </c>
      <c r="K276" s="32"/>
      <c r="M276" s="27" t="s">
        <v>839</v>
      </c>
      <c r="N276" s="27" t="s">
        <v>877</v>
      </c>
      <c r="O276" s="27" t="s">
        <v>331</v>
      </c>
      <c r="P276" s="27">
        <v>2702</v>
      </c>
      <c r="Q276" s="27">
        <v>2</v>
      </c>
      <c r="R276" s="27">
        <v>0</v>
      </c>
      <c r="S276" s="27">
        <v>15004</v>
      </c>
      <c r="T276" s="27">
        <v>29</v>
      </c>
      <c r="U276" s="27">
        <v>0</v>
      </c>
      <c r="V276" s="27">
        <v>0</v>
      </c>
    </row>
    <row r="277" spans="1:22" x14ac:dyDescent="0.25">
      <c r="A277" s="27" t="s">
        <v>248</v>
      </c>
      <c r="B277" s="27" t="s">
        <v>877</v>
      </c>
      <c r="C277" s="27" t="s">
        <v>332</v>
      </c>
      <c r="D277" s="32">
        <f>12084+8+5+9</f>
        <v>12106</v>
      </c>
      <c r="E277" s="32">
        <v>11</v>
      </c>
      <c r="F277" s="32">
        <v>0</v>
      </c>
      <c r="G277" s="32">
        <f>23829+2+339+3+646+5+37+13</f>
        <v>24874</v>
      </c>
      <c r="H277" s="32">
        <v>123</v>
      </c>
      <c r="I277" s="32">
        <v>0</v>
      </c>
      <c r="J277" s="32">
        <v>0</v>
      </c>
      <c r="K277" s="32"/>
      <c r="M277" s="27" t="s">
        <v>248</v>
      </c>
      <c r="N277" s="27" t="s">
        <v>877</v>
      </c>
      <c r="O277" s="27" t="s">
        <v>332</v>
      </c>
      <c r="P277" s="27">
        <v>12106</v>
      </c>
      <c r="Q277" s="27">
        <v>11</v>
      </c>
      <c r="R277" s="27">
        <v>0</v>
      </c>
      <c r="S277" s="27">
        <v>24874</v>
      </c>
      <c r="T277" s="27">
        <v>123</v>
      </c>
      <c r="U277" s="27">
        <v>0</v>
      </c>
      <c r="V277" s="27">
        <v>0</v>
      </c>
    </row>
    <row r="278" spans="1:22" x14ac:dyDescent="0.25">
      <c r="A278" s="27" t="s">
        <v>862</v>
      </c>
      <c r="B278" s="27" t="s">
        <v>877</v>
      </c>
      <c r="C278" s="27" t="s">
        <v>333</v>
      </c>
      <c r="D278" s="32">
        <v>776</v>
      </c>
      <c r="E278" s="32">
        <v>0</v>
      </c>
      <c r="F278" s="32">
        <v>0</v>
      </c>
      <c r="G278" s="32">
        <v>11110</v>
      </c>
      <c r="H278" s="32">
        <v>0</v>
      </c>
      <c r="I278" s="32">
        <v>0</v>
      </c>
      <c r="J278" s="32">
        <v>0</v>
      </c>
      <c r="K278" s="32"/>
      <c r="M278" s="27" t="s">
        <v>862</v>
      </c>
      <c r="N278" s="27" t="s">
        <v>877</v>
      </c>
      <c r="O278" s="27" t="s">
        <v>333</v>
      </c>
      <c r="P278" s="27">
        <v>776</v>
      </c>
      <c r="Q278" s="27">
        <v>0</v>
      </c>
      <c r="R278" s="27">
        <v>0</v>
      </c>
      <c r="S278" s="27">
        <v>11110</v>
      </c>
      <c r="T278" s="27">
        <v>0</v>
      </c>
      <c r="U278" s="27">
        <v>0</v>
      </c>
      <c r="V278" s="27">
        <v>0</v>
      </c>
    </row>
    <row r="279" spans="1:22" x14ac:dyDescent="0.25">
      <c r="A279" s="27" t="s">
        <v>857</v>
      </c>
      <c r="B279" s="27" t="s">
        <v>877</v>
      </c>
      <c r="C279" s="27" t="s">
        <v>334</v>
      </c>
      <c r="D279" s="32">
        <v>8936</v>
      </c>
      <c r="E279" s="32">
        <v>0</v>
      </c>
      <c r="F279" s="32">
        <v>0</v>
      </c>
      <c r="G279" s="32">
        <v>3230</v>
      </c>
      <c r="H279" s="32">
        <v>0</v>
      </c>
      <c r="I279" s="32">
        <v>0</v>
      </c>
      <c r="J279" s="32">
        <v>0</v>
      </c>
      <c r="K279" s="32"/>
      <c r="M279" s="27" t="s">
        <v>857</v>
      </c>
      <c r="N279" s="27" t="s">
        <v>877</v>
      </c>
      <c r="O279" s="27" t="s">
        <v>334</v>
      </c>
      <c r="P279" s="27">
        <v>8936</v>
      </c>
      <c r="Q279" s="27">
        <v>0</v>
      </c>
      <c r="R279" s="27">
        <v>0</v>
      </c>
      <c r="S279" s="27">
        <v>3230</v>
      </c>
      <c r="T279" s="27">
        <v>0</v>
      </c>
      <c r="U279" s="27">
        <v>0</v>
      </c>
      <c r="V279" s="27">
        <v>0</v>
      </c>
    </row>
    <row r="280" spans="1:22" x14ac:dyDescent="0.25">
      <c r="A280" s="27" t="s">
        <v>265</v>
      </c>
      <c r="B280" s="27" t="s">
        <v>877</v>
      </c>
      <c r="C280" s="27" t="s">
        <v>335</v>
      </c>
      <c r="D280" s="32">
        <f>8528+2+2+12</f>
        <v>8544</v>
      </c>
      <c r="E280" s="32">
        <v>0</v>
      </c>
      <c r="F280" s="32">
        <v>0</v>
      </c>
      <c r="G280" s="32">
        <f>30956+1+1+10+14+2+137</f>
        <v>31121</v>
      </c>
      <c r="H280" s="32">
        <f>39+13</f>
        <v>52</v>
      </c>
      <c r="I280" s="32">
        <v>0</v>
      </c>
      <c r="J280" s="32">
        <v>0</v>
      </c>
      <c r="K280" s="32"/>
      <c r="M280" s="27" t="s">
        <v>265</v>
      </c>
      <c r="N280" s="27" t="s">
        <v>877</v>
      </c>
      <c r="O280" s="27" t="s">
        <v>335</v>
      </c>
      <c r="P280" s="27">
        <v>8544</v>
      </c>
      <c r="Q280" s="27">
        <v>0</v>
      </c>
      <c r="R280" s="27">
        <v>0</v>
      </c>
      <c r="S280" s="27">
        <v>31121</v>
      </c>
      <c r="T280" s="27">
        <v>52</v>
      </c>
      <c r="U280" s="27">
        <v>0</v>
      </c>
      <c r="V280" s="27">
        <v>0</v>
      </c>
    </row>
    <row r="281" spans="1:22" x14ac:dyDescent="0.25">
      <c r="A281" s="27" t="s">
        <v>855</v>
      </c>
      <c r="B281" s="27" t="s">
        <v>877</v>
      </c>
      <c r="C281" s="27" t="s">
        <v>336</v>
      </c>
      <c r="D281" s="32">
        <f>3559+78</f>
        <v>3637</v>
      </c>
      <c r="E281" s="32">
        <f>23+46</f>
        <v>69</v>
      </c>
      <c r="F281" s="32">
        <v>0</v>
      </c>
      <c r="G281" s="32">
        <f>13107+81</f>
        <v>13188</v>
      </c>
      <c r="H281" s="32">
        <v>17</v>
      </c>
      <c r="I281" s="32">
        <v>0</v>
      </c>
      <c r="J281" s="32">
        <v>0</v>
      </c>
      <c r="K281" s="32"/>
      <c r="M281" s="27" t="s">
        <v>855</v>
      </c>
      <c r="N281" s="27" t="s">
        <v>877</v>
      </c>
      <c r="O281" s="27" t="s">
        <v>336</v>
      </c>
      <c r="P281" s="27">
        <v>3637</v>
      </c>
      <c r="Q281" s="27">
        <v>69</v>
      </c>
      <c r="R281" s="27">
        <v>0</v>
      </c>
      <c r="S281" s="27">
        <v>13188</v>
      </c>
      <c r="T281" s="27">
        <v>17</v>
      </c>
      <c r="U281" s="27">
        <v>0</v>
      </c>
      <c r="V281" s="27">
        <v>0</v>
      </c>
    </row>
    <row r="282" spans="1:22" x14ac:dyDescent="0.25">
      <c r="A282" s="27" t="s">
        <v>868</v>
      </c>
      <c r="B282" s="27" t="s">
        <v>877</v>
      </c>
      <c r="C282" s="27" t="s">
        <v>337</v>
      </c>
      <c r="D282" s="32"/>
      <c r="E282" s="32"/>
      <c r="F282" s="32"/>
      <c r="G282" s="32"/>
      <c r="H282" s="32"/>
      <c r="I282" s="32"/>
      <c r="J282" s="32"/>
      <c r="K282" s="32"/>
      <c r="M282" s="27" t="s">
        <v>868</v>
      </c>
      <c r="N282" s="27" t="s">
        <v>877</v>
      </c>
      <c r="O282" s="27" t="s">
        <v>337</v>
      </c>
    </row>
    <row r="283" spans="1:22" x14ac:dyDescent="0.25">
      <c r="A283" s="27" t="s">
        <v>852</v>
      </c>
      <c r="B283" s="27" t="s">
        <v>877</v>
      </c>
      <c r="C283" s="27" t="s">
        <v>338</v>
      </c>
      <c r="D283" s="32">
        <f>1358+3</f>
        <v>1361</v>
      </c>
      <c r="E283" s="32">
        <v>1</v>
      </c>
      <c r="F283" s="32">
        <v>0</v>
      </c>
      <c r="G283" s="32">
        <f>14445+2+26+29</f>
        <v>14502</v>
      </c>
      <c r="H283" s="32">
        <f>67+2+7</f>
        <v>76</v>
      </c>
      <c r="I283" s="32">
        <v>0</v>
      </c>
      <c r="J283" s="32">
        <v>0</v>
      </c>
      <c r="K283" s="32"/>
      <c r="M283" s="27" t="s">
        <v>852</v>
      </c>
      <c r="N283" s="27" t="s">
        <v>877</v>
      </c>
      <c r="O283" s="27" t="s">
        <v>338</v>
      </c>
      <c r="P283" s="27">
        <v>1361</v>
      </c>
      <c r="Q283" s="27">
        <v>1</v>
      </c>
      <c r="R283" s="27">
        <v>0</v>
      </c>
      <c r="S283" s="27">
        <v>14502</v>
      </c>
      <c r="T283" s="27">
        <v>76</v>
      </c>
      <c r="U283" s="27">
        <v>0</v>
      </c>
      <c r="V283" s="27">
        <v>0</v>
      </c>
    </row>
    <row r="284" spans="1:22" x14ac:dyDescent="0.25">
      <c r="A284" s="27" t="s">
        <v>860</v>
      </c>
      <c r="B284" s="27" t="s">
        <v>877</v>
      </c>
      <c r="C284" s="27" t="s">
        <v>339</v>
      </c>
      <c r="D284" s="32">
        <f>6484+4+24</f>
        <v>6512</v>
      </c>
      <c r="E284" s="32">
        <v>0</v>
      </c>
      <c r="F284" s="32">
        <v>0</v>
      </c>
      <c r="G284" s="32">
        <f>6104+1+1+2+3</f>
        <v>6111</v>
      </c>
      <c r="H284" s="32">
        <f>3+74</f>
        <v>77</v>
      </c>
      <c r="I284" s="32">
        <v>0</v>
      </c>
      <c r="J284" s="32">
        <v>0</v>
      </c>
      <c r="K284" s="32"/>
      <c r="M284" s="27" t="s">
        <v>860</v>
      </c>
      <c r="N284" s="27" t="s">
        <v>877</v>
      </c>
      <c r="O284" s="27" t="s">
        <v>339</v>
      </c>
      <c r="P284" s="27">
        <v>6512</v>
      </c>
      <c r="Q284" s="27">
        <v>0</v>
      </c>
      <c r="R284" s="27">
        <v>0</v>
      </c>
      <c r="S284" s="27">
        <v>6111</v>
      </c>
      <c r="T284" s="27">
        <v>77</v>
      </c>
      <c r="U284" s="27">
        <v>0</v>
      </c>
      <c r="V284" s="27">
        <v>0</v>
      </c>
    </row>
    <row r="285" spans="1:22" x14ac:dyDescent="0.25">
      <c r="A285" s="27" t="s">
        <v>861</v>
      </c>
      <c r="B285" s="27" t="s">
        <v>877</v>
      </c>
      <c r="C285" s="27" t="s">
        <v>340</v>
      </c>
      <c r="D285" s="32">
        <v>1659</v>
      </c>
      <c r="E285" s="32">
        <v>0</v>
      </c>
      <c r="F285" s="32">
        <v>0</v>
      </c>
      <c r="G285" s="32">
        <f>6395+6</f>
        <v>6401</v>
      </c>
      <c r="H285" s="32">
        <f>6+1</f>
        <v>7</v>
      </c>
      <c r="I285" s="32">
        <v>0</v>
      </c>
      <c r="J285" s="32">
        <v>0</v>
      </c>
      <c r="K285" s="32"/>
      <c r="M285" s="27" t="s">
        <v>861</v>
      </c>
      <c r="N285" s="27" t="s">
        <v>877</v>
      </c>
      <c r="O285" s="27" t="s">
        <v>340</v>
      </c>
      <c r="P285" s="27">
        <v>1659</v>
      </c>
      <c r="Q285" s="27">
        <v>0</v>
      </c>
      <c r="R285" s="27">
        <v>0</v>
      </c>
      <c r="S285" s="27">
        <v>6401</v>
      </c>
      <c r="T285" s="27">
        <v>7</v>
      </c>
      <c r="U285" s="27">
        <v>0</v>
      </c>
      <c r="V285" s="27">
        <v>0</v>
      </c>
    </row>
    <row r="286" spans="1:22" x14ac:dyDescent="0.25">
      <c r="A286" s="27" t="s">
        <v>834</v>
      </c>
      <c r="B286" s="27" t="s">
        <v>877</v>
      </c>
      <c r="C286" s="27" t="s">
        <v>341</v>
      </c>
      <c r="D286" s="32">
        <v>2576</v>
      </c>
      <c r="E286" s="32">
        <v>2</v>
      </c>
      <c r="F286" s="32">
        <v>0</v>
      </c>
      <c r="G286" s="32">
        <v>16974</v>
      </c>
      <c r="H286" s="32">
        <f>6+2</f>
        <v>8</v>
      </c>
      <c r="I286" s="32">
        <v>0</v>
      </c>
      <c r="J286" s="32">
        <v>0</v>
      </c>
      <c r="K286" s="32"/>
      <c r="M286" s="27" t="s">
        <v>834</v>
      </c>
      <c r="N286" s="27" t="s">
        <v>877</v>
      </c>
      <c r="O286" s="27" t="s">
        <v>341</v>
      </c>
      <c r="P286" s="27">
        <v>2576</v>
      </c>
      <c r="Q286" s="27">
        <v>2</v>
      </c>
      <c r="R286" s="27">
        <v>0</v>
      </c>
      <c r="S286" s="27">
        <v>16974</v>
      </c>
      <c r="T286" s="27">
        <v>8</v>
      </c>
      <c r="U286" s="27">
        <v>0</v>
      </c>
      <c r="V286" s="27">
        <v>0</v>
      </c>
    </row>
    <row r="287" spans="1:22" x14ac:dyDescent="0.25">
      <c r="A287" s="27" t="s">
        <v>850</v>
      </c>
      <c r="B287" s="27" t="s">
        <v>877</v>
      </c>
      <c r="C287" s="27" t="s">
        <v>342</v>
      </c>
      <c r="D287" s="32">
        <v>1453</v>
      </c>
      <c r="E287" s="32">
        <v>16</v>
      </c>
      <c r="F287" s="32">
        <v>0</v>
      </c>
      <c r="G287" s="32">
        <f>3849+38</f>
        <v>3887</v>
      </c>
      <c r="H287" s="32">
        <v>82</v>
      </c>
      <c r="I287" s="32">
        <v>0</v>
      </c>
      <c r="J287" s="32">
        <v>0</v>
      </c>
      <c r="K287" s="32"/>
      <c r="M287" s="27" t="s">
        <v>850</v>
      </c>
      <c r="N287" s="27" t="s">
        <v>877</v>
      </c>
      <c r="O287" s="27" t="s">
        <v>342</v>
      </c>
      <c r="P287" s="27">
        <v>1453</v>
      </c>
      <c r="Q287" s="27">
        <v>16</v>
      </c>
      <c r="R287" s="27">
        <v>0</v>
      </c>
      <c r="S287" s="27">
        <v>3887</v>
      </c>
      <c r="T287" s="27">
        <v>82</v>
      </c>
      <c r="U287" s="27">
        <v>0</v>
      </c>
      <c r="V287" s="27">
        <v>0</v>
      </c>
    </row>
    <row r="288" spans="1:22" x14ac:dyDescent="0.25">
      <c r="A288" s="27" t="s">
        <v>801</v>
      </c>
      <c r="B288" s="27" t="s">
        <v>877</v>
      </c>
      <c r="C288" s="27" t="s">
        <v>343</v>
      </c>
      <c r="D288" s="32">
        <v>1356</v>
      </c>
      <c r="E288" s="32">
        <v>0</v>
      </c>
      <c r="F288" s="32">
        <v>0</v>
      </c>
      <c r="G288" s="32">
        <f>5295+4+19</f>
        <v>5318</v>
      </c>
      <c r="H288" s="32">
        <v>1</v>
      </c>
      <c r="I288" s="32">
        <v>0</v>
      </c>
      <c r="J288" s="32">
        <v>0</v>
      </c>
      <c r="K288" s="32"/>
      <c r="M288" s="27" t="s">
        <v>801</v>
      </c>
      <c r="N288" s="27" t="s">
        <v>877</v>
      </c>
      <c r="O288" s="27" t="s">
        <v>343</v>
      </c>
      <c r="P288" s="27">
        <v>1356</v>
      </c>
      <c r="Q288" s="27">
        <v>0</v>
      </c>
      <c r="R288" s="27">
        <v>0</v>
      </c>
      <c r="S288" s="27">
        <v>5318</v>
      </c>
      <c r="T288" s="27">
        <v>1</v>
      </c>
      <c r="U288" s="27">
        <v>0</v>
      </c>
      <c r="V288" s="27">
        <v>0</v>
      </c>
    </row>
    <row r="289" spans="1:22" x14ac:dyDescent="0.25">
      <c r="A289" s="27" t="s">
        <v>890</v>
      </c>
      <c r="B289" s="27" t="s">
        <v>877</v>
      </c>
      <c r="C289" s="27" t="s">
        <v>344</v>
      </c>
      <c r="D289" s="32">
        <f>11822+10+5</f>
        <v>11837</v>
      </c>
      <c r="E289" s="32">
        <v>5</v>
      </c>
      <c r="F289" s="32">
        <v>0</v>
      </c>
      <c r="G289" s="32">
        <f>47391+8+66+4+119</f>
        <v>47588</v>
      </c>
      <c r="H289" s="32">
        <f>449+2</f>
        <v>451</v>
      </c>
      <c r="I289" s="32">
        <v>0</v>
      </c>
      <c r="J289" s="32">
        <v>0</v>
      </c>
      <c r="K289" s="32"/>
      <c r="M289" s="27" t="s">
        <v>890</v>
      </c>
      <c r="N289" s="27" t="s">
        <v>877</v>
      </c>
      <c r="O289" s="27" t="s">
        <v>344</v>
      </c>
      <c r="P289" s="27">
        <v>11837</v>
      </c>
      <c r="Q289" s="27">
        <v>5</v>
      </c>
      <c r="R289" s="27">
        <v>0</v>
      </c>
      <c r="S289" s="27">
        <v>47588</v>
      </c>
      <c r="T289" s="27">
        <v>451</v>
      </c>
      <c r="U289" s="27">
        <v>0</v>
      </c>
      <c r="V289" s="27">
        <v>0</v>
      </c>
    </row>
    <row r="290" spans="1:22" x14ac:dyDescent="0.25">
      <c r="A290" s="27" t="s">
        <v>868</v>
      </c>
      <c r="B290" s="27" t="s">
        <v>877</v>
      </c>
      <c r="C290" s="27" t="s">
        <v>345</v>
      </c>
      <c r="D290" s="32"/>
      <c r="E290" s="32"/>
      <c r="F290" s="32"/>
      <c r="G290" s="32"/>
      <c r="H290" s="32"/>
      <c r="I290" s="32"/>
      <c r="J290" s="32"/>
      <c r="K290" s="32"/>
      <c r="M290" s="27" t="s">
        <v>868</v>
      </c>
      <c r="N290" s="27" t="s">
        <v>877</v>
      </c>
      <c r="O290" s="27" t="s">
        <v>345</v>
      </c>
    </row>
    <row r="291" spans="1:22" x14ac:dyDescent="0.25">
      <c r="A291" s="27" t="s">
        <v>791</v>
      </c>
      <c r="B291" s="27" t="s">
        <v>877</v>
      </c>
      <c r="C291" s="27" t="s">
        <v>346</v>
      </c>
      <c r="D291" s="32">
        <f>8652+2+2+2+59+1+7</f>
        <v>8725</v>
      </c>
      <c r="E291" s="32">
        <f>47+38+4</f>
        <v>89</v>
      </c>
      <c r="F291" s="32">
        <v>0</v>
      </c>
      <c r="G291" s="32">
        <f>67221+2+4+2+2+29+64+4+6+325</f>
        <v>67659</v>
      </c>
      <c r="H291" s="32">
        <f>1204+55+17</f>
        <v>1276</v>
      </c>
      <c r="I291" s="32">
        <v>0</v>
      </c>
      <c r="J291" s="32">
        <v>0</v>
      </c>
      <c r="K291" s="32"/>
      <c r="M291" s="27" t="s">
        <v>791</v>
      </c>
      <c r="N291" s="27" t="s">
        <v>877</v>
      </c>
      <c r="O291" s="27" t="s">
        <v>346</v>
      </c>
      <c r="P291" s="27">
        <v>8725</v>
      </c>
      <c r="Q291" s="27">
        <v>89</v>
      </c>
      <c r="R291" s="27">
        <v>0</v>
      </c>
      <c r="S291" s="27">
        <v>67659</v>
      </c>
      <c r="T291" s="27">
        <v>1276</v>
      </c>
      <c r="U291" s="27">
        <v>0</v>
      </c>
      <c r="V291" s="27">
        <v>0</v>
      </c>
    </row>
    <row r="292" spans="1:22" x14ac:dyDescent="0.25">
      <c r="A292" s="27" t="s">
        <v>83</v>
      </c>
      <c r="B292" s="27" t="s">
        <v>877</v>
      </c>
      <c r="C292" s="27" t="s">
        <v>347</v>
      </c>
      <c r="D292" s="32">
        <v>34</v>
      </c>
      <c r="E292" s="32">
        <v>0</v>
      </c>
      <c r="F292" s="32">
        <v>0</v>
      </c>
      <c r="G292" s="32">
        <v>17</v>
      </c>
      <c r="H292" s="32">
        <v>0</v>
      </c>
      <c r="I292" s="32">
        <v>0</v>
      </c>
      <c r="J292" s="32">
        <v>0</v>
      </c>
      <c r="K292" s="32"/>
      <c r="M292" s="27" t="s">
        <v>83</v>
      </c>
      <c r="N292" s="27" t="s">
        <v>877</v>
      </c>
      <c r="O292" s="27" t="s">
        <v>347</v>
      </c>
      <c r="P292" s="27">
        <v>34</v>
      </c>
      <c r="Q292" s="27">
        <v>0</v>
      </c>
      <c r="R292" s="27">
        <v>0</v>
      </c>
      <c r="S292" s="27">
        <v>17</v>
      </c>
      <c r="T292" s="27">
        <v>0</v>
      </c>
      <c r="U292" s="27">
        <v>0</v>
      </c>
      <c r="V292" s="27">
        <v>0</v>
      </c>
    </row>
    <row r="293" spans="1:22" x14ac:dyDescent="0.25">
      <c r="A293" s="27" t="s">
        <v>101</v>
      </c>
      <c r="B293" s="27" t="s">
        <v>877</v>
      </c>
      <c r="C293" s="27" t="s">
        <v>348</v>
      </c>
      <c r="D293" s="32">
        <v>5057</v>
      </c>
      <c r="E293" s="32">
        <v>51</v>
      </c>
      <c r="F293" s="32">
        <v>0</v>
      </c>
      <c r="G293" s="32">
        <f>22630+1+58+12+81</f>
        <v>22782</v>
      </c>
      <c r="H293" s="32">
        <f>30+1</f>
        <v>31</v>
      </c>
      <c r="I293" s="32">
        <v>0</v>
      </c>
      <c r="J293" s="32">
        <v>0</v>
      </c>
      <c r="K293" s="32"/>
      <c r="M293" s="27" t="s">
        <v>101</v>
      </c>
      <c r="N293" s="27" t="s">
        <v>877</v>
      </c>
      <c r="O293" s="27" t="s">
        <v>348</v>
      </c>
      <c r="P293" s="27">
        <v>5057</v>
      </c>
      <c r="Q293" s="27">
        <v>51</v>
      </c>
      <c r="R293" s="27">
        <v>0</v>
      </c>
      <c r="S293" s="27">
        <v>22782</v>
      </c>
      <c r="T293" s="27">
        <v>31</v>
      </c>
      <c r="U293" s="27">
        <v>0</v>
      </c>
      <c r="V293" s="27">
        <v>0</v>
      </c>
    </row>
    <row r="294" spans="1:22" x14ac:dyDescent="0.25">
      <c r="A294" s="27" t="s">
        <v>797</v>
      </c>
      <c r="B294" s="27" t="s">
        <v>877</v>
      </c>
      <c r="C294" s="27" t="s">
        <v>349</v>
      </c>
      <c r="D294" s="32">
        <v>1662</v>
      </c>
      <c r="E294" s="32">
        <v>0</v>
      </c>
      <c r="F294" s="32">
        <v>0</v>
      </c>
      <c r="G294" s="32">
        <v>10131</v>
      </c>
      <c r="H294" s="32">
        <v>16</v>
      </c>
      <c r="I294" s="32">
        <v>0</v>
      </c>
      <c r="J294" s="32">
        <v>0</v>
      </c>
      <c r="K294" s="32"/>
      <c r="M294" s="27" t="s">
        <v>797</v>
      </c>
      <c r="N294" s="27" t="s">
        <v>877</v>
      </c>
      <c r="O294" s="27" t="s">
        <v>349</v>
      </c>
      <c r="P294" s="27">
        <v>1662</v>
      </c>
      <c r="Q294" s="27">
        <v>0</v>
      </c>
      <c r="R294" s="27">
        <v>0</v>
      </c>
      <c r="S294" s="27">
        <v>10131</v>
      </c>
      <c r="T294" s="27">
        <v>16</v>
      </c>
      <c r="U294" s="27">
        <v>0</v>
      </c>
      <c r="V294" s="27">
        <v>0</v>
      </c>
    </row>
    <row r="295" spans="1:22" x14ac:dyDescent="0.25">
      <c r="A295" s="27" t="s">
        <v>811</v>
      </c>
      <c r="B295" s="27" t="s">
        <v>877</v>
      </c>
      <c r="C295" s="27" t="s">
        <v>350</v>
      </c>
      <c r="D295" s="32">
        <f>9138+18</f>
        <v>9156</v>
      </c>
      <c r="E295" s="32">
        <f>231+3</f>
        <v>234</v>
      </c>
      <c r="F295" s="32">
        <v>0</v>
      </c>
      <c r="G295" s="32">
        <f>39702+2+1+1+58+36</f>
        <v>39800</v>
      </c>
      <c r="H295" s="32">
        <f>155+1+5</f>
        <v>161</v>
      </c>
      <c r="I295" s="32">
        <v>0</v>
      </c>
      <c r="J295" s="32">
        <v>0</v>
      </c>
      <c r="K295" s="32"/>
      <c r="M295" s="27" t="s">
        <v>811</v>
      </c>
      <c r="N295" s="27" t="s">
        <v>877</v>
      </c>
      <c r="O295" s="27" t="s">
        <v>350</v>
      </c>
      <c r="P295" s="27">
        <v>9156</v>
      </c>
      <c r="Q295" s="27">
        <v>234</v>
      </c>
      <c r="R295" s="27">
        <v>0</v>
      </c>
      <c r="S295" s="27">
        <v>39800</v>
      </c>
      <c r="T295" s="27">
        <v>161</v>
      </c>
      <c r="U295" s="27">
        <v>0</v>
      </c>
      <c r="V295" s="27">
        <v>0</v>
      </c>
    </row>
    <row r="296" spans="1:22" x14ac:dyDescent="0.25">
      <c r="A296" s="27" t="s">
        <v>837</v>
      </c>
      <c r="B296" s="27" t="s">
        <v>877</v>
      </c>
      <c r="C296" s="27" t="s">
        <v>351</v>
      </c>
      <c r="D296" s="32">
        <f>3911+3</f>
        <v>3914</v>
      </c>
      <c r="E296" s="32">
        <f>30+2</f>
        <v>32</v>
      </c>
      <c r="F296" s="32">
        <v>0</v>
      </c>
      <c r="G296" s="32">
        <f>13397+1+49+3</f>
        <v>13450</v>
      </c>
      <c r="H296" s="32">
        <f>78+20</f>
        <v>98</v>
      </c>
      <c r="I296" s="32">
        <v>0</v>
      </c>
      <c r="J296" s="32">
        <v>0</v>
      </c>
      <c r="K296" s="32"/>
      <c r="M296" s="27" t="s">
        <v>837</v>
      </c>
      <c r="N296" s="27" t="s">
        <v>877</v>
      </c>
      <c r="O296" s="27" t="s">
        <v>351</v>
      </c>
      <c r="P296" s="27">
        <v>3914</v>
      </c>
      <c r="Q296" s="27">
        <v>32</v>
      </c>
      <c r="R296" s="27">
        <v>0</v>
      </c>
      <c r="S296" s="27">
        <v>13450</v>
      </c>
      <c r="T296" s="27">
        <v>98</v>
      </c>
      <c r="U296" s="27">
        <v>0</v>
      </c>
      <c r="V296" s="27">
        <v>0</v>
      </c>
    </row>
    <row r="297" spans="1:22" x14ac:dyDescent="0.25">
      <c r="A297" s="27" t="s">
        <v>824</v>
      </c>
      <c r="B297" s="27" t="s">
        <v>877</v>
      </c>
      <c r="C297" s="27" t="s">
        <v>352</v>
      </c>
      <c r="D297" s="32">
        <f>2567+83+6</f>
        <v>2656</v>
      </c>
      <c r="E297" s="32">
        <v>0</v>
      </c>
      <c r="F297" s="32">
        <v>0</v>
      </c>
      <c r="G297" s="32">
        <f>12538+406+115</f>
        <v>13059</v>
      </c>
      <c r="H297" s="32">
        <f>4+6</f>
        <v>10</v>
      </c>
      <c r="I297" s="32">
        <v>0</v>
      </c>
      <c r="J297" s="32">
        <v>0</v>
      </c>
      <c r="K297" s="32"/>
      <c r="M297" s="27" t="s">
        <v>824</v>
      </c>
      <c r="N297" s="27" t="s">
        <v>877</v>
      </c>
      <c r="O297" s="27" t="s">
        <v>352</v>
      </c>
      <c r="P297" s="27">
        <v>2656</v>
      </c>
      <c r="Q297" s="27">
        <v>0</v>
      </c>
      <c r="R297" s="27">
        <v>0</v>
      </c>
      <c r="S297" s="27">
        <v>13059</v>
      </c>
      <c r="T297" s="27">
        <v>10</v>
      </c>
      <c r="U297" s="27">
        <v>0</v>
      </c>
      <c r="V297" s="27">
        <v>0</v>
      </c>
    </row>
    <row r="298" spans="1:22" x14ac:dyDescent="0.25">
      <c r="A298" s="27" t="s">
        <v>829</v>
      </c>
      <c r="B298" s="27" t="s">
        <v>877</v>
      </c>
      <c r="C298" s="27" t="s">
        <v>353</v>
      </c>
      <c r="D298" s="32">
        <f>13597+16</f>
        <v>13613</v>
      </c>
      <c r="E298" s="32">
        <f>8+3</f>
        <v>11</v>
      </c>
      <c r="F298" s="32">
        <v>0</v>
      </c>
      <c r="G298" s="32">
        <f>16129+62+25</f>
        <v>16216</v>
      </c>
      <c r="H298" s="32">
        <f>180+15</f>
        <v>195</v>
      </c>
      <c r="I298" s="32">
        <v>0</v>
      </c>
      <c r="J298" s="32">
        <v>0</v>
      </c>
      <c r="K298" s="32"/>
      <c r="M298" s="27" t="s">
        <v>829</v>
      </c>
      <c r="N298" s="27" t="s">
        <v>877</v>
      </c>
      <c r="O298" s="27" t="s">
        <v>353</v>
      </c>
      <c r="P298" s="27">
        <v>13613</v>
      </c>
      <c r="Q298" s="27">
        <v>11</v>
      </c>
      <c r="R298" s="27">
        <v>0</v>
      </c>
      <c r="S298" s="27">
        <v>16216</v>
      </c>
      <c r="T298" s="27">
        <v>195</v>
      </c>
      <c r="U298" s="27">
        <v>0</v>
      </c>
      <c r="V298" s="27">
        <v>0</v>
      </c>
    </row>
    <row r="299" spans="1:22" x14ac:dyDescent="0.25">
      <c r="A299" s="27" t="s">
        <v>832</v>
      </c>
      <c r="B299" s="27" t="s">
        <v>877</v>
      </c>
      <c r="C299" s="27" t="s">
        <v>354</v>
      </c>
      <c r="D299" s="32">
        <f>2100+8</f>
        <v>2108</v>
      </c>
      <c r="E299" s="32">
        <v>0</v>
      </c>
      <c r="F299" s="32">
        <v>0</v>
      </c>
      <c r="G299" s="32">
        <f>6501+2+3</f>
        <v>6506</v>
      </c>
      <c r="H299" s="32">
        <f>10+2</f>
        <v>12</v>
      </c>
      <c r="I299" s="32">
        <v>0</v>
      </c>
      <c r="J299" s="32">
        <v>0</v>
      </c>
      <c r="K299" s="32"/>
      <c r="M299" s="27" t="s">
        <v>832</v>
      </c>
      <c r="N299" s="27" t="s">
        <v>877</v>
      </c>
      <c r="O299" s="27" t="s">
        <v>354</v>
      </c>
      <c r="P299" s="27">
        <v>2108</v>
      </c>
      <c r="Q299" s="27">
        <v>0</v>
      </c>
      <c r="R299" s="27">
        <v>0</v>
      </c>
      <c r="S299" s="27">
        <v>6506</v>
      </c>
      <c r="T299" s="27">
        <v>12</v>
      </c>
      <c r="U299" s="27">
        <v>0</v>
      </c>
      <c r="V299" s="27">
        <v>0</v>
      </c>
    </row>
    <row r="300" spans="1:22" x14ac:dyDescent="0.25">
      <c r="A300" s="27" t="s">
        <v>833</v>
      </c>
      <c r="B300" s="27" t="s">
        <v>877</v>
      </c>
      <c r="C300" s="27" t="s">
        <v>355</v>
      </c>
      <c r="D300" s="32">
        <f>5007+5</f>
        <v>5012</v>
      </c>
      <c r="E300" s="32">
        <v>0</v>
      </c>
      <c r="F300" s="32">
        <v>0</v>
      </c>
      <c r="G300" s="32">
        <f>7952+2</f>
        <v>7954</v>
      </c>
      <c r="H300" s="32">
        <v>0</v>
      </c>
      <c r="I300" s="32">
        <v>0</v>
      </c>
      <c r="J300" s="32">
        <v>0</v>
      </c>
      <c r="K300" s="32"/>
      <c r="M300" s="27" t="s">
        <v>833</v>
      </c>
      <c r="N300" s="27" t="s">
        <v>877</v>
      </c>
      <c r="O300" s="27" t="s">
        <v>355</v>
      </c>
      <c r="P300" s="27">
        <v>5012</v>
      </c>
      <c r="Q300" s="27">
        <v>0</v>
      </c>
      <c r="R300" s="27">
        <v>0</v>
      </c>
      <c r="S300" s="27">
        <v>7954</v>
      </c>
      <c r="T300" s="27">
        <v>0</v>
      </c>
      <c r="U300" s="27">
        <v>0</v>
      </c>
      <c r="V300" s="27">
        <v>0</v>
      </c>
    </row>
    <row r="301" spans="1:22" x14ac:dyDescent="0.25">
      <c r="A301" s="27" t="s">
        <v>840</v>
      </c>
      <c r="B301" s="27" t="s">
        <v>877</v>
      </c>
      <c r="C301" s="27" t="s">
        <v>356</v>
      </c>
      <c r="D301" s="32">
        <v>2822</v>
      </c>
      <c r="E301" s="32">
        <v>36</v>
      </c>
      <c r="F301" s="32">
        <v>0</v>
      </c>
      <c r="G301" s="32">
        <v>17029</v>
      </c>
      <c r="H301" s="32">
        <f>132+3</f>
        <v>135</v>
      </c>
      <c r="I301" s="32">
        <v>0</v>
      </c>
      <c r="J301" s="32">
        <v>0</v>
      </c>
      <c r="K301" s="32"/>
      <c r="M301" s="27" t="s">
        <v>840</v>
      </c>
      <c r="N301" s="27" t="s">
        <v>877</v>
      </c>
      <c r="O301" s="27" t="s">
        <v>356</v>
      </c>
      <c r="P301" s="27">
        <v>2822</v>
      </c>
      <c r="Q301" s="27">
        <v>36</v>
      </c>
      <c r="R301" s="27">
        <v>0</v>
      </c>
      <c r="S301" s="27">
        <v>17029</v>
      </c>
      <c r="T301" s="27">
        <v>135</v>
      </c>
      <c r="U301" s="27">
        <v>0</v>
      </c>
      <c r="V301" s="27">
        <v>0</v>
      </c>
    </row>
    <row r="302" spans="1:22" x14ac:dyDescent="0.25">
      <c r="A302" s="27" t="s">
        <v>843</v>
      </c>
      <c r="B302" s="27" t="s">
        <v>877</v>
      </c>
      <c r="C302" s="27" t="s">
        <v>357</v>
      </c>
      <c r="D302" s="32">
        <f>1791+105+9</f>
        <v>1905</v>
      </c>
      <c r="E302" s="32">
        <v>26</v>
      </c>
      <c r="F302" s="32">
        <v>0</v>
      </c>
      <c r="G302" s="32">
        <f>17900+990+7+466+8+446</f>
        <v>19817</v>
      </c>
      <c r="H302" s="32">
        <v>37</v>
      </c>
      <c r="I302" s="32">
        <v>0</v>
      </c>
      <c r="J302" s="32">
        <v>0</v>
      </c>
      <c r="K302" s="32"/>
      <c r="M302" s="27" t="s">
        <v>843</v>
      </c>
      <c r="N302" s="27" t="s">
        <v>877</v>
      </c>
      <c r="O302" s="27" t="s">
        <v>357</v>
      </c>
      <c r="P302" s="27">
        <v>1905</v>
      </c>
      <c r="Q302" s="27">
        <v>26</v>
      </c>
      <c r="R302" s="27">
        <v>0</v>
      </c>
      <c r="S302" s="27">
        <v>19817</v>
      </c>
      <c r="T302" s="27">
        <v>37</v>
      </c>
      <c r="U302" s="27">
        <v>0</v>
      </c>
      <c r="V302" s="27">
        <v>0</v>
      </c>
    </row>
    <row r="303" spans="1:22" x14ac:dyDescent="0.25">
      <c r="A303" s="27" t="s">
        <v>791</v>
      </c>
      <c r="B303" s="27" t="s">
        <v>877</v>
      </c>
      <c r="C303" s="27" t="s">
        <v>358</v>
      </c>
      <c r="D303" s="32">
        <f>20637+3+161+125+2+1+44+4+14+3+63+528</f>
        <v>21585</v>
      </c>
      <c r="E303" s="32">
        <f>25+5</f>
        <v>30</v>
      </c>
      <c r="F303" s="32">
        <v>0</v>
      </c>
      <c r="G303" s="32">
        <f>42261+2+4+201+26+4+2+184+79+32+3+2+1+2+16+1808</f>
        <v>44627</v>
      </c>
      <c r="H303" s="32">
        <f>89+50+14</f>
        <v>153</v>
      </c>
      <c r="I303" s="32">
        <v>0</v>
      </c>
      <c r="J303" s="32">
        <v>0</v>
      </c>
      <c r="K303" s="32"/>
      <c r="M303" s="27" t="s">
        <v>791</v>
      </c>
      <c r="N303" s="27" t="s">
        <v>877</v>
      </c>
      <c r="O303" s="27" t="s">
        <v>358</v>
      </c>
      <c r="P303" s="27">
        <v>21585</v>
      </c>
      <c r="Q303" s="27">
        <v>30</v>
      </c>
      <c r="R303" s="27">
        <v>0</v>
      </c>
      <c r="S303" s="27">
        <v>44627</v>
      </c>
      <c r="T303" s="27">
        <v>153</v>
      </c>
      <c r="U303" s="27">
        <v>0</v>
      </c>
      <c r="V303" s="27">
        <v>0</v>
      </c>
    </row>
    <row r="304" spans="1:22" x14ac:dyDescent="0.25">
      <c r="A304" s="27" t="s">
        <v>842</v>
      </c>
      <c r="B304" s="27" t="s">
        <v>877</v>
      </c>
      <c r="C304" s="27" t="s">
        <v>359</v>
      </c>
      <c r="D304" s="32">
        <f>4483+6</f>
        <v>4489</v>
      </c>
      <c r="E304" s="32">
        <v>0</v>
      </c>
      <c r="F304" s="32">
        <v>0</v>
      </c>
      <c r="G304" s="32">
        <f>22180+15+34</f>
        <v>22229</v>
      </c>
      <c r="H304" s="32">
        <v>1</v>
      </c>
      <c r="I304" s="32">
        <v>0</v>
      </c>
      <c r="J304" s="32">
        <v>0</v>
      </c>
      <c r="K304" s="32"/>
      <c r="M304" s="27" t="s">
        <v>842</v>
      </c>
      <c r="N304" s="27" t="s">
        <v>877</v>
      </c>
      <c r="O304" s="27" t="s">
        <v>359</v>
      </c>
      <c r="P304" s="27">
        <v>4489</v>
      </c>
      <c r="Q304" s="27">
        <v>0</v>
      </c>
      <c r="R304" s="27">
        <v>0</v>
      </c>
      <c r="S304" s="27">
        <v>22229</v>
      </c>
      <c r="T304" s="27">
        <v>1</v>
      </c>
      <c r="U304" s="27">
        <v>0</v>
      </c>
      <c r="V304" s="27">
        <v>0</v>
      </c>
    </row>
    <row r="305" spans="1:22" x14ac:dyDescent="0.25">
      <c r="A305" s="27" t="s">
        <v>835</v>
      </c>
      <c r="B305" s="27" t="s">
        <v>877</v>
      </c>
      <c r="C305" s="27" t="s">
        <v>360</v>
      </c>
      <c r="D305" s="32">
        <v>1615</v>
      </c>
      <c r="E305" s="32">
        <v>60</v>
      </c>
      <c r="F305" s="32">
        <v>0</v>
      </c>
      <c r="G305" s="32">
        <f>12877+2+1+3+1+8+1</f>
        <v>12893</v>
      </c>
      <c r="H305" s="32">
        <v>23</v>
      </c>
      <c r="I305" s="32">
        <v>0</v>
      </c>
      <c r="J305" s="32">
        <v>0</v>
      </c>
      <c r="K305" s="32"/>
      <c r="M305" s="27" t="s">
        <v>835</v>
      </c>
      <c r="N305" s="27" t="s">
        <v>877</v>
      </c>
      <c r="O305" s="27" t="s">
        <v>360</v>
      </c>
      <c r="P305" s="27">
        <v>1615</v>
      </c>
      <c r="Q305" s="27">
        <v>60</v>
      </c>
      <c r="R305" s="27">
        <v>0</v>
      </c>
      <c r="S305" s="27">
        <v>12893</v>
      </c>
      <c r="T305" s="27">
        <v>23</v>
      </c>
      <c r="U305" s="27">
        <v>0</v>
      </c>
      <c r="V305" s="27">
        <v>0</v>
      </c>
    </row>
    <row r="306" spans="1:22" x14ac:dyDescent="0.25">
      <c r="A306" s="27" t="s">
        <v>826</v>
      </c>
      <c r="B306" s="27" t="s">
        <v>877</v>
      </c>
      <c r="C306" s="27" t="s">
        <v>361</v>
      </c>
      <c r="D306" s="32">
        <f>10305+9+2+146+36+54</f>
        <v>10552</v>
      </c>
      <c r="E306" s="32">
        <v>58</v>
      </c>
      <c r="F306" s="32">
        <v>0</v>
      </c>
      <c r="G306" s="32">
        <f>36472+3+2+204+3+1+6+215</f>
        <v>36906</v>
      </c>
      <c r="H306" s="32">
        <f>438+3</f>
        <v>441</v>
      </c>
      <c r="I306" s="32">
        <v>0</v>
      </c>
      <c r="J306" s="32">
        <v>0</v>
      </c>
      <c r="K306" s="32"/>
      <c r="M306" s="27" t="s">
        <v>826</v>
      </c>
      <c r="N306" s="27" t="s">
        <v>877</v>
      </c>
      <c r="O306" s="27" t="s">
        <v>361</v>
      </c>
      <c r="P306" s="27">
        <v>10552</v>
      </c>
      <c r="Q306" s="27">
        <v>58</v>
      </c>
      <c r="R306" s="27">
        <v>0</v>
      </c>
      <c r="S306" s="27">
        <v>36906</v>
      </c>
      <c r="T306" s="27">
        <v>441</v>
      </c>
      <c r="U306" s="27">
        <v>0</v>
      </c>
      <c r="V306" s="27">
        <v>0</v>
      </c>
    </row>
    <row r="307" spans="1:22" x14ac:dyDescent="0.25">
      <c r="A307" s="27" t="s">
        <v>67</v>
      </c>
      <c r="B307" s="27" t="s">
        <v>877</v>
      </c>
      <c r="C307" s="27" t="s">
        <v>362</v>
      </c>
      <c r="D307" s="32">
        <f>13103+2+2+4</f>
        <v>13111</v>
      </c>
      <c r="E307" s="32">
        <v>6</v>
      </c>
      <c r="F307" s="32">
        <v>0</v>
      </c>
      <c r="G307" s="32">
        <f>51862+4+1+37+30+2+3+2+2+161</f>
        <v>52104</v>
      </c>
      <c r="H307" s="32">
        <f>36+4+8</f>
        <v>48</v>
      </c>
      <c r="I307" s="32">
        <v>0</v>
      </c>
      <c r="J307" s="32">
        <v>0</v>
      </c>
      <c r="K307" s="32"/>
      <c r="M307" s="27" t="s">
        <v>67</v>
      </c>
      <c r="N307" s="27" t="s">
        <v>877</v>
      </c>
      <c r="O307" s="27" t="s">
        <v>362</v>
      </c>
      <c r="P307" s="27">
        <v>13111</v>
      </c>
      <c r="Q307" s="27">
        <v>6</v>
      </c>
      <c r="R307" s="27">
        <v>0</v>
      </c>
      <c r="S307" s="27">
        <v>52104</v>
      </c>
      <c r="T307" s="27">
        <v>48</v>
      </c>
      <c r="U307" s="27">
        <v>0</v>
      </c>
      <c r="V307" s="27">
        <v>0</v>
      </c>
    </row>
    <row r="308" spans="1:22" x14ac:dyDescent="0.25">
      <c r="A308" s="27" t="s">
        <v>831</v>
      </c>
      <c r="B308" s="27" t="s">
        <v>877</v>
      </c>
      <c r="C308" s="27" t="s">
        <v>363</v>
      </c>
      <c r="D308" s="32">
        <f>588+12</f>
        <v>600</v>
      </c>
      <c r="E308" s="32">
        <v>0</v>
      </c>
      <c r="F308" s="32">
        <v>0</v>
      </c>
      <c r="G308" s="32">
        <f>5231+132+9+113+2+1+1+4+24</f>
        <v>5517</v>
      </c>
      <c r="H308" s="32">
        <v>2</v>
      </c>
      <c r="I308" s="32">
        <v>0</v>
      </c>
      <c r="J308" s="32">
        <v>0</v>
      </c>
      <c r="K308" s="32"/>
      <c r="M308" s="27" t="s">
        <v>831</v>
      </c>
      <c r="N308" s="27" t="s">
        <v>877</v>
      </c>
      <c r="O308" s="27" t="s">
        <v>363</v>
      </c>
      <c r="P308" s="27">
        <v>600</v>
      </c>
      <c r="Q308" s="27">
        <v>0</v>
      </c>
      <c r="R308" s="27">
        <v>0</v>
      </c>
      <c r="S308" s="27">
        <v>5517</v>
      </c>
      <c r="T308" s="27">
        <v>2</v>
      </c>
      <c r="U308" s="27">
        <v>0</v>
      </c>
      <c r="V308" s="27">
        <v>0</v>
      </c>
    </row>
    <row r="309" spans="1:22" x14ac:dyDescent="0.25">
      <c r="A309" s="27" t="s">
        <v>248</v>
      </c>
      <c r="B309" s="27" t="s">
        <v>877</v>
      </c>
      <c r="C309" s="27" t="s">
        <v>364</v>
      </c>
      <c r="D309" s="32">
        <v>1696</v>
      </c>
      <c r="E309" s="32">
        <v>0</v>
      </c>
      <c r="F309" s="32">
        <v>0</v>
      </c>
      <c r="G309" s="32">
        <f>12543+15+1</f>
        <v>12559</v>
      </c>
      <c r="H309" s="32">
        <v>0</v>
      </c>
      <c r="I309" s="32">
        <v>0</v>
      </c>
      <c r="J309" s="32">
        <v>0</v>
      </c>
      <c r="K309" s="32"/>
      <c r="M309" s="27" t="s">
        <v>248</v>
      </c>
      <c r="N309" s="27" t="s">
        <v>877</v>
      </c>
      <c r="O309" s="27" t="s">
        <v>364</v>
      </c>
      <c r="P309" s="27">
        <v>1696</v>
      </c>
      <c r="Q309" s="27">
        <v>0</v>
      </c>
      <c r="R309" s="27">
        <v>0</v>
      </c>
      <c r="S309" s="27">
        <v>12559</v>
      </c>
      <c r="T309" s="27">
        <v>0</v>
      </c>
      <c r="U309" s="27">
        <v>0</v>
      </c>
      <c r="V309" s="27">
        <v>0</v>
      </c>
    </row>
    <row r="310" spans="1:22" x14ac:dyDescent="0.25">
      <c r="A310" s="27" t="s">
        <v>791</v>
      </c>
      <c r="B310" s="27" t="s">
        <v>877</v>
      </c>
      <c r="C310" s="27" t="s">
        <v>365</v>
      </c>
      <c r="D310" s="32">
        <f>6346+39+35+132</f>
        <v>6552</v>
      </c>
      <c r="E310" s="32">
        <f>268+46</f>
        <v>314</v>
      </c>
      <c r="F310" s="32">
        <v>0</v>
      </c>
      <c r="G310" s="32">
        <f>18222+3+7+1+38+3+1+1+18+1+159</f>
        <v>18454</v>
      </c>
      <c r="H310" s="32">
        <f>623+150</f>
        <v>773</v>
      </c>
      <c r="I310" s="32">
        <v>0</v>
      </c>
      <c r="J310" s="32">
        <v>0</v>
      </c>
      <c r="K310" s="32"/>
      <c r="M310" s="27" t="s">
        <v>791</v>
      </c>
      <c r="N310" s="27" t="s">
        <v>877</v>
      </c>
      <c r="O310" s="27" t="s">
        <v>365</v>
      </c>
      <c r="P310" s="27">
        <v>6552</v>
      </c>
      <c r="Q310" s="27">
        <v>314</v>
      </c>
      <c r="R310" s="27">
        <v>0</v>
      </c>
      <c r="S310" s="27">
        <v>18454</v>
      </c>
      <c r="T310" s="27">
        <v>773</v>
      </c>
      <c r="U310" s="27">
        <v>0</v>
      </c>
      <c r="V310" s="27">
        <v>0</v>
      </c>
    </row>
    <row r="311" spans="1:22" x14ac:dyDescent="0.25">
      <c r="A311" s="27" t="s">
        <v>797</v>
      </c>
      <c r="B311" s="27" t="s">
        <v>877</v>
      </c>
      <c r="C311" s="27" t="s">
        <v>366</v>
      </c>
      <c r="D311" s="32">
        <f>5576+11+3</f>
        <v>5590</v>
      </c>
      <c r="E311" s="32">
        <v>13</v>
      </c>
      <c r="F311" s="32">
        <v>0</v>
      </c>
      <c r="G311" s="32">
        <f>12344+8+3+4+2+146</f>
        <v>12507</v>
      </c>
      <c r="H311" s="32">
        <f>53+4+2</f>
        <v>59</v>
      </c>
      <c r="I311" s="32">
        <v>0</v>
      </c>
      <c r="J311" s="32">
        <v>0</v>
      </c>
      <c r="K311" s="32"/>
      <c r="M311" s="27" t="s">
        <v>797</v>
      </c>
      <c r="N311" s="27" t="s">
        <v>877</v>
      </c>
      <c r="O311" s="27" t="s">
        <v>366</v>
      </c>
      <c r="P311" s="27">
        <v>5590</v>
      </c>
      <c r="Q311" s="27">
        <v>13</v>
      </c>
      <c r="R311" s="27">
        <v>0</v>
      </c>
      <c r="S311" s="27">
        <v>12507</v>
      </c>
      <c r="T311" s="27">
        <v>59</v>
      </c>
      <c r="U311" s="27">
        <v>0</v>
      </c>
      <c r="V311" s="27">
        <v>0</v>
      </c>
    </row>
    <row r="312" spans="1:22" x14ac:dyDescent="0.25">
      <c r="A312" s="27" t="s">
        <v>120</v>
      </c>
      <c r="B312" s="27" t="s">
        <v>877</v>
      </c>
      <c r="C312" s="27" t="s">
        <v>367</v>
      </c>
      <c r="D312" s="32">
        <f>5934+17+4</f>
        <v>5955</v>
      </c>
      <c r="E312" s="32">
        <v>26</v>
      </c>
      <c r="F312" s="32">
        <v>0</v>
      </c>
      <c r="G312" s="32">
        <f>24681+7+2+1</f>
        <v>24691</v>
      </c>
      <c r="H312" s="32">
        <f>179+111+11+4</f>
        <v>305</v>
      </c>
      <c r="I312" s="32">
        <v>0</v>
      </c>
      <c r="J312" s="32">
        <v>0</v>
      </c>
      <c r="K312" s="32"/>
      <c r="M312" s="27" t="s">
        <v>120</v>
      </c>
      <c r="N312" s="27" t="s">
        <v>877</v>
      </c>
      <c r="O312" s="27" t="s">
        <v>367</v>
      </c>
      <c r="P312" s="27">
        <v>5955</v>
      </c>
      <c r="Q312" s="27">
        <v>26</v>
      </c>
      <c r="R312" s="27">
        <v>0</v>
      </c>
      <c r="S312" s="27">
        <v>24691</v>
      </c>
      <c r="T312" s="27">
        <v>305</v>
      </c>
      <c r="U312" s="27">
        <v>0</v>
      </c>
      <c r="V312" s="27">
        <v>0</v>
      </c>
    </row>
    <row r="313" spans="1:22" x14ac:dyDescent="0.25">
      <c r="A313" s="27" t="s">
        <v>231</v>
      </c>
      <c r="B313" s="27" t="s">
        <v>877</v>
      </c>
      <c r="C313" s="27" t="s">
        <v>368</v>
      </c>
      <c r="D313" s="32">
        <f>4214+66+626+1+55+10</f>
        <v>4972</v>
      </c>
      <c r="E313" s="32">
        <v>35</v>
      </c>
      <c r="F313" s="32">
        <v>0</v>
      </c>
      <c r="G313" s="32">
        <f>22797+27+2+2+5844+54+10+30+2+4+267</f>
        <v>29039</v>
      </c>
      <c r="H313" s="32">
        <f>38+9</f>
        <v>47</v>
      </c>
      <c r="I313" s="32">
        <v>0</v>
      </c>
      <c r="J313" s="32">
        <v>0</v>
      </c>
      <c r="K313" s="32"/>
      <c r="M313" s="27" t="s">
        <v>231</v>
      </c>
      <c r="N313" s="27" t="s">
        <v>877</v>
      </c>
      <c r="O313" s="27" t="s">
        <v>368</v>
      </c>
      <c r="P313" s="27">
        <v>4972</v>
      </c>
      <c r="Q313" s="27">
        <v>35</v>
      </c>
      <c r="R313" s="27">
        <v>0</v>
      </c>
      <c r="S313" s="27">
        <v>29039</v>
      </c>
      <c r="T313" s="27">
        <v>47</v>
      </c>
      <c r="U313" s="27">
        <v>0</v>
      </c>
      <c r="V313" s="27">
        <v>0</v>
      </c>
    </row>
    <row r="314" spans="1:22" x14ac:dyDescent="0.25">
      <c r="A314" s="27" t="s">
        <v>809</v>
      </c>
      <c r="B314" s="27" t="s">
        <v>877</v>
      </c>
      <c r="C314" s="27" t="s">
        <v>369</v>
      </c>
      <c r="D314" s="32">
        <f>11183+4+2+7+1+3+411</f>
        <v>11611</v>
      </c>
      <c r="E314" s="32">
        <f>284+2+3</f>
        <v>289</v>
      </c>
      <c r="F314" s="32">
        <v>0</v>
      </c>
      <c r="G314" s="32">
        <f>73504+2+59+2+1+61+2+2+103</f>
        <v>73736</v>
      </c>
      <c r="H314" s="32">
        <f>1122+3+12</f>
        <v>1137</v>
      </c>
      <c r="I314" s="32">
        <v>0</v>
      </c>
      <c r="J314" s="32">
        <v>0</v>
      </c>
      <c r="K314" s="32"/>
      <c r="M314" s="27" t="s">
        <v>809</v>
      </c>
      <c r="N314" s="27" t="s">
        <v>877</v>
      </c>
      <c r="O314" s="27" t="s">
        <v>369</v>
      </c>
      <c r="P314" s="27">
        <v>11611</v>
      </c>
      <c r="Q314" s="27">
        <v>289</v>
      </c>
      <c r="R314" s="27">
        <v>0</v>
      </c>
      <c r="S314" s="27">
        <v>73736</v>
      </c>
      <c r="T314" s="27">
        <v>1137</v>
      </c>
      <c r="U314" s="27">
        <v>0</v>
      </c>
      <c r="V314" s="27">
        <v>0</v>
      </c>
    </row>
    <row r="315" spans="1:22" x14ac:dyDescent="0.25">
      <c r="A315" s="27" t="s">
        <v>848</v>
      </c>
      <c r="B315" s="27" t="s">
        <v>877</v>
      </c>
      <c r="C315" s="27" t="s">
        <v>370</v>
      </c>
      <c r="D315" s="32">
        <f>3445+43+1+2+14</f>
        <v>3505</v>
      </c>
      <c r="E315" s="32">
        <v>47</v>
      </c>
      <c r="F315" s="32">
        <v>0</v>
      </c>
      <c r="G315" s="32">
        <f>17454+1+320+15+1+134+1299</f>
        <v>19224</v>
      </c>
      <c r="H315" s="32">
        <f>76+67</f>
        <v>143</v>
      </c>
      <c r="I315" s="32">
        <v>0</v>
      </c>
      <c r="J315" s="32">
        <v>0</v>
      </c>
      <c r="K315" s="32"/>
      <c r="M315" s="27" t="s">
        <v>848</v>
      </c>
      <c r="N315" s="27" t="s">
        <v>877</v>
      </c>
      <c r="O315" s="27" t="s">
        <v>370</v>
      </c>
      <c r="P315" s="27">
        <v>3505</v>
      </c>
      <c r="Q315" s="27">
        <v>47</v>
      </c>
      <c r="R315" s="27">
        <v>0</v>
      </c>
      <c r="S315" s="27">
        <v>19224</v>
      </c>
      <c r="T315" s="27">
        <v>143</v>
      </c>
      <c r="U315" s="27">
        <v>0</v>
      </c>
      <c r="V315" s="27">
        <v>0</v>
      </c>
    </row>
    <row r="316" spans="1:22" x14ac:dyDescent="0.25">
      <c r="A316" s="27" t="s">
        <v>226</v>
      </c>
      <c r="B316" s="27" t="s">
        <v>877</v>
      </c>
      <c r="C316" s="27" t="s">
        <v>371</v>
      </c>
      <c r="D316" s="32">
        <f>4174+9+2+95+2+1+1</f>
        <v>4284</v>
      </c>
      <c r="E316" s="32">
        <f>214+8</f>
        <v>222</v>
      </c>
      <c r="F316" s="32">
        <v>0</v>
      </c>
      <c r="G316" s="32">
        <f>35891+18+36+70+2533+39+8+4+6+411</f>
        <v>39016</v>
      </c>
      <c r="H316" s="32">
        <f>200+171</f>
        <v>371</v>
      </c>
      <c r="I316" s="32">
        <v>0</v>
      </c>
      <c r="J316" s="32">
        <v>0</v>
      </c>
      <c r="K316" s="32"/>
      <c r="M316" s="27" t="s">
        <v>226</v>
      </c>
      <c r="N316" s="27" t="s">
        <v>877</v>
      </c>
      <c r="O316" s="27" t="s">
        <v>371</v>
      </c>
      <c r="P316" s="27">
        <v>4284</v>
      </c>
      <c r="Q316" s="27">
        <v>222</v>
      </c>
      <c r="R316" s="27">
        <v>0</v>
      </c>
      <c r="S316" s="27">
        <v>39016</v>
      </c>
      <c r="T316" s="27">
        <v>371</v>
      </c>
      <c r="U316" s="27">
        <v>0</v>
      </c>
      <c r="V316" s="27">
        <v>0</v>
      </c>
    </row>
    <row r="317" spans="1:22" x14ac:dyDescent="0.25">
      <c r="A317" s="27" t="s">
        <v>797</v>
      </c>
      <c r="B317" s="27" t="s">
        <v>877</v>
      </c>
      <c r="C317" s="27" t="s">
        <v>372</v>
      </c>
      <c r="D317" s="32">
        <f>1254+5+36+1+23</f>
        <v>1319</v>
      </c>
      <c r="E317" s="32">
        <v>12</v>
      </c>
      <c r="F317" s="32">
        <v>0</v>
      </c>
      <c r="G317" s="32">
        <f>7948+8+13+2+268</f>
        <v>8239</v>
      </c>
      <c r="H317" s="32">
        <v>214</v>
      </c>
      <c r="I317" s="32">
        <v>0</v>
      </c>
      <c r="J317" s="32">
        <v>0</v>
      </c>
      <c r="K317" s="32"/>
      <c r="M317" s="27" t="s">
        <v>797</v>
      </c>
      <c r="N317" s="27" t="s">
        <v>877</v>
      </c>
      <c r="O317" s="27" t="s">
        <v>372</v>
      </c>
      <c r="P317" s="27">
        <v>1319</v>
      </c>
      <c r="Q317" s="27">
        <v>12</v>
      </c>
      <c r="R317" s="27">
        <v>0</v>
      </c>
      <c r="S317" s="27">
        <v>8239</v>
      </c>
      <c r="T317" s="27">
        <v>214</v>
      </c>
      <c r="U317" s="27">
        <v>0</v>
      </c>
      <c r="V317" s="27">
        <v>0</v>
      </c>
    </row>
    <row r="318" spans="1:22" x14ac:dyDescent="0.25">
      <c r="A318" s="27" t="s">
        <v>791</v>
      </c>
      <c r="B318" s="27" t="s">
        <v>877</v>
      </c>
      <c r="C318" s="27" t="s">
        <v>373</v>
      </c>
      <c r="D318" s="32">
        <f>3757+87+6+31+112+24</f>
        <v>4017</v>
      </c>
      <c r="E318" s="32">
        <v>1</v>
      </c>
      <c r="F318" s="32">
        <v>0</v>
      </c>
      <c r="G318" s="32">
        <f>16081+30+685+2+444+1927</f>
        <v>19169</v>
      </c>
      <c r="H318" s="32">
        <f>40+2+1</f>
        <v>43</v>
      </c>
      <c r="I318" s="32">
        <v>0</v>
      </c>
      <c r="J318" s="32">
        <v>0</v>
      </c>
      <c r="K318" s="32"/>
      <c r="M318" s="27" t="s">
        <v>791</v>
      </c>
      <c r="N318" s="27" t="s">
        <v>877</v>
      </c>
      <c r="O318" s="27" t="s">
        <v>373</v>
      </c>
      <c r="P318" s="27">
        <v>4017</v>
      </c>
      <c r="Q318" s="27">
        <v>1</v>
      </c>
      <c r="R318" s="27">
        <v>0</v>
      </c>
      <c r="S318" s="27">
        <v>19169</v>
      </c>
      <c r="T318" s="27">
        <v>43</v>
      </c>
      <c r="U318" s="27">
        <v>0</v>
      </c>
      <c r="V318" s="27">
        <v>0</v>
      </c>
    </row>
    <row r="319" spans="1:22" x14ac:dyDescent="0.25">
      <c r="A319" s="27" t="s">
        <v>826</v>
      </c>
      <c r="B319" s="27" t="s">
        <v>877</v>
      </c>
      <c r="C319" s="27" t="s">
        <v>374</v>
      </c>
      <c r="D319" s="32">
        <f>7695+185+16</f>
        <v>7896</v>
      </c>
      <c r="E319" s="32">
        <v>8</v>
      </c>
      <c r="F319" s="32">
        <v>0</v>
      </c>
      <c r="G319" s="32">
        <f>24020+2+815+4+147</f>
        <v>24988</v>
      </c>
      <c r="H319" s="32">
        <f>11+57</f>
        <v>68</v>
      </c>
      <c r="I319" s="32">
        <v>0</v>
      </c>
      <c r="J319" s="32">
        <v>0</v>
      </c>
      <c r="K319" s="32"/>
      <c r="M319" s="27" t="s">
        <v>826</v>
      </c>
      <c r="N319" s="27" t="s">
        <v>877</v>
      </c>
      <c r="O319" s="27" t="s">
        <v>374</v>
      </c>
      <c r="P319" s="27">
        <v>7896</v>
      </c>
      <c r="Q319" s="27">
        <v>8</v>
      </c>
      <c r="R319" s="27">
        <v>0</v>
      </c>
      <c r="S319" s="27">
        <v>24988</v>
      </c>
      <c r="T319" s="27">
        <v>68</v>
      </c>
      <c r="U319" s="27">
        <v>0</v>
      </c>
      <c r="V319" s="27">
        <v>0</v>
      </c>
    </row>
    <row r="320" spans="1:22" x14ac:dyDescent="0.25">
      <c r="A320" s="27" t="s">
        <v>512</v>
      </c>
      <c r="B320" s="27" t="s">
        <v>877</v>
      </c>
      <c r="C320" s="27" t="s">
        <v>375</v>
      </c>
      <c r="D320" s="32">
        <f>5450+4</f>
        <v>5454</v>
      </c>
      <c r="E320" s="32">
        <v>0</v>
      </c>
      <c r="F320" s="32">
        <v>0</v>
      </c>
      <c r="G320" s="32">
        <f>35239+99+111</f>
        <v>35449</v>
      </c>
      <c r="H320" s="32">
        <f>95+2+37</f>
        <v>134</v>
      </c>
      <c r="I320" s="32">
        <v>0</v>
      </c>
      <c r="J320" s="32">
        <v>0</v>
      </c>
      <c r="K320" s="32"/>
      <c r="M320" s="27" t="s">
        <v>512</v>
      </c>
      <c r="N320" s="27" t="s">
        <v>877</v>
      </c>
      <c r="O320" s="27" t="s">
        <v>375</v>
      </c>
      <c r="P320" s="27">
        <v>5454</v>
      </c>
      <c r="Q320" s="27">
        <v>0</v>
      </c>
      <c r="R320" s="27">
        <v>0</v>
      </c>
      <c r="S320" s="27">
        <v>35449</v>
      </c>
      <c r="T320" s="27">
        <v>134</v>
      </c>
      <c r="U320" s="27">
        <v>0</v>
      </c>
      <c r="V320" s="27">
        <v>0</v>
      </c>
    </row>
    <row r="321" spans="1:22" x14ac:dyDescent="0.25">
      <c r="A321" s="27" t="s">
        <v>817</v>
      </c>
      <c r="B321" s="27" t="s">
        <v>877</v>
      </c>
      <c r="C321" s="27" t="s">
        <v>376</v>
      </c>
      <c r="D321" s="32">
        <f>9777+31</f>
        <v>9808</v>
      </c>
      <c r="E321" s="32">
        <v>44</v>
      </c>
      <c r="F321" s="32">
        <v>0</v>
      </c>
      <c r="G321" s="32">
        <f>12378+1+5+179+11</f>
        <v>12574</v>
      </c>
      <c r="H321" s="32">
        <f>126+8</f>
        <v>134</v>
      </c>
      <c r="I321" s="32">
        <v>0</v>
      </c>
      <c r="J321" s="32">
        <v>0</v>
      </c>
      <c r="K321" s="32"/>
      <c r="M321" s="27" t="s">
        <v>817</v>
      </c>
      <c r="N321" s="27" t="s">
        <v>877</v>
      </c>
      <c r="O321" s="27" t="s">
        <v>376</v>
      </c>
      <c r="P321" s="27">
        <v>9808</v>
      </c>
      <c r="Q321" s="27">
        <v>44</v>
      </c>
      <c r="R321" s="27">
        <v>0</v>
      </c>
      <c r="S321" s="27">
        <v>12574</v>
      </c>
      <c r="T321" s="27">
        <v>134</v>
      </c>
      <c r="U321" s="27">
        <v>0</v>
      </c>
      <c r="V321" s="27">
        <v>0</v>
      </c>
    </row>
    <row r="322" spans="1:22" x14ac:dyDescent="0.25">
      <c r="A322" s="27" t="s">
        <v>83</v>
      </c>
      <c r="B322" s="27" t="s">
        <v>877</v>
      </c>
      <c r="C322" s="27" t="s">
        <v>377</v>
      </c>
      <c r="D322" s="32">
        <f>5786+2+1+44+3+102</f>
        <v>5938</v>
      </c>
      <c r="E322" s="32">
        <f>339+5</f>
        <v>344</v>
      </c>
      <c r="F322" s="32">
        <v>0</v>
      </c>
      <c r="G322" s="32">
        <f>27394+6+109+48+1+4+5+1460</f>
        <v>29027</v>
      </c>
      <c r="H322" s="32">
        <f>432+15</f>
        <v>447</v>
      </c>
      <c r="I322" s="32">
        <v>0</v>
      </c>
      <c r="J322" s="32">
        <v>0</v>
      </c>
      <c r="K322" s="32"/>
      <c r="M322" s="27" t="s">
        <v>83</v>
      </c>
      <c r="N322" s="27" t="s">
        <v>877</v>
      </c>
      <c r="O322" s="27" t="s">
        <v>377</v>
      </c>
      <c r="P322" s="27">
        <v>5938</v>
      </c>
      <c r="Q322" s="27">
        <v>344</v>
      </c>
      <c r="R322" s="27">
        <v>0</v>
      </c>
      <c r="S322" s="27">
        <v>29027</v>
      </c>
      <c r="T322" s="27">
        <v>447</v>
      </c>
      <c r="U322" s="27">
        <v>0</v>
      </c>
      <c r="V322" s="27">
        <v>0</v>
      </c>
    </row>
    <row r="323" spans="1:22" x14ac:dyDescent="0.25">
      <c r="A323" s="27" t="s">
        <v>795</v>
      </c>
      <c r="B323" s="27" t="s">
        <v>877</v>
      </c>
      <c r="C323" s="27" t="s">
        <v>378</v>
      </c>
      <c r="D323" s="32">
        <v>28293</v>
      </c>
      <c r="E323" s="32">
        <f>73+21+42</f>
        <v>136</v>
      </c>
      <c r="F323" s="32">
        <v>0</v>
      </c>
      <c r="G323" s="32">
        <f>26773+2+21+5+1</f>
        <v>26802</v>
      </c>
      <c r="H323" s="32">
        <f>72+1+23</f>
        <v>96</v>
      </c>
      <c r="I323" s="32">
        <v>0</v>
      </c>
      <c r="J323" s="32">
        <v>0</v>
      </c>
      <c r="K323" s="32"/>
      <c r="M323" s="27" t="s">
        <v>795</v>
      </c>
      <c r="N323" s="27" t="s">
        <v>877</v>
      </c>
      <c r="O323" s="27" t="s">
        <v>378</v>
      </c>
      <c r="P323" s="27">
        <v>28293</v>
      </c>
      <c r="Q323" s="27">
        <v>136</v>
      </c>
      <c r="R323" s="27">
        <v>0</v>
      </c>
      <c r="S323" s="27">
        <v>26802</v>
      </c>
      <c r="T323" s="27">
        <v>96</v>
      </c>
      <c r="U323" s="27">
        <v>0</v>
      </c>
      <c r="V323" s="27">
        <v>0</v>
      </c>
    </row>
    <row r="324" spans="1:22" x14ac:dyDescent="0.25">
      <c r="A324" s="27" t="s">
        <v>858</v>
      </c>
      <c r="B324" s="27" t="s">
        <v>877</v>
      </c>
      <c r="C324" s="27" t="s">
        <v>379</v>
      </c>
      <c r="D324" s="32">
        <v>3783</v>
      </c>
      <c r="E324" s="32">
        <v>1</v>
      </c>
      <c r="F324" s="32">
        <v>0</v>
      </c>
      <c r="G324" s="32">
        <f>6830+56</f>
        <v>6886</v>
      </c>
      <c r="H324" s="32">
        <f>1+4</f>
        <v>5</v>
      </c>
      <c r="I324" s="32">
        <v>0</v>
      </c>
      <c r="J324" s="32">
        <v>0</v>
      </c>
      <c r="K324" s="32"/>
      <c r="M324" s="27" t="s">
        <v>858</v>
      </c>
      <c r="N324" s="27" t="s">
        <v>877</v>
      </c>
      <c r="O324" s="27" t="s">
        <v>379</v>
      </c>
      <c r="P324" s="27">
        <v>3783</v>
      </c>
      <c r="Q324" s="27">
        <v>1</v>
      </c>
      <c r="R324" s="27">
        <v>0</v>
      </c>
      <c r="S324" s="27">
        <v>6886</v>
      </c>
      <c r="T324" s="27">
        <v>5</v>
      </c>
      <c r="U324" s="27">
        <v>0</v>
      </c>
      <c r="V324" s="27">
        <v>0</v>
      </c>
    </row>
    <row r="325" spans="1:22" x14ac:dyDescent="0.25">
      <c r="A325" s="27" t="s">
        <v>848</v>
      </c>
      <c r="B325" s="27" t="s">
        <v>877</v>
      </c>
      <c r="C325" s="27" t="s">
        <v>380</v>
      </c>
      <c r="D325" s="32">
        <f>5321+3</f>
        <v>5324</v>
      </c>
      <c r="E325" s="32">
        <v>1</v>
      </c>
      <c r="F325" s="32">
        <v>0</v>
      </c>
      <c r="G325" s="32">
        <f>29142+299</f>
        <v>29441</v>
      </c>
      <c r="H325" s="32">
        <f>35+18</f>
        <v>53</v>
      </c>
      <c r="I325" s="32">
        <v>0</v>
      </c>
      <c r="J325" s="32">
        <v>0</v>
      </c>
      <c r="K325" s="32"/>
      <c r="M325" s="27" t="s">
        <v>848</v>
      </c>
      <c r="N325" s="27" t="s">
        <v>877</v>
      </c>
      <c r="O325" s="27" t="s">
        <v>380</v>
      </c>
      <c r="P325" s="27">
        <v>5324</v>
      </c>
      <c r="Q325" s="27">
        <v>1</v>
      </c>
      <c r="R325" s="27">
        <v>0</v>
      </c>
      <c r="S325" s="27">
        <v>29441</v>
      </c>
      <c r="T325" s="27">
        <v>53</v>
      </c>
      <c r="U325" s="27">
        <v>0</v>
      </c>
      <c r="V325" s="27">
        <v>0</v>
      </c>
    </row>
    <row r="326" spans="1:22" x14ac:dyDescent="0.25">
      <c r="A326" s="27" t="s">
        <v>863</v>
      </c>
      <c r="B326" s="27" t="s">
        <v>877</v>
      </c>
      <c r="C326" s="27" t="s">
        <v>381</v>
      </c>
      <c r="D326" s="32">
        <v>7136</v>
      </c>
      <c r="E326" s="32">
        <v>0</v>
      </c>
      <c r="F326" s="32">
        <v>0</v>
      </c>
      <c r="G326" s="32">
        <v>17685</v>
      </c>
      <c r="H326" s="32">
        <v>13</v>
      </c>
      <c r="I326" s="32">
        <v>0</v>
      </c>
      <c r="J326" s="32">
        <v>0</v>
      </c>
      <c r="K326" s="32"/>
      <c r="M326" s="27" t="s">
        <v>863</v>
      </c>
      <c r="N326" s="27" t="s">
        <v>877</v>
      </c>
      <c r="O326" s="27" t="s">
        <v>381</v>
      </c>
      <c r="P326" s="27">
        <v>7136</v>
      </c>
      <c r="Q326" s="27">
        <v>0</v>
      </c>
      <c r="R326" s="27">
        <v>0</v>
      </c>
      <c r="S326" s="27">
        <v>17685</v>
      </c>
      <c r="T326" s="27">
        <v>13</v>
      </c>
      <c r="U326" s="27">
        <v>0</v>
      </c>
      <c r="V326" s="27">
        <v>0</v>
      </c>
    </row>
    <row r="327" spans="1:22" x14ac:dyDescent="0.25">
      <c r="A327" s="27" t="s">
        <v>854</v>
      </c>
      <c r="B327" s="27" t="s">
        <v>877</v>
      </c>
      <c r="C327" s="27" t="s">
        <v>382</v>
      </c>
      <c r="D327" s="32">
        <f>17340+7+230</f>
        <v>17577</v>
      </c>
      <c r="E327" s="32">
        <f>191+6</f>
        <v>197</v>
      </c>
      <c r="F327" s="32">
        <v>0</v>
      </c>
      <c r="G327" s="32">
        <f>10792+2+240+112</f>
        <v>11146</v>
      </c>
      <c r="H327" s="32">
        <f>44+24</f>
        <v>68</v>
      </c>
      <c r="I327" s="32">
        <v>0</v>
      </c>
      <c r="J327" s="32">
        <v>0</v>
      </c>
      <c r="K327" s="32"/>
      <c r="M327" s="27" t="s">
        <v>854</v>
      </c>
      <c r="N327" s="27" t="s">
        <v>877</v>
      </c>
      <c r="O327" s="27" t="s">
        <v>382</v>
      </c>
      <c r="P327" s="27">
        <v>17577</v>
      </c>
      <c r="Q327" s="27">
        <v>197</v>
      </c>
      <c r="R327" s="27">
        <v>0</v>
      </c>
      <c r="S327" s="27">
        <v>11146</v>
      </c>
      <c r="T327" s="27">
        <v>68</v>
      </c>
      <c r="U327" s="27">
        <v>0</v>
      </c>
      <c r="V327" s="27">
        <v>0</v>
      </c>
    </row>
    <row r="328" spans="1:22" x14ac:dyDescent="0.25">
      <c r="A328" s="27" t="s">
        <v>853</v>
      </c>
      <c r="B328" s="27" t="s">
        <v>877</v>
      </c>
      <c r="C328" s="27" t="s">
        <v>383</v>
      </c>
      <c r="D328" s="32">
        <f>6358+9+1324+5</f>
        <v>7696</v>
      </c>
      <c r="E328" s="32">
        <f>138+2+4</f>
        <v>144</v>
      </c>
      <c r="F328" s="32">
        <v>0</v>
      </c>
      <c r="G328" s="32">
        <f>30787+6+8027+1+1+11+2+1+106</f>
        <v>38942</v>
      </c>
      <c r="H328" s="32">
        <f>1354+2+1+40</f>
        <v>1397</v>
      </c>
      <c r="I328" s="32">
        <v>0</v>
      </c>
      <c r="J328" s="32">
        <v>0</v>
      </c>
      <c r="K328" s="32"/>
      <c r="M328" s="27" t="s">
        <v>853</v>
      </c>
      <c r="N328" s="27" t="s">
        <v>877</v>
      </c>
      <c r="O328" s="27" t="s">
        <v>383</v>
      </c>
      <c r="P328" s="27">
        <v>7696</v>
      </c>
      <c r="Q328" s="27">
        <v>144</v>
      </c>
      <c r="R328" s="27">
        <v>0</v>
      </c>
      <c r="S328" s="27">
        <v>38942</v>
      </c>
      <c r="T328" s="27">
        <v>1397</v>
      </c>
      <c r="U328" s="27">
        <v>0</v>
      </c>
      <c r="V328" s="27">
        <v>0</v>
      </c>
    </row>
    <row r="329" spans="1:22" x14ac:dyDescent="0.25">
      <c r="A329" s="27" t="s">
        <v>851</v>
      </c>
      <c r="B329" s="27" t="s">
        <v>877</v>
      </c>
      <c r="C329" s="27" t="s">
        <v>384</v>
      </c>
      <c r="D329" s="32">
        <f>17162+3</f>
        <v>17165</v>
      </c>
      <c r="E329" s="32">
        <v>9</v>
      </c>
      <c r="F329" s="32">
        <v>0</v>
      </c>
      <c r="G329" s="32">
        <v>3760</v>
      </c>
      <c r="H329" s="32">
        <v>0</v>
      </c>
      <c r="I329" s="32">
        <v>0</v>
      </c>
      <c r="J329" s="32">
        <v>0</v>
      </c>
      <c r="K329" s="32"/>
      <c r="M329" s="27" t="s">
        <v>851</v>
      </c>
      <c r="N329" s="27" t="s">
        <v>877</v>
      </c>
      <c r="O329" s="27" t="s">
        <v>384</v>
      </c>
      <c r="P329" s="27">
        <v>17165</v>
      </c>
      <c r="Q329" s="27">
        <v>9</v>
      </c>
      <c r="R329" s="27">
        <v>0</v>
      </c>
      <c r="S329" s="27">
        <v>3760</v>
      </c>
      <c r="T329" s="27">
        <v>0</v>
      </c>
      <c r="U329" s="27">
        <v>0</v>
      </c>
      <c r="V329" s="27">
        <v>0</v>
      </c>
    </row>
    <row r="330" spans="1:22" x14ac:dyDescent="0.25">
      <c r="A330" s="27" t="s">
        <v>856</v>
      </c>
      <c r="B330" s="27" t="s">
        <v>877</v>
      </c>
      <c r="C330" s="27" t="s">
        <v>385</v>
      </c>
      <c r="D330" s="32">
        <f>5527+4</f>
        <v>5531</v>
      </c>
      <c r="E330" s="32">
        <v>12</v>
      </c>
      <c r="F330" s="32">
        <v>0</v>
      </c>
      <c r="G330" s="32">
        <f>15638+11</f>
        <v>15649</v>
      </c>
      <c r="H330" s="32">
        <f>53+3</f>
        <v>56</v>
      </c>
      <c r="I330" s="32">
        <v>0</v>
      </c>
      <c r="J330" s="32">
        <v>0</v>
      </c>
      <c r="K330" s="32"/>
      <c r="M330" s="27" t="s">
        <v>856</v>
      </c>
      <c r="N330" s="27" t="s">
        <v>877</v>
      </c>
      <c r="O330" s="27" t="s">
        <v>385</v>
      </c>
      <c r="P330" s="27">
        <v>5531</v>
      </c>
      <c r="Q330" s="27">
        <v>12</v>
      </c>
      <c r="R330" s="27">
        <v>0</v>
      </c>
      <c r="S330" s="27">
        <v>15649</v>
      </c>
      <c r="T330" s="27">
        <v>56</v>
      </c>
      <c r="U330" s="27">
        <v>0</v>
      </c>
      <c r="V330" s="27">
        <v>0</v>
      </c>
    </row>
    <row r="331" spans="1:22" x14ac:dyDescent="0.25">
      <c r="A331" s="27" t="s">
        <v>847</v>
      </c>
      <c r="B331" s="27" t="s">
        <v>877</v>
      </c>
      <c r="C331" s="27" t="s">
        <v>386</v>
      </c>
      <c r="D331" s="32">
        <v>16546</v>
      </c>
      <c r="E331" s="32">
        <v>0</v>
      </c>
      <c r="F331" s="32">
        <v>0</v>
      </c>
      <c r="G331" s="32">
        <f>11060+35</f>
        <v>11095</v>
      </c>
      <c r="H331" s="32">
        <v>0</v>
      </c>
      <c r="I331" s="32">
        <v>0</v>
      </c>
      <c r="J331" s="32">
        <v>0</v>
      </c>
      <c r="K331" s="32"/>
      <c r="M331" s="27" t="s">
        <v>847</v>
      </c>
      <c r="N331" s="27" t="s">
        <v>877</v>
      </c>
      <c r="O331" s="27" t="s">
        <v>386</v>
      </c>
      <c r="P331" s="27">
        <v>16546</v>
      </c>
      <c r="Q331" s="27">
        <v>0</v>
      </c>
      <c r="R331" s="27">
        <v>0</v>
      </c>
      <c r="S331" s="27">
        <v>11095</v>
      </c>
      <c r="T331" s="27">
        <v>0</v>
      </c>
      <c r="U331" s="27">
        <v>0</v>
      </c>
      <c r="V331" s="27">
        <v>0</v>
      </c>
    </row>
    <row r="332" spans="1:22" x14ac:dyDescent="0.25">
      <c r="A332" s="27" t="s">
        <v>849</v>
      </c>
      <c r="B332" s="27" t="s">
        <v>877</v>
      </c>
      <c r="C332" s="27" t="s">
        <v>387</v>
      </c>
      <c r="D332" s="32">
        <f>4603+6</f>
        <v>4609</v>
      </c>
      <c r="E332" s="32">
        <f>8+2</f>
        <v>10</v>
      </c>
      <c r="F332" s="32">
        <v>0</v>
      </c>
      <c r="G332" s="32">
        <f>10830+4+1+53</f>
        <v>10888</v>
      </c>
      <c r="H332" s="32">
        <f>25+2+4</f>
        <v>31</v>
      </c>
      <c r="I332" s="32">
        <v>0</v>
      </c>
      <c r="J332" s="32">
        <v>0</v>
      </c>
      <c r="K332" s="32"/>
      <c r="M332" s="27" t="s">
        <v>849</v>
      </c>
      <c r="N332" s="27" t="s">
        <v>877</v>
      </c>
      <c r="O332" s="27" t="s">
        <v>387</v>
      </c>
      <c r="P332" s="27">
        <v>4609</v>
      </c>
      <c r="Q332" s="27">
        <v>10</v>
      </c>
      <c r="R332" s="27">
        <v>0</v>
      </c>
      <c r="S332" s="27">
        <v>10888</v>
      </c>
      <c r="T332" s="27">
        <v>31</v>
      </c>
      <c r="U332" s="27">
        <v>0</v>
      </c>
      <c r="V332" s="27">
        <v>0</v>
      </c>
    </row>
    <row r="333" spans="1:22" x14ac:dyDescent="0.25">
      <c r="A333" s="27" t="s">
        <v>794</v>
      </c>
      <c r="B333" s="27" t="s">
        <v>874</v>
      </c>
      <c r="C333" s="27" t="s">
        <v>388</v>
      </c>
      <c r="D333" s="32">
        <f>239550+1+807+1+1+1+4+70+54420+2</f>
        <v>294857</v>
      </c>
      <c r="E333" s="32">
        <f>163+17+52+5</f>
        <v>237</v>
      </c>
      <c r="F333" s="32">
        <v>0</v>
      </c>
      <c r="G333" s="32">
        <v>0</v>
      </c>
      <c r="H333" s="32">
        <v>0</v>
      </c>
      <c r="I333" s="32">
        <v>231153</v>
      </c>
      <c r="J333" s="32">
        <v>41248</v>
      </c>
      <c r="K333" s="32"/>
      <c r="M333" s="27" t="s">
        <v>794</v>
      </c>
      <c r="N333" s="27" t="s">
        <v>874</v>
      </c>
      <c r="O333" s="27" t="s">
        <v>388</v>
      </c>
      <c r="P333" s="27">
        <v>294857</v>
      </c>
      <c r="Q333" s="27">
        <v>237</v>
      </c>
      <c r="R333" s="27">
        <v>0</v>
      </c>
      <c r="S333" s="27">
        <v>0</v>
      </c>
      <c r="T333" s="27">
        <v>0</v>
      </c>
      <c r="U333" s="27">
        <v>231153</v>
      </c>
      <c r="V333" s="27">
        <v>41248</v>
      </c>
    </row>
    <row r="334" spans="1:22" x14ac:dyDescent="0.25">
      <c r="A334" s="27" t="s">
        <v>231</v>
      </c>
      <c r="B334" s="27" t="s">
        <v>874</v>
      </c>
      <c r="C334" s="27" t="s">
        <v>389</v>
      </c>
      <c r="D334" s="32">
        <f>75706+5+811+4+3+3+1+78+105125</f>
        <v>181736</v>
      </c>
      <c r="E334" s="32">
        <f>619+1+1013+82+99</f>
        <v>1814</v>
      </c>
      <c r="F334" s="32">
        <v>0</v>
      </c>
      <c r="G334" s="32">
        <v>0</v>
      </c>
      <c r="H334" s="32">
        <v>0</v>
      </c>
      <c r="I334" s="32">
        <v>47391</v>
      </c>
      <c r="J334" s="32">
        <v>89266</v>
      </c>
      <c r="K334" s="32"/>
      <c r="M334" s="27" t="s">
        <v>231</v>
      </c>
      <c r="N334" s="27" t="s">
        <v>874</v>
      </c>
      <c r="O334" s="27" t="s">
        <v>389</v>
      </c>
      <c r="P334" s="27">
        <v>181736</v>
      </c>
      <c r="Q334" s="27">
        <v>1814</v>
      </c>
      <c r="R334" s="27">
        <v>0</v>
      </c>
      <c r="S334" s="27">
        <v>0</v>
      </c>
      <c r="T334" s="27">
        <v>0</v>
      </c>
      <c r="U334" s="27">
        <v>47391</v>
      </c>
      <c r="V334" s="27">
        <v>89266</v>
      </c>
    </row>
    <row r="335" spans="1:22" x14ac:dyDescent="0.25">
      <c r="A335" s="27" t="s">
        <v>824</v>
      </c>
      <c r="B335" s="27" t="s">
        <v>874</v>
      </c>
      <c r="C335" s="27" t="s">
        <v>390</v>
      </c>
      <c r="D335" s="32"/>
      <c r="E335" s="32"/>
      <c r="F335" s="32"/>
      <c r="G335" s="32"/>
      <c r="H335" s="32"/>
      <c r="I335" s="32"/>
      <c r="J335" s="32"/>
      <c r="K335" s="32"/>
      <c r="M335" s="27" t="s">
        <v>824</v>
      </c>
      <c r="N335" s="27" t="s">
        <v>874</v>
      </c>
      <c r="O335" s="27" t="s">
        <v>390</v>
      </c>
    </row>
    <row r="336" spans="1:22" x14ac:dyDescent="0.25">
      <c r="A336" s="27" t="s">
        <v>226</v>
      </c>
      <c r="B336" s="27" t="s">
        <v>874</v>
      </c>
      <c r="C336" s="27" t="s">
        <v>391</v>
      </c>
      <c r="D336" s="32">
        <f>114186+1069+3+30821</f>
        <v>146079</v>
      </c>
      <c r="E336" s="32">
        <f>836+5+12+173+12</f>
        <v>1038</v>
      </c>
      <c r="F336" s="32">
        <v>0</v>
      </c>
      <c r="G336" s="32">
        <v>0</v>
      </c>
      <c r="H336" s="32">
        <v>0</v>
      </c>
      <c r="I336" s="32">
        <v>42403</v>
      </c>
      <c r="J336" s="32">
        <v>24565</v>
      </c>
      <c r="K336" s="32"/>
      <c r="M336" s="27" t="s">
        <v>226</v>
      </c>
      <c r="N336" s="27" t="s">
        <v>874</v>
      </c>
      <c r="O336" s="27" t="s">
        <v>391</v>
      </c>
      <c r="P336" s="27">
        <v>146079</v>
      </c>
      <c r="Q336" s="27">
        <v>1038</v>
      </c>
      <c r="R336" s="27">
        <v>0</v>
      </c>
      <c r="S336" s="27">
        <v>0</v>
      </c>
      <c r="T336" s="27">
        <v>0</v>
      </c>
      <c r="U336" s="27">
        <v>42403</v>
      </c>
      <c r="V336" s="27">
        <v>24565</v>
      </c>
    </row>
    <row r="337" spans="1:22" x14ac:dyDescent="0.25">
      <c r="A337" s="27" t="s">
        <v>798</v>
      </c>
      <c r="B337" s="27" t="s">
        <v>874</v>
      </c>
      <c r="C337" s="27" t="s">
        <v>392</v>
      </c>
      <c r="D337" s="32">
        <f>98723+2+233+17+18+40+102027</f>
        <v>201060</v>
      </c>
      <c r="E337" s="32">
        <f>584+1+234+845+179</f>
        <v>1843</v>
      </c>
      <c r="F337" s="32">
        <v>0</v>
      </c>
      <c r="G337" s="32">
        <v>0</v>
      </c>
      <c r="H337" s="32">
        <v>0</v>
      </c>
      <c r="I337" s="32">
        <v>123364</v>
      </c>
      <c r="J337" s="32">
        <v>79772</v>
      </c>
      <c r="K337" s="32"/>
      <c r="M337" s="27" t="s">
        <v>798</v>
      </c>
      <c r="N337" s="27" t="s">
        <v>874</v>
      </c>
      <c r="O337" s="27" t="s">
        <v>392</v>
      </c>
      <c r="P337" s="27">
        <v>201060</v>
      </c>
      <c r="Q337" s="27">
        <v>1843</v>
      </c>
      <c r="R337" s="27">
        <v>0</v>
      </c>
      <c r="S337" s="27">
        <v>0</v>
      </c>
      <c r="T337" s="27">
        <v>0</v>
      </c>
      <c r="U337" s="27">
        <v>123364</v>
      </c>
      <c r="V337" s="27">
        <v>79772</v>
      </c>
    </row>
    <row r="338" spans="1:22" x14ac:dyDescent="0.25">
      <c r="A338" s="27" t="s">
        <v>231</v>
      </c>
      <c r="B338" s="27" t="s">
        <v>874</v>
      </c>
      <c r="C338" s="27" t="s">
        <v>393</v>
      </c>
      <c r="D338" s="32">
        <f>22881+53387</f>
        <v>76268</v>
      </c>
      <c r="E338" s="32">
        <f>156+364</f>
        <v>520</v>
      </c>
      <c r="F338" s="32">
        <v>0</v>
      </c>
      <c r="G338" s="32">
        <v>0</v>
      </c>
      <c r="H338" s="32">
        <v>0</v>
      </c>
      <c r="I338" s="32">
        <v>15674</v>
      </c>
      <c r="J338" s="32">
        <v>10971</v>
      </c>
      <c r="K338" s="32"/>
      <c r="M338" s="27" t="s">
        <v>231</v>
      </c>
      <c r="N338" s="27" t="s">
        <v>874</v>
      </c>
      <c r="O338" s="27" t="s">
        <v>393</v>
      </c>
      <c r="P338" s="27">
        <v>76268</v>
      </c>
      <c r="Q338" s="27">
        <v>520</v>
      </c>
      <c r="R338" s="27">
        <v>0</v>
      </c>
      <c r="S338" s="27">
        <v>0</v>
      </c>
      <c r="T338" s="27">
        <v>0</v>
      </c>
      <c r="U338" s="27">
        <v>15674</v>
      </c>
      <c r="V338" s="27">
        <v>10971</v>
      </c>
    </row>
    <row r="339" spans="1:22" x14ac:dyDescent="0.25">
      <c r="A339" s="27" t="s">
        <v>806</v>
      </c>
      <c r="B339" s="27" t="s">
        <v>874</v>
      </c>
      <c r="C339" s="27" t="s">
        <v>394</v>
      </c>
      <c r="D339" s="32">
        <f>19072+44499</f>
        <v>63571</v>
      </c>
      <c r="E339" s="32">
        <f>193+450</f>
        <v>643</v>
      </c>
      <c r="F339" s="32">
        <v>0</v>
      </c>
      <c r="G339" s="32">
        <v>0</v>
      </c>
      <c r="H339" s="32">
        <v>0</v>
      </c>
      <c r="I339" s="32">
        <v>18523</v>
      </c>
      <c r="J339" s="32">
        <v>12966</v>
      </c>
      <c r="K339" s="32"/>
      <c r="M339" s="27" t="s">
        <v>806</v>
      </c>
      <c r="N339" s="27" t="s">
        <v>874</v>
      </c>
      <c r="O339" s="27" t="s">
        <v>394</v>
      </c>
      <c r="P339" s="27">
        <v>63571</v>
      </c>
      <c r="Q339" s="27">
        <v>643</v>
      </c>
      <c r="R339" s="27">
        <v>0</v>
      </c>
      <c r="S339" s="27">
        <v>0</v>
      </c>
      <c r="T339" s="27">
        <v>0</v>
      </c>
      <c r="U339" s="27">
        <v>18523</v>
      </c>
      <c r="V339" s="27">
        <v>12966</v>
      </c>
    </row>
    <row r="340" spans="1:22" x14ac:dyDescent="0.25">
      <c r="A340" s="27" t="s">
        <v>76</v>
      </c>
      <c r="B340" s="27" t="s">
        <v>874</v>
      </c>
      <c r="C340" s="27" t="s">
        <v>778</v>
      </c>
      <c r="D340" s="32">
        <f>59495+13+1+13002+17+2+2+19+37995</f>
        <v>110546</v>
      </c>
      <c r="E340" s="32">
        <f>270+36+5+157+7</f>
        <v>475</v>
      </c>
      <c r="F340" s="32">
        <v>0</v>
      </c>
      <c r="G340" s="32">
        <v>0</v>
      </c>
      <c r="H340" s="32">
        <v>0</v>
      </c>
      <c r="I340" s="32">
        <v>42770</v>
      </c>
      <c r="J340" s="32">
        <v>35777</v>
      </c>
      <c r="K340" s="32"/>
      <c r="M340" s="27" t="s">
        <v>76</v>
      </c>
      <c r="N340" s="27" t="s">
        <v>874</v>
      </c>
      <c r="O340" s="27" t="s">
        <v>778</v>
      </c>
      <c r="P340" s="27">
        <v>110546</v>
      </c>
      <c r="Q340" s="27">
        <v>475</v>
      </c>
      <c r="R340" s="27">
        <v>0</v>
      </c>
      <c r="S340" s="27">
        <v>0</v>
      </c>
      <c r="T340" s="27">
        <v>0</v>
      </c>
      <c r="U340" s="27">
        <v>42770</v>
      </c>
      <c r="V340" s="27">
        <v>35777</v>
      </c>
    </row>
    <row r="341" spans="1:22" x14ac:dyDescent="0.25">
      <c r="A341" s="27" t="s">
        <v>69</v>
      </c>
      <c r="B341" s="27" t="s">
        <v>874</v>
      </c>
      <c r="C341" s="27" t="s">
        <v>395</v>
      </c>
      <c r="D341" s="32">
        <f>233094+36+1+2+309+11+1+114+56527+10</f>
        <v>290105</v>
      </c>
      <c r="E341" s="32">
        <f>617+3+4+39+119+1+1</f>
        <v>784</v>
      </c>
      <c r="F341" s="32">
        <v>0</v>
      </c>
      <c r="G341" s="32">
        <v>0</v>
      </c>
      <c r="H341" s="32">
        <v>0</v>
      </c>
      <c r="I341" s="32">
        <v>141578</v>
      </c>
      <c r="J341" s="32">
        <v>43234</v>
      </c>
      <c r="K341" s="32"/>
      <c r="M341" s="27" t="s">
        <v>69</v>
      </c>
      <c r="N341" s="27" t="s">
        <v>874</v>
      </c>
      <c r="O341" s="27" t="s">
        <v>395</v>
      </c>
      <c r="P341" s="27">
        <v>290105</v>
      </c>
      <c r="Q341" s="27">
        <v>784</v>
      </c>
      <c r="R341" s="27">
        <v>0</v>
      </c>
      <c r="S341" s="27">
        <v>0</v>
      </c>
      <c r="T341" s="27">
        <v>0</v>
      </c>
      <c r="U341" s="27">
        <v>141578</v>
      </c>
      <c r="V341" s="27">
        <v>43234</v>
      </c>
    </row>
    <row r="342" spans="1:22" x14ac:dyDescent="0.25">
      <c r="A342" s="27" t="s">
        <v>796</v>
      </c>
      <c r="B342" s="27" t="s">
        <v>874</v>
      </c>
      <c r="C342" s="27" t="s">
        <v>396</v>
      </c>
      <c r="D342" s="32">
        <f>112767+8326+12+68+40566+5</f>
        <v>161744</v>
      </c>
      <c r="E342" s="32">
        <f>724+1+2+666+138+3</f>
        <v>1534</v>
      </c>
      <c r="F342" s="32">
        <v>0</v>
      </c>
      <c r="G342" s="32">
        <v>0</v>
      </c>
      <c r="H342" s="32">
        <v>0</v>
      </c>
      <c r="I342" s="32">
        <v>64088</v>
      </c>
      <c r="J342" s="32">
        <v>37988</v>
      </c>
      <c r="K342" s="32"/>
      <c r="M342" s="27" t="s">
        <v>796</v>
      </c>
      <c r="N342" s="27" t="s">
        <v>874</v>
      </c>
      <c r="O342" s="27" t="s">
        <v>396</v>
      </c>
      <c r="P342" s="27">
        <v>161744</v>
      </c>
      <c r="Q342" s="27">
        <v>1534</v>
      </c>
      <c r="R342" s="27">
        <v>0</v>
      </c>
      <c r="S342" s="27">
        <v>0</v>
      </c>
      <c r="T342" s="27">
        <v>0</v>
      </c>
      <c r="U342" s="27">
        <v>64088</v>
      </c>
      <c r="V342" s="27">
        <v>37988</v>
      </c>
    </row>
    <row r="343" spans="1:22" x14ac:dyDescent="0.25">
      <c r="A343" s="27" t="s">
        <v>512</v>
      </c>
      <c r="B343" s="27" t="s">
        <v>874</v>
      </c>
      <c r="C343" s="27" t="s">
        <v>397</v>
      </c>
      <c r="D343" s="32">
        <f>93088+1634+2+388+22309</f>
        <v>117421</v>
      </c>
      <c r="E343" s="32">
        <f>62+16+322+177</f>
        <v>577</v>
      </c>
      <c r="F343" s="32">
        <v>0</v>
      </c>
      <c r="G343" s="32">
        <v>0</v>
      </c>
      <c r="H343" s="32">
        <v>0</v>
      </c>
      <c r="I343" s="32">
        <v>39329</v>
      </c>
      <c r="J343" s="32">
        <v>20280</v>
      </c>
      <c r="K343" s="32"/>
      <c r="M343" s="27" t="s">
        <v>512</v>
      </c>
      <c r="N343" s="27" t="s">
        <v>874</v>
      </c>
      <c r="O343" s="27" t="s">
        <v>397</v>
      </c>
      <c r="P343" s="27">
        <v>117421</v>
      </c>
      <c r="Q343" s="27">
        <v>577</v>
      </c>
      <c r="R343" s="27">
        <v>0</v>
      </c>
      <c r="S343" s="27">
        <v>0</v>
      </c>
      <c r="T343" s="27">
        <v>0</v>
      </c>
      <c r="U343" s="27">
        <v>39329</v>
      </c>
      <c r="V343" s="27">
        <v>20280</v>
      </c>
    </row>
    <row r="344" spans="1:22" x14ac:dyDescent="0.25">
      <c r="A344" s="27" t="s">
        <v>811</v>
      </c>
      <c r="B344" s="27" t="s">
        <v>874</v>
      </c>
      <c r="C344" s="27" t="s">
        <v>398</v>
      </c>
      <c r="D344" s="32">
        <f>30109+6+4+326+2+44+2+4+28924+9+4</f>
        <v>59434</v>
      </c>
      <c r="E344" s="32">
        <f>3645+698+417+3162+6947</f>
        <v>14869</v>
      </c>
      <c r="F344" s="32">
        <v>0</v>
      </c>
      <c r="G344" s="32">
        <v>0</v>
      </c>
      <c r="H344" s="32">
        <v>0</v>
      </c>
      <c r="I344" s="32">
        <v>20217</v>
      </c>
      <c r="J344" s="32">
        <v>28406</v>
      </c>
      <c r="K344" s="32"/>
      <c r="M344" s="27" t="s">
        <v>811</v>
      </c>
      <c r="N344" s="27" t="s">
        <v>874</v>
      </c>
      <c r="O344" s="27" t="s">
        <v>398</v>
      </c>
      <c r="P344" s="27">
        <v>59434</v>
      </c>
      <c r="Q344" s="27">
        <v>14869</v>
      </c>
      <c r="R344" s="27">
        <v>0</v>
      </c>
      <c r="S344" s="27">
        <v>0</v>
      </c>
      <c r="T344" s="27">
        <v>0</v>
      </c>
      <c r="U344" s="27">
        <v>20217</v>
      </c>
      <c r="V344" s="27">
        <v>28406</v>
      </c>
    </row>
    <row r="345" spans="1:22" x14ac:dyDescent="0.25">
      <c r="A345" s="27" t="s">
        <v>811</v>
      </c>
      <c r="B345" s="27" t="s">
        <v>874</v>
      </c>
      <c r="C345" s="27" t="s">
        <v>399</v>
      </c>
      <c r="D345" s="32">
        <f>33108+77249</f>
        <v>110357</v>
      </c>
      <c r="E345" s="32">
        <f>486+1134</f>
        <v>1620</v>
      </c>
      <c r="F345" s="32">
        <v>0</v>
      </c>
      <c r="G345" s="32">
        <v>0</v>
      </c>
      <c r="H345" s="32">
        <v>0</v>
      </c>
      <c r="I345" s="32">
        <v>36826</v>
      </c>
      <c r="J345" s="32">
        <v>25778</v>
      </c>
      <c r="K345" s="32"/>
      <c r="M345" s="27" t="s">
        <v>811</v>
      </c>
      <c r="N345" s="27" t="s">
        <v>874</v>
      </c>
      <c r="O345" s="27" t="s">
        <v>399</v>
      </c>
      <c r="P345" s="27">
        <v>110357</v>
      </c>
      <c r="Q345" s="27">
        <v>1620</v>
      </c>
      <c r="R345" s="27">
        <v>0</v>
      </c>
      <c r="S345" s="27">
        <v>0</v>
      </c>
      <c r="T345" s="27">
        <v>0</v>
      </c>
      <c r="U345" s="27">
        <v>36826</v>
      </c>
      <c r="V345" s="27">
        <v>25778</v>
      </c>
    </row>
    <row r="346" spans="1:22" x14ac:dyDescent="0.25">
      <c r="A346" s="27" t="s">
        <v>811</v>
      </c>
      <c r="B346" s="27" t="s">
        <v>874</v>
      </c>
      <c r="C346" s="27" t="s">
        <v>400</v>
      </c>
      <c r="D346" s="32">
        <f>96116+14+6+10+115227+1+1</f>
        <v>211375</v>
      </c>
      <c r="E346" s="32">
        <f>2011+12+952+4066+132+82</f>
        <v>7255</v>
      </c>
      <c r="F346" s="32">
        <v>0</v>
      </c>
      <c r="G346" s="32">
        <v>0</v>
      </c>
      <c r="H346" s="32">
        <v>0</v>
      </c>
      <c r="I346" s="32">
        <v>64600</v>
      </c>
      <c r="J346" s="32">
        <v>87270</v>
      </c>
      <c r="K346" s="32"/>
      <c r="M346" s="27" t="s">
        <v>811</v>
      </c>
      <c r="N346" s="27" t="s">
        <v>874</v>
      </c>
      <c r="O346" s="27" t="s">
        <v>400</v>
      </c>
      <c r="P346" s="27">
        <v>211375</v>
      </c>
      <c r="Q346" s="27">
        <v>7255</v>
      </c>
      <c r="R346" s="27">
        <v>0</v>
      </c>
      <c r="S346" s="27">
        <v>0</v>
      </c>
      <c r="T346" s="27">
        <v>0</v>
      </c>
      <c r="U346" s="27">
        <v>64600</v>
      </c>
      <c r="V346" s="27">
        <v>87270</v>
      </c>
    </row>
    <row r="347" spans="1:22" x14ac:dyDescent="0.25">
      <c r="A347" s="27" t="s">
        <v>796</v>
      </c>
      <c r="B347" s="27" t="s">
        <v>874</v>
      </c>
      <c r="C347" s="27" t="s">
        <v>401</v>
      </c>
      <c r="D347" s="32">
        <v>0</v>
      </c>
      <c r="E347" s="32">
        <v>0</v>
      </c>
      <c r="F347" s="32">
        <v>0</v>
      </c>
      <c r="G347" s="32">
        <v>0</v>
      </c>
      <c r="H347" s="32">
        <v>0</v>
      </c>
      <c r="I347" s="32">
        <v>0</v>
      </c>
      <c r="J347" s="32">
        <v>0</v>
      </c>
      <c r="K347" s="32"/>
      <c r="M347" s="27" t="s">
        <v>796</v>
      </c>
      <c r="N347" s="27" t="s">
        <v>874</v>
      </c>
      <c r="O347" s="27" t="s">
        <v>401</v>
      </c>
    </row>
    <row r="348" spans="1:22" x14ac:dyDescent="0.25">
      <c r="A348" s="27" t="s">
        <v>795</v>
      </c>
      <c r="B348" s="27" t="s">
        <v>874</v>
      </c>
      <c r="C348" s="27" t="s">
        <v>402</v>
      </c>
      <c r="D348" s="32">
        <f>37588+5+2+8+41308+2+35</f>
        <v>78948</v>
      </c>
      <c r="E348" s="32">
        <f>1180+1288+66+1242+1136</f>
        <v>4912</v>
      </c>
      <c r="F348" s="32">
        <v>0</v>
      </c>
      <c r="G348" s="32">
        <v>0</v>
      </c>
      <c r="H348" s="32">
        <v>0</v>
      </c>
      <c r="I348" s="32">
        <v>17724</v>
      </c>
      <c r="J348" s="32">
        <v>38089</v>
      </c>
      <c r="K348" s="32"/>
      <c r="M348" s="27" t="s">
        <v>795</v>
      </c>
      <c r="N348" s="27" t="s">
        <v>874</v>
      </c>
      <c r="O348" s="27" t="s">
        <v>402</v>
      </c>
      <c r="P348" s="27">
        <v>78948</v>
      </c>
      <c r="Q348" s="27">
        <v>4912</v>
      </c>
      <c r="R348" s="27">
        <v>0</v>
      </c>
      <c r="S348" s="27">
        <v>0</v>
      </c>
      <c r="T348" s="27">
        <v>0</v>
      </c>
      <c r="U348" s="27">
        <v>17724</v>
      </c>
      <c r="V348" s="27">
        <v>38089</v>
      </c>
    </row>
    <row r="349" spans="1:22" x14ac:dyDescent="0.25">
      <c r="A349" s="27" t="s">
        <v>248</v>
      </c>
      <c r="B349" s="27" t="s">
        <v>874</v>
      </c>
      <c r="C349" s="27" t="s">
        <v>403</v>
      </c>
      <c r="D349" s="32"/>
      <c r="E349" s="32"/>
      <c r="F349" s="32"/>
      <c r="G349" s="32"/>
      <c r="H349" s="32"/>
      <c r="I349" s="32"/>
      <c r="J349" s="32"/>
      <c r="K349" s="32"/>
      <c r="M349" s="27" t="s">
        <v>248</v>
      </c>
      <c r="N349" s="27" t="s">
        <v>874</v>
      </c>
      <c r="O349" s="27" t="s">
        <v>403</v>
      </c>
    </row>
    <row r="350" spans="1:22" x14ac:dyDescent="0.25">
      <c r="A350" s="27" t="s">
        <v>797</v>
      </c>
      <c r="B350" s="27" t="s">
        <v>874</v>
      </c>
      <c r="C350" s="27" t="s">
        <v>404</v>
      </c>
      <c r="D350" s="32">
        <f>77251+2+72+2+6+1+31+35577+4</f>
        <v>112946</v>
      </c>
      <c r="E350" s="32">
        <f>1135+42+8+679+25+4</f>
        <v>1893</v>
      </c>
      <c r="F350" s="32">
        <v>0</v>
      </c>
      <c r="G350" s="32">
        <v>0</v>
      </c>
      <c r="H350" s="32">
        <v>0</v>
      </c>
      <c r="I350" s="32">
        <v>72649</v>
      </c>
      <c r="J350" s="32">
        <v>31116</v>
      </c>
      <c r="K350" s="32"/>
      <c r="M350" s="27" t="s">
        <v>797</v>
      </c>
      <c r="N350" s="27" t="s">
        <v>874</v>
      </c>
      <c r="O350" s="27" t="s">
        <v>404</v>
      </c>
      <c r="P350" s="27">
        <v>112946</v>
      </c>
      <c r="Q350" s="27">
        <v>1893</v>
      </c>
      <c r="R350" s="27">
        <v>0</v>
      </c>
      <c r="S350" s="27">
        <v>0</v>
      </c>
      <c r="T350" s="27">
        <v>0</v>
      </c>
      <c r="U350" s="27">
        <v>72649</v>
      </c>
      <c r="V350" s="27">
        <v>31116</v>
      </c>
    </row>
    <row r="351" spans="1:22" x14ac:dyDescent="0.25">
      <c r="A351" s="27" t="s">
        <v>83</v>
      </c>
      <c r="B351" s="27" t="s">
        <v>874</v>
      </c>
      <c r="C351" s="27" t="s">
        <v>405</v>
      </c>
      <c r="D351" s="32">
        <f>8355+39+111+5260</f>
        <v>13765</v>
      </c>
      <c r="E351" s="32">
        <f>2+25</f>
        <v>27</v>
      </c>
      <c r="F351" s="32">
        <v>0</v>
      </c>
      <c r="G351" s="32">
        <v>0</v>
      </c>
      <c r="H351" s="32">
        <v>0</v>
      </c>
      <c r="I351" s="32">
        <v>8150</v>
      </c>
      <c r="J351" s="32">
        <v>3390</v>
      </c>
      <c r="K351" s="32"/>
      <c r="M351" s="27" t="s">
        <v>83</v>
      </c>
      <c r="N351" s="27" t="s">
        <v>874</v>
      </c>
      <c r="O351" s="27" t="s">
        <v>405</v>
      </c>
      <c r="P351" s="27">
        <v>13765</v>
      </c>
      <c r="Q351" s="27">
        <v>27</v>
      </c>
      <c r="R351" s="27">
        <v>0</v>
      </c>
      <c r="S351" s="27">
        <v>0</v>
      </c>
      <c r="T351" s="27">
        <v>0</v>
      </c>
      <c r="U351" s="27">
        <v>8150</v>
      </c>
      <c r="V351" s="27">
        <v>3390</v>
      </c>
    </row>
    <row r="352" spans="1:22" x14ac:dyDescent="0.25">
      <c r="A352" s="27" t="s">
        <v>248</v>
      </c>
      <c r="B352" s="27" t="s">
        <v>874</v>
      </c>
      <c r="C352" s="27" t="s">
        <v>406</v>
      </c>
      <c r="D352" s="32">
        <f>59599+28+159+126+8+7+1+112+16031+1</f>
        <v>76072</v>
      </c>
      <c r="E352" s="32">
        <f>751+83+19+93+76+18</f>
        <v>1040</v>
      </c>
      <c r="F352" s="32">
        <v>0</v>
      </c>
      <c r="G352" s="32">
        <v>0</v>
      </c>
      <c r="H352" s="32">
        <v>0</v>
      </c>
      <c r="I352" s="32">
        <v>130889</v>
      </c>
      <c r="J352" s="32">
        <v>10632</v>
      </c>
      <c r="K352" s="32"/>
      <c r="M352" s="27" t="s">
        <v>248</v>
      </c>
      <c r="N352" s="27" t="s">
        <v>874</v>
      </c>
      <c r="O352" s="27" t="s">
        <v>406</v>
      </c>
      <c r="P352" s="27">
        <v>76072</v>
      </c>
      <c r="Q352" s="27">
        <v>1040</v>
      </c>
      <c r="R352" s="27">
        <v>0</v>
      </c>
      <c r="S352" s="27">
        <v>0</v>
      </c>
      <c r="T352" s="27">
        <v>0</v>
      </c>
      <c r="U352" s="27">
        <v>130889</v>
      </c>
      <c r="V352" s="27">
        <v>10632</v>
      </c>
    </row>
    <row r="353" spans="1:22" x14ac:dyDescent="0.25">
      <c r="A353" s="27" t="s">
        <v>10</v>
      </c>
      <c r="B353" s="27" t="s">
        <v>874</v>
      </c>
      <c r="C353" s="27" t="s">
        <v>779</v>
      </c>
      <c r="D353" s="32"/>
      <c r="E353" s="32"/>
      <c r="F353" s="32"/>
      <c r="G353" s="32"/>
      <c r="H353" s="32"/>
      <c r="I353" s="32"/>
      <c r="J353" s="32"/>
      <c r="K353" s="32"/>
      <c r="M353" s="27" t="s">
        <v>10</v>
      </c>
      <c r="N353" s="27" t="s">
        <v>874</v>
      </c>
      <c r="O353" s="27" t="s">
        <v>779</v>
      </c>
    </row>
    <row r="354" spans="1:22" x14ac:dyDescent="0.25">
      <c r="A354" s="27" t="s">
        <v>848</v>
      </c>
      <c r="B354" s="27" t="s">
        <v>874</v>
      </c>
      <c r="C354" s="27" t="s">
        <v>407</v>
      </c>
      <c r="D354" s="32">
        <f>48933+2+4+42+105+26+1050+9890+409</f>
        <v>60461</v>
      </c>
      <c r="E354" s="32">
        <f>190+16+19+137</f>
        <v>362</v>
      </c>
      <c r="F354" s="32">
        <v>0</v>
      </c>
      <c r="G354" s="32">
        <v>0</v>
      </c>
      <c r="H354" s="32">
        <v>0</v>
      </c>
      <c r="I354" s="32">
        <v>8121</v>
      </c>
      <c r="J354" s="32">
        <v>10385</v>
      </c>
      <c r="K354" s="32"/>
      <c r="M354" s="27" t="s">
        <v>848</v>
      </c>
      <c r="N354" s="27" t="s">
        <v>874</v>
      </c>
      <c r="O354" s="27" t="s">
        <v>407</v>
      </c>
      <c r="P354" s="27">
        <v>60461</v>
      </c>
      <c r="Q354" s="27">
        <v>362</v>
      </c>
      <c r="R354" s="27">
        <v>0</v>
      </c>
      <c r="S354" s="27">
        <v>0</v>
      </c>
      <c r="T354" s="27">
        <v>0</v>
      </c>
      <c r="U354" s="27">
        <v>8121</v>
      </c>
      <c r="V354" s="27">
        <v>10385</v>
      </c>
    </row>
    <row r="355" spans="1:22" x14ac:dyDescent="0.25">
      <c r="A355" s="27" t="s">
        <v>801</v>
      </c>
      <c r="B355" s="27" t="s">
        <v>874</v>
      </c>
      <c r="C355" s="27" t="s">
        <v>408</v>
      </c>
      <c r="D355" s="32">
        <f>72436+6+3+2+1+1+6493+20+52+29281+30+5+4+401+40</f>
        <v>108775</v>
      </c>
      <c r="E355" s="32">
        <f>629+8+35+39+151</f>
        <v>862</v>
      </c>
      <c r="F355" s="32">
        <v>0</v>
      </c>
      <c r="G355" s="32">
        <v>0</v>
      </c>
      <c r="H355" s="32">
        <v>0</v>
      </c>
      <c r="I355" s="32">
        <v>0</v>
      </c>
      <c r="J355" s="32">
        <v>0</v>
      </c>
      <c r="K355" s="32"/>
      <c r="M355" s="27" t="s">
        <v>801</v>
      </c>
      <c r="N355" s="27" t="s">
        <v>874</v>
      </c>
      <c r="O355" s="27" t="s">
        <v>408</v>
      </c>
      <c r="P355" s="27">
        <v>108775</v>
      </c>
      <c r="Q355" s="27">
        <v>862</v>
      </c>
      <c r="R355" s="27">
        <v>0</v>
      </c>
      <c r="S355" s="27">
        <v>0</v>
      </c>
      <c r="T355" s="27">
        <v>0</v>
      </c>
    </row>
    <row r="356" spans="1:22" x14ac:dyDescent="0.25">
      <c r="A356" s="27" t="s">
        <v>811</v>
      </c>
      <c r="B356" s="27" t="s">
        <v>874</v>
      </c>
      <c r="C356" s="27" t="s">
        <v>409</v>
      </c>
      <c r="D356" s="32">
        <f>86956+1+5+618+19+10+91180+2</f>
        <v>178791</v>
      </c>
      <c r="E356" s="32">
        <f>225+276+6+150+468</f>
        <v>1125</v>
      </c>
      <c r="F356" s="32">
        <v>0</v>
      </c>
      <c r="G356" s="32">
        <v>0</v>
      </c>
      <c r="H356" s="32">
        <v>0</v>
      </c>
      <c r="I356" s="32">
        <v>110793</v>
      </c>
      <c r="J356" s="32">
        <v>75758</v>
      </c>
      <c r="K356" s="32"/>
      <c r="M356" s="27" t="s">
        <v>811</v>
      </c>
      <c r="N356" s="27" t="s">
        <v>874</v>
      </c>
      <c r="O356" s="27" t="s">
        <v>409</v>
      </c>
      <c r="P356" s="27">
        <v>178791</v>
      </c>
      <c r="Q356" s="27">
        <v>1125</v>
      </c>
      <c r="R356" s="27">
        <v>0</v>
      </c>
      <c r="S356" s="27">
        <v>0</v>
      </c>
      <c r="T356" s="27">
        <v>0</v>
      </c>
      <c r="U356" s="27">
        <v>110793</v>
      </c>
      <c r="V356" s="27">
        <v>75758</v>
      </c>
    </row>
    <row r="357" spans="1:22" x14ac:dyDescent="0.25">
      <c r="A357" s="27" t="s">
        <v>83</v>
      </c>
      <c r="B357" s="27" t="s">
        <v>874</v>
      </c>
      <c r="C357" s="27" t="s">
        <v>410</v>
      </c>
      <c r="D357" s="32">
        <f>8610+2+2766</f>
        <v>11378</v>
      </c>
      <c r="E357" s="32">
        <f>12+74+16</f>
        <v>102</v>
      </c>
      <c r="F357" s="32">
        <v>0</v>
      </c>
      <c r="G357" s="32">
        <v>0</v>
      </c>
      <c r="H357" s="32">
        <v>0</v>
      </c>
      <c r="I357" s="32">
        <v>39944</v>
      </c>
      <c r="J357" s="32">
        <v>2452</v>
      </c>
      <c r="K357" s="32"/>
      <c r="M357" s="27" t="s">
        <v>83</v>
      </c>
      <c r="N357" s="27" t="s">
        <v>874</v>
      </c>
      <c r="O357" s="27" t="s">
        <v>410</v>
      </c>
      <c r="P357" s="27">
        <v>11378</v>
      </c>
      <c r="Q357" s="27">
        <v>102</v>
      </c>
      <c r="R357" s="27">
        <v>0</v>
      </c>
      <c r="S357" s="27">
        <v>0</v>
      </c>
      <c r="T357" s="27">
        <v>0</v>
      </c>
      <c r="U357" s="27">
        <v>39944</v>
      </c>
      <c r="V357" s="27">
        <v>2452</v>
      </c>
    </row>
    <row r="358" spans="1:22" x14ac:dyDescent="0.25">
      <c r="A358" s="27" t="s">
        <v>120</v>
      </c>
      <c r="B358" s="27" t="s">
        <v>874</v>
      </c>
      <c r="C358" s="27" t="s">
        <v>411</v>
      </c>
      <c r="D358" s="32">
        <f>59089+1145+40374</f>
        <v>100608</v>
      </c>
      <c r="E358" s="32">
        <f>4+47+1+2</f>
        <v>54</v>
      </c>
      <c r="F358" s="32">
        <v>0</v>
      </c>
      <c r="G358" s="32">
        <v>0</v>
      </c>
      <c r="H358" s="32">
        <v>0</v>
      </c>
      <c r="I358" s="32">
        <v>98154</v>
      </c>
      <c r="J358" s="32">
        <v>34820</v>
      </c>
      <c r="K358" s="32"/>
      <c r="M358" s="27" t="s">
        <v>120</v>
      </c>
      <c r="N358" s="27" t="s">
        <v>874</v>
      </c>
      <c r="O358" s="27" t="s">
        <v>411</v>
      </c>
      <c r="P358" s="27">
        <v>100608</v>
      </c>
      <c r="Q358" s="27">
        <v>54</v>
      </c>
      <c r="R358" s="27">
        <v>0</v>
      </c>
      <c r="S358" s="27">
        <v>0</v>
      </c>
      <c r="T358" s="27">
        <v>0</v>
      </c>
      <c r="U358" s="27">
        <v>98154</v>
      </c>
      <c r="V358" s="27">
        <v>34820</v>
      </c>
    </row>
    <row r="359" spans="1:22" x14ac:dyDescent="0.25">
      <c r="A359" s="27" t="s">
        <v>134</v>
      </c>
      <c r="B359" s="27" t="s">
        <v>874</v>
      </c>
      <c r="C359" s="27" t="s">
        <v>412</v>
      </c>
      <c r="D359" s="32">
        <f>23677+2+12+6955+4</f>
        <v>30650</v>
      </c>
      <c r="E359" s="32">
        <f>14+40+50</f>
        <v>104</v>
      </c>
      <c r="F359" s="32">
        <v>0</v>
      </c>
      <c r="G359" s="32">
        <v>0</v>
      </c>
      <c r="H359" s="32">
        <v>0</v>
      </c>
      <c r="I359" s="32">
        <v>27318</v>
      </c>
      <c r="J359" s="32">
        <v>5899</v>
      </c>
      <c r="K359" s="32"/>
      <c r="M359" s="27" t="s">
        <v>134</v>
      </c>
      <c r="N359" s="27" t="s">
        <v>874</v>
      </c>
      <c r="O359" s="27" t="s">
        <v>412</v>
      </c>
      <c r="P359" s="27">
        <v>30650</v>
      </c>
      <c r="Q359" s="27">
        <v>104</v>
      </c>
      <c r="R359" s="27">
        <v>0</v>
      </c>
      <c r="S359" s="27">
        <v>0</v>
      </c>
      <c r="T359" s="27">
        <v>0</v>
      </c>
      <c r="U359" s="27">
        <v>27318</v>
      </c>
      <c r="V359" s="27">
        <v>5899</v>
      </c>
    </row>
    <row r="360" spans="1:22" x14ac:dyDescent="0.25">
      <c r="A360" s="27" t="s">
        <v>120</v>
      </c>
      <c r="B360" s="27" t="s">
        <v>874</v>
      </c>
      <c r="C360" s="27" t="s">
        <v>413</v>
      </c>
      <c r="D360" s="32">
        <f>56103+9+2+1255+2+17+18512</f>
        <v>75900</v>
      </c>
      <c r="E360" s="32">
        <f>128+5+8+79+4</f>
        <v>224</v>
      </c>
      <c r="F360" s="32">
        <v>0</v>
      </c>
      <c r="G360" s="32">
        <v>0</v>
      </c>
      <c r="H360" s="32">
        <v>0</v>
      </c>
      <c r="I360" s="32">
        <v>24207</v>
      </c>
      <c r="J360" s="32">
        <v>10791</v>
      </c>
      <c r="K360" s="32"/>
      <c r="M360" s="27" t="s">
        <v>120</v>
      </c>
      <c r="N360" s="27" t="s">
        <v>874</v>
      </c>
      <c r="O360" s="27" t="s">
        <v>413</v>
      </c>
      <c r="P360" s="27">
        <v>75900</v>
      </c>
      <c r="Q360" s="27">
        <v>224</v>
      </c>
      <c r="R360" s="27">
        <v>0</v>
      </c>
      <c r="S360" s="27">
        <v>0</v>
      </c>
      <c r="T360" s="27">
        <v>0</v>
      </c>
      <c r="U360" s="27">
        <v>24207</v>
      </c>
      <c r="V360" s="27">
        <v>10791</v>
      </c>
    </row>
    <row r="361" spans="1:22" x14ac:dyDescent="0.25">
      <c r="A361" s="27" t="s">
        <v>890</v>
      </c>
      <c r="B361" s="27" t="s">
        <v>874</v>
      </c>
      <c r="C361" s="27" t="s">
        <v>414</v>
      </c>
      <c r="D361" s="32">
        <f>75824+1+9+1+25+43+25759+117</f>
        <v>101779</v>
      </c>
      <c r="E361" s="32">
        <f>80+40+2+99</f>
        <v>221</v>
      </c>
      <c r="F361" s="32">
        <v>0</v>
      </c>
      <c r="G361" s="32">
        <v>0</v>
      </c>
      <c r="H361" s="32">
        <v>0</v>
      </c>
      <c r="I361" s="32">
        <v>111800</v>
      </c>
      <c r="J361" s="32">
        <v>23287</v>
      </c>
      <c r="K361" s="32"/>
      <c r="M361" s="27" t="s">
        <v>890</v>
      </c>
      <c r="N361" s="27" t="s">
        <v>874</v>
      </c>
      <c r="O361" s="27" t="s">
        <v>414</v>
      </c>
      <c r="P361" s="27">
        <v>101779</v>
      </c>
      <c r="Q361" s="27">
        <v>221</v>
      </c>
      <c r="R361" s="27">
        <v>0</v>
      </c>
      <c r="S361" s="27">
        <v>0</v>
      </c>
      <c r="T361" s="27">
        <v>0</v>
      </c>
      <c r="U361" s="27">
        <v>111800</v>
      </c>
      <c r="V361" s="27">
        <v>23287</v>
      </c>
    </row>
    <row r="362" spans="1:22" x14ac:dyDescent="0.25">
      <c r="A362" s="27" t="s">
        <v>796</v>
      </c>
      <c r="B362" s="27" t="s">
        <v>874</v>
      </c>
      <c r="C362" s="27" t="s">
        <v>415</v>
      </c>
      <c r="D362" s="32">
        <f>57842+1+1378+4+95+26002+6</f>
        <v>85328</v>
      </c>
      <c r="E362" s="32">
        <f>262+7+97+424+72+1</f>
        <v>863</v>
      </c>
      <c r="F362" s="32">
        <v>0</v>
      </c>
      <c r="G362" s="32">
        <v>0</v>
      </c>
      <c r="H362" s="32">
        <v>0</v>
      </c>
      <c r="I362" s="32">
        <v>113725</v>
      </c>
      <c r="J362" s="32">
        <v>23747</v>
      </c>
      <c r="K362" s="32"/>
      <c r="M362" s="27" t="s">
        <v>796</v>
      </c>
      <c r="N362" s="27" t="s">
        <v>874</v>
      </c>
      <c r="O362" s="27" t="s">
        <v>415</v>
      </c>
      <c r="P362" s="27">
        <v>85328</v>
      </c>
      <c r="Q362" s="27">
        <v>863</v>
      </c>
      <c r="R362" s="27">
        <v>0</v>
      </c>
      <c r="S362" s="27">
        <v>0</v>
      </c>
      <c r="T362" s="27">
        <v>0</v>
      </c>
      <c r="U362" s="27">
        <v>113725</v>
      </c>
      <c r="V362" s="27">
        <v>23747</v>
      </c>
    </row>
    <row r="363" spans="1:22" x14ac:dyDescent="0.25">
      <c r="A363" s="27" t="s">
        <v>226</v>
      </c>
      <c r="B363" s="27" t="s">
        <v>874</v>
      </c>
      <c r="C363" s="27" t="s">
        <v>416</v>
      </c>
      <c r="D363" s="32">
        <f>16359+14+769+5+28+5340+1</f>
        <v>22516</v>
      </c>
      <c r="E363" s="32">
        <f>1+13+22+21+50</f>
        <v>107</v>
      </c>
      <c r="F363" s="32">
        <v>0</v>
      </c>
      <c r="G363" s="32">
        <v>0</v>
      </c>
      <c r="H363" s="32">
        <v>0</v>
      </c>
      <c r="I363" s="32">
        <v>85938</v>
      </c>
      <c r="J363" s="32">
        <v>4961</v>
      </c>
      <c r="K363" s="32"/>
      <c r="M363" s="27" t="s">
        <v>226</v>
      </c>
      <c r="N363" s="27" t="s">
        <v>874</v>
      </c>
      <c r="O363" s="27" t="s">
        <v>416</v>
      </c>
      <c r="P363" s="27">
        <v>22516</v>
      </c>
      <c r="Q363" s="27">
        <v>107</v>
      </c>
      <c r="R363" s="27">
        <v>0</v>
      </c>
      <c r="S363" s="27">
        <v>0</v>
      </c>
      <c r="T363" s="27">
        <v>0</v>
      </c>
      <c r="U363" s="27">
        <v>85938</v>
      </c>
      <c r="V363" s="27">
        <v>4961</v>
      </c>
    </row>
    <row r="364" spans="1:22" x14ac:dyDescent="0.25">
      <c r="A364" s="27" t="s">
        <v>890</v>
      </c>
      <c r="B364" s="27" t="s">
        <v>874</v>
      </c>
      <c r="C364" s="27" t="s">
        <v>417</v>
      </c>
      <c r="D364" s="32">
        <f>70508+7+3+1036+123+2+22+60594+1</f>
        <v>132296</v>
      </c>
      <c r="E364" s="32">
        <f>425+1+262+111+7</f>
        <v>806</v>
      </c>
      <c r="F364" s="32">
        <v>0</v>
      </c>
      <c r="G364" s="32">
        <v>0</v>
      </c>
      <c r="H364" s="32">
        <v>0</v>
      </c>
      <c r="I364" s="32">
        <v>154308</v>
      </c>
      <c r="J364" s="32">
        <v>45950</v>
      </c>
      <c r="K364" s="32"/>
      <c r="M364" s="27" t="s">
        <v>890</v>
      </c>
      <c r="N364" s="27" t="s">
        <v>874</v>
      </c>
      <c r="O364" s="27" t="s">
        <v>417</v>
      </c>
      <c r="P364" s="27">
        <v>132296</v>
      </c>
      <c r="Q364" s="27">
        <v>806</v>
      </c>
      <c r="R364" s="27">
        <v>0</v>
      </c>
      <c r="S364" s="27">
        <v>0</v>
      </c>
      <c r="T364" s="27">
        <v>0</v>
      </c>
      <c r="U364" s="27">
        <v>154308</v>
      </c>
      <c r="V364" s="27">
        <v>45950</v>
      </c>
    </row>
    <row r="365" spans="1:22" x14ac:dyDescent="0.25">
      <c r="A365" s="27" t="s">
        <v>890</v>
      </c>
      <c r="B365" s="27" t="s">
        <v>874</v>
      </c>
      <c r="C365" s="27" t="s">
        <v>418</v>
      </c>
      <c r="D365" s="32">
        <f>92611+5+22+635+2+14+30915+398</f>
        <v>124602</v>
      </c>
      <c r="E365" s="32">
        <f>414+5+2+35+124</f>
        <v>580</v>
      </c>
      <c r="F365" s="32">
        <v>0</v>
      </c>
      <c r="G365" s="32">
        <v>0</v>
      </c>
      <c r="H365" s="32">
        <v>0</v>
      </c>
      <c r="I365" s="32">
        <v>106574</v>
      </c>
      <c r="J365" s="32">
        <v>27093</v>
      </c>
      <c r="K365" s="32"/>
      <c r="M365" s="27" t="s">
        <v>890</v>
      </c>
      <c r="N365" s="27" t="s">
        <v>874</v>
      </c>
      <c r="O365" s="27" t="s">
        <v>418</v>
      </c>
      <c r="P365" s="27">
        <v>124602</v>
      </c>
      <c r="Q365" s="27">
        <v>580</v>
      </c>
      <c r="R365" s="27">
        <v>0</v>
      </c>
      <c r="S365" s="27">
        <v>0</v>
      </c>
      <c r="T365" s="27">
        <v>0</v>
      </c>
      <c r="U365" s="27">
        <v>106574</v>
      </c>
      <c r="V365" s="27">
        <v>27093</v>
      </c>
    </row>
    <row r="366" spans="1:22" x14ac:dyDescent="0.25">
      <c r="A366" s="27" t="s">
        <v>796</v>
      </c>
      <c r="B366" s="27" t="s">
        <v>874</v>
      </c>
      <c r="C366" s="27" t="s">
        <v>419</v>
      </c>
      <c r="D366" s="32">
        <f>82320+16+11+1+1819+4+133+58+1+96+38679+1+1+1+1+20</f>
        <v>123162</v>
      </c>
      <c r="E366" s="32">
        <f>682+46+14+35+45+7</f>
        <v>829</v>
      </c>
      <c r="F366" s="32">
        <v>0</v>
      </c>
      <c r="G366" s="32">
        <v>0</v>
      </c>
      <c r="H366" s="32">
        <v>0</v>
      </c>
      <c r="I366" s="32">
        <v>302032</v>
      </c>
      <c r="J366" s="32">
        <v>35440</v>
      </c>
      <c r="K366" s="32"/>
      <c r="M366" s="27" t="s">
        <v>796</v>
      </c>
      <c r="N366" s="27" t="s">
        <v>874</v>
      </c>
      <c r="O366" s="27" t="s">
        <v>419</v>
      </c>
      <c r="P366" s="27">
        <v>123162</v>
      </c>
      <c r="Q366" s="27">
        <v>829</v>
      </c>
      <c r="R366" s="27">
        <v>0</v>
      </c>
      <c r="S366" s="27">
        <v>0</v>
      </c>
      <c r="T366" s="27">
        <v>0</v>
      </c>
      <c r="U366" s="27">
        <v>302032</v>
      </c>
      <c r="V366" s="27">
        <v>35440</v>
      </c>
    </row>
    <row r="367" spans="1:22" x14ac:dyDescent="0.25">
      <c r="A367" s="27" t="s">
        <v>831</v>
      </c>
      <c r="B367" s="27" t="s">
        <v>874</v>
      </c>
      <c r="C367" s="27" t="s">
        <v>420</v>
      </c>
      <c r="D367" s="32">
        <f>17715+2+114+12+2+5+35325+65+1+10+5776+1+1+1</f>
        <v>59030</v>
      </c>
      <c r="E367" s="32">
        <f>1+19+73+130</f>
        <v>223</v>
      </c>
      <c r="F367" s="32">
        <v>0</v>
      </c>
      <c r="G367" s="32">
        <v>0</v>
      </c>
      <c r="H367" s="32">
        <v>0</v>
      </c>
      <c r="I367" s="32">
        <v>56661</v>
      </c>
      <c r="J367" s="32">
        <v>33522</v>
      </c>
      <c r="K367" s="32"/>
      <c r="M367" s="27" t="s">
        <v>831</v>
      </c>
      <c r="N367" s="27" t="s">
        <v>874</v>
      </c>
      <c r="O367" s="27" t="s">
        <v>420</v>
      </c>
      <c r="P367" s="27">
        <v>59030</v>
      </c>
      <c r="Q367" s="27">
        <v>223</v>
      </c>
      <c r="R367" s="27">
        <v>0</v>
      </c>
      <c r="S367" s="27">
        <v>0</v>
      </c>
      <c r="T367" s="27">
        <v>0</v>
      </c>
      <c r="U367" s="27">
        <v>56661</v>
      </c>
      <c r="V367" s="27">
        <v>33522</v>
      </c>
    </row>
    <row r="368" spans="1:22" x14ac:dyDescent="0.25">
      <c r="A368" s="27" t="s">
        <v>69</v>
      </c>
      <c r="B368" s="27" t="s">
        <v>874</v>
      </c>
      <c r="C368" s="27" t="s">
        <v>421</v>
      </c>
      <c r="D368" s="32">
        <f>133832+56+2012+5+36+36846+8</f>
        <v>172795</v>
      </c>
      <c r="E368" s="32">
        <f>121+2+11+5+161+120+13</f>
        <v>433</v>
      </c>
      <c r="F368" s="32">
        <v>0</v>
      </c>
      <c r="G368" s="32">
        <v>0</v>
      </c>
      <c r="H368" s="32">
        <v>0</v>
      </c>
      <c r="I368" s="32">
        <v>95331</v>
      </c>
      <c r="J368" s="32">
        <v>29899</v>
      </c>
      <c r="K368" s="32"/>
      <c r="M368" s="27" t="s">
        <v>69</v>
      </c>
      <c r="N368" s="27" t="s">
        <v>874</v>
      </c>
      <c r="O368" s="27" t="s">
        <v>421</v>
      </c>
      <c r="P368" s="27">
        <v>172795</v>
      </c>
      <c r="Q368" s="27">
        <v>433</v>
      </c>
      <c r="R368" s="27">
        <v>0</v>
      </c>
      <c r="S368" s="27">
        <v>0</v>
      </c>
      <c r="T368" s="27">
        <v>0</v>
      </c>
      <c r="U368" s="27">
        <v>95331</v>
      </c>
      <c r="V368" s="27">
        <v>29899</v>
      </c>
    </row>
    <row r="369" spans="1:22" x14ac:dyDescent="0.25">
      <c r="A369" s="27" t="s">
        <v>146</v>
      </c>
      <c r="B369" s="27" t="s">
        <v>874</v>
      </c>
      <c r="C369" s="27" t="s">
        <v>422</v>
      </c>
      <c r="D369" s="32">
        <f>80921+6+3+177+489+50682+174</f>
        <v>132452</v>
      </c>
      <c r="E369" s="32">
        <f>189+13+129+174+286</f>
        <v>791</v>
      </c>
      <c r="F369" s="32">
        <v>0</v>
      </c>
      <c r="G369" s="32">
        <v>0</v>
      </c>
      <c r="H369" s="32">
        <v>0</v>
      </c>
      <c r="I369" s="32">
        <v>68122</v>
      </c>
      <c r="J369" s="32">
        <v>37545</v>
      </c>
      <c r="K369" s="32"/>
      <c r="M369" s="27" t="s">
        <v>146</v>
      </c>
      <c r="N369" s="27" t="s">
        <v>874</v>
      </c>
      <c r="O369" s="27" t="s">
        <v>422</v>
      </c>
      <c r="P369" s="27">
        <v>132452</v>
      </c>
      <c r="Q369" s="27">
        <v>791</v>
      </c>
      <c r="R369" s="27">
        <v>0</v>
      </c>
      <c r="S369" s="27">
        <v>0</v>
      </c>
      <c r="T369" s="27">
        <v>0</v>
      </c>
      <c r="U369" s="27">
        <v>68122</v>
      </c>
      <c r="V369" s="27">
        <v>37545</v>
      </c>
    </row>
    <row r="370" spans="1:22" x14ac:dyDescent="0.25">
      <c r="A370" s="27" t="s">
        <v>146</v>
      </c>
      <c r="B370" s="27" t="s">
        <v>874</v>
      </c>
      <c r="C370" s="27" t="s">
        <v>423</v>
      </c>
      <c r="D370" s="32">
        <f>48726+31+92+202+47424+8+83</f>
        <v>96566</v>
      </c>
      <c r="E370" s="32">
        <f>2+1+26+144</f>
        <v>173</v>
      </c>
      <c r="F370" s="32">
        <v>0</v>
      </c>
      <c r="G370" s="32">
        <v>0</v>
      </c>
      <c r="H370" s="32">
        <v>0</v>
      </c>
      <c r="I370" s="32">
        <v>46724</v>
      </c>
      <c r="J370" s="32">
        <v>35824</v>
      </c>
      <c r="K370" s="32"/>
      <c r="M370" s="27" t="s">
        <v>146</v>
      </c>
      <c r="N370" s="27" t="s">
        <v>874</v>
      </c>
      <c r="O370" s="27" t="s">
        <v>423</v>
      </c>
      <c r="P370" s="27">
        <v>96566</v>
      </c>
      <c r="Q370" s="27">
        <v>173</v>
      </c>
      <c r="R370" s="27">
        <v>0</v>
      </c>
      <c r="S370" s="27">
        <v>0</v>
      </c>
      <c r="T370" s="27">
        <v>0</v>
      </c>
      <c r="U370" s="27">
        <v>46724</v>
      </c>
      <c r="V370" s="27">
        <v>35824</v>
      </c>
    </row>
    <row r="371" spans="1:22" x14ac:dyDescent="0.25">
      <c r="A371" s="27" t="s">
        <v>76</v>
      </c>
      <c r="B371" s="27" t="s">
        <v>874</v>
      </c>
      <c r="C371" s="27" t="s">
        <v>424</v>
      </c>
      <c r="D371" s="32">
        <f>104419+2+4+1+819+4+7+37131+27+1+4</f>
        <v>142419</v>
      </c>
      <c r="E371" s="32">
        <f>13+5+54+1</f>
        <v>73</v>
      </c>
      <c r="F371" s="32">
        <v>0</v>
      </c>
      <c r="G371" s="32">
        <v>0</v>
      </c>
      <c r="H371" s="32">
        <v>0</v>
      </c>
      <c r="I371" s="32">
        <v>166513</v>
      </c>
      <c r="J371" s="32">
        <v>30457</v>
      </c>
      <c r="K371" s="32"/>
      <c r="M371" s="27" t="s">
        <v>76</v>
      </c>
      <c r="N371" s="27" t="s">
        <v>874</v>
      </c>
      <c r="O371" s="27" t="s">
        <v>424</v>
      </c>
      <c r="P371" s="27">
        <v>142419</v>
      </c>
      <c r="Q371" s="27">
        <v>73</v>
      </c>
      <c r="R371" s="27">
        <v>0</v>
      </c>
      <c r="S371" s="27">
        <v>0</v>
      </c>
      <c r="T371" s="27">
        <v>0</v>
      </c>
      <c r="U371" s="27">
        <v>166513</v>
      </c>
      <c r="V371" s="27">
        <v>30457</v>
      </c>
    </row>
    <row r="372" spans="1:22" x14ac:dyDescent="0.25">
      <c r="A372" s="27" t="s">
        <v>795</v>
      </c>
      <c r="B372" s="27" t="s">
        <v>874</v>
      </c>
      <c r="C372" s="27" t="s">
        <v>425</v>
      </c>
      <c r="D372" s="32">
        <f>167632+1+1+4+79056+370+2+2</f>
        <v>247068</v>
      </c>
      <c r="E372" s="32">
        <f>20+10+26+49+7</f>
        <v>112</v>
      </c>
      <c r="F372" s="32">
        <v>0</v>
      </c>
      <c r="G372" s="32">
        <v>0</v>
      </c>
      <c r="H372" s="32">
        <v>0</v>
      </c>
      <c r="I372" s="32">
        <v>147281</v>
      </c>
      <c r="J372" s="32">
        <v>68863</v>
      </c>
      <c r="K372" s="32"/>
      <c r="M372" s="27" t="s">
        <v>795</v>
      </c>
      <c r="N372" s="27" t="s">
        <v>874</v>
      </c>
      <c r="O372" s="27" t="s">
        <v>425</v>
      </c>
      <c r="P372" s="27">
        <v>247068</v>
      </c>
      <c r="Q372" s="27">
        <v>112</v>
      </c>
      <c r="R372" s="27">
        <v>0</v>
      </c>
      <c r="S372" s="27">
        <v>0</v>
      </c>
      <c r="T372" s="27">
        <v>0</v>
      </c>
      <c r="U372" s="27">
        <v>147281</v>
      </c>
      <c r="V372" s="27">
        <v>68863</v>
      </c>
    </row>
    <row r="373" spans="1:22" x14ac:dyDescent="0.25">
      <c r="A373" s="27" t="s">
        <v>824</v>
      </c>
      <c r="B373" s="27" t="s">
        <v>874</v>
      </c>
      <c r="C373" s="27" t="s">
        <v>426</v>
      </c>
      <c r="D373" s="32">
        <f>31101+1+63+93+4+39753+1+2</f>
        <v>71018</v>
      </c>
      <c r="E373" s="32">
        <f>73+45+20+4</f>
        <v>142</v>
      </c>
      <c r="F373" s="32">
        <v>0</v>
      </c>
      <c r="G373" s="32">
        <v>0</v>
      </c>
      <c r="H373" s="32">
        <v>0</v>
      </c>
      <c r="I373" s="32">
        <v>86055</v>
      </c>
      <c r="J373" s="32">
        <v>34820</v>
      </c>
      <c r="K373" s="32"/>
      <c r="M373" s="27" t="s">
        <v>824</v>
      </c>
      <c r="N373" s="27" t="s">
        <v>874</v>
      </c>
      <c r="O373" s="27" t="s">
        <v>426</v>
      </c>
      <c r="P373" s="27">
        <v>71018</v>
      </c>
      <c r="Q373" s="27">
        <v>142</v>
      </c>
      <c r="R373" s="27">
        <v>0</v>
      </c>
      <c r="S373" s="27">
        <v>0</v>
      </c>
      <c r="T373" s="27">
        <v>0</v>
      </c>
      <c r="U373" s="27">
        <v>86055</v>
      </c>
      <c r="V373" s="27">
        <v>34820</v>
      </c>
    </row>
    <row r="374" spans="1:22" x14ac:dyDescent="0.25">
      <c r="A374" s="27" t="s">
        <v>788</v>
      </c>
      <c r="B374" s="27" t="s">
        <v>874</v>
      </c>
      <c r="C374" s="27" t="s">
        <v>427</v>
      </c>
      <c r="D374" s="32">
        <f>162685+62+1582+44660+1+2</f>
        <v>208992</v>
      </c>
      <c r="E374" s="32">
        <f>189+78+3+207+16</f>
        <v>493</v>
      </c>
      <c r="F374" s="32">
        <v>0</v>
      </c>
      <c r="G374" s="32">
        <v>0</v>
      </c>
      <c r="H374" s="32">
        <v>0</v>
      </c>
      <c r="I374" s="32">
        <v>160023</v>
      </c>
      <c r="J374" s="32">
        <v>42202</v>
      </c>
      <c r="K374" s="32"/>
      <c r="M374" s="27" t="s">
        <v>788</v>
      </c>
      <c r="N374" s="27" t="s">
        <v>874</v>
      </c>
      <c r="O374" s="27" t="s">
        <v>427</v>
      </c>
      <c r="P374" s="27">
        <v>208992</v>
      </c>
      <c r="Q374" s="27">
        <v>493</v>
      </c>
      <c r="R374" s="27">
        <v>0</v>
      </c>
      <c r="S374" s="27">
        <v>0</v>
      </c>
      <c r="T374" s="27">
        <v>0</v>
      </c>
      <c r="U374" s="27">
        <v>160023</v>
      </c>
      <c r="V374" s="27">
        <v>42202</v>
      </c>
    </row>
    <row r="375" spans="1:22" x14ac:dyDescent="0.25">
      <c r="A375" s="27" t="s">
        <v>226</v>
      </c>
      <c r="B375" s="27" t="s">
        <v>874</v>
      </c>
      <c r="C375" s="27" t="s">
        <v>428</v>
      </c>
      <c r="D375" s="32">
        <f>17948+54+9+98+7157+7</f>
        <v>25273</v>
      </c>
      <c r="E375" s="32">
        <f>1+4+5</f>
        <v>10</v>
      </c>
      <c r="F375" s="32">
        <v>0</v>
      </c>
      <c r="G375" s="32">
        <v>0</v>
      </c>
      <c r="H375" s="32">
        <v>0</v>
      </c>
      <c r="I375" s="32">
        <v>33358</v>
      </c>
      <c r="J375" s="32">
        <v>4942</v>
      </c>
      <c r="K375" s="32"/>
      <c r="M375" s="27" t="s">
        <v>226</v>
      </c>
      <c r="N375" s="27" t="s">
        <v>874</v>
      </c>
      <c r="O375" s="27" t="s">
        <v>428</v>
      </c>
      <c r="P375" s="27">
        <v>25273</v>
      </c>
      <c r="Q375" s="27">
        <v>10</v>
      </c>
      <c r="R375" s="27">
        <v>0</v>
      </c>
      <c r="S375" s="27">
        <v>0</v>
      </c>
      <c r="T375" s="27">
        <v>0</v>
      </c>
      <c r="U375" s="27">
        <v>33358</v>
      </c>
      <c r="V375" s="27">
        <v>4942</v>
      </c>
    </row>
    <row r="376" spans="1:22" x14ac:dyDescent="0.25">
      <c r="A376" s="27" t="s">
        <v>791</v>
      </c>
      <c r="B376" s="27" t="s">
        <v>874</v>
      </c>
      <c r="C376" s="27" t="s">
        <v>429</v>
      </c>
      <c r="D376" s="32">
        <f>10615+5+4+35+160+4174</f>
        <v>14993</v>
      </c>
      <c r="E376" s="32">
        <f>31+4+18+1+2</f>
        <v>56</v>
      </c>
      <c r="F376" s="32">
        <v>0</v>
      </c>
      <c r="G376" s="32">
        <v>0</v>
      </c>
      <c r="H376" s="32">
        <v>0</v>
      </c>
      <c r="I376" s="32">
        <v>10912</v>
      </c>
      <c r="J376" s="32">
        <v>2903</v>
      </c>
      <c r="K376" s="32"/>
      <c r="M376" s="27" t="s">
        <v>791</v>
      </c>
      <c r="N376" s="27" t="s">
        <v>874</v>
      </c>
      <c r="O376" s="27" t="s">
        <v>429</v>
      </c>
      <c r="P376" s="27">
        <v>14993</v>
      </c>
      <c r="Q376" s="27">
        <v>56</v>
      </c>
      <c r="R376" s="27">
        <v>0</v>
      </c>
      <c r="S376" s="27">
        <v>0</v>
      </c>
      <c r="T376" s="27">
        <v>0</v>
      </c>
      <c r="U376" s="27">
        <v>10912</v>
      </c>
      <c r="V376" s="27">
        <v>2903</v>
      </c>
    </row>
    <row r="377" spans="1:22" x14ac:dyDescent="0.25">
      <c r="A377" s="27" t="s">
        <v>788</v>
      </c>
      <c r="B377" s="27" t="s">
        <v>874</v>
      </c>
      <c r="C377" s="27" t="s">
        <v>430</v>
      </c>
      <c r="D377" s="32">
        <f>29586+2+6+4+22781</f>
        <v>52379</v>
      </c>
      <c r="E377" s="32">
        <f>26+55+5</f>
        <v>86</v>
      </c>
      <c r="F377" s="32">
        <v>0</v>
      </c>
      <c r="G377" s="32">
        <v>0</v>
      </c>
      <c r="H377" s="32">
        <v>0</v>
      </c>
      <c r="I377" s="32">
        <v>40242</v>
      </c>
      <c r="J377" s="32">
        <v>14697</v>
      </c>
      <c r="K377" s="32"/>
      <c r="M377" s="27" t="s">
        <v>788</v>
      </c>
      <c r="N377" s="27" t="s">
        <v>874</v>
      </c>
      <c r="O377" s="27" t="s">
        <v>430</v>
      </c>
      <c r="P377" s="27">
        <v>52379</v>
      </c>
      <c r="Q377" s="27">
        <v>86</v>
      </c>
      <c r="R377" s="27">
        <v>0</v>
      </c>
      <c r="S377" s="27">
        <v>0</v>
      </c>
      <c r="T377" s="27">
        <v>0</v>
      </c>
      <c r="U377" s="27">
        <v>40242</v>
      </c>
      <c r="V377" s="27">
        <v>14697</v>
      </c>
    </row>
    <row r="378" spans="1:22" x14ac:dyDescent="0.25">
      <c r="A378" s="27" t="s">
        <v>10</v>
      </c>
      <c r="B378" s="27" t="s">
        <v>874</v>
      </c>
      <c r="C378" s="27" t="s">
        <v>431</v>
      </c>
      <c r="D378" s="32"/>
      <c r="E378" s="32"/>
      <c r="F378" s="32"/>
      <c r="G378" s="32"/>
      <c r="H378" s="32"/>
      <c r="I378" s="32"/>
      <c r="J378" s="32"/>
      <c r="K378" s="32"/>
      <c r="M378" s="27" t="s">
        <v>10</v>
      </c>
      <c r="N378" s="27" t="s">
        <v>874</v>
      </c>
      <c r="O378" s="27" t="s">
        <v>431</v>
      </c>
    </row>
    <row r="379" spans="1:22" x14ac:dyDescent="0.25">
      <c r="A379" s="27" t="s">
        <v>69</v>
      </c>
      <c r="B379" s="27" t="s">
        <v>874</v>
      </c>
      <c r="C379" s="27" t="s">
        <v>432</v>
      </c>
      <c r="D379" s="32">
        <f>52793+4+1373+4+301+45900</f>
        <v>100375</v>
      </c>
      <c r="E379" s="32">
        <f>6+15+38+3+1</f>
        <v>63</v>
      </c>
      <c r="F379" s="32">
        <v>0</v>
      </c>
      <c r="G379" s="32">
        <v>0</v>
      </c>
      <c r="H379" s="32">
        <v>0</v>
      </c>
      <c r="I379" s="32">
        <v>151820</v>
      </c>
      <c r="J379" s="32">
        <v>35645</v>
      </c>
      <c r="K379" s="32"/>
      <c r="M379" s="27" t="s">
        <v>69</v>
      </c>
      <c r="N379" s="27" t="s">
        <v>874</v>
      </c>
      <c r="O379" s="27" t="s">
        <v>432</v>
      </c>
      <c r="P379" s="27">
        <v>100375</v>
      </c>
      <c r="Q379" s="27">
        <v>63</v>
      </c>
      <c r="R379" s="27">
        <v>0</v>
      </c>
      <c r="S379" s="27">
        <v>0</v>
      </c>
      <c r="T379" s="27">
        <v>0</v>
      </c>
      <c r="U379" s="27">
        <v>151820</v>
      </c>
      <c r="V379" s="27">
        <v>35645</v>
      </c>
    </row>
    <row r="380" spans="1:22" x14ac:dyDescent="0.25">
      <c r="A380" s="27" t="s">
        <v>226</v>
      </c>
      <c r="B380" s="27" t="s">
        <v>874</v>
      </c>
      <c r="C380" s="27" t="s">
        <v>433</v>
      </c>
      <c r="D380" s="32">
        <f>68583+146+40+1+52+34770+7+8</f>
        <v>103607</v>
      </c>
      <c r="E380" s="32">
        <f>69+6+6+222+7</f>
        <v>310</v>
      </c>
      <c r="F380" s="32">
        <v>0</v>
      </c>
      <c r="G380" s="32">
        <v>0</v>
      </c>
      <c r="H380" s="32">
        <v>0</v>
      </c>
      <c r="I380" s="32">
        <v>114735</v>
      </c>
      <c r="J380" s="32">
        <v>25582</v>
      </c>
      <c r="K380" s="32"/>
      <c r="M380" s="27" t="s">
        <v>226</v>
      </c>
      <c r="N380" s="27" t="s">
        <v>874</v>
      </c>
      <c r="O380" s="27" t="s">
        <v>433</v>
      </c>
      <c r="P380" s="27">
        <v>103607</v>
      </c>
      <c r="Q380" s="27">
        <v>310</v>
      </c>
      <c r="R380" s="27">
        <v>0</v>
      </c>
      <c r="S380" s="27">
        <v>0</v>
      </c>
      <c r="T380" s="27">
        <v>0</v>
      </c>
      <c r="U380" s="27">
        <v>114735</v>
      </c>
      <c r="V380" s="27">
        <v>25582</v>
      </c>
    </row>
    <row r="381" spans="1:22" x14ac:dyDescent="0.25">
      <c r="A381" s="27" t="s">
        <v>864</v>
      </c>
      <c r="B381" s="27" t="s">
        <v>874</v>
      </c>
      <c r="C381" s="27" t="s">
        <v>434</v>
      </c>
      <c r="D381" s="32">
        <f>37806+176+239+9+29805+6+1+9+6</f>
        <v>68057</v>
      </c>
      <c r="E381" s="32">
        <f>359+2+212+113+19</f>
        <v>705</v>
      </c>
      <c r="F381" s="32">
        <v>0</v>
      </c>
      <c r="G381" s="32">
        <v>0</v>
      </c>
      <c r="H381" s="32">
        <v>0</v>
      </c>
      <c r="I381" s="32">
        <v>44867</v>
      </c>
      <c r="J381" s="32">
        <v>25615</v>
      </c>
      <c r="K381" s="32"/>
      <c r="M381" s="27" t="s">
        <v>864</v>
      </c>
      <c r="N381" s="27" t="s">
        <v>874</v>
      </c>
      <c r="O381" s="27" t="s">
        <v>434</v>
      </c>
      <c r="P381" s="27">
        <v>68057</v>
      </c>
      <c r="Q381" s="27">
        <v>705</v>
      </c>
      <c r="R381" s="27">
        <v>0</v>
      </c>
      <c r="S381" s="27">
        <v>0</v>
      </c>
      <c r="T381" s="27">
        <v>0</v>
      </c>
      <c r="U381" s="27">
        <v>44867</v>
      </c>
      <c r="V381" s="27">
        <v>25615</v>
      </c>
    </row>
    <row r="382" spans="1:22" x14ac:dyDescent="0.25">
      <c r="A382" s="27" t="s">
        <v>809</v>
      </c>
      <c r="B382" s="27" t="s">
        <v>874</v>
      </c>
      <c r="C382" s="27" t="s">
        <v>435</v>
      </c>
      <c r="D382" s="32">
        <f>111226+2+41+4875+6+4+9+1+40+27344+1+100</f>
        <v>143649</v>
      </c>
      <c r="E382" s="32">
        <f>266+56+180+29</f>
        <v>531</v>
      </c>
      <c r="F382" s="32">
        <v>0</v>
      </c>
      <c r="G382" s="32">
        <v>0</v>
      </c>
      <c r="H382" s="32">
        <v>0</v>
      </c>
      <c r="I382" s="32">
        <v>165076</v>
      </c>
      <c r="J382" s="32">
        <v>22940</v>
      </c>
      <c r="K382" s="32"/>
      <c r="M382" s="27" t="s">
        <v>809</v>
      </c>
      <c r="N382" s="27" t="s">
        <v>874</v>
      </c>
      <c r="O382" s="27" t="s">
        <v>435</v>
      </c>
      <c r="P382" s="27">
        <v>143649</v>
      </c>
      <c r="Q382" s="27">
        <v>531</v>
      </c>
      <c r="R382" s="27">
        <v>0</v>
      </c>
      <c r="S382" s="27">
        <v>0</v>
      </c>
      <c r="T382" s="27">
        <v>0</v>
      </c>
      <c r="U382" s="27">
        <v>165076</v>
      </c>
      <c r="V382" s="27">
        <v>22940</v>
      </c>
    </row>
    <row r="383" spans="1:22" x14ac:dyDescent="0.25">
      <c r="A383" s="27" t="s">
        <v>890</v>
      </c>
      <c r="B383" s="27" t="s">
        <v>874</v>
      </c>
      <c r="C383" s="27" t="s">
        <v>436</v>
      </c>
      <c r="D383" s="32">
        <f>122179+4113+1+79+2+17+56666+653</f>
        <v>183710</v>
      </c>
      <c r="E383" s="32">
        <f>355+8+91+309+590</f>
        <v>1353</v>
      </c>
      <c r="F383" s="32">
        <v>0</v>
      </c>
      <c r="G383" s="32">
        <v>0</v>
      </c>
      <c r="H383" s="32">
        <v>0</v>
      </c>
      <c r="I383" s="32">
        <v>194809</v>
      </c>
      <c r="J383" s="32">
        <v>38173</v>
      </c>
      <c r="K383" s="32"/>
      <c r="M383" s="27" t="s">
        <v>890</v>
      </c>
      <c r="N383" s="27" t="s">
        <v>874</v>
      </c>
      <c r="O383" s="27" t="s">
        <v>436</v>
      </c>
      <c r="P383" s="27">
        <v>183710</v>
      </c>
      <c r="Q383" s="27">
        <v>1353</v>
      </c>
      <c r="R383" s="27">
        <v>0</v>
      </c>
      <c r="S383" s="27">
        <v>0</v>
      </c>
      <c r="T383" s="27">
        <v>0</v>
      </c>
      <c r="U383" s="27">
        <v>194809</v>
      </c>
      <c r="V383" s="27">
        <v>38173</v>
      </c>
    </row>
    <row r="384" spans="1:22" x14ac:dyDescent="0.25">
      <c r="A384" s="27" t="s">
        <v>229</v>
      </c>
      <c r="B384" s="27" t="s">
        <v>874</v>
      </c>
      <c r="C384" s="27" t="s">
        <v>437</v>
      </c>
      <c r="D384" s="32">
        <f>81452+1+19+2+15+1013+26+4+1+5+35+36+185+30748+3</f>
        <v>113545</v>
      </c>
      <c r="E384" s="32">
        <f>169+22+321+17</f>
        <v>529</v>
      </c>
      <c r="F384" s="32">
        <v>0</v>
      </c>
      <c r="G384" s="32">
        <v>0</v>
      </c>
      <c r="H384" s="32">
        <v>0</v>
      </c>
      <c r="I384" s="32">
        <v>192576</v>
      </c>
      <c r="J384" s="32">
        <v>24480</v>
      </c>
      <c r="K384" s="32"/>
      <c r="M384" s="27" t="s">
        <v>229</v>
      </c>
      <c r="N384" s="27" t="s">
        <v>874</v>
      </c>
      <c r="O384" s="27" t="s">
        <v>437</v>
      </c>
      <c r="P384" s="27">
        <v>113545</v>
      </c>
      <c r="Q384" s="27">
        <v>529</v>
      </c>
      <c r="R384" s="27">
        <v>0</v>
      </c>
      <c r="S384" s="27">
        <v>0</v>
      </c>
      <c r="T384" s="27">
        <v>0</v>
      </c>
      <c r="U384" s="27">
        <v>192576</v>
      </c>
      <c r="V384" s="27">
        <v>24480</v>
      </c>
    </row>
    <row r="385" spans="1:22" x14ac:dyDescent="0.25">
      <c r="A385" s="27" t="s">
        <v>801</v>
      </c>
      <c r="B385" s="27" t="s">
        <v>874</v>
      </c>
      <c r="C385" s="27" t="s">
        <v>438</v>
      </c>
      <c r="D385" s="32">
        <f>94508+28+8+19+124+53412+3+259+34+178</f>
        <v>148573</v>
      </c>
      <c r="E385" s="32">
        <f>16+1+34+18</f>
        <v>69</v>
      </c>
      <c r="F385" s="32">
        <v>0</v>
      </c>
      <c r="G385" s="32">
        <v>0</v>
      </c>
      <c r="H385" s="32">
        <v>0</v>
      </c>
      <c r="I385" s="32">
        <v>0</v>
      </c>
      <c r="J385" s="32">
        <v>0</v>
      </c>
      <c r="K385" s="32"/>
      <c r="M385" s="27" t="s">
        <v>801</v>
      </c>
      <c r="N385" s="27" t="s">
        <v>874</v>
      </c>
      <c r="O385" s="27" t="s">
        <v>438</v>
      </c>
      <c r="P385" s="27">
        <v>148573</v>
      </c>
      <c r="Q385" s="27">
        <v>69</v>
      </c>
      <c r="R385" s="27">
        <v>0</v>
      </c>
      <c r="S385" s="27">
        <v>0</v>
      </c>
      <c r="T385" s="27">
        <v>0</v>
      </c>
    </row>
    <row r="386" spans="1:22" x14ac:dyDescent="0.25">
      <c r="A386" s="27" t="s">
        <v>10</v>
      </c>
      <c r="B386" s="27" t="s">
        <v>874</v>
      </c>
      <c r="C386" s="27" t="s">
        <v>780</v>
      </c>
      <c r="D386" s="32"/>
      <c r="E386" s="32"/>
      <c r="F386" s="32"/>
      <c r="G386" s="32"/>
      <c r="H386" s="32"/>
      <c r="I386" s="32"/>
      <c r="J386" s="32"/>
      <c r="K386" s="32"/>
      <c r="M386" s="27" t="s">
        <v>10</v>
      </c>
      <c r="N386" s="27" t="s">
        <v>874</v>
      </c>
      <c r="O386" s="27" t="s">
        <v>780</v>
      </c>
    </row>
    <row r="387" spans="1:22" x14ac:dyDescent="0.25">
      <c r="A387" s="27" t="s">
        <v>69</v>
      </c>
      <c r="B387" s="27" t="s">
        <v>874</v>
      </c>
      <c r="C387" s="27" t="s">
        <v>439</v>
      </c>
      <c r="D387" s="32">
        <f>132554+1+1289+9+68030+5+292</f>
        <v>202180</v>
      </c>
      <c r="E387" s="32">
        <f>1463+377+2+267+2463</f>
        <v>4572</v>
      </c>
      <c r="F387" s="32">
        <v>0</v>
      </c>
      <c r="G387" s="32">
        <v>0</v>
      </c>
      <c r="H387" s="32">
        <v>0</v>
      </c>
      <c r="I387" s="32">
        <v>277701</v>
      </c>
      <c r="J387" s="32">
        <v>59897</v>
      </c>
      <c r="K387" s="32"/>
      <c r="M387" s="27" t="s">
        <v>69</v>
      </c>
      <c r="N387" s="27" t="s">
        <v>874</v>
      </c>
      <c r="O387" s="27" t="s">
        <v>439</v>
      </c>
      <c r="P387" s="27">
        <v>202180</v>
      </c>
      <c r="Q387" s="27">
        <v>4572</v>
      </c>
      <c r="R387" s="27">
        <v>0</v>
      </c>
      <c r="S387" s="27">
        <v>0</v>
      </c>
      <c r="T387" s="27">
        <v>0</v>
      </c>
      <c r="U387" s="27">
        <v>277701</v>
      </c>
      <c r="V387" s="27">
        <v>59897</v>
      </c>
    </row>
    <row r="388" spans="1:22" x14ac:dyDescent="0.25">
      <c r="A388" s="27" t="s">
        <v>83</v>
      </c>
      <c r="B388" s="27" t="s">
        <v>874</v>
      </c>
      <c r="C388" s="27" t="s">
        <v>440</v>
      </c>
      <c r="D388" s="32">
        <f>10470+50+2566+1</f>
        <v>13087</v>
      </c>
      <c r="E388" s="32">
        <f>2+26</f>
        <v>28</v>
      </c>
      <c r="F388" s="32">
        <v>0</v>
      </c>
      <c r="G388" s="32">
        <v>0</v>
      </c>
      <c r="H388" s="32">
        <v>0</v>
      </c>
      <c r="I388" s="32">
        <v>27916</v>
      </c>
      <c r="J388" s="32">
        <v>2441</v>
      </c>
      <c r="K388" s="32"/>
      <c r="M388" s="27" t="s">
        <v>83</v>
      </c>
      <c r="N388" s="27" t="s">
        <v>874</v>
      </c>
      <c r="O388" s="27" t="s">
        <v>440</v>
      </c>
      <c r="P388" s="27">
        <v>13087</v>
      </c>
      <c r="Q388" s="27">
        <v>28</v>
      </c>
      <c r="R388" s="27">
        <v>0</v>
      </c>
      <c r="S388" s="27">
        <v>0</v>
      </c>
      <c r="T388" s="27">
        <v>0</v>
      </c>
      <c r="U388" s="27">
        <v>27916</v>
      </c>
      <c r="V388" s="27">
        <v>2441</v>
      </c>
    </row>
    <row r="389" spans="1:22" x14ac:dyDescent="0.25">
      <c r="A389" s="27" t="s">
        <v>809</v>
      </c>
      <c r="B389" s="27" t="s">
        <v>874</v>
      </c>
      <c r="C389" s="27" t="s">
        <v>441</v>
      </c>
      <c r="D389" s="32">
        <f>68111+23+2162+269+17251+1</f>
        <v>87817</v>
      </c>
      <c r="E389" s="32">
        <f>608+11+16+663+136</f>
        <v>1434</v>
      </c>
      <c r="F389" s="32">
        <v>0</v>
      </c>
      <c r="G389" s="32">
        <v>0</v>
      </c>
      <c r="H389" s="32">
        <v>0</v>
      </c>
      <c r="I389" s="32">
        <v>49852</v>
      </c>
      <c r="J389" s="32">
        <v>14096</v>
      </c>
      <c r="K389" s="32"/>
      <c r="M389" s="27" t="s">
        <v>809</v>
      </c>
      <c r="N389" s="27" t="s">
        <v>874</v>
      </c>
      <c r="O389" s="27" t="s">
        <v>441</v>
      </c>
      <c r="P389" s="27">
        <v>87817</v>
      </c>
      <c r="Q389" s="27">
        <v>1434</v>
      </c>
      <c r="R389" s="27">
        <v>0</v>
      </c>
      <c r="S389" s="27">
        <v>0</v>
      </c>
      <c r="T389" s="27">
        <v>0</v>
      </c>
      <c r="U389" s="27">
        <v>49852</v>
      </c>
      <c r="V389" s="27">
        <v>14096</v>
      </c>
    </row>
    <row r="390" spans="1:22" x14ac:dyDescent="0.25">
      <c r="A390" s="27" t="s">
        <v>794</v>
      </c>
      <c r="B390" s="27" t="s">
        <v>874</v>
      </c>
      <c r="C390" s="27" t="s">
        <v>442</v>
      </c>
      <c r="D390" s="32">
        <f>76925+2+447+2+1+173+81231+2+1+88</f>
        <v>158872</v>
      </c>
      <c r="E390" s="32">
        <f>443+2+47+79+157+7</f>
        <v>735</v>
      </c>
      <c r="F390" s="32">
        <v>0</v>
      </c>
      <c r="G390" s="32">
        <v>0</v>
      </c>
      <c r="H390" s="32">
        <v>0</v>
      </c>
      <c r="I390" s="32">
        <v>172853</v>
      </c>
      <c r="J390" s="32">
        <v>71106</v>
      </c>
      <c r="K390" s="32"/>
      <c r="M390" s="27" t="s">
        <v>794</v>
      </c>
      <c r="N390" s="27" t="s">
        <v>874</v>
      </c>
      <c r="O390" s="27" t="s">
        <v>442</v>
      </c>
      <c r="P390" s="27">
        <v>158872</v>
      </c>
      <c r="Q390" s="27">
        <v>735</v>
      </c>
      <c r="R390" s="27">
        <v>0</v>
      </c>
      <c r="S390" s="27">
        <v>0</v>
      </c>
      <c r="T390" s="27">
        <v>0</v>
      </c>
      <c r="U390" s="27">
        <v>172853</v>
      </c>
      <c r="V390" s="27">
        <v>71106</v>
      </c>
    </row>
    <row r="391" spans="1:22" x14ac:dyDescent="0.25">
      <c r="A391" s="27" t="s">
        <v>796</v>
      </c>
      <c r="B391" s="27" t="s">
        <v>874</v>
      </c>
      <c r="C391" s="27" t="s">
        <v>443</v>
      </c>
      <c r="D391" s="32">
        <f>133977+10+17009+3+16+2+227+53134+5+14</f>
        <v>204397</v>
      </c>
      <c r="E391" s="32">
        <f>106+21+3+22+260+3</f>
        <v>415</v>
      </c>
      <c r="F391" s="32">
        <v>0</v>
      </c>
      <c r="G391" s="32">
        <v>0</v>
      </c>
      <c r="H391" s="32">
        <v>0</v>
      </c>
      <c r="I391" s="32">
        <v>202148</v>
      </c>
      <c r="J391" s="32">
        <v>41263</v>
      </c>
      <c r="K391" s="32"/>
      <c r="M391" s="27" t="s">
        <v>796</v>
      </c>
      <c r="N391" s="27" t="s">
        <v>874</v>
      </c>
      <c r="O391" s="27" t="s">
        <v>443</v>
      </c>
      <c r="P391" s="27">
        <v>204397</v>
      </c>
      <c r="Q391" s="27">
        <v>415</v>
      </c>
      <c r="R391" s="27">
        <v>0</v>
      </c>
      <c r="S391" s="27">
        <v>0</v>
      </c>
      <c r="T391" s="27">
        <v>0</v>
      </c>
      <c r="U391" s="27">
        <v>202148</v>
      </c>
      <c r="V391" s="27">
        <v>41263</v>
      </c>
    </row>
    <row r="392" spans="1:22" x14ac:dyDescent="0.25">
      <c r="A392" s="27" t="s">
        <v>794</v>
      </c>
      <c r="B392" s="27" t="s">
        <v>874</v>
      </c>
      <c r="C392" s="27" t="s">
        <v>444</v>
      </c>
      <c r="D392" s="32">
        <f>140750+10+1+2+9760+29+1+69+100917</f>
        <v>251539</v>
      </c>
      <c r="E392" s="32">
        <f>294+20+1178+146</f>
        <v>1638</v>
      </c>
      <c r="F392" s="32">
        <v>0</v>
      </c>
      <c r="G392" s="32">
        <v>0</v>
      </c>
      <c r="H392" s="32">
        <v>0</v>
      </c>
      <c r="I392" s="32">
        <v>138419</v>
      </c>
      <c r="J392" s="32">
        <v>91285</v>
      </c>
      <c r="K392" s="32"/>
      <c r="M392" s="27" t="s">
        <v>794</v>
      </c>
      <c r="N392" s="27" t="s">
        <v>874</v>
      </c>
      <c r="O392" s="27" t="s">
        <v>444</v>
      </c>
      <c r="P392" s="27">
        <v>251539</v>
      </c>
      <c r="Q392" s="27">
        <v>1638</v>
      </c>
      <c r="R392" s="27">
        <v>0</v>
      </c>
      <c r="S392" s="27">
        <v>0</v>
      </c>
      <c r="T392" s="27">
        <v>0</v>
      </c>
      <c r="U392" s="27">
        <v>138419</v>
      </c>
      <c r="V392" s="27">
        <v>91285</v>
      </c>
    </row>
    <row r="393" spans="1:22" x14ac:dyDescent="0.25">
      <c r="A393" s="27" t="s">
        <v>811</v>
      </c>
      <c r="B393" s="27" t="s">
        <v>874</v>
      </c>
      <c r="C393" s="27" t="s">
        <v>445</v>
      </c>
      <c r="D393" s="32">
        <f>101067+12+14+34+37+59202+25</f>
        <v>160391</v>
      </c>
      <c r="E393" s="32">
        <f>3920+213+22513+7333+7617+1454</f>
        <v>43050</v>
      </c>
      <c r="F393" s="32">
        <v>0</v>
      </c>
      <c r="G393" s="32">
        <v>0</v>
      </c>
      <c r="H393" s="32">
        <v>0</v>
      </c>
      <c r="I393" s="32">
        <v>329478</v>
      </c>
      <c r="J393" s="32">
        <v>64797</v>
      </c>
      <c r="K393" s="32"/>
      <c r="M393" s="27" t="s">
        <v>811</v>
      </c>
      <c r="N393" s="27" t="s">
        <v>874</v>
      </c>
      <c r="O393" s="27" t="s">
        <v>445</v>
      </c>
      <c r="P393" s="27">
        <v>160391</v>
      </c>
      <c r="Q393" s="27">
        <v>43050</v>
      </c>
      <c r="R393" s="27">
        <v>0</v>
      </c>
      <c r="S393" s="27">
        <v>0</v>
      </c>
      <c r="T393" s="27">
        <v>0</v>
      </c>
      <c r="U393" s="27">
        <v>329478</v>
      </c>
      <c r="V393" s="27">
        <v>64797</v>
      </c>
    </row>
    <row r="394" spans="1:22" x14ac:dyDescent="0.25">
      <c r="A394" s="27" t="s">
        <v>848</v>
      </c>
      <c r="B394" s="27" t="s">
        <v>874</v>
      </c>
      <c r="C394" s="27" t="s">
        <v>446</v>
      </c>
      <c r="D394" s="32">
        <f>42145+1+33+22+21+11644</f>
        <v>53866</v>
      </c>
      <c r="E394" s="32">
        <f>46+90+18</f>
        <v>154</v>
      </c>
      <c r="F394" s="32">
        <v>0</v>
      </c>
      <c r="G394" s="32">
        <v>0</v>
      </c>
      <c r="H394" s="32">
        <v>0</v>
      </c>
      <c r="I394" s="32">
        <v>16993</v>
      </c>
      <c r="J394" s="32">
        <v>10197</v>
      </c>
      <c r="K394" s="32"/>
      <c r="M394" s="27" t="s">
        <v>848</v>
      </c>
      <c r="N394" s="27" t="s">
        <v>874</v>
      </c>
      <c r="O394" s="27" t="s">
        <v>446</v>
      </c>
      <c r="P394" s="27">
        <v>53866</v>
      </c>
      <c r="Q394" s="27">
        <v>154</v>
      </c>
      <c r="R394" s="27">
        <v>0</v>
      </c>
      <c r="S394" s="27">
        <v>0</v>
      </c>
      <c r="T394" s="27">
        <v>0</v>
      </c>
      <c r="U394" s="27">
        <v>16993</v>
      </c>
      <c r="V394" s="27">
        <v>10197</v>
      </c>
    </row>
    <row r="395" spans="1:22" x14ac:dyDescent="0.25">
      <c r="A395" s="27" t="s">
        <v>134</v>
      </c>
      <c r="B395" s="27" t="s">
        <v>874</v>
      </c>
      <c r="C395" s="27" t="s">
        <v>447</v>
      </c>
      <c r="D395" s="32">
        <f>166120+3+2+2232+2+6+4+2+1+28+44224+24+2</f>
        <v>212650</v>
      </c>
      <c r="E395" s="32">
        <f>51+6+132+104+4</f>
        <v>297</v>
      </c>
      <c r="F395" s="32">
        <v>0</v>
      </c>
      <c r="G395" s="32">
        <v>0</v>
      </c>
      <c r="H395" s="32">
        <v>0</v>
      </c>
      <c r="I395" s="32">
        <v>98997</v>
      </c>
      <c r="J395" s="32">
        <v>38404</v>
      </c>
      <c r="K395" s="32"/>
      <c r="M395" s="27" t="s">
        <v>134</v>
      </c>
      <c r="N395" s="27" t="s">
        <v>874</v>
      </c>
      <c r="O395" s="27" t="s">
        <v>447</v>
      </c>
      <c r="P395" s="27">
        <v>212650</v>
      </c>
      <c r="Q395" s="27">
        <v>297</v>
      </c>
      <c r="R395" s="27">
        <v>0</v>
      </c>
      <c r="S395" s="27">
        <v>0</v>
      </c>
      <c r="T395" s="27">
        <v>0</v>
      </c>
      <c r="U395" s="27">
        <v>98997</v>
      </c>
      <c r="V395" s="27">
        <v>38404</v>
      </c>
    </row>
    <row r="396" spans="1:22" x14ac:dyDescent="0.25">
      <c r="A396" s="27" t="s">
        <v>76</v>
      </c>
      <c r="B396" s="27" t="s">
        <v>874</v>
      </c>
      <c r="C396" s="27" t="s">
        <v>448</v>
      </c>
      <c r="D396" s="32">
        <f>216418+551+77+34+32174+1</f>
        <v>249255</v>
      </c>
      <c r="E396" s="32">
        <f>97+1+557+8</f>
        <v>663</v>
      </c>
      <c r="F396" s="32">
        <v>0</v>
      </c>
      <c r="G396" s="32">
        <v>0</v>
      </c>
      <c r="H396" s="32">
        <v>0</v>
      </c>
      <c r="I396" s="32">
        <v>195962</v>
      </c>
      <c r="J396" s="32">
        <v>27324</v>
      </c>
      <c r="K396" s="32"/>
      <c r="M396" s="27" t="s">
        <v>76</v>
      </c>
      <c r="N396" s="27" t="s">
        <v>874</v>
      </c>
      <c r="O396" s="27" t="s">
        <v>448</v>
      </c>
      <c r="P396" s="27">
        <v>249255</v>
      </c>
      <c r="Q396" s="27">
        <v>663</v>
      </c>
      <c r="R396" s="27">
        <v>0</v>
      </c>
      <c r="S396" s="27">
        <v>0</v>
      </c>
      <c r="T396" s="27">
        <v>0</v>
      </c>
      <c r="U396" s="27">
        <v>195962</v>
      </c>
      <c r="V396" s="27">
        <v>27324</v>
      </c>
    </row>
    <row r="397" spans="1:22" x14ac:dyDescent="0.25">
      <c r="A397" s="27" t="s">
        <v>801</v>
      </c>
      <c r="B397" s="27" t="s">
        <v>874</v>
      </c>
      <c r="C397" s="27" t="s">
        <v>449</v>
      </c>
      <c r="D397" s="32">
        <f>128531+3+1+2+1+10197+1+23+47285+5+3+1+1+5827+1+1</f>
        <v>191883</v>
      </c>
      <c r="E397" s="32">
        <f>72+7+27+17+114</f>
        <v>237</v>
      </c>
      <c r="F397" s="32">
        <v>0</v>
      </c>
      <c r="G397" s="32">
        <v>0</v>
      </c>
      <c r="H397" s="32">
        <v>0</v>
      </c>
      <c r="I397" s="32">
        <v>0</v>
      </c>
      <c r="J397" s="32">
        <v>0</v>
      </c>
      <c r="K397" s="32"/>
      <c r="M397" s="27" t="s">
        <v>801</v>
      </c>
      <c r="N397" s="27" t="s">
        <v>874</v>
      </c>
      <c r="O397" s="27" t="s">
        <v>449</v>
      </c>
      <c r="P397" s="27">
        <v>191883</v>
      </c>
      <c r="Q397" s="27">
        <v>237</v>
      </c>
      <c r="R397" s="27">
        <v>0</v>
      </c>
      <c r="S397" s="27">
        <v>0</v>
      </c>
      <c r="T397" s="27">
        <v>0</v>
      </c>
    </row>
    <row r="398" spans="1:22" x14ac:dyDescent="0.25">
      <c r="A398" s="27" t="s">
        <v>788</v>
      </c>
      <c r="B398" s="27" t="s">
        <v>874</v>
      </c>
      <c r="C398" s="27" t="s">
        <v>450</v>
      </c>
      <c r="D398" s="32">
        <f>31666+9+4+23+21900</f>
        <v>53602</v>
      </c>
      <c r="E398" s="32">
        <f>142+3+265+232+10</f>
        <v>652</v>
      </c>
      <c r="F398" s="32">
        <v>0</v>
      </c>
      <c r="G398" s="32">
        <v>0</v>
      </c>
      <c r="H398" s="32">
        <v>0</v>
      </c>
      <c r="I398" s="32">
        <v>47419</v>
      </c>
      <c r="J398" s="32">
        <v>14727</v>
      </c>
      <c r="K398" s="32"/>
      <c r="M398" s="27" t="s">
        <v>788</v>
      </c>
      <c r="N398" s="27" t="s">
        <v>874</v>
      </c>
      <c r="O398" s="27" t="s">
        <v>450</v>
      </c>
      <c r="P398" s="27">
        <v>53602</v>
      </c>
      <c r="Q398" s="27">
        <v>652</v>
      </c>
      <c r="R398" s="27">
        <v>0</v>
      </c>
      <c r="S398" s="27">
        <v>0</v>
      </c>
      <c r="T398" s="27">
        <v>0</v>
      </c>
      <c r="U398" s="27">
        <v>47419</v>
      </c>
      <c r="V398" s="27">
        <v>14727</v>
      </c>
    </row>
    <row r="399" spans="1:22" x14ac:dyDescent="0.25">
      <c r="A399" s="27" t="s">
        <v>10</v>
      </c>
      <c r="B399" s="27" t="s">
        <v>874</v>
      </c>
      <c r="C399" s="27" t="s">
        <v>451</v>
      </c>
      <c r="D399" s="32"/>
      <c r="E399" s="32"/>
      <c r="F399" s="32"/>
      <c r="G399" s="32"/>
      <c r="H399" s="32"/>
      <c r="I399" s="32"/>
      <c r="J399" s="32"/>
      <c r="K399" s="32"/>
      <c r="M399" s="27" t="s">
        <v>10</v>
      </c>
      <c r="N399" s="27" t="s">
        <v>874</v>
      </c>
      <c r="O399" s="27" t="s">
        <v>451</v>
      </c>
    </row>
    <row r="400" spans="1:22" x14ac:dyDescent="0.25">
      <c r="A400" s="27" t="s">
        <v>825</v>
      </c>
      <c r="B400" s="27" t="s">
        <v>874</v>
      </c>
      <c r="C400" s="27" t="s">
        <v>452</v>
      </c>
      <c r="D400" s="32">
        <f>18614+1+153+9+1+6744</f>
        <v>25522</v>
      </c>
      <c r="E400" s="32">
        <f>38+18+2+1</f>
        <v>59</v>
      </c>
      <c r="F400" s="32">
        <v>0</v>
      </c>
      <c r="G400" s="32">
        <v>0</v>
      </c>
      <c r="H400" s="32">
        <v>0</v>
      </c>
      <c r="I400" s="32">
        <v>30246</v>
      </c>
      <c r="J400" s="32">
        <v>5616</v>
      </c>
      <c r="K400" s="32"/>
      <c r="M400" s="27" t="s">
        <v>825</v>
      </c>
      <c r="N400" s="27" t="s">
        <v>874</v>
      </c>
      <c r="O400" s="27" t="s">
        <v>452</v>
      </c>
      <c r="P400" s="27">
        <v>25522</v>
      </c>
      <c r="Q400" s="27">
        <v>59</v>
      </c>
      <c r="R400" s="27">
        <v>0</v>
      </c>
      <c r="S400" s="27">
        <v>0</v>
      </c>
      <c r="T400" s="27">
        <v>0</v>
      </c>
      <c r="U400" s="27">
        <v>30246</v>
      </c>
      <c r="V400" s="27">
        <v>5616</v>
      </c>
    </row>
    <row r="401" spans="1:22" x14ac:dyDescent="0.25">
      <c r="A401" s="27" t="s">
        <v>101</v>
      </c>
      <c r="B401" s="27" t="s">
        <v>874</v>
      </c>
      <c r="C401" s="27" t="s">
        <v>453</v>
      </c>
      <c r="D401" s="32">
        <f>76721+1+71+1+35+25742+1</f>
        <v>102572</v>
      </c>
      <c r="E401" s="32">
        <f>129+21+30+138+20</f>
        <v>338</v>
      </c>
      <c r="F401" s="32">
        <v>0</v>
      </c>
      <c r="G401" s="32">
        <v>0</v>
      </c>
      <c r="H401" s="32">
        <v>0</v>
      </c>
      <c r="I401" s="32">
        <v>69045</v>
      </c>
      <c r="J401" s="32">
        <v>22057</v>
      </c>
      <c r="K401" s="32"/>
      <c r="M401" s="27" t="s">
        <v>101</v>
      </c>
      <c r="N401" s="27" t="s">
        <v>874</v>
      </c>
      <c r="O401" s="27" t="s">
        <v>453</v>
      </c>
      <c r="P401" s="27">
        <v>102572</v>
      </c>
      <c r="Q401" s="27">
        <v>338</v>
      </c>
      <c r="R401" s="27">
        <v>0</v>
      </c>
      <c r="S401" s="27">
        <v>0</v>
      </c>
      <c r="T401" s="27">
        <v>0</v>
      </c>
      <c r="U401" s="27">
        <v>69045</v>
      </c>
      <c r="V401" s="27">
        <v>22057</v>
      </c>
    </row>
    <row r="402" spans="1:22" x14ac:dyDescent="0.25">
      <c r="A402" s="27" t="s">
        <v>265</v>
      </c>
      <c r="B402" s="27" t="s">
        <v>874</v>
      </c>
      <c r="C402" s="27" t="s">
        <v>454</v>
      </c>
      <c r="D402" s="32">
        <f>92809+2+41+39+39941+375</f>
        <v>133207</v>
      </c>
      <c r="E402" s="32">
        <f>50+2+12</f>
        <v>64</v>
      </c>
      <c r="F402" s="32">
        <v>0</v>
      </c>
      <c r="G402" s="32">
        <v>0</v>
      </c>
      <c r="H402" s="32">
        <v>0</v>
      </c>
      <c r="I402" s="32">
        <v>184955</v>
      </c>
      <c r="J402" s="32">
        <v>24283</v>
      </c>
      <c r="K402" s="32"/>
      <c r="M402" s="27" t="s">
        <v>265</v>
      </c>
      <c r="N402" s="27" t="s">
        <v>874</v>
      </c>
      <c r="O402" s="27" t="s">
        <v>454</v>
      </c>
      <c r="P402" s="27">
        <v>133207</v>
      </c>
      <c r="Q402" s="27">
        <v>64</v>
      </c>
      <c r="R402" s="27">
        <v>0</v>
      </c>
      <c r="S402" s="27">
        <v>0</v>
      </c>
      <c r="T402" s="27">
        <v>0</v>
      </c>
      <c r="U402" s="27">
        <v>184955</v>
      </c>
      <c r="V402" s="27">
        <v>24283</v>
      </c>
    </row>
    <row r="403" spans="1:22" x14ac:dyDescent="0.25">
      <c r="A403" s="27" t="s">
        <v>248</v>
      </c>
      <c r="B403" s="27" t="s">
        <v>874</v>
      </c>
      <c r="C403" s="27" t="s">
        <v>455</v>
      </c>
      <c r="D403" s="32">
        <f>33844+1+61+3+9410</f>
        <v>43319</v>
      </c>
      <c r="E403" s="32">
        <f>27+8+437+6</f>
        <v>478</v>
      </c>
      <c r="F403" s="32">
        <v>0</v>
      </c>
      <c r="G403" s="32">
        <v>0</v>
      </c>
      <c r="H403" s="32">
        <v>0</v>
      </c>
      <c r="I403" s="32">
        <v>145332</v>
      </c>
      <c r="J403" s="32">
        <v>8231</v>
      </c>
      <c r="K403" s="32"/>
      <c r="M403" s="27" t="s">
        <v>248</v>
      </c>
      <c r="N403" s="27" t="s">
        <v>874</v>
      </c>
      <c r="O403" s="27" t="s">
        <v>455</v>
      </c>
      <c r="P403" s="27">
        <v>43319</v>
      </c>
      <c r="Q403" s="27">
        <v>478</v>
      </c>
      <c r="R403" s="27">
        <v>0</v>
      </c>
      <c r="S403" s="27">
        <v>0</v>
      </c>
      <c r="T403" s="27">
        <v>0</v>
      </c>
      <c r="U403" s="27">
        <v>145332</v>
      </c>
      <c r="V403" s="27">
        <v>8231</v>
      </c>
    </row>
    <row r="404" spans="1:22" x14ac:dyDescent="0.25">
      <c r="A404" s="27" t="s">
        <v>76</v>
      </c>
      <c r="B404" s="27" t="s">
        <v>874</v>
      </c>
      <c r="C404" s="27" t="s">
        <v>456</v>
      </c>
      <c r="D404" s="32">
        <f>124546+4828+1+16015+31290+1+2</f>
        <v>176683</v>
      </c>
      <c r="E404" s="32">
        <f>130+4+192+29</f>
        <v>355</v>
      </c>
      <c r="F404" s="32">
        <v>0</v>
      </c>
      <c r="G404" s="32">
        <v>0</v>
      </c>
      <c r="H404" s="32">
        <v>0</v>
      </c>
      <c r="I404" s="32">
        <v>451154</v>
      </c>
      <c r="J404" s="32">
        <v>26522</v>
      </c>
      <c r="K404" s="32"/>
      <c r="M404" s="27" t="s">
        <v>76</v>
      </c>
      <c r="N404" s="27" t="s">
        <v>874</v>
      </c>
      <c r="O404" s="27" t="s">
        <v>456</v>
      </c>
      <c r="P404" s="27">
        <v>176683</v>
      </c>
      <c r="Q404" s="27">
        <v>355</v>
      </c>
      <c r="R404" s="27">
        <v>0</v>
      </c>
      <c r="S404" s="27">
        <v>0</v>
      </c>
      <c r="T404" s="27">
        <v>0</v>
      </c>
      <c r="U404" s="27">
        <v>451154</v>
      </c>
      <c r="V404" s="27">
        <v>26522</v>
      </c>
    </row>
    <row r="405" spans="1:22" x14ac:dyDescent="0.25">
      <c r="A405" s="27" t="s">
        <v>76</v>
      </c>
      <c r="B405" s="27" t="s">
        <v>874</v>
      </c>
      <c r="C405" s="27" t="s">
        <v>457</v>
      </c>
      <c r="D405" s="32">
        <f>63146+2+2+1864+9+9+37871+1+2</f>
        <v>102906</v>
      </c>
      <c r="E405" s="32">
        <f>295+63+35+175+648+24</f>
        <v>1240</v>
      </c>
      <c r="F405" s="32">
        <v>0</v>
      </c>
      <c r="G405" s="32">
        <v>0</v>
      </c>
      <c r="H405" s="32">
        <v>0</v>
      </c>
      <c r="I405" s="32">
        <v>60170</v>
      </c>
      <c r="J405" s="32">
        <v>29489</v>
      </c>
      <c r="K405" s="32"/>
      <c r="M405" s="27" t="s">
        <v>76</v>
      </c>
      <c r="N405" s="27" t="s">
        <v>874</v>
      </c>
      <c r="O405" s="27" t="s">
        <v>457</v>
      </c>
      <c r="P405" s="27">
        <v>102906</v>
      </c>
      <c r="Q405" s="27">
        <v>1240</v>
      </c>
      <c r="R405" s="27">
        <v>0</v>
      </c>
      <c r="S405" s="27">
        <v>0</v>
      </c>
      <c r="T405" s="27">
        <v>0</v>
      </c>
      <c r="U405" s="27">
        <v>60170</v>
      </c>
      <c r="V405" s="27">
        <v>29489</v>
      </c>
    </row>
    <row r="406" spans="1:22" x14ac:dyDescent="0.25">
      <c r="A406" s="27" t="s">
        <v>146</v>
      </c>
      <c r="B406" s="27" t="s">
        <v>874</v>
      </c>
      <c r="C406" s="27" t="s">
        <v>458</v>
      </c>
      <c r="D406" s="32">
        <f>63043+4+4530+194+1+99+27468+5+1+4+3</f>
        <v>95352</v>
      </c>
      <c r="E406" s="32">
        <f>1752+2+13+837+217+1+140</f>
        <v>2962</v>
      </c>
      <c r="F406" s="32">
        <v>0</v>
      </c>
      <c r="G406" s="32">
        <v>0</v>
      </c>
      <c r="H406" s="32">
        <v>0</v>
      </c>
      <c r="I406" s="32">
        <v>85458</v>
      </c>
      <c r="J406" s="32">
        <v>25349</v>
      </c>
      <c r="K406" s="32"/>
      <c r="M406" s="27" t="s">
        <v>146</v>
      </c>
      <c r="N406" s="27" t="s">
        <v>874</v>
      </c>
      <c r="O406" s="27" t="s">
        <v>458</v>
      </c>
      <c r="P406" s="27">
        <v>95352</v>
      </c>
      <c r="Q406" s="27">
        <v>2962</v>
      </c>
      <c r="R406" s="27">
        <v>0</v>
      </c>
      <c r="S406" s="27">
        <v>0</v>
      </c>
      <c r="T406" s="27">
        <v>0</v>
      </c>
      <c r="U406" s="27">
        <v>85458</v>
      </c>
      <c r="V406" s="27">
        <v>25349</v>
      </c>
    </row>
    <row r="407" spans="1:22" x14ac:dyDescent="0.25">
      <c r="A407" s="27" t="s">
        <v>83</v>
      </c>
      <c r="B407" s="27" t="s">
        <v>874</v>
      </c>
      <c r="C407" s="27" t="s">
        <v>459</v>
      </c>
      <c r="D407" s="32">
        <f>12013+2+66+4606</f>
        <v>16687</v>
      </c>
      <c r="E407" s="32">
        <f>64+193</f>
        <v>257</v>
      </c>
      <c r="F407" s="32">
        <v>0</v>
      </c>
      <c r="G407" s="32">
        <v>0</v>
      </c>
      <c r="H407" s="32">
        <v>0</v>
      </c>
      <c r="I407" s="32">
        <v>20557</v>
      </c>
      <c r="J407" s="32">
        <v>4044</v>
      </c>
      <c r="K407" s="32"/>
      <c r="M407" s="27" t="s">
        <v>83</v>
      </c>
      <c r="N407" s="27" t="s">
        <v>874</v>
      </c>
      <c r="O407" s="27" t="s">
        <v>459</v>
      </c>
      <c r="P407" s="27">
        <v>16687</v>
      </c>
      <c r="Q407" s="27">
        <v>257</v>
      </c>
      <c r="R407" s="27">
        <v>0</v>
      </c>
      <c r="S407" s="27">
        <v>0</v>
      </c>
      <c r="T407" s="27">
        <v>0</v>
      </c>
      <c r="U407" s="27">
        <v>20557</v>
      </c>
      <c r="V407" s="27">
        <v>4044</v>
      </c>
    </row>
    <row r="408" spans="1:22" x14ac:dyDescent="0.25">
      <c r="A408" s="27" t="s">
        <v>248</v>
      </c>
      <c r="B408" s="27" t="s">
        <v>874</v>
      </c>
      <c r="C408" s="27" t="s">
        <v>460</v>
      </c>
      <c r="D408" s="32">
        <f>84332+13+1740+1+77+2+2+89+81738+2+1+3+2</f>
        <v>168002</v>
      </c>
      <c r="E408" s="32">
        <f>590+26+47+742+339</f>
        <v>1744</v>
      </c>
      <c r="F408" s="32">
        <v>0</v>
      </c>
      <c r="G408" s="32">
        <v>0</v>
      </c>
      <c r="H408" s="32">
        <v>0</v>
      </c>
      <c r="I408" s="32">
        <v>570944</v>
      </c>
      <c r="J408" s="32">
        <v>65445</v>
      </c>
      <c r="K408" s="32"/>
      <c r="M408" s="27" t="s">
        <v>248</v>
      </c>
      <c r="N408" s="27" t="s">
        <v>874</v>
      </c>
      <c r="O408" s="27" t="s">
        <v>460</v>
      </c>
      <c r="P408" s="27">
        <v>168002</v>
      </c>
      <c r="Q408" s="27">
        <v>1744</v>
      </c>
      <c r="R408" s="27">
        <v>0</v>
      </c>
      <c r="S408" s="27">
        <v>0</v>
      </c>
      <c r="T408" s="27">
        <v>0</v>
      </c>
      <c r="U408" s="27">
        <v>570944</v>
      </c>
      <c r="V408" s="27">
        <v>65445</v>
      </c>
    </row>
    <row r="409" spans="1:22" x14ac:dyDescent="0.25">
      <c r="A409" s="27" t="s">
        <v>248</v>
      </c>
      <c r="B409" s="27" t="s">
        <v>874</v>
      </c>
      <c r="C409" s="27" t="s">
        <v>461</v>
      </c>
      <c r="D409" s="32">
        <f>111924+803+3+182+39056+97</f>
        <v>152065</v>
      </c>
      <c r="E409" s="32">
        <f>117+9+43+239+5</f>
        <v>413</v>
      </c>
      <c r="F409" s="32">
        <v>0</v>
      </c>
      <c r="G409" s="32">
        <v>0</v>
      </c>
      <c r="H409" s="32">
        <v>0</v>
      </c>
      <c r="I409" s="32">
        <v>213077</v>
      </c>
      <c r="J409" s="32">
        <v>27184</v>
      </c>
      <c r="K409" s="32"/>
      <c r="M409" s="27" t="s">
        <v>248</v>
      </c>
      <c r="N409" s="27" t="s">
        <v>874</v>
      </c>
      <c r="O409" s="27" t="s">
        <v>461</v>
      </c>
      <c r="P409" s="27">
        <v>152065</v>
      </c>
      <c r="Q409" s="27">
        <v>413</v>
      </c>
      <c r="R409" s="27">
        <v>0</v>
      </c>
      <c r="S409" s="27">
        <v>0</v>
      </c>
      <c r="T409" s="27">
        <v>0</v>
      </c>
      <c r="U409" s="27">
        <v>213077</v>
      </c>
      <c r="V409" s="27">
        <v>27184</v>
      </c>
    </row>
    <row r="410" spans="1:22" x14ac:dyDescent="0.25">
      <c r="A410" s="27" t="s">
        <v>226</v>
      </c>
      <c r="B410" s="27" t="s">
        <v>874</v>
      </c>
      <c r="C410" s="27" t="s">
        <v>462</v>
      </c>
      <c r="D410" s="32">
        <f>27799+24+3661+100+27+2736+532+2</f>
        <v>34881</v>
      </c>
      <c r="E410" s="32">
        <f>93+3+46</f>
        <v>142</v>
      </c>
      <c r="F410" s="32">
        <v>0</v>
      </c>
      <c r="G410" s="32">
        <v>0</v>
      </c>
      <c r="H410" s="32">
        <v>0</v>
      </c>
      <c r="I410" s="32">
        <v>5458</v>
      </c>
      <c r="J410" s="32">
        <v>2833</v>
      </c>
      <c r="K410" s="32"/>
      <c r="M410" s="27" t="s">
        <v>226</v>
      </c>
      <c r="N410" s="27" t="s">
        <v>874</v>
      </c>
      <c r="O410" s="27" t="s">
        <v>462</v>
      </c>
      <c r="P410" s="27">
        <v>34881</v>
      </c>
      <c r="Q410" s="27">
        <v>142</v>
      </c>
      <c r="R410" s="27">
        <v>0</v>
      </c>
      <c r="S410" s="27">
        <v>0</v>
      </c>
      <c r="T410" s="27">
        <v>0</v>
      </c>
      <c r="U410" s="27">
        <v>5458</v>
      </c>
      <c r="V410" s="27">
        <v>2833</v>
      </c>
    </row>
    <row r="411" spans="1:22" x14ac:dyDescent="0.25">
      <c r="A411" s="27" t="s">
        <v>826</v>
      </c>
      <c r="B411" s="27" t="s">
        <v>874</v>
      </c>
      <c r="C411" s="27" t="s">
        <v>463</v>
      </c>
      <c r="D411" s="32">
        <f>34842+225+741+31+586+15087+2</f>
        <v>51514</v>
      </c>
      <c r="E411" s="32">
        <f>1324+77+27+513+26</f>
        <v>1967</v>
      </c>
      <c r="F411" s="32">
        <v>0</v>
      </c>
      <c r="G411" s="32">
        <v>0</v>
      </c>
      <c r="H411" s="32">
        <v>0</v>
      </c>
      <c r="I411" s="32">
        <v>55962</v>
      </c>
      <c r="J411" s="32">
        <v>13433</v>
      </c>
      <c r="K411" s="32"/>
      <c r="M411" s="27" t="s">
        <v>826</v>
      </c>
      <c r="N411" s="27" t="s">
        <v>874</v>
      </c>
      <c r="O411" s="27" t="s">
        <v>463</v>
      </c>
      <c r="P411" s="27">
        <v>51514</v>
      </c>
      <c r="Q411" s="27">
        <v>1967</v>
      </c>
      <c r="R411" s="27">
        <v>0</v>
      </c>
      <c r="S411" s="27">
        <v>0</v>
      </c>
      <c r="T411" s="27">
        <v>0</v>
      </c>
      <c r="U411" s="27">
        <v>55962</v>
      </c>
      <c r="V411" s="27">
        <v>13433</v>
      </c>
    </row>
    <row r="412" spans="1:22" x14ac:dyDescent="0.25">
      <c r="A412" s="27" t="s">
        <v>248</v>
      </c>
      <c r="B412" s="27" t="s">
        <v>874</v>
      </c>
      <c r="C412" s="27" t="s">
        <v>464</v>
      </c>
      <c r="D412" s="32">
        <f>41746+471+2+10+15329+4</f>
        <v>57562</v>
      </c>
      <c r="E412" s="32">
        <f>58+1+55+69</f>
        <v>183</v>
      </c>
      <c r="F412" s="32">
        <v>0</v>
      </c>
      <c r="G412" s="32">
        <v>0</v>
      </c>
      <c r="H412" s="32">
        <v>0</v>
      </c>
      <c r="I412" s="32">
        <v>100096</v>
      </c>
      <c r="J412" s="32">
        <v>13904</v>
      </c>
      <c r="K412" s="32"/>
      <c r="M412" s="27" t="s">
        <v>248</v>
      </c>
      <c r="N412" s="27" t="s">
        <v>874</v>
      </c>
      <c r="O412" s="27" t="s">
        <v>464</v>
      </c>
      <c r="P412" s="27">
        <v>57562</v>
      </c>
      <c r="Q412" s="27">
        <v>183</v>
      </c>
      <c r="R412" s="27">
        <v>0</v>
      </c>
      <c r="S412" s="27">
        <v>0</v>
      </c>
      <c r="T412" s="27">
        <v>0</v>
      </c>
      <c r="U412" s="27">
        <v>100096</v>
      </c>
      <c r="V412" s="27">
        <v>13904</v>
      </c>
    </row>
    <row r="413" spans="1:22" x14ac:dyDescent="0.25">
      <c r="A413" s="27" t="s">
        <v>101</v>
      </c>
      <c r="B413" s="27" t="s">
        <v>874</v>
      </c>
      <c r="C413" s="27" t="s">
        <v>465</v>
      </c>
      <c r="D413" s="32">
        <f>35791+30+11+20594+2</f>
        <v>56428</v>
      </c>
      <c r="E413" s="32">
        <f>7+2</f>
        <v>9</v>
      </c>
      <c r="F413" s="32">
        <v>0</v>
      </c>
      <c r="G413" s="32">
        <v>0</v>
      </c>
      <c r="H413" s="32">
        <v>0</v>
      </c>
      <c r="I413" s="32">
        <v>120055</v>
      </c>
      <c r="J413" s="32">
        <v>20361</v>
      </c>
      <c r="K413" s="32"/>
      <c r="M413" s="27" t="s">
        <v>101</v>
      </c>
      <c r="N413" s="27" t="s">
        <v>874</v>
      </c>
      <c r="O413" s="27" t="s">
        <v>465</v>
      </c>
      <c r="P413" s="27">
        <v>56428</v>
      </c>
      <c r="Q413" s="27">
        <v>9</v>
      </c>
      <c r="R413" s="27">
        <v>0</v>
      </c>
      <c r="S413" s="27">
        <v>0</v>
      </c>
      <c r="T413" s="27">
        <v>0</v>
      </c>
      <c r="U413" s="27">
        <v>120055</v>
      </c>
      <c r="V413" s="27">
        <v>20361</v>
      </c>
    </row>
    <row r="414" spans="1:22" x14ac:dyDescent="0.25">
      <c r="A414" s="27" t="s">
        <v>865</v>
      </c>
      <c r="B414" s="27" t="s">
        <v>874</v>
      </c>
      <c r="C414" s="27" t="s">
        <v>466</v>
      </c>
      <c r="D414" s="32">
        <f>161270+23+11+1+3+1720+14+2+18+36+4+4+57+214+83+37838+38+1</f>
        <v>201337</v>
      </c>
      <c r="E414" s="32">
        <f>67+75+40+7+70</f>
        <v>259</v>
      </c>
      <c r="F414" s="32">
        <v>0</v>
      </c>
      <c r="G414" s="32">
        <v>0</v>
      </c>
      <c r="H414" s="32">
        <v>0</v>
      </c>
      <c r="I414" s="32">
        <v>183067</v>
      </c>
      <c r="J414" s="32">
        <v>32771</v>
      </c>
      <c r="K414" s="32"/>
      <c r="M414" s="27" t="s">
        <v>865</v>
      </c>
      <c r="N414" s="27" t="s">
        <v>874</v>
      </c>
      <c r="O414" s="27" t="s">
        <v>466</v>
      </c>
      <c r="P414" s="27">
        <v>201337</v>
      </c>
      <c r="Q414" s="27">
        <v>259</v>
      </c>
      <c r="R414" s="27">
        <v>0</v>
      </c>
      <c r="S414" s="27">
        <v>0</v>
      </c>
      <c r="T414" s="27">
        <v>0</v>
      </c>
      <c r="U414" s="27">
        <v>183067</v>
      </c>
      <c r="V414" s="27">
        <v>32771</v>
      </c>
    </row>
    <row r="415" spans="1:22" x14ac:dyDescent="0.25">
      <c r="A415" s="27" t="s">
        <v>512</v>
      </c>
      <c r="B415" s="27" t="s">
        <v>874</v>
      </c>
      <c r="C415" s="27" t="s">
        <v>467</v>
      </c>
      <c r="D415" s="32">
        <f>45533+16+2+3+31085+1</f>
        <v>76640</v>
      </c>
      <c r="E415" s="32">
        <f>8+22+298</f>
        <v>328</v>
      </c>
      <c r="F415" s="32">
        <v>0</v>
      </c>
      <c r="G415" s="32">
        <v>0</v>
      </c>
      <c r="H415" s="32">
        <v>0</v>
      </c>
      <c r="I415" s="32">
        <v>37815</v>
      </c>
      <c r="J415" s="32">
        <v>26572</v>
      </c>
      <c r="K415" s="32"/>
      <c r="M415" s="27" t="s">
        <v>512</v>
      </c>
      <c r="N415" s="27" t="s">
        <v>874</v>
      </c>
      <c r="O415" s="27" t="s">
        <v>467</v>
      </c>
      <c r="P415" s="27">
        <v>76640</v>
      </c>
      <c r="Q415" s="27">
        <v>328</v>
      </c>
      <c r="R415" s="27">
        <v>0</v>
      </c>
      <c r="S415" s="27">
        <v>0</v>
      </c>
      <c r="T415" s="27">
        <v>0</v>
      </c>
      <c r="U415" s="27">
        <v>37815</v>
      </c>
      <c r="V415" s="27">
        <v>26572</v>
      </c>
    </row>
    <row r="416" spans="1:22" x14ac:dyDescent="0.25">
      <c r="A416" s="27" t="s">
        <v>10</v>
      </c>
      <c r="B416" s="27" t="s">
        <v>874</v>
      </c>
      <c r="C416" s="27" t="s">
        <v>781</v>
      </c>
      <c r="D416" s="32"/>
      <c r="E416" s="32"/>
      <c r="F416" s="32"/>
      <c r="G416" s="32"/>
      <c r="H416" s="32"/>
      <c r="I416" s="32"/>
      <c r="J416" s="32"/>
      <c r="K416" s="32"/>
      <c r="M416" s="27" t="s">
        <v>10</v>
      </c>
      <c r="N416" s="27" t="s">
        <v>874</v>
      </c>
      <c r="O416" s="27" t="s">
        <v>781</v>
      </c>
    </row>
    <row r="417" spans="1:22" x14ac:dyDescent="0.25">
      <c r="A417" s="27" t="s">
        <v>826</v>
      </c>
      <c r="B417" s="27" t="s">
        <v>874</v>
      </c>
      <c r="C417" s="27" t="s">
        <v>468</v>
      </c>
      <c r="D417" s="32">
        <f>19172+2+277+1+15+10+157+18773+1+22+1+1+15</f>
        <v>38447</v>
      </c>
      <c r="E417" s="32">
        <f>56+1+102+87+45</f>
        <v>291</v>
      </c>
      <c r="F417" s="32">
        <v>0</v>
      </c>
      <c r="G417" s="32">
        <v>0</v>
      </c>
      <c r="H417" s="32">
        <v>0</v>
      </c>
      <c r="I417" s="32">
        <v>37151</v>
      </c>
      <c r="J417" s="32">
        <v>13368</v>
      </c>
      <c r="K417" s="32"/>
      <c r="M417" s="27" t="s">
        <v>826</v>
      </c>
      <c r="N417" s="27" t="s">
        <v>874</v>
      </c>
      <c r="O417" s="27" t="s">
        <v>468</v>
      </c>
      <c r="P417" s="27">
        <v>38447</v>
      </c>
      <c r="Q417" s="27">
        <v>291</v>
      </c>
      <c r="R417" s="27">
        <v>0</v>
      </c>
      <c r="S417" s="27">
        <v>0</v>
      </c>
      <c r="T417" s="27">
        <v>0</v>
      </c>
      <c r="U417" s="27">
        <v>37151</v>
      </c>
      <c r="V417" s="27">
        <v>13368</v>
      </c>
    </row>
    <row r="418" spans="1:22" x14ac:dyDescent="0.25">
      <c r="A418" s="27" t="s">
        <v>817</v>
      </c>
      <c r="B418" s="27" t="s">
        <v>874</v>
      </c>
      <c r="C418" s="27" t="s">
        <v>469</v>
      </c>
      <c r="D418" s="32">
        <f>423971+22+6672+2</f>
        <v>430667</v>
      </c>
      <c r="E418" s="32">
        <f>95+203+1+37</f>
        <v>336</v>
      </c>
      <c r="F418" s="32">
        <v>0</v>
      </c>
      <c r="G418" s="32">
        <v>0</v>
      </c>
      <c r="H418" s="32">
        <v>0</v>
      </c>
      <c r="I418" s="32">
        <v>99284</v>
      </c>
      <c r="J418" s="32">
        <v>5150</v>
      </c>
      <c r="K418" s="32"/>
      <c r="M418" s="27" t="s">
        <v>817</v>
      </c>
      <c r="N418" s="27" t="s">
        <v>874</v>
      </c>
      <c r="O418" s="27" t="s">
        <v>469</v>
      </c>
      <c r="P418" s="27">
        <v>430667</v>
      </c>
      <c r="Q418" s="27">
        <v>336</v>
      </c>
      <c r="R418" s="27">
        <v>0</v>
      </c>
      <c r="S418" s="27">
        <v>0</v>
      </c>
      <c r="T418" s="27">
        <v>0</v>
      </c>
      <c r="U418" s="27">
        <v>99284</v>
      </c>
      <c r="V418" s="27">
        <v>5150</v>
      </c>
    </row>
    <row r="419" spans="1:22" x14ac:dyDescent="0.25">
      <c r="A419" s="27" t="s">
        <v>791</v>
      </c>
      <c r="B419" s="27" t="s">
        <v>874</v>
      </c>
      <c r="C419" s="27" t="s">
        <v>470</v>
      </c>
      <c r="D419" s="32">
        <f>24594+1+4+6+34585+4</f>
        <v>59194</v>
      </c>
      <c r="E419" s="32">
        <f>93+962+182+1</f>
        <v>1238</v>
      </c>
      <c r="F419" s="32">
        <v>0</v>
      </c>
      <c r="G419" s="32">
        <v>0</v>
      </c>
      <c r="H419" s="32">
        <v>0</v>
      </c>
      <c r="I419" s="32">
        <v>15704</v>
      </c>
      <c r="J419" s="32">
        <v>35277</v>
      </c>
      <c r="K419" s="32"/>
      <c r="M419" s="27" t="s">
        <v>791</v>
      </c>
      <c r="N419" s="27" t="s">
        <v>874</v>
      </c>
      <c r="O419" s="27" t="s">
        <v>470</v>
      </c>
      <c r="P419" s="27">
        <v>59194</v>
      </c>
      <c r="Q419" s="27">
        <v>1238</v>
      </c>
      <c r="R419" s="27">
        <v>0</v>
      </c>
      <c r="S419" s="27">
        <v>0</v>
      </c>
      <c r="T419" s="27">
        <v>0</v>
      </c>
      <c r="U419" s="27">
        <v>15704</v>
      </c>
      <c r="V419" s="27">
        <v>35277</v>
      </c>
    </row>
    <row r="420" spans="1:22" x14ac:dyDescent="0.25">
      <c r="A420" s="27" t="s">
        <v>788</v>
      </c>
      <c r="B420" s="27" t="s">
        <v>874</v>
      </c>
      <c r="C420" s="27" t="s">
        <v>471</v>
      </c>
      <c r="D420" s="32">
        <f>87969+1334+7+75+40559+2+13</f>
        <v>129959</v>
      </c>
      <c r="E420" s="32">
        <f>465+17+139+320+203</f>
        <v>1144</v>
      </c>
      <c r="F420" s="32">
        <v>0</v>
      </c>
      <c r="G420" s="32">
        <v>0</v>
      </c>
      <c r="H420" s="32">
        <v>0</v>
      </c>
      <c r="I420" s="32">
        <v>60167</v>
      </c>
      <c r="J420" s="32">
        <v>33652</v>
      </c>
      <c r="K420" s="32"/>
      <c r="M420" s="27" t="s">
        <v>788</v>
      </c>
      <c r="N420" s="27" t="s">
        <v>874</v>
      </c>
      <c r="O420" s="27" t="s">
        <v>471</v>
      </c>
      <c r="P420" s="27">
        <v>129959</v>
      </c>
      <c r="Q420" s="27">
        <v>1144</v>
      </c>
      <c r="R420" s="27">
        <v>0</v>
      </c>
      <c r="S420" s="27">
        <v>0</v>
      </c>
      <c r="T420" s="27">
        <v>0</v>
      </c>
      <c r="U420" s="27">
        <v>60167</v>
      </c>
      <c r="V420" s="27">
        <v>33652</v>
      </c>
    </row>
    <row r="421" spans="1:22" x14ac:dyDescent="0.25">
      <c r="A421" s="27" t="s">
        <v>795</v>
      </c>
      <c r="B421" s="27" t="s">
        <v>874</v>
      </c>
      <c r="C421" s="27" t="s">
        <v>472</v>
      </c>
      <c r="D421" s="32">
        <f>61567+10+2+420+33+59+35826+324</f>
        <v>98241</v>
      </c>
      <c r="E421" s="32">
        <f>1161+29+49+260+662</f>
        <v>2161</v>
      </c>
      <c r="F421" s="32">
        <v>0</v>
      </c>
      <c r="G421" s="32">
        <v>0</v>
      </c>
      <c r="H421" s="32">
        <v>0</v>
      </c>
      <c r="I421" s="32">
        <v>60776</v>
      </c>
      <c r="J421" s="32">
        <v>31417</v>
      </c>
      <c r="K421" s="32"/>
      <c r="M421" s="27" t="s">
        <v>795</v>
      </c>
      <c r="N421" s="27" t="s">
        <v>874</v>
      </c>
      <c r="O421" s="27" t="s">
        <v>472</v>
      </c>
      <c r="P421" s="27">
        <v>98241</v>
      </c>
      <c r="Q421" s="27">
        <v>2161</v>
      </c>
      <c r="R421" s="27">
        <v>0</v>
      </c>
      <c r="S421" s="27">
        <v>0</v>
      </c>
      <c r="T421" s="27">
        <v>0</v>
      </c>
      <c r="U421" s="27">
        <v>60776</v>
      </c>
      <c r="V421" s="27">
        <v>31417</v>
      </c>
    </row>
    <row r="422" spans="1:22" x14ac:dyDescent="0.25">
      <c r="A422" s="27" t="s">
        <v>788</v>
      </c>
      <c r="B422" s="27" t="s">
        <v>874</v>
      </c>
      <c r="C422" s="27" t="s">
        <v>473</v>
      </c>
      <c r="D422" s="32">
        <f>96616+1+470+113+5+1+2+7+44254</f>
        <v>141469</v>
      </c>
      <c r="E422" s="32">
        <f>1391+37+419+1323+1+3</f>
        <v>3174</v>
      </c>
      <c r="F422" s="32">
        <v>0</v>
      </c>
      <c r="G422" s="32">
        <v>0</v>
      </c>
      <c r="H422" s="32">
        <v>0</v>
      </c>
      <c r="I422" s="32">
        <v>62390</v>
      </c>
      <c r="J422" s="32">
        <v>39554</v>
      </c>
      <c r="K422" s="32"/>
      <c r="M422" s="27" t="s">
        <v>788</v>
      </c>
      <c r="N422" s="27" t="s">
        <v>874</v>
      </c>
      <c r="O422" s="27" t="s">
        <v>473</v>
      </c>
      <c r="P422" s="27">
        <v>141469</v>
      </c>
      <c r="Q422" s="27">
        <v>3174</v>
      </c>
      <c r="R422" s="27">
        <v>0</v>
      </c>
      <c r="S422" s="27">
        <v>0</v>
      </c>
      <c r="T422" s="27">
        <v>0</v>
      </c>
      <c r="U422" s="27">
        <v>62390</v>
      </c>
      <c r="V422" s="27">
        <v>39554</v>
      </c>
    </row>
    <row r="423" spans="1:22" x14ac:dyDescent="0.25">
      <c r="A423" s="27" t="s">
        <v>817</v>
      </c>
      <c r="B423" s="27" t="s">
        <v>874</v>
      </c>
      <c r="C423" s="27" t="s">
        <v>474</v>
      </c>
      <c r="D423" s="32">
        <f>37969+2+869+3+45+78743+45</f>
        <v>117676</v>
      </c>
      <c r="E423" s="32">
        <f>110+1+297+45</f>
        <v>453</v>
      </c>
      <c r="F423" s="32">
        <v>0</v>
      </c>
      <c r="G423" s="32">
        <v>0</v>
      </c>
      <c r="H423" s="32">
        <v>0</v>
      </c>
      <c r="I423" s="32">
        <v>623067</v>
      </c>
      <c r="J423" s="32">
        <v>62110</v>
      </c>
      <c r="K423" s="32"/>
      <c r="M423" s="27" t="s">
        <v>817</v>
      </c>
      <c r="N423" s="27" t="s">
        <v>874</v>
      </c>
      <c r="O423" s="27" t="s">
        <v>474</v>
      </c>
      <c r="P423" s="27">
        <v>117676</v>
      </c>
      <c r="Q423" s="27">
        <v>453</v>
      </c>
      <c r="R423" s="27">
        <v>0</v>
      </c>
      <c r="S423" s="27">
        <v>0</v>
      </c>
      <c r="T423" s="27">
        <v>0</v>
      </c>
      <c r="U423" s="27">
        <v>623067</v>
      </c>
      <c r="V423" s="27">
        <v>62110</v>
      </c>
    </row>
    <row r="424" spans="1:22" x14ac:dyDescent="0.25">
      <c r="A424" s="27" t="s">
        <v>512</v>
      </c>
      <c r="B424" s="27" t="s">
        <v>874</v>
      </c>
      <c r="C424" s="27" t="s">
        <v>475</v>
      </c>
      <c r="D424" s="32">
        <f>20296+2319+2+1+1+4+11+6590</f>
        <v>29224</v>
      </c>
      <c r="E424" s="32">
        <f>131+2+14+25+36</f>
        <v>208</v>
      </c>
      <c r="F424" s="32">
        <v>0</v>
      </c>
      <c r="G424" s="32">
        <v>0</v>
      </c>
      <c r="H424" s="32">
        <v>0</v>
      </c>
      <c r="I424" s="32">
        <v>28259</v>
      </c>
      <c r="J424" s="32">
        <v>5421</v>
      </c>
      <c r="K424" s="32"/>
      <c r="M424" s="27" t="s">
        <v>512</v>
      </c>
      <c r="N424" s="27" t="s">
        <v>874</v>
      </c>
      <c r="O424" s="27" t="s">
        <v>475</v>
      </c>
      <c r="P424" s="27">
        <v>29224</v>
      </c>
      <c r="Q424" s="27">
        <v>208</v>
      </c>
      <c r="R424" s="27">
        <v>0</v>
      </c>
      <c r="S424" s="27">
        <v>0</v>
      </c>
      <c r="T424" s="27">
        <v>0</v>
      </c>
      <c r="U424" s="27">
        <v>28259</v>
      </c>
      <c r="V424" s="27">
        <v>5421</v>
      </c>
    </row>
    <row r="425" spans="1:22" x14ac:dyDescent="0.25">
      <c r="A425" s="27" t="s">
        <v>146</v>
      </c>
      <c r="B425" s="27" t="s">
        <v>874</v>
      </c>
      <c r="C425" s="27" t="s">
        <v>476</v>
      </c>
      <c r="D425" s="32">
        <f>114384+1+6+6+156+1+1+2+1+3+36196+1+1+1191</f>
        <v>151950</v>
      </c>
      <c r="E425" s="32">
        <f>15+82+17</f>
        <v>114</v>
      </c>
      <c r="F425" s="32">
        <v>0</v>
      </c>
      <c r="G425" s="32">
        <v>0</v>
      </c>
      <c r="H425" s="32">
        <v>0</v>
      </c>
      <c r="I425" s="32">
        <v>61190</v>
      </c>
      <c r="J425" s="32">
        <v>34561</v>
      </c>
      <c r="K425" s="32"/>
      <c r="M425" s="27" t="s">
        <v>146</v>
      </c>
      <c r="N425" s="27" t="s">
        <v>874</v>
      </c>
      <c r="O425" s="27" t="s">
        <v>476</v>
      </c>
      <c r="P425" s="27">
        <v>151950</v>
      </c>
      <c r="Q425" s="27">
        <v>114</v>
      </c>
      <c r="R425" s="27">
        <v>0</v>
      </c>
      <c r="S425" s="27">
        <v>0</v>
      </c>
      <c r="T425" s="27">
        <v>0</v>
      </c>
      <c r="U425" s="27">
        <v>61190</v>
      </c>
      <c r="V425" s="27">
        <v>34561</v>
      </c>
    </row>
    <row r="426" spans="1:22" x14ac:dyDescent="0.25">
      <c r="A426" s="27" t="s">
        <v>76</v>
      </c>
      <c r="B426" s="27" t="s">
        <v>874</v>
      </c>
      <c r="C426" s="27" t="s">
        <v>477</v>
      </c>
      <c r="D426" s="32">
        <f>109031+7+1+733+4+66485+2+76</f>
        <v>176339</v>
      </c>
      <c r="E426" s="32">
        <f>199+2+44+1031+12</f>
        <v>1288</v>
      </c>
      <c r="F426" s="32">
        <v>0</v>
      </c>
      <c r="G426" s="32">
        <v>0</v>
      </c>
      <c r="H426" s="32">
        <v>0</v>
      </c>
      <c r="I426" s="32">
        <v>155048</v>
      </c>
      <c r="J426" s="32">
        <v>56010</v>
      </c>
      <c r="K426" s="32"/>
      <c r="M426" s="27" t="s">
        <v>76</v>
      </c>
      <c r="N426" s="27" t="s">
        <v>874</v>
      </c>
      <c r="O426" s="27" t="s">
        <v>477</v>
      </c>
      <c r="P426" s="27">
        <v>176339</v>
      </c>
      <c r="Q426" s="27">
        <v>1288</v>
      </c>
      <c r="R426" s="27">
        <v>0</v>
      </c>
      <c r="S426" s="27">
        <v>0</v>
      </c>
      <c r="T426" s="27">
        <v>0</v>
      </c>
      <c r="U426" s="27">
        <v>155048</v>
      </c>
      <c r="V426" s="27">
        <v>56010</v>
      </c>
    </row>
    <row r="427" spans="1:22" x14ac:dyDescent="0.25">
      <c r="A427" s="27" t="s">
        <v>76</v>
      </c>
      <c r="B427" s="27" t="s">
        <v>874</v>
      </c>
      <c r="C427" s="27" t="s">
        <v>478</v>
      </c>
      <c r="D427" s="32">
        <f>116424+265+12+2+13+1+9+60084+412</f>
        <v>177222</v>
      </c>
      <c r="E427" s="32">
        <f>547+28+178+83+1</f>
        <v>837</v>
      </c>
      <c r="F427" s="32">
        <v>0</v>
      </c>
      <c r="G427" s="32">
        <v>0</v>
      </c>
      <c r="H427" s="32">
        <v>0</v>
      </c>
      <c r="I427" s="32">
        <v>96504</v>
      </c>
      <c r="J427" s="32">
        <v>52880</v>
      </c>
      <c r="K427" s="32"/>
      <c r="M427" s="27" t="s">
        <v>76</v>
      </c>
      <c r="N427" s="27" t="s">
        <v>874</v>
      </c>
      <c r="O427" s="27" t="s">
        <v>478</v>
      </c>
      <c r="P427" s="27">
        <v>177222</v>
      </c>
      <c r="Q427" s="27">
        <v>837</v>
      </c>
      <c r="R427" s="27">
        <v>0</v>
      </c>
      <c r="S427" s="27">
        <v>0</v>
      </c>
      <c r="T427" s="27">
        <v>0</v>
      </c>
      <c r="U427" s="27">
        <v>96504</v>
      </c>
      <c r="V427" s="27">
        <v>52880</v>
      </c>
    </row>
    <row r="428" spans="1:22" x14ac:dyDescent="0.25">
      <c r="A428" s="27" t="s">
        <v>823</v>
      </c>
      <c r="B428" s="27" t="s">
        <v>874</v>
      </c>
      <c r="C428" s="27" t="s">
        <v>479</v>
      </c>
      <c r="D428" s="32">
        <f>126929+1+15+67+450+1+4+2+29+43026</f>
        <v>170524</v>
      </c>
      <c r="E428" s="32">
        <f>491+375+2+665+695</f>
        <v>2228</v>
      </c>
      <c r="F428" s="32">
        <v>0</v>
      </c>
      <c r="G428" s="32">
        <v>0</v>
      </c>
      <c r="H428" s="32">
        <v>0</v>
      </c>
      <c r="I428" s="32">
        <v>91757</v>
      </c>
      <c r="J428" s="32">
        <v>37788</v>
      </c>
      <c r="K428" s="32"/>
      <c r="M428" s="27" t="s">
        <v>823</v>
      </c>
      <c r="N428" s="27" t="s">
        <v>874</v>
      </c>
      <c r="O428" s="27" t="s">
        <v>479</v>
      </c>
      <c r="P428" s="27">
        <v>170524</v>
      </c>
      <c r="Q428" s="27">
        <v>2228</v>
      </c>
      <c r="R428" s="27">
        <v>0</v>
      </c>
      <c r="S428" s="27">
        <v>0</v>
      </c>
      <c r="T428" s="27">
        <v>0</v>
      </c>
      <c r="U428" s="27">
        <v>91757</v>
      </c>
      <c r="V428" s="27">
        <v>37788</v>
      </c>
    </row>
    <row r="429" spans="1:22" x14ac:dyDescent="0.25">
      <c r="A429" s="27" t="s">
        <v>83</v>
      </c>
      <c r="B429" s="27" t="s">
        <v>874</v>
      </c>
      <c r="C429" s="27" t="s">
        <v>480</v>
      </c>
      <c r="D429" s="32">
        <f>23541+2+8+33+15637+2+1</f>
        <v>39224</v>
      </c>
      <c r="E429" s="32">
        <f>33+29+1+40+5</f>
        <v>108</v>
      </c>
      <c r="F429" s="32">
        <v>0</v>
      </c>
      <c r="G429" s="32">
        <v>0</v>
      </c>
      <c r="H429" s="32">
        <v>0</v>
      </c>
      <c r="I429" s="32">
        <v>34843</v>
      </c>
      <c r="J429" s="32">
        <v>14555</v>
      </c>
      <c r="K429" s="32"/>
      <c r="M429" s="27" t="s">
        <v>83</v>
      </c>
      <c r="N429" s="27" t="s">
        <v>874</v>
      </c>
      <c r="O429" s="27" t="s">
        <v>480</v>
      </c>
      <c r="P429" s="27">
        <v>39224</v>
      </c>
      <c r="Q429" s="27">
        <v>108</v>
      </c>
      <c r="R429" s="27">
        <v>0</v>
      </c>
      <c r="S429" s="27">
        <v>0</v>
      </c>
      <c r="T429" s="27">
        <v>0</v>
      </c>
      <c r="U429" s="27">
        <v>34843</v>
      </c>
      <c r="V429" s="27">
        <v>14555</v>
      </c>
    </row>
    <row r="430" spans="1:22" x14ac:dyDescent="0.25">
      <c r="A430" s="27" t="s">
        <v>512</v>
      </c>
      <c r="B430" s="27" t="s">
        <v>874</v>
      </c>
      <c r="C430" s="27" t="s">
        <v>481</v>
      </c>
      <c r="D430" s="32">
        <f>41461+44+7+97+17080</f>
        <v>58689</v>
      </c>
      <c r="E430" s="32">
        <f>66+103+131+242+10</f>
        <v>552</v>
      </c>
      <c r="F430" s="32">
        <v>0</v>
      </c>
      <c r="G430" s="32">
        <v>0</v>
      </c>
      <c r="H430" s="32">
        <v>0</v>
      </c>
      <c r="I430" s="32">
        <v>7862</v>
      </c>
      <c r="J430" s="32">
        <v>13345</v>
      </c>
      <c r="K430" s="32"/>
      <c r="M430" s="27" t="s">
        <v>512</v>
      </c>
      <c r="N430" s="27" t="s">
        <v>874</v>
      </c>
      <c r="O430" s="27" t="s">
        <v>481</v>
      </c>
      <c r="P430" s="27">
        <v>58689</v>
      </c>
      <c r="Q430" s="27">
        <v>552</v>
      </c>
      <c r="R430" s="27">
        <v>0</v>
      </c>
      <c r="S430" s="27">
        <v>0</v>
      </c>
      <c r="T430" s="27">
        <v>0</v>
      </c>
      <c r="U430" s="27">
        <v>7862</v>
      </c>
      <c r="V430" s="27">
        <v>13345</v>
      </c>
    </row>
    <row r="431" spans="1:22" x14ac:dyDescent="0.25">
      <c r="A431" s="27" t="s">
        <v>824</v>
      </c>
      <c r="B431" s="27" t="s">
        <v>874</v>
      </c>
      <c r="C431" s="27" t="s">
        <v>482</v>
      </c>
      <c r="D431" s="32">
        <f>20917+15631+2+2</f>
        <v>36552</v>
      </c>
      <c r="E431" s="32">
        <f>380+11+106+12</f>
        <v>509</v>
      </c>
      <c r="F431" s="32">
        <v>0</v>
      </c>
      <c r="G431" s="32">
        <v>0</v>
      </c>
      <c r="H431" s="32">
        <v>0</v>
      </c>
      <c r="I431" s="32">
        <v>26711</v>
      </c>
      <c r="J431" s="32">
        <v>9978</v>
      </c>
      <c r="K431" s="32"/>
      <c r="M431" s="27" t="s">
        <v>824</v>
      </c>
      <c r="N431" s="27" t="s">
        <v>874</v>
      </c>
      <c r="O431" s="27" t="s">
        <v>482</v>
      </c>
      <c r="P431" s="27">
        <v>36552</v>
      </c>
      <c r="Q431" s="27">
        <v>509</v>
      </c>
      <c r="R431" s="27">
        <v>0</v>
      </c>
      <c r="S431" s="27">
        <v>0</v>
      </c>
      <c r="T431" s="27">
        <v>0</v>
      </c>
      <c r="U431" s="27">
        <v>26711</v>
      </c>
      <c r="V431" s="27">
        <v>9978</v>
      </c>
    </row>
    <row r="432" spans="1:22" x14ac:dyDescent="0.25">
      <c r="A432" s="27" t="s">
        <v>248</v>
      </c>
      <c r="B432" s="27" t="s">
        <v>874</v>
      </c>
      <c r="C432" s="27" t="s">
        <v>483</v>
      </c>
      <c r="D432" s="32">
        <f>75484+4+690+9+20203+4+4</f>
        <v>96398</v>
      </c>
      <c r="E432" s="32">
        <f>390+8+1+40+67</f>
        <v>506</v>
      </c>
      <c r="F432" s="32">
        <v>0</v>
      </c>
      <c r="G432" s="32">
        <v>0</v>
      </c>
      <c r="H432" s="32">
        <v>0</v>
      </c>
      <c r="I432" s="32">
        <v>235959</v>
      </c>
      <c r="J432" s="32">
        <v>17225</v>
      </c>
      <c r="K432" s="32"/>
      <c r="M432" s="27" t="s">
        <v>248</v>
      </c>
      <c r="N432" s="27" t="s">
        <v>874</v>
      </c>
      <c r="O432" s="27" t="s">
        <v>483</v>
      </c>
      <c r="P432" s="27">
        <v>96398</v>
      </c>
      <c r="Q432" s="27">
        <v>506</v>
      </c>
      <c r="R432" s="27">
        <v>0</v>
      </c>
      <c r="S432" s="27">
        <v>0</v>
      </c>
      <c r="T432" s="27">
        <v>0</v>
      </c>
      <c r="U432" s="27">
        <v>235959</v>
      </c>
      <c r="V432" s="27">
        <v>17225</v>
      </c>
    </row>
    <row r="433" spans="1:22" x14ac:dyDescent="0.25">
      <c r="A433" s="27" t="s">
        <v>801</v>
      </c>
      <c r="B433" s="27" t="s">
        <v>874</v>
      </c>
      <c r="C433" s="27" t="s">
        <v>484</v>
      </c>
      <c r="D433" s="32">
        <f>42124+2+604+7+8+48680+572+61</f>
        <v>92058</v>
      </c>
      <c r="E433" s="32">
        <f>2+35+71</f>
        <v>108</v>
      </c>
      <c r="F433" s="32">
        <v>0</v>
      </c>
      <c r="G433" s="32">
        <v>0</v>
      </c>
      <c r="H433" s="32">
        <v>0</v>
      </c>
      <c r="I433" s="32">
        <v>287283</v>
      </c>
      <c r="J433" s="32">
        <v>41875</v>
      </c>
      <c r="K433" s="32"/>
      <c r="M433" s="27" t="s">
        <v>801</v>
      </c>
      <c r="N433" s="27" t="s">
        <v>874</v>
      </c>
      <c r="O433" s="27" t="s">
        <v>484</v>
      </c>
      <c r="P433" s="27">
        <v>92058</v>
      </c>
      <c r="Q433" s="27">
        <v>108</v>
      </c>
      <c r="R433" s="27">
        <v>0</v>
      </c>
      <c r="S433" s="27">
        <v>0</v>
      </c>
      <c r="T433" s="27">
        <v>0</v>
      </c>
      <c r="U433" s="27">
        <v>287283</v>
      </c>
      <c r="V433" s="27">
        <v>41875</v>
      </c>
    </row>
    <row r="434" spans="1:22" x14ac:dyDescent="0.25">
      <c r="A434" s="27" t="s">
        <v>818</v>
      </c>
      <c r="B434" s="27" t="s">
        <v>874</v>
      </c>
      <c r="C434" s="27" t="s">
        <v>485</v>
      </c>
      <c r="D434" s="32">
        <f>43604+2+30+177+29857</f>
        <v>73670</v>
      </c>
      <c r="E434" s="32">
        <f>21+50+1</f>
        <v>72</v>
      </c>
      <c r="F434" s="32">
        <v>0</v>
      </c>
      <c r="G434" s="32">
        <v>0</v>
      </c>
      <c r="H434" s="32">
        <v>0</v>
      </c>
      <c r="I434" s="32">
        <v>52728</v>
      </c>
      <c r="J434" s="32">
        <v>16897</v>
      </c>
      <c r="K434" s="32"/>
      <c r="M434" s="27" t="s">
        <v>818</v>
      </c>
      <c r="N434" s="27" t="s">
        <v>874</v>
      </c>
      <c r="O434" s="27" t="s">
        <v>485</v>
      </c>
      <c r="P434" s="27">
        <v>73670</v>
      </c>
      <c r="Q434" s="27">
        <v>72</v>
      </c>
      <c r="R434" s="27">
        <v>0</v>
      </c>
      <c r="S434" s="27">
        <v>0</v>
      </c>
      <c r="T434" s="27">
        <v>0</v>
      </c>
      <c r="U434" s="27">
        <v>52728</v>
      </c>
      <c r="V434" s="27">
        <v>16897</v>
      </c>
    </row>
    <row r="435" spans="1:22" x14ac:dyDescent="0.25">
      <c r="A435" s="27" t="s">
        <v>797</v>
      </c>
      <c r="B435" s="27" t="s">
        <v>874</v>
      </c>
      <c r="C435" s="27" t="s">
        <v>486</v>
      </c>
      <c r="D435" s="32">
        <f>122805+2+2+1+179+1+1+3+4+24+17376+5</f>
        <v>140403</v>
      </c>
      <c r="E435" s="32">
        <f>68+10+4</f>
        <v>82</v>
      </c>
      <c r="F435" s="32">
        <v>0</v>
      </c>
      <c r="G435" s="32">
        <v>0</v>
      </c>
      <c r="H435" s="32">
        <v>0</v>
      </c>
      <c r="I435" s="32">
        <v>25503</v>
      </c>
      <c r="J435" s="32">
        <v>12101</v>
      </c>
      <c r="K435" s="32"/>
      <c r="M435" s="27" t="s">
        <v>797</v>
      </c>
      <c r="N435" s="27" t="s">
        <v>874</v>
      </c>
      <c r="O435" s="27" t="s">
        <v>486</v>
      </c>
      <c r="P435" s="27">
        <v>140403</v>
      </c>
      <c r="Q435" s="27">
        <v>82</v>
      </c>
      <c r="R435" s="27">
        <v>0</v>
      </c>
      <c r="S435" s="27">
        <v>0</v>
      </c>
      <c r="T435" s="27">
        <v>0</v>
      </c>
      <c r="U435" s="27">
        <v>25503</v>
      </c>
      <c r="V435" s="27">
        <v>12101</v>
      </c>
    </row>
    <row r="436" spans="1:22" x14ac:dyDescent="0.25">
      <c r="A436" s="27" t="s">
        <v>804</v>
      </c>
      <c r="B436" s="27" t="s">
        <v>874</v>
      </c>
      <c r="C436" s="27" t="s">
        <v>487</v>
      </c>
      <c r="D436" s="32">
        <f>71858+1+7+13+3+40195+698+14</f>
        <v>112789</v>
      </c>
      <c r="E436" s="32">
        <f>5+3+14+214</f>
        <v>236</v>
      </c>
      <c r="F436" s="32">
        <v>0</v>
      </c>
      <c r="G436" s="32">
        <v>0</v>
      </c>
      <c r="H436" s="32">
        <v>0</v>
      </c>
      <c r="I436" s="32">
        <v>60503</v>
      </c>
      <c r="J436" s="32">
        <v>34210</v>
      </c>
      <c r="K436" s="32"/>
      <c r="M436" s="27" t="s">
        <v>804</v>
      </c>
      <c r="N436" s="27" t="s">
        <v>874</v>
      </c>
      <c r="O436" s="27" t="s">
        <v>487</v>
      </c>
      <c r="P436" s="27">
        <v>112789</v>
      </c>
      <c r="Q436" s="27">
        <v>236</v>
      </c>
      <c r="R436" s="27">
        <v>0</v>
      </c>
      <c r="S436" s="27">
        <v>0</v>
      </c>
      <c r="T436" s="27">
        <v>0</v>
      </c>
      <c r="U436" s="27">
        <v>60503</v>
      </c>
      <c r="V436" s="27">
        <v>34210</v>
      </c>
    </row>
    <row r="437" spans="1:22" x14ac:dyDescent="0.25">
      <c r="A437" s="27" t="s">
        <v>226</v>
      </c>
      <c r="B437" s="27" t="s">
        <v>874</v>
      </c>
      <c r="C437" s="27" t="s">
        <v>488</v>
      </c>
      <c r="D437" s="32">
        <f>72999+1+3+1+136+4301+3+3+14+8+30+1+21+26995</f>
        <v>104516</v>
      </c>
      <c r="E437" s="32">
        <f>94+118+42+76+20</f>
        <v>350</v>
      </c>
      <c r="F437" s="32">
        <v>0</v>
      </c>
      <c r="G437" s="32">
        <v>0</v>
      </c>
      <c r="H437" s="32">
        <v>0</v>
      </c>
      <c r="I437" s="32">
        <v>50969</v>
      </c>
      <c r="J437" s="32">
        <v>24698</v>
      </c>
      <c r="K437" s="32"/>
      <c r="M437" s="27" t="s">
        <v>226</v>
      </c>
      <c r="N437" s="27" t="s">
        <v>874</v>
      </c>
      <c r="O437" s="27" t="s">
        <v>488</v>
      </c>
      <c r="P437" s="27">
        <v>104516</v>
      </c>
      <c r="Q437" s="27">
        <v>350</v>
      </c>
      <c r="R437" s="27">
        <v>0</v>
      </c>
      <c r="S437" s="27">
        <v>0</v>
      </c>
      <c r="T437" s="27">
        <v>0</v>
      </c>
      <c r="U437" s="27">
        <v>50969</v>
      </c>
      <c r="V437" s="27">
        <v>24698</v>
      </c>
    </row>
    <row r="438" spans="1:22" x14ac:dyDescent="0.25">
      <c r="A438" s="27" t="s">
        <v>795</v>
      </c>
      <c r="B438" s="27" t="s">
        <v>874</v>
      </c>
      <c r="C438" s="27" t="s">
        <v>489</v>
      </c>
      <c r="D438" s="32">
        <f>46835+7+22+317+1+5+24+1+8+45311</f>
        <v>92531</v>
      </c>
      <c r="E438" s="32">
        <f>62+7+2+1464+809</f>
        <v>2344</v>
      </c>
      <c r="F438" s="32">
        <v>0</v>
      </c>
      <c r="G438" s="32">
        <v>0</v>
      </c>
      <c r="H438" s="32">
        <v>0</v>
      </c>
      <c r="I438" s="32">
        <v>81263</v>
      </c>
      <c r="J438" s="32">
        <v>37061</v>
      </c>
      <c r="K438" s="32"/>
      <c r="M438" s="27" t="s">
        <v>795</v>
      </c>
      <c r="N438" s="27" t="s">
        <v>874</v>
      </c>
      <c r="O438" s="27" t="s">
        <v>489</v>
      </c>
      <c r="P438" s="27">
        <v>92531</v>
      </c>
      <c r="Q438" s="27">
        <v>2344</v>
      </c>
      <c r="R438" s="27">
        <v>0</v>
      </c>
      <c r="S438" s="27">
        <v>0</v>
      </c>
      <c r="T438" s="27">
        <v>0</v>
      </c>
      <c r="U438" s="27">
        <v>81263</v>
      </c>
      <c r="V438" s="27">
        <v>37061</v>
      </c>
    </row>
    <row r="439" spans="1:22" x14ac:dyDescent="0.25">
      <c r="A439" s="27" t="s">
        <v>248</v>
      </c>
      <c r="B439" s="27" t="s">
        <v>874</v>
      </c>
      <c r="C439" s="27" t="s">
        <v>490</v>
      </c>
      <c r="D439" s="32">
        <f>18387+31+137+1+79189+12199+36</f>
        <v>109980</v>
      </c>
      <c r="E439" s="32">
        <f>14758+95030+246+13448+2913+5</f>
        <v>126400</v>
      </c>
      <c r="F439" s="32">
        <v>0</v>
      </c>
      <c r="G439" s="32">
        <v>0</v>
      </c>
      <c r="H439" s="32">
        <v>0</v>
      </c>
      <c r="I439" s="32">
        <v>9500</v>
      </c>
      <c r="J439" s="32">
        <v>21365</v>
      </c>
      <c r="K439" s="32"/>
      <c r="M439" s="27" t="s">
        <v>248</v>
      </c>
      <c r="N439" s="27" t="s">
        <v>874</v>
      </c>
      <c r="O439" s="27" t="s">
        <v>490</v>
      </c>
      <c r="P439" s="27">
        <v>109980</v>
      </c>
      <c r="Q439" s="27">
        <v>126400</v>
      </c>
      <c r="R439" s="27">
        <v>0</v>
      </c>
      <c r="S439" s="27">
        <v>0</v>
      </c>
      <c r="T439" s="27">
        <v>0</v>
      </c>
      <c r="U439" s="27">
        <v>9500</v>
      </c>
      <c r="V439" s="27">
        <v>21365</v>
      </c>
    </row>
    <row r="440" spans="1:22" x14ac:dyDescent="0.25">
      <c r="A440" s="27" t="s">
        <v>801</v>
      </c>
      <c r="B440" s="27" t="s">
        <v>874</v>
      </c>
      <c r="C440" s="27" t="s">
        <v>491</v>
      </c>
      <c r="D440" s="32">
        <f>32287+9+77+7+51503+3+13+1+1+35</f>
        <v>83936</v>
      </c>
      <c r="E440" s="32">
        <f>133+80+1440+510+2</f>
        <v>2165</v>
      </c>
      <c r="F440" s="32">
        <v>0</v>
      </c>
      <c r="G440" s="32">
        <v>0</v>
      </c>
      <c r="H440" s="32">
        <v>0</v>
      </c>
      <c r="I440" s="32">
        <v>0</v>
      </c>
      <c r="J440" s="32">
        <v>0</v>
      </c>
      <c r="K440" s="32"/>
      <c r="M440" s="27" t="s">
        <v>801</v>
      </c>
      <c r="N440" s="27" t="s">
        <v>874</v>
      </c>
      <c r="O440" s="27" t="s">
        <v>491</v>
      </c>
      <c r="P440" s="27">
        <v>83936</v>
      </c>
      <c r="Q440" s="27">
        <v>2165</v>
      </c>
      <c r="R440" s="27">
        <v>0</v>
      </c>
      <c r="S440" s="27">
        <v>0</v>
      </c>
      <c r="T440" s="27">
        <v>0</v>
      </c>
    </row>
    <row r="441" spans="1:22" x14ac:dyDescent="0.25">
      <c r="A441" s="27" t="s">
        <v>818</v>
      </c>
      <c r="B441" s="27" t="s">
        <v>874</v>
      </c>
      <c r="C441" s="27" t="s">
        <v>492</v>
      </c>
      <c r="D441" s="32">
        <f>31692+416+6+5+49+10167</f>
        <v>42335</v>
      </c>
      <c r="E441" s="32">
        <f>28+42+3+55+10</f>
        <v>138</v>
      </c>
      <c r="F441" s="32">
        <v>0</v>
      </c>
      <c r="G441" s="32">
        <v>0</v>
      </c>
      <c r="H441" s="32">
        <v>0</v>
      </c>
      <c r="I441" s="32">
        <v>71510</v>
      </c>
      <c r="J441" s="32">
        <v>9464</v>
      </c>
      <c r="K441" s="32"/>
      <c r="M441" s="27" t="s">
        <v>818</v>
      </c>
      <c r="N441" s="27" t="s">
        <v>874</v>
      </c>
      <c r="O441" s="27" t="s">
        <v>492</v>
      </c>
      <c r="P441" s="27">
        <v>42335</v>
      </c>
      <c r="Q441" s="27">
        <v>138</v>
      </c>
      <c r="R441" s="27">
        <v>0</v>
      </c>
      <c r="S441" s="27">
        <v>0</v>
      </c>
      <c r="T441" s="27">
        <v>0</v>
      </c>
      <c r="U441" s="27">
        <v>71510</v>
      </c>
      <c r="V441" s="27">
        <v>9464</v>
      </c>
    </row>
    <row r="442" spans="1:22" x14ac:dyDescent="0.25">
      <c r="A442" s="27" t="s">
        <v>791</v>
      </c>
      <c r="B442" s="27" t="s">
        <v>874</v>
      </c>
      <c r="C442" s="27" t="s">
        <v>493</v>
      </c>
      <c r="D442" s="32">
        <f>37918+1+43+1+25+5496</f>
        <v>43484</v>
      </c>
      <c r="E442" s="32">
        <f>298+1+442+33</f>
        <v>774</v>
      </c>
      <c r="F442" s="32">
        <v>0</v>
      </c>
      <c r="G442" s="32">
        <v>0</v>
      </c>
      <c r="H442" s="32">
        <v>0</v>
      </c>
      <c r="I442" s="32">
        <v>73839</v>
      </c>
      <c r="J442" s="32">
        <v>5774</v>
      </c>
      <c r="K442" s="32"/>
      <c r="M442" s="27" t="s">
        <v>791</v>
      </c>
      <c r="N442" s="27" t="s">
        <v>874</v>
      </c>
      <c r="O442" s="27" t="s">
        <v>493</v>
      </c>
      <c r="P442" s="27">
        <v>43484</v>
      </c>
      <c r="Q442" s="27">
        <v>774</v>
      </c>
      <c r="R442" s="27">
        <v>0</v>
      </c>
      <c r="S442" s="27">
        <v>0</v>
      </c>
      <c r="T442" s="27">
        <v>0</v>
      </c>
      <c r="U442" s="27">
        <v>73839</v>
      </c>
      <c r="V442" s="27">
        <v>5774</v>
      </c>
    </row>
    <row r="443" spans="1:22" x14ac:dyDescent="0.25">
      <c r="A443" s="27" t="s">
        <v>890</v>
      </c>
      <c r="B443" s="27" t="s">
        <v>874</v>
      </c>
      <c r="C443" s="27" t="s">
        <v>494</v>
      </c>
      <c r="D443" s="32">
        <f>35766+133+1+2+2+69+9933</f>
        <v>45906</v>
      </c>
      <c r="E443" s="32">
        <f>103+16+10</f>
        <v>129</v>
      </c>
      <c r="F443" s="32">
        <v>0</v>
      </c>
      <c r="G443" s="32">
        <v>0</v>
      </c>
      <c r="H443" s="32">
        <v>0</v>
      </c>
      <c r="I443" s="32">
        <v>66158</v>
      </c>
      <c r="J443" s="32">
        <v>7996</v>
      </c>
      <c r="K443" s="32"/>
      <c r="M443" s="27" t="s">
        <v>890</v>
      </c>
      <c r="N443" s="27" t="s">
        <v>874</v>
      </c>
      <c r="O443" s="27" t="s">
        <v>494</v>
      </c>
      <c r="P443" s="27">
        <v>45906</v>
      </c>
      <c r="Q443" s="27">
        <v>129</v>
      </c>
      <c r="R443" s="27">
        <v>0</v>
      </c>
      <c r="S443" s="27">
        <v>0</v>
      </c>
      <c r="T443" s="27">
        <v>0</v>
      </c>
      <c r="U443" s="27">
        <v>66158</v>
      </c>
      <c r="V443" s="27">
        <v>7996</v>
      </c>
    </row>
    <row r="444" spans="1:22" x14ac:dyDescent="0.25">
      <c r="A444" s="27" t="s">
        <v>495</v>
      </c>
      <c r="B444" s="27" t="s">
        <v>874</v>
      </c>
      <c r="C444" s="27" t="s">
        <v>496</v>
      </c>
      <c r="D444" s="32">
        <f>228276+6+1+6109+10+63+1+3+591+115261+11+1+3+1+4</f>
        <v>350341</v>
      </c>
      <c r="E444" s="32">
        <f>488+85+56+616+41+8</f>
        <v>1294</v>
      </c>
      <c r="F444" s="32">
        <v>0</v>
      </c>
      <c r="G444" s="32">
        <v>0</v>
      </c>
      <c r="H444" s="32">
        <v>0</v>
      </c>
      <c r="I444" s="32">
        <v>104224</v>
      </c>
      <c r="J444" s="32">
        <v>90680</v>
      </c>
      <c r="K444" s="32"/>
      <c r="M444" s="27" t="s">
        <v>495</v>
      </c>
      <c r="N444" s="27" t="s">
        <v>874</v>
      </c>
      <c r="O444" s="27" t="s">
        <v>496</v>
      </c>
      <c r="P444" s="27">
        <v>350341</v>
      </c>
      <c r="Q444" s="27">
        <v>1294</v>
      </c>
      <c r="R444" s="27">
        <v>0</v>
      </c>
      <c r="S444" s="27">
        <v>0</v>
      </c>
      <c r="T444" s="27">
        <v>0</v>
      </c>
      <c r="U444" s="27">
        <v>104224</v>
      </c>
      <c r="V444" s="27">
        <v>90680</v>
      </c>
    </row>
    <row r="445" spans="1:22" x14ac:dyDescent="0.25">
      <c r="A445" s="27" t="s">
        <v>791</v>
      </c>
      <c r="B445" s="27" t="s">
        <v>874</v>
      </c>
      <c r="C445" s="27" t="s">
        <v>497</v>
      </c>
      <c r="D445" s="32">
        <f>18704+2+15+279+186+1+2+9+98+16307</f>
        <v>35603</v>
      </c>
      <c r="E445" s="32">
        <f>75+3+3+80</f>
        <v>161</v>
      </c>
      <c r="F445" s="32">
        <v>0</v>
      </c>
      <c r="G445" s="32">
        <v>0</v>
      </c>
      <c r="H445" s="32">
        <v>0</v>
      </c>
      <c r="I445" s="32">
        <v>33143</v>
      </c>
      <c r="J445" s="32">
        <v>14241</v>
      </c>
      <c r="K445" s="32"/>
      <c r="M445" s="27" t="s">
        <v>791</v>
      </c>
      <c r="N445" s="27" t="s">
        <v>874</v>
      </c>
      <c r="O445" s="27" t="s">
        <v>497</v>
      </c>
      <c r="P445" s="27">
        <v>35603</v>
      </c>
      <c r="Q445" s="27">
        <v>161</v>
      </c>
      <c r="R445" s="27">
        <v>0</v>
      </c>
      <c r="S445" s="27">
        <v>0</v>
      </c>
      <c r="T445" s="27">
        <v>0</v>
      </c>
      <c r="U445" s="27">
        <v>33143</v>
      </c>
      <c r="V445" s="27">
        <v>14241</v>
      </c>
    </row>
    <row r="446" spans="1:22" x14ac:dyDescent="0.25">
      <c r="A446" s="27" t="s">
        <v>10</v>
      </c>
      <c r="B446" s="27" t="s">
        <v>874</v>
      </c>
      <c r="C446" s="27" t="s">
        <v>782</v>
      </c>
      <c r="D446" s="32"/>
      <c r="E446" s="32"/>
      <c r="F446" s="32"/>
      <c r="G446" s="32"/>
      <c r="H446" s="32"/>
      <c r="I446" s="32"/>
      <c r="J446" s="32"/>
      <c r="K446" s="32"/>
      <c r="M446" s="27" t="s">
        <v>10</v>
      </c>
      <c r="N446" s="27" t="s">
        <v>874</v>
      </c>
      <c r="O446" s="27" t="s">
        <v>782</v>
      </c>
    </row>
    <row r="447" spans="1:22" x14ac:dyDescent="0.25">
      <c r="A447" s="27" t="s">
        <v>801</v>
      </c>
      <c r="B447" s="27" t="s">
        <v>874</v>
      </c>
      <c r="C447" s="27" t="s">
        <v>783</v>
      </c>
      <c r="D447" s="32">
        <f>73706+1+1+8+732+3+6+13+60659</f>
        <v>135129</v>
      </c>
      <c r="E447" s="32">
        <f>36+2+317+56</f>
        <v>411</v>
      </c>
      <c r="F447" s="32">
        <v>0</v>
      </c>
      <c r="G447" s="32">
        <v>0</v>
      </c>
      <c r="H447" s="32">
        <v>0</v>
      </c>
      <c r="I447" s="32">
        <v>0</v>
      </c>
      <c r="J447" s="32">
        <v>0</v>
      </c>
      <c r="K447" s="32"/>
      <c r="M447" s="27" t="s">
        <v>10</v>
      </c>
      <c r="N447" s="27" t="s">
        <v>874</v>
      </c>
      <c r="O447" s="27" t="s">
        <v>783</v>
      </c>
    </row>
    <row r="448" spans="1:22" x14ac:dyDescent="0.25">
      <c r="A448" s="27" t="s">
        <v>10</v>
      </c>
      <c r="B448" s="27" t="s">
        <v>874</v>
      </c>
      <c r="C448" s="27" t="s">
        <v>784</v>
      </c>
      <c r="D448" s="32"/>
      <c r="E448" s="32"/>
      <c r="F448" s="32"/>
      <c r="G448" s="32"/>
      <c r="H448" s="32"/>
      <c r="I448" s="32"/>
      <c r="J448" s="32"/>
      <c r="K448" s="32"/>
      <c r="M448" s="27" t="s">
        <v>10</v>
      </c>
      <c r="N448" s="27" t="s">
        <v>874</v>
      </c>
      <c r="O448" s="27" t="s">
        <v>784</v>
      </c>
    </row>
    <row r="449" spans="1:22" x14ac:dyDescent="0.25">
      <c r="A449" s="27" t="s">
        <v>10</v>
      </c>
      <c r="B449" s="27" t="s">
        <v>874</v>
      </c>
      <c r="C449" s="27" t="s">
        <v>785</v>
      </c>
      <c r="D449" s="32"/>
      <c r="E449" s="32"/>
      <c r="F449" s="32"/>
      <c r="G449" s="32"/>
      <c r="H449" s="32"/>
      <c r="I449" s="32"/>
      <c r="J449" s="32"/>
      <c r="K449" s="32"/>
      <c r="M449" s="27" t="s">
        <v>10</v>
      </c>
      <c r="N449" s="27" t="s">
        <v>874</v>
      </c>
      <c r="O449" s="27" t="s">
        <v>785</v>
      </c>
    </row>
    <row r="450" spans="1:22" x14ac:dyDescent="0.25">
      <c r="A450" s="27" t="s">
        <v>791</v>
      </c>
      <c r="B450" s="27" t="s">
        <v>874</v>
      </c>
      <c r="C450" s="27" t="s">
        <v>498</v>
      </c>
      <c r="D450" s="32">
        <f>44860+104671</f>
        <v>149531</v>
      </c>
      <c r="E450" s="32">
        <f>43+99</f>
        <v>142</v>
      </c>
      <c r="F450" s="32">
        <v>0</v>
      </c>
      <c r="G450" s="32">
        <v>0</v>
      </c>
      <c r="H450" s="32">
        <v>0</v>
      </c>
      <c r="I450" s="32">
        <v>31624</v>
      </c>
      <c r="J450" s="32">
        <v>22136</v>
      </c>
      <c r="K450" s="32"/>
      <c r="M450" s="27" t="s">
        <v>791</v>
      </c>
      <c r="N450" s="27" t="s">
        <v>874</v>
      </c>
      <c r="O450" s="27" t="s">
        <v>498</v>
      </c>
      <c r="P450" s="27">
        <v>149531</v>
      </c>
      <c r="Q450" s="27">
        <v>142</v>
      </c>
      <c r="R450" s="27">
        <v>0</v>
      </c>
      <c r="S450" s="27">
        <v>0</v>
      </c>
      <c r="T450" s="27">
        <v>0</v>
      </c>
      <c r="U450" s="27">
        <v>31624</v>
      </c>
      <c r="V450" s="27">
        <v>22136</v>
      </c>
    </row>
    <row r="451" spans="1:22" x14ac:dyDescent="0.25">
      <c r="A451" s="27" t="s">
        <v>10</v>
      </c>
      <c r="B451" s="27" t="s">
        <v>874</v>
      </c>
      <c r="C451" s="27" t="s">
        <v>786</v>
      </c>
      <c r="D451" s="32"/>
      <c r="E451" s="32"/>
      <c r="F451" s="32"/>
      <c r="G451" s="32"/>
      <c r="H451" s="32"/>
      <c r="I451" s="32"/>
      <c r="J451" s="32"/>
      <c r="K451" s="32"/>
      <c r="M451" s="27" t="s">
        <v>10</v>
      </c>
      <c r="N451" s="27" t="s">
        <v>874</v>
      </c>
      <c r="O451" s="27" t="s">
        <v>786</v>
      </c>
    </row>
    <row r="452" spans="1:22" x14ac:dyDescent="0.25">
      <c r="A452" s="27" t="s">
        <v>839</v>
      </c>
      <c r="B452" s="27" t="s">
        <v>874</v>
      </c>
      <c r="C452" s="27" t="s">
        <v>499</v>
      </c>
      <c r="D452" s="32">
        <f>43917+102470</f>
        <v>146387</v>
      </c>
      <c r="E452" s="32">
        <f>222+516</f>
        <v>738</v>
      </c>
      <c r="F452" s="32">
        <v>0</v>
      </c>
      <c r="G452" s="32">
        <v>0</v>
      </c>
      <c r="H452" s="32">
        <v>0</v>
      </c>
      <c r="I452" s="32">
        <v>23540</v>
      </c>
      <c r="J452" s="32">
        <v>16478</v>
      </c>
      <c r="K452" s="32"/>
      <c r="M452" s="27" t="s">
        <v>839</v>
      </c>
      <c r="N452" s="27" t="s">
        <v>874</v>
      </c>
      <c r="O452" s="27" t="s">
        <v>499</v>
      </c>
      <c r="P452" s="27">
        <v>146387</v>
      </c>
      <c r="Q452" s="27">
        <v>738</v>
      </c>
      <c r="R452" s="27">
        <v>0</v>
      </c>
      <c r="S452" s="27">
        <v>0</v>
      </c>
      <c r="T452" s="27">
        <v>0</v>
      </c>
      <c r="U452" s="27">
        <v>23540</v>
      </c>
      <c r="V452" s="27">
        <v>16478</v>
      </c>
    </row>
    <row r="453" spans="1:22" x14ac:dyDescent="0.25">
      <c r="A453" s="27" t="s">
        <v>10</v>
      </c>
      <c r="B453" s="27" t="s">
        <v>874</v>
      </c>
      <c r="C453" s="27" t="s">
        <v>500</v>
      </c>
      <c r="D453" s="32"/>
      <c r="E453" s="32"/>
      <c r="F453" s="32"/>
      <c r="G453" s="32"/>
      <c r="H453" s="32"/>
      <c r="I453" s="32"/>
      <c r="J453" s="32"/>
      <c r="K453" s="32"/>
      <c r="M453" s="27" t="s">
        <v>10</v>
      </c>
      <c r="N453" s="27" t="s">
        <v>874</v>
      </c>
      <c r="O453" s="27" t="s">
        <v>500</v>
      </c>
    </row>
    <row r="454" spans="1:22" x14ac:dyDescent="0.25">
      <c r="A454" s="27" t="s">
        <v>76</v>
      </c>
      <c r="B454" s="27" t="s">
        <v>878</v>
      </c>
      <c r="C454" s="27" t="s">
        <v>501</v>
      </c>
      <c r="D454" s="32">
        <v>21635</v>
      </c>
      <c r="E454" s="32">
        <v>0</v>
      </c>
      <c r="F454" s="32">
        <v>0</v>
      </c>
      <c r="G454" s="32">
        <v>0</v>
      </c>
      <c r="H454" s="32">
        <v>0</v>
      </c>
      <c r="I454" s="32">
        <v>0</v>
      </c>
      <c r="J454" s="32">
        <v>0</v>
      </c>
      <c r="K454" s="32"/>
      <c r="M454" s="27" t="s">
        <v>76</v>
      </c>
      <c r="N454" s="27" t="s">
        <v>878</v>
      </c>
      <c r="O454" s="27" t="s">
        <v>501</v>
      </c>
      <c r="P454" s="27">
        <v>21635</v>
      </c>
      <c r="Q454" s="27">
        <v>0</v>
      </c>
      <c r="R454" s="27">
        <v>0</v>
      </c>
      <c r="S454" s="27">
        <v>0</v>
      </c>
      <c r="T454" s="27">
        <v>0</v>
      </c>
      <c r="U454" s="27">
        <v>0</v>
      </c>
      <c r="V454" s="27">
        <v>0</v>
      </c>
    </row>
    <row r="455" spans="1:22" x14ac:dyDescent="0.25">
      <c r="A455" s="27" t="s">
        <v>231</v>
      </c>
      <c r="B455" s="27" t="s">
        <v>878</v>
      </c>
      <c r="C455" s="27" t="s">
        <v>502</v>
      </c>
      <c r="D455" s="32">
        <v>6862</v>
      </c>
      <c r="E455" s="32">
        <v>0</v>
      </c>
      <c r="F455" s="32">
        <v>0</v>
      </c>
      <c r="G455" s="32">
        <v>0</v>
      </c>
      <c r="H455" s="32">
        <v>0</v>
      </c>
      <c r="I455" s="32">
        <v>0</v>
      </c>
      <c r="J455" s="32">
        <v>0</v>
      </c>
      <c r="K455" s="32"/>
      <c r="M455" s="27" t="s">
        <v>231</v>
      </c>
      <c r="N455" s="27" t="s">
        <v>878</v>
      </c>
      <c r="O455" s="27" t="s">
        <v>502</v>
      </c>
      <c r="P455" s="27">
        <v>6862</v>
      </c>
      <c r="Q455" s="27">
        <v>0</v>
      </c>
      <c r="R455" s="27">
        <v>0</v>
      </c>
      <c r="S455" s="27">
        <v>0</v>
      </c>
      <c r="T455" s="27">
        <v>0</v>
      </c>
      <c r="U455" s="27">
        <v>0</v>
      </c>
      <c r="V455" s="27">
        <v>0</v>
      </c>
    </row>
    <row r="456" spans="1:22" x14ac:dyDescent="0.25">
      <c r="A456" s="27" t="s">
        <v>831</v>
      </c>
      <c r="B456" s="27" t="s">
        <v>878</v>
      </c>
      <c r="C456" s="27" t="s">
        <v>503</v>
      </c>
      <c r="D456" s="32">
        <v>1904</v>
      </c>
      <c r="E456" s="32">
        <v>0</v>
      </c>
      <c r="F456" s="32">
        <v>0</v>
      </c>
      <c r="G456" s="32">
        <v>0</v>
      </c>
      <c r="H456" s="32">
        <v>0</v>
      </c>
      <c r="I456" s="32">
        <v>0</v>
      </c>
      <c r="J456" s="32">
        <v>0</v>
      </c>
      <c r="K456" s="32"/>
      <c r="M456" s="27" t="s">
        <v>831</v>
      </c>
      <c r="N456" s="27" t="s">
        <v>878</v>
      </c>
      <c r="O456" s="27" t="s">
        <v>503</v>
      </c>
      <c r="P456" s="27">
        <v>1904</v>
      </c>
      <c r="Q456" s="27">
        <v>0</v>
      </c>
      <c r="R456" s="27">
        <v>0</v>
      </c>
      <c r="S456" s="27">
        <v>0</v>
      </c>
      <c r="T456" s="27">
        <v>0</v>
      </c>
      <c r="U456" s="27">
        <v>0</v>
      </c>
      <c r="V456" s="27">
        <v>0</v>
      </c>
    </row>
    <row r="457" spans="1:22" x14ac:dyDescent="0.25">
      <c r="A457" s="27" t="s">
        <v>76</v>
      </c>
      <c r="B457" s="27" t="s">
        <v>878</v>
      </c>
      <c r="C457" s="27" t="s">
        <v>504</v>
      </c>
      <c r="D457" s="32">
        <v>49452</v>
      </c>
      <c r="E457" s="32">
        <v>0</v>
      </c>
      <c r="F457" s="32">
        <v>0</v>
      </c>
      <c r="G457" s="32">
        <v>0</v>
      </c>
      <c r="H457" s="32">
        <v>0</v>
      </c>
      <c r="I457" s="32">
        <v>0</v>
      </c>
      <c r="J457" s="32">
        <v>0</v>
      </c>
      <c r="K457" s="32"/>
      <c r="M457" s="27" t="s">
        <v>76</v>
      </c>
      <c r="N457" s="27" t="s">
        <v>878</v>
      </c>
      <c r="O457" s="27" t="s">
        <v>504</v>
      </c>
      <c r="P457" s="27">
        <v>49452</v>
      </c>
      <c r="Q457" s="27">
        <v>0</v>
      </c>
      <c r="R457" s="27">
        <v>0</v>
      </c>
      <c r="S457" s="27">
        <v>0</v>
      </c>
      <c r="T457" s="27">
        <v>0</v>
      </c>
      <c r="U457" s="27">
        <v>0</v>
      </c>
      <c r="V457" s="27">
        <v>0</v>
      </c>
    </row>
    <row r="458" spans="1:22" x14ac:dyDescent="0.25">
      <c r="A458" s="27" t="s">
        <v>817</v>
      </c>
      <c r="B458" s="27" t="s">
        <v>878</v>
      </c>
      <c r="C458" s="27" t="s">
        <v>505</v>
      </c>
      <c r="D458" s="32"/>
      <c r="E458" s="32"/>
      <c r="F458" s="32"/>
      <c r="G458" s="32"/>
      <c r="H458" s="32"/>
      <c r="I458" s="32"/>
      <c r="J458" s="32"/>
      <c r="K458" s="32"/>
      <c r="M458" s="27" t="s">
        <v>817</v>
      </c>
      <c r="N458" s="27" t="s">
        <v>878</v>
      </c>
      <c r="O458" s="27" t="s">
        <v>505</v>
      </c>
    </row>
    <row r="459" spans="1:22" x14ac:dyDescent="0.25">
      <c r="A459" s="27" t="s">
        <v>824</v>
      </c>
      <c r="B459" s="27" t="s">
        <v>878</v>
      </c>
      <c r="C459" s="27" t="s">
        <v>506</v>
      </c>
      <c r="D459" s="32">
        <v>11993</v>
      </c>
      <c r="E459" s="32">
        <v>0</v>
      </c>
      <c r="F459" s="32">
        <v>0</v>
      </c>
      <c r="G459" s="32">
        <v>0</v>
      </c>
      <c r="H459" s="32">
        <v>0</v>
      </c>
      <c r="I459" s="32">
        <v>0</v>
      </c>
      <c r="J459" s="32">
        <v>0</v>
      </c>
      <c r="K459" s="32"/>
      <c r="M459" s="27" t="s">
        <v>824</v>
      </c>
      <c r="N459" s="27" t="s">
        <v>878</v>
      </c>
      <c r="O459" s="27" t="s">
        <v>506</v>
      </c>
      <c r="P459" s="27">
        <v>11993</v>
      </c>
      <c r="Q459" s="27">
        <v>0</v>
      </c>
      <c r="R459" s="27">
        <v>0</v>
      </c>
      <c r="S459" s="27">
        <v>0</v>
      </c>
      <c r="T459" s="27">
        <v>0</v>
      </c>
      <c r="U459" s="27">
        <v>0</v>
      </c>
      <c r="V459" s="27">
        <v>0</v>
      </c>
    </row>
    <row r="460" spans="1:22" x14ac:dyDescent="0.25">
      <c r="A460" s="27" t="s">
        <v>817</v>
      </c>
      <c r="B460" s="27" t="s">
        <v>878</v>
      </c>
      <c r="C460" s="27" t="s">
        <v>507</v>
      </c>
      <c r="D460" s="32">
        <v>14794</v>
      </c>
      <c r="E460" s="32">
        <v>0</v>
      </c>
      <c r="F460" s="32">
        <v>0</v>
      </c>
      <c r="G460" s="32">
        <v>0</v>
      </c>
      <c r="H460" s="32">
        <v>0</v>
      </c>
      <c r="I460" s="32">
        <v>0</v>
      </c>
      <c r="J460" s="32">
        <v>0</v>
      </c>
      <c r="K460" s="32"/>
      <c r="M460" s="27" t="s">
        <v>817</v>
      </c>
      <c r="N460" s="27" t="s">
        <v>878</v>
      </c>
      <c r="O460" s="27" t="s">
        <v>507</v>
      </c>
      <c r="P460" s="27">
        <v>14794</v>
      </c>
      <c r="Q460" s="27">
        <v>0</v>
      </c>
      <c r="R460" s="27">
        <v>0</v>
      </c>
      <c r="S460" s="27">
        <v>0</v>
      </c>
      <c r="T460" s="27">
        <v>0</v>
      </c>
      <c r="U460" s="27">
        <v>0</v>
      </c>
      <c r="V460" s="27">
        <v>0</v>
      </c>
    </row>
    <row r="461" spans="1:22" x14ac:dyDescent="0.25">
      <c r="A461" s="27" t="s">
        <v>859</v>
      </c>
      <c r="B461" s="27" t="s">
        <v>878</v>
      </c>
      <c r="C461" s="27" t="s">
        <v>508</v>
      </c>
      <c r="D461" s="32">
        <v>24403</v>
      </c>
      <c r="E461" s="32">
        <v>0</v>
      </c>
      <c r="F461" s="32">
        <v>0</v>
      </c>
      <c r="G461" s="32">
        <v>0</v>
      </c>
      <c r="H461" s="32">
        <v>0</v>
      </c>
      <c r="I461" s="32">
        <v>0</v>
      </c>
      <c r="J461" s="32">
        <v>0</v>
      </c>
      <c r="K461" s="32"/>
      <c r="M461" s="27" t="s">
        <v>859</v>
      </c>
      <c r="N461" s="27" t="s">
        <v>878</v>
      </c>
      <c r="O461" s="27" t="s">
        <v>508</v>
      </c>
      <c r="P461" s="27">
        <v>24403</v>
      </c>
      <c r="Q461" s="27">
        <v>0</v>
      </c>
      <c r="R461" s="27">
        <v>0</v>
      </c>
      <c r="S461" s="27">
        <v>0</v>
      </c>
      <c r="T461" s="27">
        <v>0</v>
      </c>
      <c r="U461" s="27">
        <v>0</v>
      </c>
      <c r="V461" s="27">
        <v>0</v>
      </c>
    </row>
    <row r="462" spans="1:22" x14ac:dyDescent="0.25">
      <c r="A462" s="27" t="s">
        <v>801</v>
      </c>
      <c r="B462" s="27" t="s">
        <v>878</v>
      </c>
      <c r="C462" s="27" t="s">
        <v>509</v>
      </c>
      <c r="D462" s="32"/>
      <c r="E462" s="32"/>
      <c r="F462" s="32"/>
      <c r="G462" s="32"/>
      <c r="H462" s="32"/>
      <c r="I462" s="32"/>
      <c r="J462" s="32"/>
      <c r="K462" s="32"/>
      <c r="M462" s="27" t="s">
        <v>801</v>
      </c>
      <c r="N462" s="27" t="s">
        <v>878</v>
      </c>
      <c r="O462" s="27" t="s">
        <v>509</v>
      </c>
    </row>
    <row r="463" spans="1:22" x14ac:dyDescent="0.25">
      <c r="A463" s="27" t="s">
        <v>801</v>
      </c>
      <c r="B463" s="27" t="s">
        <v>878</v>
      </c>
      <c r="C463" s="27" t="s">
        <v>510</v>
      </c>
      <c r="D463" s="32">
        <v>45539</v>
      </c>
      <c r="E463" s="32">
        <v>0</v>
      </c>
      <c r="F463" s="32">
        <v>0</v>
      </c>
      <c r="G463" s="32">
        <v>0</v>
      </c>
      <c r="H463" s="32">
        <v>0</v>
      </c>
      <c r="I463" s="32">
        <v>0</v>
      </c>
      <c r="J463" s="32">
        <v>0</v>
      </c>
      <c r="K463" s="32"/>
      <c r="M463" s="27" t="s">
        <v>801</v>
      </c>
      <c r="N463" s="27" t="s">
        <v>878</v>
      </c>
      <c r="O463" s="27" t="s">
        <v>510</v>
      </c>
      <c r="P463" s="27">
        <v>45539</v>
      </c>
      <c r="Q463" s="27">
        <v>0</v>
      </c>
      <c r="R463" s="27">
        <v>0</v>
      </c>
      <c r="S463" s="27">
        <v>0</v>
      </c>
      <c r="T463" s="27">
        <v>0</v>
      </c>
      <c r="U463" s="27">
        <v>0</v>
      </c>
      <c r="V463" s="27">
        <v>0</v>
      </c>
    </row>
    <row r="464" spans="1:22" x14ac:dyDescent="0.25">
      <c r="A464" s="27" t="s">
        <v>831</v>
      </c>
      <c r="B464" s="27" t="s">
        <v>878</v>
      </c>
      <c r="C464" s="27" t="s">
        <v>511</v>
      </c>
      <c r="D464" s="32">
        <v>5833</v>
      </c>
      <c r="E464" s="32">
        <v>0</v>
      </c>
      <c r="F464" s="32">
        <v>0</v>
      </c>
      <c r="G464" s="32">
        <v>0</v>
      </c>
      <c r="H464" s="32">
        <v>0</v>
      </c>
      <c r="I464" s="32">
        <v>0</v>
      </c>
      <c r="J464" s="32">
        <v>0</v>
      </c>
      <c r="K464" s="32"/>
      <c r="M464" s="27" t="s">
        <v>831</v>
      </c>
      <c r="N464" s="27" t="s">
        <v>878</v>
      </c>
      <c r="O464" s="27" t="s">
        <v>511</v>
      </c>
      <c r="P464" s="27">
        <v>5833</v>
      </c>
      <c r="Q464" s="27">
        <v>0</v>
      </c>
      <c r="R464" s="27">
        <v>0</v>
      </c>
      <c r="S464" s="27">
        <v>0</v>
      </c>
      <c r="T464" s="27">
        <v>0</v>
      </c>
      <c r="U464" s="27">
        <v>0</v>
      </c>
      <c r="V464" s="27">
        <v>0</v>
      </c>
    </row>
    <row r="465" spans="1:22" x14ac:dyDescent="0.25">
      <c r="A465" s="27" t="s">
        <v>816</v>
      </c>
      <c r="B465" s="27" t="s">
        <v>878</v>
      </c>
      <c r="C465" s="27" t="s">
        <v>513</v>
      </c>
      <c r="D465" s="32">
        <v>5577</v>
      </c>
      <c r="E465" s="32">
        <v>0</v>
      </c>
      <c r="F465" s="32">
        <v>0</v>
      </c>
      <c r="G465" s="32">
        <v>0</v>
      </c>
      <c r="H465" s="32">
        <v>0</v>
      </c>
      <c r="I465" s="32">
        <v>0</v>
      </c>
      <c r="J465" s="32">
        <v>0</v>
      </c>
      <c r="K465" s="32"/>
      <c r="M465" s="27" t="s">
        <v>816</v>
      </c>
      <c r="N465" s="27" t="s">
        <v>878</v>
      </c>
      <c r="O465" s="27" t="s">
        <v>513</v>
      </c>
      <c r="P465" s="27">
        <v>5577</v>
      </c>
      <c r="Q465" s="27">
        <v>0</v>
      </c>
      <c r="R465" s="27">
        <v>0</v>
      </c>
      <c r="S465" s="27">
        <v>0</v>
      </c>
      <c r="T465" s="27">
        <v>0</v>
      </c>
      <c r="U465" s="27">
        <v>0</v>
      </c>
      <c r="V465" s="27">
        <v>0</v>
      </c>
    </row>
    <row r="466" spans="1:22" x14ac:dyDescent="0.25">
      <c r="A466" s="27" t="s">
        <v>817</v>
      </c>
      <c r="B466" s="27" t="s">
        <v>878</v>
      </c>
      <c r="C466" s="27" t="s">
        <v>514</v>
      </c>
      <c r="D466" s="32">
        <v>14908</v>
      </c>
      <c r="E466" s="32">
        <v>0</v>
      </c>
      <c r="F466" s="32">
        <v>0</v>
      </c>
      <c r="G466" s="32">
        <v>0</v>
      </c>
      <c r="H466" s="32">
        <v>0</v>
      </c>
      <c r="I466" s="32">
        <v>0</v>
      </c>
      <c r="J466" s="32">
        <v>0</v>
      </c>
      <c r="K466" s="32"/>
      <c r="M466" s="27" t="s">
        <v>817</v>
      </c>
      <c r="N466" s="27" t="s">
        <v>878</v>
      </c>
      <c r="O466" s="27" t="s">
        <v>514</v>
      </c>
      <c r="P466" s="27">
        <v>14908</v>
      </c>
      <c r="Q466" s="27">
        <v>0</v>
      </c>
      <c r="R466" s="27">
        <v>0</v>
      </c>
      <c r="S466" s="27">
        <v>0</v>
      </c>
      <c r="T466" s="27">
        <v>0</v>
      </c>
      <c r="U466" s="27">
        <v>0</v>
      </c>
      <c r="V466" s="27">
        <v>0</v>
      </c>
    </row>
    <row r="467" spans="1:22" x14ac:dyDescent="0.25">
      <c r="A467" s="27" t="s">
        <v>801</v>
      </c>
      <c r="B467" s="27" t="s">
        <v>878</v>
      </c>
      <c r="C467" s="27" t="s">
        <v>515</v>
      </c>
      <c r="D467" s="32"/>
      <c r="E467" s="32"/>
      <c r="F467" s="32"/>
      <c r="G467" s="32"/>
      <c r="H467" s="32"/>
      <c r="I467" s="32"/>
      <c r="J467" s="32"/>
      <c r="K467" s="32"/>
      <c r="M467" s="27" t="s">
        <v>801</v>
      </c>
      <c r="N467" s="27" t="s">
        <v>878</v>
      </c>
      <c r="O467" s="27" t="s">
        <v>515</v>
      </c>
    </row>
    <row r="468" spans="1:22" x14ac:dyDescent="0.25">
      <c r="A468" s="27" t="s">
        <v>848</v>
      </c>
      <c r="B468" s="27" t="s">
        <v>878</v>
      </c>
      <c r="C468" s="27" t="s">
        <v>516</v>
      </c>
      <c r="D468" s="32">
        <v>8680</v>
      </c>
      <c r="E468" s="32">
        <v>0</v>
      </c>
      <c r="F468" s="32">
        <v>0</v>
      </c>
      <c r="G468" s="32">
        <v>0</v>
      </c>
      <c r="H468" s="32">
        <v>0</v>
      </c>
      <c r="I468" s="32">
        <v>0</v>
      </c>
      <c r="J468" s="32">
        <v>0</v>
      </c>
      <c r="K468" s="32"/>
      <c r="M468" s="27" t="s">
        <v>848</v>
      </c>
      <c r="N468" s="27" t="s">
        <v>878</v>
      </c>
      <c r="O468" s="27" t="s">
        <v>516</v>
      </c>
      <c r="P468" s="27">
        <v>8680</v>
      </c>
      <c r="Q468" s="27">
        <v>0</v>
      </c>
      <c r="R468" s="27">
        <v>0</v>
      </c>
      <c r="S468" s="27">
        <v>0</v>
      </c>
      <c r="T468" s="27">
        <v>0</v>
      </c>
      <c r="U468" s="27">
        <v>0</v>
      </c>
      <c r="V468" s="27">
        <v>0</v>
      </c>
    </row>
    <row r="469" spans="1:22" x14ac:dyDescent="0.25">
      <c r="A469" s="27" t="s">
        <v>797</v>
      </c>
      <c r="B469" s="27" t="s">
        <v>878</v>
      </c>
      <c r="C469" s="27" t="s">
        <v>517</v>
      </c>
      <c r="D469" s="32">
        <v>11512</v>
      </c>
      <c r="E469" s="32">
        <v>0</v>
      </c>
      <c r="F469" s="32">
        <v>0</v>
      </c>
      <c r="G469" s="32">
        <v>0</v>
      </c>
      <c r="H469" s="32">
        <v>0</v>
      </c>
      <c r="I469" s="32">
        <v>0</v>
      </c>
      <c r="J469" s="32">
        <v>0</v>
      </c>
      <c r="K469" s="32"/>
      <c r="M469" s="27" t="s">
        <v>797</v>
      </c>
      <c r="N469" s="27" t="s">
        <v>878</v>
      </c>
      <c r="O469" s="27" t="s">
        <v>517</v>
      </c>
      <c r="P469" s="27">
        <v>11512</v>
      </c>
      <c r="Q469" s="27">
        <v>0</v>
      </c>
      <c r="R469" s="27">
        <v>0</v>
      </c>
      <c r="S469" s="27">
        <v>0</v>
      </c>
      <c r="T469" s="27">
        <v>0</v>
      </c>
      <c r="U469" s="27">
        <v>0</v>
      </c>
      <c r="V469" s="27">
        <v>0</v>
      </c>
    </row>
    <row r="470" spans="1:22" x14ac:dyDescent="0.25">
      <c r="A470" s="27" t="s">
        <v>811</v>
      </c>
      <c r="B470" s="27" t="s">
        <v>878</v>
      </c>
      <c r="C470" s="27" t="s">
        <v>518</v>
      </c>
      <c r="D470" s="32">
        <v>45759</v>
      </c>
      <c r="E470" s="32">
        <v>0</v>
      </c>
      <c r="F470" s="32">
        <v>0</v>
      </c>
      <c r="G470" s="32">
        <v>0</v>
      </c>
      <c r="H470" s="32">
        <v>0</v>
      </c>
      <c r="I470" s="32">
        <v>0</v>
      </c>
      <c r="J470" s="32">
        <v>0</v>
      </c>
      <c r="K470" s="32"/>
      <c r="M470" s="27" t="s">
        <v>811</v>
      </c>
      <c r="N470" s="27" t="s">
        <v>878</v>
      </c>
      <c r="O470" s="27" t="s">
        <v>518</v>
      </c>
      <c r="P470" s="27">
        <v>45759</v>
      </c>
      <c r="Q470" s="27">
        <v>0</v>
      </c>
      <c r="R470" s="27">
        <v>0</v>
      </c>
      <c r="S470" s="27">
        <v>0</v>
      </c>
      <c r="T470" s="27">
        <v>0</v>
      </c>
      <c r="U470" s="27">
        <v>0</v>
      </c>
      <c r="V470" s="27">
        <v>0</v>
      </c>
    </row>
    <row r="471" spans="1:22" x14ac:dyDescent="0.25">
      <c r="A471" s="27" t="s">
        <v>226</v>
      </c>
      <c r="B471" s="27" t="s">
        <v>878</v>
      </c>
      <c r="C471" s="27" t="s">
        <v>519</v>
      </c>
      <c r="D471" s="32">
        <v>2471</v>
      </c>
      <c r="E471" s="32">
        <v>0</v>
      </c>
      <c r="F471" s="32">
        <v>0</v>
      </c>
      <c r="G471" s="32">
        <v>0</v>
      </c>
      <c r="H471" s="32">
        <v>0</v>
      </c>
      <c r="I471" s="32">
        <v>0</v>
      </c>
      <c r="J471" s="32">
        <v>0</v>
      </c>
      <c r="K471" s="32"/>
      <c r="M471" s="27" t="s">
        <v>226</v>
      </c>
      <c r="N471" s="27" t="s">
        <v>878</v>
      </c>
      <c r="O471" s="27" t="s">
        <v>519</v>
      </c>
      <c r="P471" s="27">
        <v>2471</v>
      </c>
      <c r="Q471" s="27">
        <v>0</v>
      </c>
      <c r="R471" s="27">
        <v>0</v>
      </c>
      <c r="S471" s="27">
        <v>0</v>
      </c>
      <c r="T471" s="27">
        <v>0</v>
      </c>
      <c r="U471" s="27">
        <v>0</v>
      </c>
      <c r="V471" s="27">
        <v>0</v>
      </c>
    </row>
    <row r="472" spans="1:22" x14ac:dyDescent="0.25">
      <c r="A472" s="27" t="s">
        <v>76</v>
      </c>
      <c r="B472" s="27" t="s">
        <v>878</v>
      </c>
      <c r="C472" s="27" t="s">
        <v>520</v>
      </c>
      <c r="D472" s="32">
        <v>22858</v>
      </c>
      <c r="E472" s="32">
        <v>0</v>
      </c>
      <c r="F472" s="32">
        <v>0</v>
      </c>
      <c r="G472" s="32">
        <v>0</v>
      </c>
      <c r="H472" s="32">
        <v>0</v>
      </c>
      <c r="I472" s="32">
        <v>0</v>
      </c>
      <c r="J472" s="32">
        <v>0</v>
      </c>
      <c r="K472" s="32"/>
      <c r="M472" s="27" t="s">
        <v>76</v>
      </c>
      <c r="N472" s="27" t="s">
        <v>878</v>
      </c>
      <c r="O472" s="27" t="s">
        <v>520</v>
      </c>
      <c r="P472" s="27">
        <v>22858</v>
      </c>
      <c r="Q472" s="27">
        <v>0</v>
      </c>
      <c r="R472" s="27">
        <v>0</v>
      </c>
      <c r="S472" s="27">
        <v>0</v>
      </c>
      <c r="T472" s="27">
        <v>0</v>
      </c>
      <c r="U472" s="27">
        <v>0</v>
      </c>
      <c r="V472" s="27">
        <v>0</v>
      </c>
    </row>
    <row r="473" spans="1:22" x14ac:dyDescent="0.25">
      <c r="A473" s="27" t="s">
        <v>831</v>
      </c>
      <c r="B473" s="27" t="s">
        <v>878</v>
      </c>
      <c r="C473" s="27" t="s">
        <v>521</v>
      </c>
      <c r="D473" s="32">
        <v>35465</v>
      </c>
      <c r="E473" s="32">
        <v>0</v>
      </c>
      <c r="F473" s="32">
        <v>0</v>
      </c>
      <c r="G473" s="32">
        <v>0</v>
      </c>
      <c r="H473" s="32">
        <v>0</v>
      </c>
      <c r="I473" s="32">
        <v>0</v>
      </c>
      <c r="J473" s="32">
        <v>0</v>
      </c>
      <c r="K473" s="32"/>
      <c r="M473" s="27" t="s">
        <v>831</v>
      </c>
      <c r="N473" s="27" t="s">
        <v>878</v>
      </c>
      <c r="O473" s="27" t="s">
        <v>521</v>
      </c>
      <c r="P473" s="27">
        <v>35465</v>
      </c>
      <c r="Q473" s="27">
        <v>0</v>
      </c>
      <c r="R473" s="27">
        <v>0</v>
      </c>
      <c r="S473" s="27">
        <v>0</v>
      </c>
      <c r="T473" s="27">
        <v>0</v>
      </c>
      <c r="U473" s="27">
        <v>0</v>
      </c>
      <c r="V473" s="27">
        <v>0</v>
      </c>
    </row>
    <row r="474" spans="1:22" x14ac:dyDescent="0.25">
      <c r="A474" s="27" t="s">
        <v>806</v>
      </c>
      <c r="B474" s="27" t="s">
        <v>878</v>
      </c>
      <c r="C474" s="27" t="s">
        <v>522</v>
      </c>
      <c r="D474" s="32">
        <v>10847</v>
      </c>
      <c r="E474" s="32">
        <v>0</v>
      </c>
      <c r="F474" s="32">
        <v>0</v>
      </c>
      <c r="G474" s="32">
        <v>0</v>
      </c>
      <c r="H474" s="32">
        <v>0</v>
      </c>
      <c r="I474" s="32">
        <v>0</v>
      </c>
      <c r="J474" s="32">
        <v>0</v>
      </c>
      <c r="K474" s="32"/>
      <c r="M474" s="27" t="s">
        <v>806</v>
      </c>
      <c r="N474" s="27" t="s">
        <v>878</v>
      </c>
      <c r="O474" s="27" t="s">
        <v>522</v>
      </c>
      <c r="P474" s="27">
        <v>10847</v>
      </c>
      <c r="Q474" s="27">
        <v>0</v>
      </c>
      <c r="R474" s="27">
        <v>0</v>
      </c>
      <c r="S474" s="27">
        <v>0</v>
      </c>
      <c r="T474" s="27">
        <v>0</v>
      </c>
      <c r="U474" s="27">
        <v>0</v>
      </c>
      <c r="V474" s="27">
        <v>0</v>
      </c>
    </row>
    <row r="475" spans="1:22" x14ac:dyDescent="0.25">
      <c r="A475" s="27" t="s">
        <v>823</v>
      </c>
      <c r="B475" s="27" t="s">
        <v>878</v>
      </c>
      <c r="C475" s="27" t="s">
        <v>523</v>
      </c>
      <c r="D475" s="32">
        <v>43310</v>
      </c>
      <c r="E475" s="32">
        <v>0</v>
      </c>
      <c r="F475" s="32">
        <v>0</v>
      </c>
      <c r="G475" s="32">
        <v>0</v>
      </c>
      <c r="H475" s="32">
        <v>0</v>
      </c>
      <c r="I475" s="32">
        <v>0</v>
      </c>
      <c r="J475" s="32">
        <v>0</v>
      </c>
      <c r="K475" s="32"/>
      <c r="M475" s="27" t="s">
        <v>823</v>
      </c>
      <c r="N475" s="27" t="s">
        <v>878</v>
      </c>
      <c r="O475" s="27" t="s">
        <v>523</v>
      </c>
      <c r="P475" s="27">
        <v>43310</v>
      </c>
      <c r="Q475" s="27">
        <v>0</v>
      </c>
      <c r="R475" s="27">
        <v>0</v>
      </c>
      <c r="S475" s="27">
        <v>0</v>
      </c>
      <c r="T475" s="27">
        <v>0</v>
      </c>
      <c r="U475" s="27">
        <v>0</v>
      </c>
      <c r="V475" s="27">
        <v>0</v>
      </c>
    </row>
    <row r="476" spans="1:22" x14ac:dyDescent="0.25">
      <c r="A476" s="27" t="s">
        <v>248</v>
      </c>
      <c r="B476" s="27" t="s">
        <v>878</v>
      </c>
      <c r="C476" s="27" t="s">
        <v>524</v>
      </c>
      <c r="D476" s="32">
        <v>11286</v>
      </c>
      <c r="E476" s="32">
        <v>0</v>
      </c>
      <c r="F476" s="32">
        <v>0</v>
      </c>
      <c r="G476" s="32">
        <v>0</v>
      </c>
      <c r="H476" s="32">
        <v>0</v>
      </c>
      <c r="I476" s="32">
        <v>0</v>
      </c>
      <c r="J476" s="32">
        <v>0</v>
      </c>
      <c r="K476" s="32"/>
      <c r="M476" s="27" t="s">
        <v>248</v>
      </c>
      <c r="N476" s="27" t="s">
        <v>878</v>
      </c>
      <c r="O476" s="27" t="s">
        <v>524</v>
      </c>
      <c r="P476" s="27">
        <v>11286</v>
      </c>
      <c r="Q476" s="27">
        <v>0</v>
      </c>
      <c r="R476" s="27">
        <v>0</v>
      </c>
      <c r="S476" s="27">
        <v>0</v>
      </c>
      <c r="T476" s="27">
        <v>0</v>
      </c>
      <c r="U476" s="27">
        <v>0</v>
      </c>
      <c r="V476" s="27">
        <v>0</v>
      </c>
    </row>
    <row r="477" spans="1:22" x14ac:dyDescent="0.25">
      <c r="A477" s="27" t="s">
        <v>231</v>
      </c>
      <c r="B477" s="27" t="s">
        <v>878</v>
      </c>
      <c r="C477" s="27" t="s">
        <v>525</v>
      </c>
      <c r="D477" s="32">
        <v>11230</v>
      </c>
      <c r="E477" s="32">
        <v>0</v>
      </c>
      <c r="F477" s="32">
        <v>0</v>
      </c>
      <c r="G477" s="32">
        <v>0</v>
      </c>
      <c r="H477" s="32">
        <v>0</v>
      </c>
      <c r="I477" s="32">
        <v>0</v>
      </c>
      <c r="J477" s="32">
        <v>0</v>
      </c>
      <c r="K477" s="32"/>
      <c r="M477" s="27" t="s">
        <v>231</v>
      </c>
      <c r="N477" s="27" t="s">
        <v>878</v>
      </c>
      <c r="O477" s="27" t="s">
        <v>525</v>
      </c>
      <c r="P477" s="27">
        <v>11230</v>
      </c>
      <c r="Q477" s="27">
        <v>0</v>
      </c>
      <c r="R477" s="27">
        <v>0</v>
      </c>
      <c r="S477" s="27">
        <v>0</v>
      </c>
      <c r="T477" s="27">
        <v>0</v>
      </c>
      <c r="U477" s="27">
        <v>0</v>
      </c>
      <c r="V477" s="27">
        <v>0</v>
      </c>
    </row>
    <row r="478" spans="1:22" x14ac:dyDescent="0.25">
      <c r="A478" s="27" t="s">
        <v>76</v>
      </c>
      <c r="B478" s="27" t="s">
        <v>878</v>
      </c>
      <c r="C478" s="27" t="s">
        <v>526</v>
      </c>
      <c r="D478" s="32">
        <v>4107</v>
      </c>
      <c r="E478" s="32">
        <v>0</v>
      </c>
      <c r="F478" s="32">
        <v>0</v>
      </c>
      <c r="G478" s="32">
        <v>0</v>
      </c>
      <c r="H478" s="32">
        <v>0</v>
      </c>
      <c r="I478" s="32">
        <v>0</v>
      </c>
      <c r="J478" s="32">
        <v>0</v>
      </c>
      <c r="K478" s="32"/>
      <c r="M478" s="27" t="s">
        <v>76</v>
      </c>
      <c r="N478" s="27" t="s">
        <v>878</v>
      </c>
      <c r="O478" s="27" t="s">
        <v>526</v>
      </c>
      <c r="P478" s="27">
        <v>4107</v>
      </c>
      <c r="Q478" s="27">
        <v>0</v>
      </c>
      <c r="R478" s="27">
        <v>0</v>
      </c>
      <c r="S478" s="27">
        <v>0</v>
      </c>
      <c r="T478" s="27">
        <v>0</v>
      </c>
      <c r="U478" s="27">
        <v>0</v>
      </c>
      <c r="V478" s="27">
        <v>0</v>
      </c>
    </row>
    <row r="479" spans="1:22" x14ac:dyDescent="0.25">
      <c r="A479" s="27" t="s">
        <v>804</v>
      </c>
      <c r="B479" s="27" t="s">
        <v>878</v>
      </c>
      <c r="C479" s="27" t="s">
        <v>527</v>
      </c>
      <c r="D479" s="32">
        <v>45858</v>
      </c>
      <c r="E479" s="32">
        <v>0</v>
      </c>
      <c r="F479" s="32">
        <v>0</v>
      </c>
      <c r="G479" s="32">
        <v>0</v>
      </c>
      <c r="H479" s="32">
        <v>0</v>
      </c>
      <c r="I479" s="32">
        <v>0</v>
      </c>
      <c r="J479" s="32">
        <v>0</v>
      </c>
      <c r="K479" s="32"/>
      <c r="M479" s="27" t="s">
        <v>804</v>
      </c>
      <c r="N479" s="27" t="s">
        <v>878</v>
      </c>
      <c r="O479" s="27" t="s">
        <v>527</v>
      </c>
      <c r="P479" s="27">
        <v>45858</v>
      </c>
      <c r="Q479" s="27">
        <v>0</v>
      </c>
      <c r="R479" s="27">
        <v>0</v>
      </c>
      <c r="S479" s="27">
        <v>0</v>
      </c>
      <c r="T479" s="27">
        <v>0</v>
      </c>
      <c r="U479" s="27">
        <v>0</v>
      </c>
      <c r="V479" s="27">
        <v>0</v>
      </c>
    </row>
    <row r="480" spans="1:22" x14ac:dyDescent="0.25">
      <c r="A480" s="27" t="s">
        <v>76</v>
      </c>
      <c r="B480" s="27" t="s">
        <v>878</v>
      </c>
      <c r="C480" s="27" t="s">
        <v>528</v>
      </c>
      <c r="D480" s="32">
        <v>1518</v>
      </c>
      <c r="E480" s="32">
        <v>0</v>
      </c>
      <c r="F480" s="32">
        <v>0</v>
      </c>
      <c r="G480" s="32">
        <v>0</v>
      </c>
      <c r="H480" s="32">
        <v>0</v>
      </c>
      <c r="I480" s="32">
        <v>0</v>
      </c>
      <c r="J480" s="32">
        <v>0</v>
      </c>
      <c r="K480" s="32"/>
      <c r="M480" s="27" t="s">
        <v>76</v>
      </c>
      <c r="N480" s="27" t="s">
        <v>878</v>
      </c>
      <c r="O480" s="27" t="s">
        <v>528</v>
      </c>
      <c r="P480" s="27">
        <v>1518</v>
      </c>
      <c r="Q480" s="27">
        <v>0</v>
      </c>
      <c r="R480" s="27">
        <v>0</v>
      </c>
      <c r="S480" s="27">
        <v>0</v>
      </c>
      <c r="T480" s="27">
        <v>0</v>
      </c>
      <c r="U480" s="27">
        <v>0</v>
      </c>
      <c r="V480" s="27">
        <v>0</v>
      </c>
    </row>
    <row r="481" spans="1:22" x14ac:dyDescent="0.25">
      <c r="A481" s="27" t="s">
        <v>801</v>
      </c>
      <c r="B481" s="27" t="s">
        <v>878</v>
      </c>
      <c r="C481" s="27" t="s">
        <v>529</v>
      </c>
      <c r="D481" s="32">
        <v>27413</v>
      </c>
      <c r="E481" s="32">
        <v>0</v>
      </c>
      <c r="F481" s="32">
        <v>0</v>
      </c>
      <c r="G481" s="32">
        <v>0</v>
      </c>
      <c r="H481" s="32">
        <v>0</v>
      </c>
      <c r="I481" s="32">
        <v>0</v>
      </c>
      <c r="J481" s="32">
        <v>0</v>
      </c>
      <c r="K481" s="32"/>
      <c r="M481" s="27" t="s">
        <v>801</v>
      </c>
      <c r="N481" s="27" t="s">
        <v>878</v>
      </c>
      <c r="O481" s="27" t="s">
        <v>529</v>
      </c>
      <c r="P481" s="27">
        <v>27413</v>
      </c>
      <c r="Q481" s="27">
        <v>0</v>
      </c>
      <c r="R481" s="27">
        <v>0</v>
      </c>
      <c r="S481" s="27">
        <v>0</v>
      </c>
      <c r="T481" s="27">
        <v>0</v>
      </c>
      <c r="U481" s="27">
        <v>0</v>
      </c>
      <c r="V481" s="27">
        <v>0</v>
      </c>
    </row>
    <row r="482" spans="1:22" x14ac:dyDescent="0.25">
      <c r="A482" s="27" t="s">
        <v>795</v>
      </c>
      <c r="B482" s="27" t="s">
        <v>878</v>
      </c>
      <c r="C482" s="27" t="s">
        <v>530</v>
      </c>
      <c r="D482" s="32">
        <v>163001</v>
      </c>
      <c r="E482" s="32">
        <v>0</v>
      </c>
      <c r="F482" s="32">
        <v>0</v>
      </c>
      <c r="G482" s="32">
        <v>0</v>
      </c>
      <c r="H482" s="32">
        <v>0</v>
      </c>
      <c r="I482" s="32">
        <v>0</v>
      </c>
      <c r="J482" s="32">
        <v>0</v>
      </c>
      <c r="K482" s="32"/>
      <c r="M482" s="27" t="s">
        <v>795</v>
      </c>
      <c r="N482" s="27" t="s">
        <v>878</v>
      </c>
      <c r="O482" s="27" t="s">
        <v>530</v>
      </c>
      <c r="P482" s="27">
        <v>163001</v>
      </c>
      <c r="Q482" s="27">
        <v>0</v>
      </c>
      <c r="R482" s="27">
        <v>0</v>
      </c>
      <c r="S482" s="27">
        <v>0</v>
      </c>
      <c r="T482" s="27">
        <v>0</v>
      </c>
      <c r="U482" s="27">
        <v>0</v>
      </c>
      <c r="V482" s="27">
        <v>0</v>
      </c>
    </row>
    <row r="483" spans="1:22" x14ac:dyDescent="0.25">
      <c r="A483" s="27" t="s">
        <v>848</v>
      </c>
      <c r="B483" s="27" t="s">
        <v>878</v>
      </c>
      <c r="C483" s="27" t="s">
        <v>531</v>
      </c>
      <c r="D483" s="32">
        <v>12629</v>
      </c>
      <c r="E483" s="32">
        <v>0</v>
      </c>
      <c r="F483" s="32">
        <v>0</v>
      </c>
      <c r="G483" s="32">
        <v>0</v>
      </c>
      <c r="H483" s="32">
        <v>0</v>
      </c>
      <c r="I483" s="32">
        <v>0</v>
      </c>
      <c r="J483" s="32">
        <v>0</v>
      </c>
      <c r="K483" s="32"/>
      <c r="M483" s="27" t="s">
        <v>848</v>
      </c>
      <c r="N483" s="27" t="s">
        <v>878</v>
      </c>
      <c r="O483" s="27" t="s">
        <v>531</v>
      </c>
      <c r="P483" s="27">
        <v>12629</v>
      </c>
      <c r="Q483" s="27">
        <v>0</v>
      </c>
      <c r="R483" s="27">
        <v>0</v>
      </c>
      <c r="S483" s="27">
        <v>0</v>
      </c>
      <c r="T483" s="27">
        <v>0</v>
      </c>
      <c r="U483" s="27">
        <v>0</v>
      </c>
      <c r="V483" s="27">
        <v>0</v>
      </c>
    </row>
    <row r="484" spans="1:22" x14ac:dyDescent="0.25">
      <c r="A484" s="27" t="s">
        <v>824</v>
      </c>
      <c r="B484" s="27" t="s">
        <v>878</v>
      </c>
      <c r="C484" s="27" t="s">
        <v>532</v>
      </c>
      <c r="D484" s="32">
        <v>19798</v>
      </c>
      <c r="E484" s="32">
        <v>0</v>
      </c>
      <c r="F484" s="32">
        <v>0</v>
      </c>
      <c r="G484" s="32">
        <v>0</v>
      </c>
      <c r="H484" s="32">
        <v>0</v>
      </c>
      <c r="I484" s="32">
        <v>0</v>
      </c>
      <c r="J484" s="32">
        <v>0</v>
      </c>
      <c r="K484" s="32"/>
      <c r="M484" s="27" t="s">
        <v>824</v>
      </c>
      <c r="N484" s="27" t="s">
        <v>878</v>
      </c>
      <c r="O484" s="27" t="s">
        <v>532</v>
      </c>
      <c r="P484" s="27">
        <v>19798</v>
      </c>
      <c r="Q484" s="27">
        <v>0</v>
      </c>
      <c r="R484" s="27">
        <v>0</v>
      </c>
      <c r="S484" s="27">
        <v>0</v>
      </c>
      <c r="T484" s="27">
        <v>0</v>
      </c>
      <c r="U484" s="27">
        <v>0</v>
      </c>
      <c r="V484" s="27">
        <v>0</v>
      </c>
    </row>
    <row r="485" spans="1:22" x14ac:dyDescent="0.25">
      <c r="A485" s="27" t="s">
        <v>76</v>
      </c>
      <c r="B485" s="27" t="s">
        <v>878</v>
      </c>
      <c r="C485" s="27" t="s">
        <v>533</v>
      </c>
      <c r="D485" s="32">
        <v>2330</v>
      </c>
      <c r="E485" s="32">
        <v>0</v>
      </c>
      <c r="F485" s="32">
        <v>0</v>
      </c>
      <c r="G485" s="32">
        <v>0</v>
      </c>
      <c r="H485" s="32">
        <v>0</v>
      </c>
      <c r="I485" s="32">
        <v>0</v>
      </c>
      <c r="J485" s="32">
        <v>0</v>
      </c>
      <c r="K485" s="32"/>
      <c r="M485" s="27" t="s">
        <v>76</v>
      </c>
      <c r="N485" s="27" t="s">
        <v>878</v>
      </c>
      <c r="O485" s="27" t="s">
        <v>533</v>
      </c>
      <c r="P485" s="27">
        <v>2330</v>
      </c>
      <c r="Q485" s="27">
        <v>0</v>
      </c>
      <c r="R485" s="27">
        <v>0</v>
      </c>
      <c r="S485" s="27">
        <v>0</v>
      </c>
      <c r="T485" s="27">
        <v>0</v>
      </c>
      <c r="U485" s="27">
        <v>0</v>
      </c>
      <c r="V485" s="27">
        <v>0</v>
      </c>
    </row>
    <row r="486" spans="1:22" x14ac:dyDescent="0.25">
      <c r="A486" s="27" t="s">
        <v>101</v>
      </c>
      <c r="B486" s="27" t="s">
        <v>878</v>
      </c>
      <c r="C486" s="27" t="s">
        <v>534</v>
      </c>
      <c r="D486" s="32">
        <v>20584</v>
      </c>
      <c r="E486" s="32">
        <v>0</v>
      </c>
      <c r="F486" s="32">
        <v>0</v>
      </c>
      <c r="G486" s="32">
        <v>0</v>
      </c>
      <c r="H486" s="32">
        <v>0</v>
      </c>
      <c r="I486" s="32">
        <v>0</v>
      </c>
      <c r="J486" s="32">
        <v>0</v>
      </c>
      <c r="K486" s="32"/>
      <c r="M486" s="27" t="s">
        <v>101</v>
      </c>
      <c r="N486" s="27" t="s">
        <v>878</v>
      </c>
      <c r="O486" s="27" t="s">
        <v>534</v>
      </c>
      <c r="P486" s="27">
        <v>20584</v>
      </c>
      <c r="Q486" s="27">
        <v>0</v>
      </c>
      <c r="R486" s="27">
        <v>0</v>
      </c>
      <c r="S486" s="27">
        <v>0</v>
      </c>
      <c r="T486" s="27">
        <v>0</v>
      </c>
      <c r="U486" s="27">
        <v>0</v>
      </c>
      <c r="V486" s="27">
        <v>0</v>
      </c>
    </row>
    <row r="487" spans="1:22" x14ac:dyDescent="0.25">
      <c r="A487" s="27" t="s">
        <v>803</v>
      </c>
      <c r="B487" s="27" t="s">
        <v>878</v>
      </c>
      <c r="C487" s="27" t="s">
        <v>535</v>
      </c>
      <c r="D487" s="32"/>
      <c r="E487" s="32"/>
      <c r="F487" s="32"/>
      <c r="G487" s="32"/>
      <c r="H487" s="32"/>
      <c r="I487" s="32"/>
      <c r="J487" s="32"/>
      <c r="K487" s="32"/>
      <c r="M487" s="27" t="s">
        <v>803</v>
      </c>
      <c r="N487" s="27" t="s">
        <v>878</v>
      </c>
      <c r="O487" s="27" t="s">
        <v>535</v>
      </c>
    </row>
    <row r="488" spans="1:22" x14ac:dyDescent="0.25">
      <c r="A488" s="27" t="s">
        <v>120</v>
      </c>
      <c r="B488" s="27" t="s">
        <v>878</v>
      </c>
      <c r="C488" s="27" t="s">
        <v>536</v>
      </c>
      <c r="D488" s="32">
        <v>9129</v>
      </c>
      <c r="E488" s="32">
        <v>0</v>
      </c>
      <c r="F488" s="32">
        <v>0</v>
      </c>
      <c r="G488" s="32">
        <v>0</v>
      </c>
      <c r="H488" s="32">
        <v>0</v>
      </c>
      <c r="I488" s="32">
        <v>0</v>
      </c>
      <c r="J488" s="32">
        <v>0</v>
      </c>
      <c r="K488" s="32"/>
      <c r="M488" s="27" t="s">
        <v>120</v>
      </c>
      <c r="N488" s="27" t="s">
        <v>878</v>
      </c>
      <c r="O488" s="27" t="s">
        <v>536</v>
      </c>
      <c r="P488" s="27">
        <v>9129</v>
      </c>
      <c r="Q488" s="27">
        <v>0</v>
      </c>
      <c r="R488" s="27">
        <v>0</v>
      </c>
      <c r="S488" s="27">
        <v>0</v>
      </c>
      <c r="T488" s="27">
        <v>0</v>
      </c>
      <c r="U488" s="27">
        <v>0</v>
      </c>
      <c r="V488" s="27">
        <v>0</v>
      </c>
    </row>
    <row r="489" spans="1:22" x14ac:dyDescent="0.25">
      <c r="A489" s="27" t="s">
        <v>817</v>
      </c>
      <c r="B489" s="27" t="s">
        <v>878</v>
      </c>
      <c r="C489" s="27" t="s">
        <v>537</v>
      </c>
      <c r="D489" s="32">
        <v>56776</v>
      </c>
      <c r="E489" s="32">
        <v>0</v>
      </c>
      <c r="F489" s="32">
        <v>0</v>
      </c>
      <c r="G489" s="32">
        <v>0</v>
      </c>
      <c r="H489" s="32">
        <v>0</v>
      </c>
      <c r="I489" s="32">
        <v>0</v>
      </c>
      <c r="J489" s="32">
        <v>0</v>
      </c>
      <c r="K489" s="32"/>
      <c r="M489" s="27" t="s">
        <v>817</v>
      </c>
      <c r="N489" s="27" t="s">
        <v>878</v>
      </c>
      <c r="O489" s="27" t="s">
        <v>537</v>
      </c>
      <c r="P489" s="27">
        <v>56776</v>
      </c>
      <c r="Q489" s="27">
        <v>0</v>
      </c>
      <c r="R489" s="27">
        <v>0</v>
      </c>
      <c r="S489" s="27">
        <v>0</v>
      </c>
      <c r="T489" s="27">
        <v>0</v>
      </c>
      <c r="U489" s="27">
        <v>0</v>
      </c>
      <c r="V489" s="27">
        <v>0</v>
      </c>
    </row>
    <row r="490" spans="1:22" x14ac:dyDescent="0.25">
      <c r="A490" s="27" t="s">
        <v>811</v>
      </c>
      <c r="B490" s="27" t="s">
        <v>878</v>
      </c>
      <c r="C490" s="27" t="s">
        <v>538</v>
      </c>
      <c r="D490" s="32">
        <v>216626</v>
      </c>
      <c r="E490" s="32">
        <v>0</v>
      </c>
      <c r="F490" s="32">
        <v>0</v>
      </c>
      <c r="G490" s="32">
        <v>0</v>
      </c>
      <c r="H490" s="32">
        <v>0</v>
      </c>
      <c r="I490" s="32">
        <v>0</v>
      </c>
      <c r="J490" s="32">
        <v>0</v>
      </c>
      <c r="K490" s="32"/>
      <c r="M490" s="27" t="s">
        <v>811</v>
      </c>
      <c r="N490" s="27" t="s">
        <v>878</v>
      </c>
      <c r="O490" s="27" t="s">
        <v>538</v>
      </c>
      <c r="P490" s="27">
        <v>216626</v>
      </c>
      <c r="Q490" s="27">
        <v>0</v>
      </c>
      <c r="R490" s="27">
        <v>0</v>
      </c>
      <c r="S490" s="27">
        <v>0</v>
      </c>
      <c r="T490" s="27">
        <v>0</v>
      </c>
      <c r="U490" s="27">
        <v>0</v>
      </c>
      <c r="V490" s="27">
        <v>0</v>
      </c>
    </row>
    <row r="491" spans="1:22" x14ac:dyDescent="0.25">
      <c r="A491" s="27" t="s">
        <v>817</v>
      </c>
      <c r="B491" s="27" t="s">
        <v>878</v>
      </c>
      <c r="C491" s="27" t="s">
        <v>539</v>
      </c>
      <c r="D491" s="32">
        <v>16529</v>
      </c>
      <c r="E491" s="32">
        <v>0</v>
      </c>
      <c r="F491" s="32">
        <v>0</v>
      </c>
      <c r="G491" s="32">
        <v>0</v>
      </c>
      <c r="H491" s="32">
        <v>0</v>
      </c>
      <c r="I491" s="32">
        <v>0</v>
      </c>
      <c r="J491" s="32">
        <v>0</v>
      </c>
      <c r="K491" s="32"/>
      <c r="M491" s="27" t="s">
        <v>817</v>
      </c>
      <c r="N491" s="27" t="s">
        <v>878</v>
      </c>
      <c r="O491" s="27" t="s">
        <v>539</v>
      </c>
      <c r="P491" s="27">
        <v>16529</v>
      </c>
      <c r="Q491" s="27">
        <v>0</v>
      </c>
      <c r="R491" s="27">
        <v>0</v>
      </c>
      <c r="S491" s="27">
        <v>0</v>
      </c>
      <c r="T491" s="27">
        <v>0</v>
      </c>
      <c r="U491" s="27">
        <v>0</v>
      </c>
      <c r="V491" s="27">
        <v>0</v>
      </c>
    </row>
    <row r="492" spans="1:22" x14ac:dyDescent="0.25">
      <c r="A492" s="27" t="s">
        <v>146</v>
      </c>
      <c r="B492" s="27" t="s">
        <v>878</v>
      </c>
      <c r="C492" s="27" t="s">
        <v>540</v>
      </c>
      <c r="D492" s="32">
        <v>32086</v>
      </c>
      <c r="E492" s="32">
        <v>0</v>
      </c>
      <c r="F492" s="32">
        <v>0</v>
      </c>
      <c r="G492" s="32">
        <v>0</v>
      </c>
      <c r="H492" s="32">
        <v>0</v>
      </c>
      <c r="I492" s="32">
        <v>0</v>
      </c>
      <c r="J492" s="32">
        <v>0</v>
      </c>
      <c r="K492" s="32"/>
      <c r="M492" s="27" t="s">
        <v>146</v>
      </c>
      <c r="N492" s="27" t="s">
        <v>878</v>
      </c>
      <c r="O492" s="27" t="s">
        <v>540</v>
      </c>
      <c r="P492" s="27">
        <v>32086</v>
      </c>
      <c r="Q492" s="27">
        <v>0</v>
      </c>
      <c r="R492" s="27">
        <v>0</v>
      </c>
      <c r="S492" s="27">
        <v>0</v>
      </c>
      <c r="T492" s="27">
        <v>0</v>
      </c>
      <c r="U492" s="27">
        <v>0</v>
      </c>
      <c r="V492" s="27">
        <v>0</v>
      </c>
    </row>
    <row r="493" spans="1:22" x14ac:dyDescent="0.25">
      <c r="A493" s="27" t="s">
        <v>817</v>
      </c>
      <c r="B493" s="27" t="s">
        <v>878</v>
      </c>
      <c r="C493" s="27" t="s">
        <v>541</v>
      </c>
      <c r="D493" s="32">
        <v>30697</v>
      </c>
      <c r="E493" s="32">
        <v>0</v>
      </c>
      <c r="F493" s="32">
        <v>0</v>
      </c>
      <c r="G493" s="32">
        <v>0</v>
      </c>
      <c r="H493" s="32">
        <v>0</v>
      </c>
      <c r="I493" s="32">
        <v>0</v>
      </c>
      <c r="J493" s="32">
        <v>0</v>
      </c>
      <c r="K493" s="32"/>
      <c r="M493" s="27" t="s">
        <v>817</v>
      </c>
      <c r="N493" s="27" t="s">
        <v>878</v>
      </c>
      <c r="O493" s="27" t="s">
        <v>541</v>
      </c>
      <c r="P493" s="27">
        <v>30697</v>
      </c>
      <c r="Q493" s="27">
        <v>0</v>
      </c>
      <c r="R493" s="27">
        <v>0</v>
      </c>
      <c r="S493" s="27">
        <v>0</v>
      </c>
      <c r="T493" s="27">
        <v>0</v>
      </c>
      <c r="U493" s="27">
        <v>0</v>
      </c>
      <c r="V493" s="27">
        <v>0</v>
      </c>
    </row>
    <row r="494" spans="1:22" x14ac:dyDescent="0.25">
      <c r="A494" s="27" t="s">
        <v>72</v>
      </c>
      <c r="B494" s="27" t="s">
        <v>878</v>
      </c>
      <c r="C494" s="27" t="s">
        <v>542</v>
      </c>
      <c r="D494" s="32">
        <v>36402</v>
      </c>
      <c r="E494" s="32">
        <v>0</v>
      </c>
      <c r="F494" s="32">
        <v>0</v>
      </c>
      <c r="G494" s="32">
        <v>0</v>
      </c>
      <c r="H494" s="32">
        <v>0</v>
      </c>
      <c r="I494" s="32">
        <v>0</v>
      </c>
      <c r="J494" s="32">
        <v>0</v>
      </c>
      <c r="K494" s="32"/>
      <c r="M494" s="27" t="s">
        <v>72</v>
      </c>
      <c r="N494" s="27" t="s">
        <v>878</v>
      </c>
      <c r="O494" s="27" t="s">
        <v>542</v>
      </c>
      <c r="P494" s="27">
        <v>36402</v>
      </c>
      <c r="Q494" s="27">
        <v>0</v>
      </c>
      <c r="R494" s="27">
        <v>0</v>
      </c>
      <c r="S494" s="27">
        <v>0</v>
      </c>
      <c r="T494" s="27">
        <v>0</v>
      </c>
      <c r="U494" s="27">
        <v>0</v>
      </c>
      <c r="V494" s="27">
        <v>0</v>
      </c>
    </row>
    <row r="495" spans="1:22" x14ac:dyDescent="0.25">
      <c r="A495" s="27" t="s">
        <v>848</v>
      </c>
      <c r="B495" s="27" t="s">
        <v>878</v>
      </c>
      <c r="C495" s="27" t="s">
        <v>543</v>
      </c>
      <c r="D495" s="32">
        <v>20809</v>
      </c>
      <c r="E495" s="32">
        <v>0</v>
      </c>
      <c r="F495" s="32">
        <v>0</v>
      </c>
      <c r="G495" s="32">
        <v>0</v>
      </c>
      <c r="H495" s="32">
        <v>0</v>
      </c>
      <c r="I495" s="32">
        <v>0</v>
      </c>
      <c r="J495" s="32">
        <v>0</v>
      </c>
      <c r="K495" s="32"/>
      <c r="M495" s="27" t="s">
        <v>848</v>
      </c>
      <c r="N495" s="27" t="s">
        <v>878</v>
      </c>
      <c r="O495" s="27" t="s">
        <v>543</v>
      </c>
      <c r="P495" s="27">
        <v>20809</v>
      </c>
      <c r="Q495" s="27">
        <v>0</v>
      </c>
      <c r="R495" s="27">
        <v>0</v>
      </c>
      <c r="S495" s="27">
        <v>0</v>
      </c>
      <c r="T495" s="27">
        <v>0</v>
      </c>
      <c r="U495" s="27">
        <v>0</v>
      </c>
      <c r="V495" s="27">
        <v>0</v>
      </c>
    </row>
    <row r="496" spans="1:22" x14ac:dyDescent="0.25">
      <c r="A496" s="27" t="s">
        <v>83</v>
      </c>
      <c r="B496" s="27" t="s">
        <v>878</v>
      </c>
      <c r="C496" s="27" t="s">
        <v>544</v>
      </c>
      <c r="D496" s="32">
        <v>2473</v>
      </c>
      <c r="E496" s="32">
        <v>0</v>
      </c>
      <c r="F496" s="32">
        <v>0</v>
      </c>
      <c r="G496" s="32">
        <v>0</v>
      </c>
      <c r="H496" s="32">
        <v>0</v>
      </c>
      <c r="I496" s="32">
        <v>0</v>
      </c>
      <c r="J496" s="32">
        <v>0</v>
      </c>
      <c r="K496" s="32"/>
      <c r="M496" s="27" t="s">
        <v>83</v>
      </c>
      <c r="N496" s="27" t="s">
        <v>878</v>
      </c>
      <c r="O496" s="27" t="s">
        <v>544</v>
      </c>
      <c r="P496" s="27">
        <v>2473</v>
      </c>
      <c r="Q496" s="27">
        <v>0</v>
      </c>
      <c r="R496" s="27">
        <v>0</v>
      </c>
      <c r="S496" s="27">
        <v>0</v>
      </c>
      <c r="T496" s="27">
        <v>0</v>
      </c>
      <c r="U496" s="27">
        <v>0</v>
      </c>
      <c r="V496" s="27">
        <v>0</v>
      </c>
    </row>
    <row r="497" spans="1:22" x14ac:dyDescent="0.25">
      <c r="A497" s="27" t="s">
        <v>248</v>
      </c>
      <c r="B497" s="27" t="s">
        <v>878</v>
      </c>
      <c r="C497" s="27" t="s">
        <v>545</v>
      </c>
      <c r="D497" s="32">
        <v>16243</v>
      </c>
      <c r="E497" s="32">
        <v>0</v>
      </c>
      <c r="F497" s="32">
        <v>0</v>
      </c>
      <c r="G497" s="32">
        <v>0</v>
      </c>
      <c r="H497" s="32">
        <v>0</v>
      </c>
      <c r="I497" s="32">
        <v>0</v>
      </c>
      <c r="J497" s="32">
        <v>0</v>
      </c>
      <c r="K497" s="32"/>
      <c r="M497" s="27" t="s">
        <v>248</v>
      </c>
      <c r="N497" s="27" t="s">
        <v>878</v>
      </c>
      <c r="O497" s="27" t="s">
        <v>545</v>
      </c>
      <c r="P497" s="27">
        <v>16243</v>
      </c>
      <c r="Q497" s="27">
        <v>0</v>
      </c>
      <c r="R497" s="27">
        <v>0</v>
      </c>
      <c r="S497" s="27">
        <v>0</v>
      </c>
      <c r="T497" s="27">
        <v>0</v>
      </c>
      <c r="U497" s="27">
        <v>0</v>
      </c>
      <c r="V497" s="27">
        <v>0</v>
      </c>
    </row>
    <row r="498" spans="1:22" x14ac:dyDescent="0.25">
      <c r="A498" s="27" t="s">
        <v>76</v>
      </c>
      <c r="B498" s="27" t="s">
        <v>878</v>
      </c>
      <c r="C498" s="27" t="s">
        <v>546</v>
      </c>
      <c r="D498" s="32">
        <v>8826</v>
      </c>
      <c r="E498" s="32">
        <v>0</v>
      </c>
      <c r="F498" s="32">
        <v>0</v>
      </c>
      <c r="G498" s="32">
        <v>0</v>
      </c>
      <c r="H498" s="32">
        <v>0</v>
      </c>
      <c r="I498" s="32">
        <v>0</v>
      </c>
      <c r="J498" s="32">
        <v>0</v>
      </c>
      <c r="K498" s="32"/>
      <c r="M498" s="27" t="s">
        <v>76</v>
      </c>
      <c r="N498" s="27" t="s">
        <v>878</v>
      </c>
      <c r="O498" s="27" t="s">
        <v>546</v>
      </c>
      <c r="P498" s="27">
        <v>8826</v>
      </c>
      <c r="Q498" s="27">
        <v>0</v>
      </c>
      <c r="R498" s="27">
        <v>0</v>
      </c>
      <c r="S498" s="27">
        <v>0</v>
      </c>
      <c r="T498" s="27">
        <v>0</v>
      </c>
      <c r="U498" s="27">
        <v>0</v>
      </c>
      <c r="V498" s="27">
        <v>0</v>
      </c>
    </row>
    <row r="499" spans="1:22" x14ac:dyDescent="0.25">
      <c r="A499" s="27" t="s">
        <v>495</v>
      </c>
      <c r="B499" s="27" t="s">
        <v>878</v>
      </c>
      <c r="C499" s="27" t="s">
        <v>547</v>
      </c>
      <c r="D499" s="32">
        <v>34611</v>
      </c>
      <c r="E499" s="32">
        <v>0</v>
      </c>
      <c r="F499" s="32">
        <v>0</v>
      </c>
      <c r="G499" s="32">
        <v>0</v>
      </c>
      <c r="H499" s="32">
        <v>0</v>
      </c>
      <c r="I499" s="32">
        <v>0</v>
      </c>
      <c r="J499" s="32">
        <v>0</v>
      </c>
      <c r="K499" s="32"/>
      <c r="M499" s="27" t="s">
        <v>495</v>
      </c>
      <c r="N499" s="27" t="s">
        <v>878</v>
      </c>
      <c r="O499" s="27" t="s">
        <v>547</v>
      </c>
      <c r="P499" s="27">
        <v>34611</v>
      </c>
      <c r="Q499" s="27">
        <v>0</v>
      </c>
      <c r="R499" s="27">
        <v>0</v>
      </c>
      <c r="S499" s="27">
        <v>0</v>
      </c>
      <c r="T499" s="27">
        <v>0</v>
      </c>
      <c r="U499" s="27">
        <v>0</v>
      </c>
      <c r="V499" s="27">
        <v>0</v>
      </c>
    </row>
    <row r="500" spans="1:22" x14ac:dyDescent="0.25">
      <c r="A500" s="27" t="s">
        <v>825</v>
      </c>
      <c r="B500" s="27" t="s">
        <v>878</v>
      </c>
      <c r="C500" s="27" t="s">
        <v>548</v>
      </c>
      <c r="D500" s="32">
        <v>19198</v>
      </c>
      <c r="E500" s="32">
        <v>0</v>
      </c>
      <c r="F500" s="32">
        <v>0</v>
      </c>
      <c r="G500" s="32">
        <v>0</v>
      </c>
      <c r="H500" s="32">
        <v>0</v>
      </c>
      <c r="I500" s="32">
        <v>0</v>
      </c>
      <c r="J500" s="32">
        <v>0</v>
      </c>
      <c r="K500" s="32"/>
      <c r="M500" s="27" t="s">
        <v>825</v>
      </c>
      <c r="N500" s="27" t="s">
        <v>878</v>
      </c>
      <c r="O500" s="27" t="s">
        <v>548</v>
      </c>
      <c r="P500" s="27">
        <v>19198</v>
      </c>
      <c r="Q500" s="27">
        <v>0</v>
      </c>
      <c r="R500" s="27">
        <v>0</v>
      </c>
      <c r="S500" s="27">
        <v>0</v>
      </c>
      <c r="T500" s="27">
        <v>0</v>
      </c>
      <c r="U500" s="27">
        <v>0</v>
      </c>
      <c r="V500" s="27">
        <v>0</v>
      </c>
    </row>
    <row r="501" spans="1:22" x14ac:dyDescent="0.25">
      <c r="A501" s="27" t="s">
        <v>72</v>
      </c>
      <c r="B501" s="27" t="s">
        <v>878</v>
      </c>
      <c r="C501" s="27" t="s">
        <v>549</v>
      </c>
      <c r="D501" s="32">
        <v>45165</v>
      </c>
      <c r="E501" s="32">
        <v>0</v>
      </c>
      <c r="F501" s="32">
        <v>0</v>
      </c>
      <c r="G501" s="32">
        <v>0</v>
      </c>
      <c r="H501" s="32">
        <v>0</v>
      </c>
      <c r="I501" s="32">
        <v>0</v>
      </c>
      <c r="J501" s="32">
        <v>0</v>
      </c>
      <c r="K501" s="32"/>
      <c r="M501" s="27" t="s">
        <v>72</v>
      </c>
      <c r="N501" s="27" t="s">
        <v>878</v>
      </c>
      <c r="O501" s="27" t="s">
        <v>549</v>
      </c>
      <c r="P501" s="27">
        <v>45165</v>
      </c>
      <c r="Q501" s="27">
        <v>0</v>
      </c>
      <c r="R501" s="27">
        <v>0</v>
      </c>
      <c r="S501" s="27">
        <v>0</v>
      </c>
      <c r="T501" s="27">
        <v>0</v>
      </c>
      <c r="U501" s="27">
        <v>0</v>
      </c>
      <c r="V501" s="27">
        <v>0</v>
      </c>
    </row>
    <row r="502" spans="1:22" x14ac:dyDescent="0.25">
      <c r="A502" s="27" t="s">
        <v>134</v>
      </c>
      <c r="B502" s="27" t="s">
        <v>878</v>
      </c>
      <c r="C502" s="27" t="s">
        <v>550</v>
      </c>
      <c r="D502" s="32">
        <v>40265</v>
      </c>
      <c r="E502" s="32">
        <v>0</v>
      </c>
      <c r="F502" s="32">
        <v>0</v>
      </c>
      <c r="G502" s="32">
        <v>0</v>
      </c>
      <c r="H502" s="32">
        <v>0</v>
      </c>
      <c r="I502" s="32">
        <v>0</v>
      </c>
      <c r="J502" s="32">
        <v>0</v>
      </c>
      <c r="K502" s="32"/>
      <c r="M502" s="27" t="s">
        <v>134</v>
      </c>
      <c r="N502" s="27" t="s">
        <v>878</v>
      </c>
      <c r="O502" s="27" t="s">
        <v>550</v>
      </c>
      <c r="P502" s="27">
        <v>40265</v>
      </c>
      <c r="Q502" s="27">
        <v>0</v>
      </c>
      <c r="R502" s="27">
        <v>0</v>
      </c>
      <c r="S502" s="27">
        <v>0</v>
      </c>
      <c r="T502" s="27">
        <v>0</v>
      </c>
      <c r="U502" s="27">
        <v>0</v>
      </c>
      <c r="V502" s="27">
        <v>0</v>
      </c>
    </row>
    <row r="503" spans="1:22" x14ac:dyDescent="0.25">
      <c r="A503" s="27" t="s">
        <v>795</v>
      </c>
      <c r="B503" s="27" t="s">
        <v>878</v>
      </c>
      <c r="C503" s="27" t="s">
        <v>551</v>
      </c>
      <c r="D503" s="32">
        <v>19380</v>
      </c>
      <c r="E503" s="32">
        <v>0</v>
      </c>
      <c r="F503" s="32">
        <v>0</v>
      </c>
      <c r="G503" s="32">
        <v>0</v>
      </c>
      <c r="H503" s="32">
        <v>0</v>
      </c>
      <c r="I503" s="32">
        <v>0</v>
      </c>
      <c r="J503" s="32">
        <v>0</v>
      </c>
      <c r="K503" s="32"/>
      <c r="M503" s="27" t="s">
        <v>795</v>
      </c>
      <c r="N503" s="27" t="s">
        <v>878</v>
      </c>
      <c r="O503" s="27" t="s">
        <v>551</v>
      </c>
      <c r="P503" s="27">
        <v>19380</v>
      </c>
      <c r="Q503" s="27">
        <v>0</v>
      </c>
      <c r="R503" s="27">
        <v>0</v>
      </c>
      <c r="S503" s="27">
        <v>0</v>
      </c>
      <c r="T503" s="27">
        <v>0</v>
      </c>
      <c r="U503" s="27">
        <v>0</v>
      </c>
      <c r="V503" s="27">
        <v>0</v>
      </c>
    </row>
    <row r="504" spans="1:22" x14ac:dyDescent="0.25">
      <c r="A504" s="27" t="s">
        <v>76</v>
      </c>
      <c r="B504" s="27" t="s">
        <v>878</v>
      </c>
      <c r="C504" s="27" t="s">
        <v>552</v>
      </c>
      <c r="D504" s="32">
        <v>4692</v>
      </c>
      <c r="E504" s="32">
        <v>0</v>
      </c>
      <c r="F504" s="32">
        <v>0</v>
      </c>
      <c r="G504" s="32">
        <v>0</v>
      </c>
      <c r="H504" s="32">
        <v>0</v>
      </c>
      <c r="I504" s="32">
        <v>0</v>
      </c>
      <c r="J504" s="32">
        <v>0</v>
      </c>
      <c r="K504" s="32"/>
      <c r="M504" s="27" t="s">
        <v>76</v>
      </c>
      <c r="N504" s="27" t="s">
        <v>878</v>
      </c>
      <c r="O504" s="27" t="s">
        <v>552</v>
      </c>
      <c r="P504" s="27">
        <v>4692</v>
      </c>
      <c r="Q504" s="27">
        <v>0</v>
      </c>
      <c r="R504" s="27">
        <v>0</v>
      </c>
      <c r="S504" s="27">
        <v>0</v>
      </c>
      <c r="T504" s="27">
        <v>0</v>
      </c>
      <c r="U504" s="27">
        <v>0</v>
      </c>
      <c r="V504" s="27">
        <v>0</v>
      </c>
    </row>
    <row r="505" spans="1:22" x14ac:dyDescent="0.25">
      <c r="A505" s="27" t="s">
        <v>824</v>
      </c>
      <c r="B505" s="27" t="s">
        <v>878</v>
      </c>
      <c r="C505" s="27" t="s">
        <v>553</v>
      </c>
      <c r="D505" s="32">
        <v>3648</v>
      </c>
      <c r="E505" s="32">
        <v>0</v>
      </c>
      <c r="F505" s="32">
        <v>0</v>
      </c>
      <c r="G505" s="32">
        <v>0</v>
      </c>
      <c r="H505" s="32">
        <v>0</v>
      </c>
      <c r="I505" s="32">
        <v>0</v>
      </c>
      <c r="J505" s="32">
        <v>0</v>
      </c>
      <c r="K505" s="32"/>
      <c r="M505" s="27" t="s">
        <v>824</v>
      </c>
      <c r="N505" s="27" t="s">
        <v>878</v>
      </c>
      <c r="O505" s="27" t="s">
        <v>553</v>
      </c>
      <c r="P505" s="27">
        <v>3648</v>
      </c>
      <c r="Q505" s="27">
        <v>0</v>
      </c>
      <c r="R505" s="27">
        <v>0</v>
      </c>
      <c r="S505" s="27">
        <v>0</v>
      </c>
      <c r="T505" s="27">
        <v>0</v>
      </c>
      <c r="U505" s="27">
        <v>0</v>
      </c>
      <c r="V505" s="27">
        <v>0</v>
      </c>
    </row>
    <row r="506" spans="1:22" x14ac:dyDescent="0.25">
      <c r="A506" s="27" t="s">
        <v>512</v>
      </c>
      <c r="B506" s="27" t="s">
        <v>878</v>
      </c>
      <c r="C506" s="27" t="s">
        <v>554</v>
      </c>
      <c r="D506" s="32">
        <v>22893</v>
      </c>
      <c r="E506" s="32">
        <v>0</v>
      </c>
      <c r="F506" s="32">
        <v>0</v>
      </c>
      <c r="G506" s="32">
        <v>0</v>
      </c>
      <c r="H506" s="32">
        <v>0</v>
      </c>
      <c r="I506" s="32">
        <v>0</v>
      </c>
      <c r="J506" s="32">
        <v>0</v>
      </c>
      <c r="K506" s="32"/>
      <c r="M506" s="27" t="s">
        <v>512</v>
      </c>
      <c r="N506" s="27" t="s">
        <v>878</v>
      </c>
      <c r="O506" s="27" t="s">
        <v>554</v>
      </c>
      <c r="P506" s="27">
        <v>22893</v>
      </c>
      <c r="Q506" s="27">
        <v>0</v>
      </c>
      <c r="R506" s="27">
        <v>0</v>
      </c>
      <c r="S506" s="27">
        <v>0</v>
      </c>
      <c r="T506" s="27">
        <v>0</v>
      </c>
      <c r="U506" s="27">
        <v>0</v>
      </c>
      <c r="V506" s="27">
        <v>0</v>
      </c>
    </row>
    <row r="507" spans="1:22" x14ac:dyDescent="0.25">
      <c r="A507" s="27" t="s">
        <v>788</v>
      </c>
      <c r="B507" s="27" t="s">
        <v>878</v>
      </c>
      <c r="C507" s="27" t="s">
        <v>555</v>
      </c>
      <c r="D507" s="32">
        <v>98579</v>
      </c>
      <c r="E507" s="32">
        <v>0</v>
      </c>
      <c r="F507" s="32">
        <v>0</v>
      </c>
      <c r="G507" s="32">
        <v>0</v>
      </c>
      <c r="H507" s="32">
        <v>0</v>
      </c>
      <c r="I507" s="32">
        <v>0</v>
      </c>
      <c r="J507" s="32">
        <v>0</v>
      </c>
      <c r="K507" s="32"/>
      <c r="M507" s="27" t="s">
        <v>788</v>
      </c>
      <c r="N507" s="27" t="s">
        <v>878</v>
      </c>
      <c r="O507" s="27" t="s">
        <v>555</v>
      </c>
      <c r="P507" s="27">
        <v>98579</v>
      </c>
      <c r="Q507" s="27">
        <v>0</v>
      </c>
      <c r="R507" s="27">
        <v>0</v>
      </c>
      <c r="S507" s="27">
        <v>0</v>
      </c>
      <c r="T507" s="27">
        <v>0</v>
      </c>
      <c r="U507" s="27">
        <v>0</v>
      </c>
      <c r="V507" s="27">
        <v>0</v>
      </c>
    </row>
    <row r="508" spans="1:22" x14ac:dyDescent="0.25">
      <c r="A508" s="27" t="s">
        <v>101</v>
      </c>
      <c r="B508" s="27" t="s">
        <v>878</v>
      </c>
      <c r="C508" s="27" t="s">
        <v>556</v>
      </c>
      <c r="D508" s="32">
        <v>39503</v>
      </c>
      <c r="E508" s="32">
        <v>0</v>
      </c>
      <c r="F508" s="32">
        <v>0</v>
      </c>
      <c r="G508" s="32">
        <v>0</v>
      </c>
      <c r="H508" s="32">
        <v>0</v>
      </c>
      <c r="I508" s="32">
        <v>0</v>
      </c>
      <c r="J508" s="32">
        <v>0</v>
      </c>
      <c r="K508" s="32"/>
      <c r="M508" s="27" t="s">
        <v>101</v>
      </c>
      <c r="N508" s="27" t="s">
        <v>878</v>
      </c>
      <c r="O508" s="27" t="s">
        <v>556</v>
      </c>
      <c r="P508" s="27">
        <v>39503</v>
      </c>
      <c r="Q508" s="27">
        <v>0</v>
      </c>
      <c r="R508" s="27">
        <v>0</v>
      </c>
      <c r="S508" s="27">
        <v>0</v>
      </c>
      <c r="T508" s="27">
        <v>0</v>
      </c>
      <c r="U508" s="27">
        <v>0</v>
      </c>
      <c r="V508" s="27">
        <v>0</v>
      </c>
    </row>
    <row r="509" spans="1:22" x14ac:dyDescent="0.25">
      <c r="A509" s="27" t="s">
        <v>231</v>
      </c>
      <c r="B509" s="27" t="s">
        <v>878</v>
      </c>
      <c r="C509" s="27" t="s">
        <v>557</v>
      </c>
      <c r="D509" s="32">
        <v>22523</v>
      </c>
      <c r="E509" s="32">
        <v>0</v>
      </c>
      <c r="F509" s="32">
        <v>0</v>
      </c>
      <c r="G509" s="32">
        <v>0</v>
      </c>
      <c r="H509" s="32">
        <v>0</v>
      </c>
      <c r="I509" s="32">
        <v>0</v>
      </c>
      <c r="J509" s="32">
        <v>0</v>
      </c>
      <c r="K509" s="32"/>
      <c r="M509" s="27" t="s">
        <v>231</v>
      </c>
      <c r="N509" s="27" t="s">
        <v>878</v>
      </c>
      <c r="O509" s="27" t="s">
        <v>557</v>
      </c>
      <c r="P509" s="27">
        <v>22523</v>
      </c>
      <c r="Q509" s="27">
        <v>0</v>
      </c>
      <c r="R509" s="27">
        <v>0</v>
      </c>
      <c r="S509" s="27">
        <v>0</v>
      </c>
      <c r="T509" s="27">
        <v>0</v>
      </c>
      <c r="U509" s="27">
        <v>0</v>
      </c>
      <c r="V509" s="27">
        <v>0</v>
      </c>
    </row>
    <row r="510" spans="1:22" x14ac:dyDescent="0.25">
      <c r="A510" s="27" t="s">
        <v>817</v>
      </c>
      <c r="B510" s="27" t="s">
        <v>878</v>
      </c>
      <c r="C510" s="27" t="s">
        <v>558</v>
      </c>
      <c r="D510" s="32">
        <v>12404</v>
      </c>
      <c r="E510" s="32">
        <v>0</v>
      </c>
      <c r="F510" s="32">
        <v>0</v>
      </c>
      <c r="G510" s="32">
        <v>0</v>
      </c>
      <c r="H510" s="32">
        <v>0</v>
      </c>
      <c r="I510" s="32">
        <v>0</v>
      </c>
      <c r="J510" s="32">
        <v>0</v>
      </c>
      <c r="K510" s="32"/>
      <c r="M510" s="27" t="s">
        <v>817</v>
      </c>
      <c r="N510" s="27" t="s">
        <v>878</v>
      </c>
      <c r="O510" s="27" t="s">
        <v>558</v>
      </c>
      <c r="P510" s="27">
        <v>12404</v>
      </c>
      <c r="Q510" s="27">
        <v>0</v>
      </c>
      <c r="R510" s="27">
        <v>0</v>
      </c>
      <c r="S510" s="27">
        <v>0</v>
      </c>
      <c r="T510" s="27">
        <v>0</v>
      </c>
      <c r="U510" s="27">
        <v>0</v>
      </c>
      <c r="V510" s="27">
        <v>0</v>
      </c>
    </row>
    <row r="511" spans="1:22" x14ac:dyDescent="0.25">
      <c r="A511" s="27" t="s">
        <v>76</v>
      </c>
      <c r="B511" s="27" t="s">
        <v>878</v>
      </c>
      <c r="C511" s="27" t="s">
        <v>559</v>
      </c>
      <c r="D511" s="32">
        <v>14514</v>
      </c>
      <c r="E511" s="32">
        <v>0</v>
      </c>
      <c r="F511" s="32">
        <v>0</v>
      </c>
      <c r="G511" s="32">
        <v>0</v>
      </c>
      <c r="H511" s="32">
        <v>0</v>
      </c>
      <c r="I511" s="32">
        <v>0</v>
      </c>
      <c r="J511" s="32">
        <v>0</v>
      </c>
      <c r="K511" s="32"/>
      <c r="M511" s="27" t="s">
        <v>76</v>
      </c>
      <c r="N511" s="27" t="s">
        <v>878</v>
      </c>
      <c r="O511" s="27" t="s">
        <v>559</v>
      </c>
      <c r="P511" s="27">
        <v>14514</v>
      </c>
      <c r="Q511" s="27">
        <v>0</v>
      </c>
      <c r="R511" s="27">
        <v>0</v>
      </c>
      <c r="S511" s="27">
        <v>0</v>
      </c>
      <c r="T511" s="27">
        <v>0</v>
      </c>
      <c r="U511" s="27">
        <v>0</v>
      </c>
      <c r="V511" s="27">
        <v>0</v>
      </c>
    </row>
    <row r="512" spans="1:22" x14ac:dyDescent="0.25">
      <c r="A512" s="27" t="s">
        <v>801</v>
      </c>
      <c r="B512" s="27" t="s">
        <v>878</v>
      </c>
      <c r="C512" s="27" t="s">
        <v>560</v>
      </c>
      <c r="D512" s="32">
        <v>56928</v>
      </c>
      <c r="E512" s="32">
        <v>0</v>
      </c>
      <c r="F512" s="32">
        <v>0</v>
      </c>
      <c r="G512" s="32">
        <v>0</v>
      </c>
      <c r="H512" s="32">
        <v>0</v>
      </c>
      <c r="I512" s="32">
        <v>0</v>
      </c>
      <c r="J512" s="32">
        <v>0</v>
      </c>
      <c r="K512" s="32"/>
      <c r="M512" s="27" t="s">
        <v>801</v>
      </c>
      <c r="N512" s="27" t="s">
        <v>878</v>
      </c>
      <c r="O512" s="27" t="s">
        <v>560</v>
      </c>
      <c r="P512" s="27">
        <v>56928</v>
      </c>
      <c r="Q512" s="27">
        <v>0</v>
      </c>
      <c r="R512" s="27">
        <v>0</v>
      </c>
      <c r="S512" s="27">
        <v>0</v>
      </c>
      <c r="T512" s="27">
        <v>0</v>
      </c>
      <c r="U512" s="27">
        <v>0</v>
      </c>
      <c r="V512" s="27">
        <v>0</v>
      </c>
    </row>
    <row r="513" spans="1:22" x14ac:dyDescent="0.25">
      <c r="A513" s="27" t="s">
        <v>83</v>
      </c>
      <c r="B513" s="27" t="s">
        <v>878</v>
      </c>
      <c r="C513" s="27" t="s">
        <v>561</v>
      </c>
      <c r="D513" s="32">
        <v>21332</v>
      </c>
      <c r="E513" s="32">
        <v>0</v>
      </c>
      <c r="F513" s="32">
        <v>0</v>
      </c>
      <c r="G513" s="32">
        <v>0</v>
      </c>
      <c r="H513" s="32">
        <v>0</v>
      </c>
      <c r="I513" s="32">
        <v>0</v>
      </c>
      <c r="J513" s="32">
        <v>0</v>
      </c>
      <c r="K513" s="32"/>
      <c r="M513" s="27" t="s">
        <v>83</v>
      </c>
      <c r="N513" s="27" t="s">
        <v>878</v>
      </c>
      <c r="O513" s="27" t="s">
        <v>561</v>
      </c>
      <c r="P513" s="27">
        <v>21332</v>
      </c>
      <c r="Q513" s="27">
        <v>0</v>
      </c>
      <c r="R513" s="27">
        <v>0</v>
      </c>
      <c r="S513" s="27">
        <v>0</v>
      </c>
      <c r="T513" s="27">
        <v>0</v>
      </c>
      <c r="U513" s="27">
        <v>0</v>
      </c>
      <c r="V513" s="27">
        <v>0</v>
      </c>
    </row>
    <row r="514" spans="1:22" x14ac:dyDescent="0.25">
      <c r="A514" s="27" t="s">
        <v>817</v>
      </c>
      <c r="B514" s="27" t="s">
        <v>878</v>
      </c>
      <c r="C514" s="27" t="s">
        <v>562</v>
      </c>
      <c r="D514" s="32">
        <v>14372</v>
      </c>
      <c r="E514" s="32">
        <v>0</v>
      </c>
      <c r="F514" s="32">
        <v>0</v>
      </c>
      <c r="G514" s="32">
        <v>0</v>
      </c>
      <c r="H514" s="32">
        <v>0</v>
      </c>
      <c r="I514" s="32">
        <v>0</v>
      </c>
      <c r="J514" s="32">
        <v>0</v>
      </c>
      <c r="K514" s="32"/>
      <c r="M514" s="27" t="s">
        <v>817</v>
      </c>
      <c r="N514" s="27" t="s">
        <v>878</v>
      </c>
      <c r="O514" s="27" t="s">
        <v>562</v>
      </c>
      <c r="P514" s="27">
        <v>14372</v>
      </c>
      <c r="Q514" s="27">
        <v>0</v>
      </c>
      <c r="R514" s="27">
        <v>0</v>
      </c>
      <c r="S514" s="27">
        <v>0</v>
      </c>
      <c r="T514" s="27">
        <v>0</v>
      </c>
      <c r="U514" s="27">
        <v>0</v>
      </c>
      <c r="V514" s="27">
        <v>0</v>
      </c>
    </row>
    <row r="515" spans="1:22" x14ac:dyDescent="0.25">
      <c r="A515" s="27" t="s">
        <v>824</v>
      </c>
      <c r="B515" s="27" t="s">
        <v>878</v>
      </c>
      <c r="C515" s="27" t="s">
        <v>563</v>
      </c>
      <c r="D515" s="32">
        <v>51168</v>
      </c>
      <c r="E515" s="32">
        <v>0</v>
      </c>
      <c r="F515" s="32">
        <v>0</v>
      </c>
      <c r="G515" s="32">
        <v>0</v>
      </c>
      <c r="H515" s="32">
        <v>0</v>
      </c>
      <c r="I515" s="32">
        <v>0</v>
      </c>
      <c r="J515" s="32">
        <v>0</v>
      </c>
      <c r="K515" s="32"/>
      <c r="M515" s="27" t="s">
        <v>824</v>
      </c>
      <c r="N515" s="27" t="s">
        <v>878</v>
      </c>
      <c r="O515" s="27" t="s">
        <v>563</v>
      </c>
      <c r="P515" s="27">
        <v>51168</v>
      </c>
      <c r="Q515" s="27">
        <v>0</v>
      </c>
      <c r="R515" s="27">
        <v>0</v>
      </c>
      <c r="S515" s="27">
        <v>0</v>
      </c>
      <c r="T515" s="27">
        <v>0</v>
      </c>
      <c r="U515" s="27">
        <v>0</v>
      </c>
      <c r="V515" s="27">
        <v>0</v>
      </c>
    </row>
    <row r="516" spans="1:22" x14ac:dyDescent="0.25">
      <c r="A516" s="27" t="s">
        <v>791</v>
      </c>
      <c r="B516" s="27" t="s">
        <v>878</v>
      </c>
      <c r="C516" s="27" t="s">
        <v>564</v>
      </c>
      <c r="D516" s="32">
        <v>12747</v>
      </c>
      <c r="E516" s="32">
        <v>0</v>
      </c>
      <c r="F516" s="32">
        <v>0</v>
      </c>
      <c r="G516" s="32">
        <v>0</v>
      </c>
      <c r="H516" s="32">
        <v>0</v>
      </c>
      <c r="I516" s="32">
        <v>0</v>
      </c>
      <c r="J516" s="32">
        <v>0</v>
      </c>
      <c r="K516" s="32"/>
      <c r="M516" s="27" t="s">
        <v>791</v>
      </c>
      <c r="N516" s="27" t="s">
        <v>878</v>
      </c>
      <c r="O516" s="27" t="s">
        <v>564</v>
      </c>
      <c r="P516" s="27">
        <v>12747</v>
      </c>
      <c r="Q516" s="27">
        <v>0</v>
      </c>
      <c r="R516" s="27">
        <v>0</v>
      </c>
      <c r="S516" s="27">
        <v>0</v>
      </c>
      <c r="T516" s="27">
        <v>0</v>
      </c>
      <c r="U516" s="27">
        <v>0</v>
      </c>
      <c r="V516" s="27">
        <v>0</v>
      </c>
    </row>
    <row r="517" spans="1:22" x14ac:dyDescent="0.25">
      <c r="A517" s="27" t="s">
        <v>69</v>
      </c>
      <c r="B517" s="27" t="s">
        <v>878</v>
      </c>
      <c r="C517" s="27" t="s">
        <v>565</v>
      </c>
      <c r="D517" s="32">
        <v>35950</v>
      </c>
      <c r="E517" s="32">
        <v>0</v>
      </c>
      <c r="F517" s="32">
        <v>0</v>
      </c>
      <c r="G517" s="32">
        <v>0</v>
      </c>
      <c r="H517" s="32">
        <v>0</v>
      </c>
      <c r="I517" s="32">
        <v>0</v>
      </c>
      <c r="J517" s="32">
        <v>0</v>
      </c>
      <c r="K517" s="32"/>
      <c r="M517" s="27" t="s">
        <v>69</v>
      </c>
      <c r="N517" s="27" t="s">
        <v>878</v>
      </c>
      <c r="O517" s="27" t="s">
        <v>565</v>
      </c>
      <c r="P517" s="27">
        <v>35950</v>
      </c>
      <c r="Q517" s="27">
        <v>0</v>
      </c>
      <c r="R517" s="27">
        <v>0</v>
      </c>
      <c r="S517" s="27">
        <v>0</v>
      </c>
      <c r="T517" s="27">
        <v>0</v>
      </c>
      <c r="U517" s="27">
        <v>0</v>
      </c>
      <c r="V517" s="27">
        <v>0</v>
      </c>
    </row>
    <row r="518" spans="1:22" x14ac:dyDescent="0.25">
      <c r="A518" s="27" t="s">
        <v>794</v>
      </c>
      <c r="B518" s="27" t="s">
        <v>878</v>
      </c>
      <c r="C518" s="27" t="s">
        <v>566</v>
      </c>
      <c r="D518" s="32">
        <v>9951</v>
      </c>
      <c r="E518" s="32">
        <v>0</v>
      </c>
      <c r="F518" s="32">
        <v>0</v>
      </c>
      <c r="G518" s="32">
        <v>0</v>
      </c>
      <c r="H518" s="32">
        <v>0</v>
      </c>
      <c r="I518" s="32">
        <v>0</v>
      </c>
      <c r="J518" s="32">
        <v>0</v>
      </c>
      <c r="K518" s="32"/>
      <c r="M518" s="27" t="s">
        <v>794</v>
      </c>
      <c r="N518" s="27" t="s">
        <v>878</v>
      </c>
      <c r="O518" s="27" t="s">
        <v>566</v>
      </c>
      <c r="P518" s="27">
        <v>9951</v>
      </c>
      <c r="Q518" s="27">
        <v>0</v>
      </c>
      <c r="R518" s="27">
        <v>0</v>
      </c>
      <c r="S518" s="27">
        <v>0</v>
      </c>
      <c r="T518" s="27">
        <v>0</v>
      </c>
      <c r="U518" s="27">
        <v>0</v>
      </c>
      <c r="V518" s="27">
        <v>0</v>
      </c>
    </row>
    <row r="519" spans="1:22" x14ac:dyDescent="0.25">
      <c r="A519" s="27" t="s">
        <v>797</v>
      </c>
      <c r="B519" s="27" t="s">
        <v>878</v>
      </c>
      <c r="C519" s="27" t="s">
        <v>567</v>
      </c>
      <c r="D519" s="32">
        <v>7651</v>
      </c>
      <c r="E519" s="32">
        <v>0</v>
      </c>
      <c r="F519" s="32">
        <v>0</v>
      </c>
      <c r="G519" s="32">
        <v>0</v>
      </c>
      <c r="H519" s="32">
        <v>0</v>
      </c>
      <c r="I519" s="32">
        <v>0</v>
      </c>
      <c r="J519" s="32">
        <v>0</v>
      </c>
      <c r="K519" s="32"/>
      <c r="M519" s="27" t="s">
        <v>797</v>
      </c>
      <c r="N519" s="27" t="s">
        <v>878</v>
      </c>
      <c r="O519" s="27" t="s">
        <v>567</v>
      </c>
      <c r="P519" s="27">
        <v>7651</v>
      </c>
      <c r="Q519" s="27">
        <v>0</v>
      </c>
      <c r="R519" s="27">
        <v>0</v>
      </c>
      <c r="S519" s="27">
        <v>0</v>
      </c>
      <c r="T519" s="27">
        <v>0</v>
      </c>
      <c r="U519" s="27">
        <v>0</v>
      </c>
      <c r="V519" s="27">
        <v>0</v>
      </c>
    </row>
    <row r="520" spans="1:22" x14ac:dyDescent="0.25">
      <c r="A520" s="27" t="s">
        <v>826</v>
      </c>
      <c r="B520" s="27" t="s">
        <v>878</v>
      </c>
      <c r="C520" s="27" t="s">
        <v>568</v>
      </c>
      <c r="D520" s="32"/>
      <c r="E520" s="32"/>
      <c r="F520" s="32"/>
      <c r="G520" s="32"/>
      <c r="H520" s="32"/>
      <c r="I520" s="32"/>
      <c r="J520" s="32"/>
      <c r="K520" s="32"/>
      <c r="M520" s="27" t="s">
        <v>826</v>
      </c>
      <c r="N520" s="27" t="s">
        <v>878</v>
      </c>
      <c r="O520" s="27" t="s">
        <v>568</v>
      </c>
    </row>
    <row r="521" spans="1:22" x14ac:dyDescent="0.25">
      <c r="A521" s="27" t="s">
        <v>864</v>
      </c>
      <c r="B521" s="27" t="s">
        <v>878</v>
      </c>
      <c r="C521" s="27" t="s">
        <v>569</v>
      </c>
      <c r="D521" s="32">
        <v>47422</v>
      </c>
      <c r="E521" s="32">
        <v>0</v>
      </c>
      <c r="F521" s="32">
        <v>0</v>
      </c>
      <c r="G521" s="32">
        <v>0</v>
      </c>
      <c r="H521" s="32">
        <v>0</v>
      </c>
      <c r="I521" s="32">
        <v>0</v>
      </c>
      <c r="J521" s="32">
        <v>0</v>
      </c>
      <c r="K521" s="32"/>
      <c r="M521" s="27" t="s">
        <v>864</v>
      </c>
      <c r="N521" s="27" t="s">
        <v>878</v>
      </c>
      <c r="O521" s="27" t="s">
        <v>569</v>
      </c>
      <c r="P521" s="27">
        <v>47422</v>
      </c>
      <c r="Q521" s="27">
        <v>0</v>
      </c>
      <c r="R521" s="27">
        <v>0</v>
      </c>
      <c r="S521" s="27">
        <v>0</v>
      </c>
      <c r="T521" s="27">
        <v>0</v>
      </c>
      <c r="U521" s="27">
        <v>0</v>
      </c>
      <c r="V521" s="27">
        <v>0</v>
      </c>
    </row>
    <row r="522" spans="1:22" x14ac:dyDescent="0.25">
      <c r="A522" s="27" t="s">
        <v>826</v>
      </c>
      <c r="B522" s="27" t="s">
        <v>878</v>
      </c>
      <c r="C522" s="27" t="s">
        <v>570</v>
      </c>
      <c r="D522" s="32"/>
      <c r="E522" s="32"/>
      <c r="F522" s="32"/>
      <c r="G522" s="32"/>
      <c r="H522" s="32"/>
      <c r="I522" s="32"/>
      <c r="J522" s="32"/>
      <c r="K522" s="32"/>
      <c r="M522" s="27" t="s">
        <v>826</v>
      </c>
      <c r="N522" s="27" t="s">
        <v>878</v>
      </c>
      <c r="O522" s="27" t="s">
        <v>570</v>
      </c>
    </row>
    <row r="523" spans="1:22" x14ac:dyDescent="0.25">
      <c r="A523" s="27" t="s">
        <v>72</v>
      </c>
      <c r="B523" s="27" t="s">
        <v>878</v>
      </c>
      <c r="C523" s="27" t="s">
        <v>571</v>
      </c>
      <c r="D523" s="32">
        <v>33818</v>
      </c>
      <c r="E523" s="32">
        <v>0</v>
      </c>
      <c r="F523" s="32">
        <v>0</v>
      </c>
      <c r="G523" s="32">
        <v>0</v>
      </c>
      <c r="H523" s="32">
        <v>0</v>
      </c>
      <c r="I523" s="32">
        <v>0</v>
      </c>
      <c r="J523" s="32">
        <v>0</v>
      </c>
      <c r="K523" s="32"/>
      <c r="M523" s="27" t="s">
        <v>72</v>
      </c>
      <c r="N523" s="27" t="s">
        <v>878</v>
      </c>
      <c r="O523" s="27" t="s">
        <v>571</v>
      </c>
      <c r="P523" s="27">
        <v>33818</v>
      </c>
      <c r="Q523" s="27">
        <v>0</v>
      </c>
      <c r="R523" s="27">
        <v>0</v>
      </c>
      <c r="S523" s="27">
        <v>0</v>
      </c>
      <c r="T523" s="27">
        <v>0</v>
      </c>
      <c r="U523" s="27">
        <v>0</v>
      </c>
      <c r="V523" s="27">
        <v>0</v>
      </c>
    </row>
    <row r="524" spans="1:22" x14ac:dyDescent="0.25">
      <c r="A524" s="27" t="s">
        <v>801</v>
      </c>
      <c r="B524" s="27" t="s">
        <v>878</v>
      </c>
      <c r="C524" s="27" t="s">
        <v>572</v>
      </c>
      <c r="D524" s="32">
        <v>45871</v>
      </c>
      <c r="E524" s="32">
        <v>0</v>
      </c>
      <c r="F524" s="32">
        <v>0</v>
      </c>
      <c r="G524" s="32">
        <v>0</v>
      </c>
      <c r="H524" s="32">
        <v>0</v>
      </c>
      <c r="I524" s="32">
        <v>0</v>
      </c>
      <c r="J524" s="32">
        <v>0</v>
      </c>
      <c r="K524" s="32"/>
      <c r="M524" s="27" t="s">
        <v>801</v>
      </c>
      <c r="N524" s="27" t="s">
        <v>878</v>
      </c>
      <c r="O524" s="27" t="s">
        <v>572</v>
      </c>
      <c r="P524" s="27">
        <v>45871</v>
      </c>
      <c r="Q524" s="27">
        <v>0</v>
      </c>
      <c r="R524" s="27">
        <v>0</v>
      </c>
      <c r="S524" s="27">
        <v>0</v>
      </c>
      <c r="T524" s="27">
        <v>0</v>
      </c>
      <c r="U524" s="27">
        <v>0</v>
      </c>
      <c r="V524" s="27">
        <v>0</v>
      </c>
    </row>
    <row r="525" spans="1:22" x14ac:dyDescent="0.25">
      <c r="A525" s="27" t="s">
        <v>859</v>
      </c>
      <c r="B525" s="27" t="s">
        <v>878</v>
      </c>
      <c r="C525" s="27" t="s">
        <v>573</v>
      </c>
      <c r="D525" s="32">
        <v>20866</v>
      </c>
      <c r="E525" s="32">
        <v>0</v>
      </c>
      <c r="F525" s="32">
        <v>0</v>
      </c>
      <c r="G525" s="32">
        <v>0</v>
      </c>
      <c r="H525" s="32">
        <v>0</v>
      </c>
      <c r="I525" s="32">
        <v>0</v>
      </c>
      <c r="J525" s="32">
        <v>0</v>
      </c>
      <c r="K525" s="32"/>
      <c r="M525" s="27" t="s">
        <v>859</v>
      </c>
      <c r="N525" s="27" t="s">
        <v>878</v>
      </c>
      <c r="O525" s="27" t="s">
        <v>573</v>
      </c>
      <c r="P525" s="27">
        <v>20866</v>
      </c>
      <c r="Q525" s="27">
        <v>0</v>
      </c>
      <c r="R525" s="27">
        <v>0</v>
      </c>
      <c r="S525" s="27">
        <v>0</v>
      </c>
      <c r="T525" s="27">
        <v>0</v>
      </c>
      <c r="U525" s="27">
        <v>0</v>
      </c>
      <c r="V525" s="27">
        <v>0</v>
      </c>
    </row>
    <row r="526" spans="1:22" x14ac:dyDescent="0.25">
      <c r="A526" s="27" t="s">
        <v>816</v>
      </c>
      <c r="B526" s="27" t="s">
        <v>878</v>
      </c>
      <c r="C526" s="27" t="s">
        <v>574</v>
      </c>
      <c r="D526" s="32">
        <v>48284</v>
      </c>
      <c r="E526" s="32">
        <v>0</v>
      </c>
      <c r="F526" s="32">
        <v>0</v>
      </c>
      <c r="G526" s="32">
        <v>0</v>
      </c>
      <c r="H526" s="32">
        <v>0</v>
      </c>
      <c r="I526" s="32">
        <v>0</v>
      </c>
      <c r="J526" s="32">
        <v>0</v>
      </c>
      <c r="K526" s="32"/>
      <c r="M526" s="27" t="s">
        <v>816</v>
      </c>
      <c r="N526" s="27" t="s">
        <v>878</v>
      </c>
      <c r="O526" s="27" t="s">
        <v>574</v>
      </c>
      <c r="P526" s="27">
        <v>48284</v>
      </c>
      <c r="Q526" s="27">
        <v>0</v>
      </c>
      <c r="R526" s="27">
        <v>0</v>
      </c>
      <c r="S526" s="27">
        <v>0</v>
      </c>
      <c r="T526" s="27">
        <v>0</v>
      </c>
      <c r="U526" s="27">
        <v>0</v>
      </c>
      <c r="V526" s="27">
        <v>0</v>
      </c>
    </row>
    <row r="527" spans="1:22" x14ac:dyDescent="0.25">
      <c r="A527" s="27" t="s">
        <v>864</v>
      </c>
      <c r="B527" s="27" t="s">
        <v>878</v>
      </c>
      <c r="C527" s="27" t="s">
        <v>575</v>
      </c>
      <c r="D527" s="32">
        <v>41305</v>
      </c>
      <c r="E527" s="32">
        <v>0</v>
      </c>
      <c r="F527" s="32">
        <v>0</v>
      </c>
      <c r="G527" s="32">
        <v>0</v>
      </c>
      <c r="H527" s="32">
        <v>0</v>
      </c>
      <c r="I527" s="32">
        <v>0</v>
      </c>
      <c r="J527" s="32">
        <v>0</v>
      </c>
      <c r="K527" s="32"/>
      <c r="M527" s="27" t="s">
        <v>864</v>
      </c>
      <c r="N527" s="27" t="s">
        <v>878</v>
      </c>
      <c r="O527" s="27" t="s">
        <v>575</v>
      </c>
      <c r="P527" s="27">
        <v>41305</v>
      </c>
      <c r="Q527" s="27">
        <v>0</v>
      </c>
      <c r="R527" s="27">
        <v>0</v>
      </c>
      <c r="S527" s="27">
        <v>0</v>
      </c>
      <c r="T527" s="27">
        <v>0</v>
      </c>
      <c r="U527" s="27">
        <v>0</v>
      </c>
      <c r="V527" s="27">
        <v>0</v>
      </c>
    </row>
    <row r="528" spans="1:22" x14ac:dyDescent="0.25">
      <c r="A528" s="27" t="s">
        <v>146</v>
      </c>
      <c r="B528" s="27" t="s">
        <v>878</v>
      </c>
      <c r="C528" s="27" t="s">
        <v>576</v>
      </c>
      <c r="D528" s="32">
        <v>30445</v>
      </c>
      <c r="E528" s="32">
        <v>0</v>
      </c>
      <c r="F528" s="32">
        <v>0</v>
      </c>
      <c r="G528" s="32">
        <v>0</v>
      </c>
      <c r="H528" s="32">
        <v>0</v>
      </c>
      <c r="I528" s="32">
        <v>0</v>
      </c>
      <c r="J528" s="32">
        <v>0</v>
      </c>
      <c r="K528" s="32"/>
      <c r="M528" s="27" t="s">
        <v>146</v>
      </c>
      <c r="N528" s="27" t="s">
        <v>878</v>
      </c>
      <c r="O528" s="27" t="s">
        <v>576</v>
      </c>
      <c r="P528" s="27">
        <v>30445</v>
      </c>
      <c r="Q528" s="27">
        <v>0</v>
      </c>
      <c r="R528" s="27">
        <v>0</v>
      </c>
      <c r="S528" s="27">
        <v>0</v>
      </c>
      <c r="T528" s="27">
        <v>0</v>
      </c>
      <c r="U528" s="27">
        <v>0</v>
      </c>
      <c r="V528" s="27">
        <v>0</v>
      </c>
    </row>
    <row r="529" spans="1:22" x14ac:dyDescent="0.25">
      <c r="A529" s="27" t="s">
        <v>794</v>
      </c>
      <c r="B529" s="27" t="s">
        <v>878</v>
      </c>
      <c r="C529" s="27" t="s">
        <v>577</v>
      </c>
      <c r="D529" s="32">
        <v>73950</v>
      </c>
      <c r="E529" s="32">
        <v>0</v>
      </c>
      <c r="F529" s="32">
        <v>0</v>
      </c>
      <c r="G529" s="32">
        <v>0</v>
      </c>
      <c r="H529" s="32">
        <v>0</v>
      </c>
      <c r="I529" s="32">
        <v>0</v>
      </c>
      <c r="J529" s="32">
        <v>0</v>
      </c>
      <c r="K529" s="32"/>
      <c r="M529" s="27" t="s">
        <v>794</v>
      </c>
      <c r="N529" s="27" t="s">
        <v>878</v>
      </c>
      <c r="O529" s="27" t="s">
        <v>577</v>
      </c>
      <c r="P529" s="27">
        <v>73950</v>
      </c>
      <c r="Q529" s="27">
        <v>0</v>
      </c>
      <c r="R529" s="27">
        <v>0</v>
      </c>
      <c r="S529" s="27">
        <v>0</v>
      </c>
      <c r="T529" s="27">
        <v>0</v>
      </c>
      <c r="U529" s="27">
        <v>0</v>
      </c>
      <c r="V529" s="27">
        <v>0</v>
      </c>
    </row>
    <row r="530" spans="1:22" x14ac:dyDescent="0.25">
      <c r="A530" s="27" t="s">
        <v>146</v>
      </c>
      <c r="B530" s="27" t="s">
        <v>878</v>
      </c>
      <c r="C530" s="27" t="s">
        <v>578</v>
      </c>
      <c r="D530" s="32">
        <v>50034</v>
      </c>
      <c r="E530" s="32">
        <v>0</v>
      </c>
      <c r="F530" s="32">
        <v>0</v>
      </c>
      <c r="G530" s="32">
        <v>0</v>
      </c>
      <c r="H530" s="32">
        <v>0</v>
      </c>
      <c r="I530" s="32">
        <v>0</v>
      </c>
      <c r="J530" s="32">
        <v>0</v>
      </c>
      <c r="K530" s="32"/>
      <c r="M530" s="27" t="s">
        <v>146</v>
      </c>
      <c r="N530" s="27" t="s">
        <v>878</v>
      </c>
      <c r="O530" s="27" t="s">
        <v>578</v>
      </c>
      <c r="P530" s="27">
        <v>50034</v>
      </c>
      <c r="Q530" s="27">
        <v>0</v>
      </c>
      <c r="R530" s="27">
        <v>0</v>
      </c>
      <c r="S530" s="27">
        <v>0</v>
      </c>
      <c r="T530" s="27">
        <v>0</v>
      </c>
      <c r="U530" s="27">
        <v>0</v>
      </c>
      <c r="V530" s="27">
        <v>0</v>
      </c>
    </row>
    <row r="531" spans="1:22" x14ac:dyDescent="0.25">
      <c r="A531" s="27" t="s">
        <v>832</v>
      </c>
      <c r="B531" s="27" t="s">
        <v>878</v>
      </c>
      <c r="C531" s="27" t="s">
        <v>579</v>
      </c>
      <c r="D531" s="32">
        <v>13406</v>
      </c>
      <c r="E531" s="32">
        <v>0</v>
      </c>
      <c r="F531" s="32">
        <v>0</v>
      </c>
      <c r="G531" s="32">
        <v>0</v>
      </c>
      <c r="H531" s="32">
        <v>0</v>
      </c>
      <c r="I531" s="32">
        <v>0</v>
      </c>
      <c r="J531" s="32">
        <v>0</v>
      </c>
      <c r="K531" s="32"/>
      <c r="M531" s="27" t="s">
        <v>832</v>
      </c>
      <c r="N531" s="27" t="s">
        <v>878</v>
      </c>
      <c r="O531" s="27" t="s">
        <v>579</v>
      </c>
      <c r="P531" s="27">
        <v>13406</v>
      </c>
      <c r="Q531" s="27">
        <v>0</v>
      </c>
      <c r="R531" s="27">
        <v>0</v>
      </c>
      <c r="S531" s="27">
        <v>0</v>
      </c>
      <c r="T531" s="27">
        <v>0</v>
      </c>
      <c r="U531" s="27">
        <v>0</v>
      </c>
      <c r="V531" s="27">
        <v>0</v>
      </c>
    </row>
    <row r="532" spans="1:22" x14ac:dyDescent="0.25">
      <c r="A532" s="27" t="s">
        <v>839</v>
      </c>
      <c r="B532" s="27" t="s">
        <v>878</v>
      </c>
      <c r="C532" s="27" t="s">
        <v>580</v>
      </c>
      <c r="D532" s="32">
        <v>64638</v>
      </c>
      <c r="E532" s="32">
        <v>0</v>
      </c>
      <c r="F532" s="32">
        <v>0</v>
      </c>
      <c r="G532" s="32">
        <v>0</v>
      </c>
      <c r="H532" s="32">
        <v>0</v>
      </c>
      <c r="I532" s="32">
        <v>0</v>
      </c>
      <c r="J532" s="32">
        <v>0</v>
      </c>
      <c r="K532" s="32"/>
      <c r="M532" s="27" t="s">
        <v>839</v>
      </c>
      <c r="N532" s="27" t="s">
        <v>878</v>
      </c>
      <c r="O532" s="27" t="s">
        <v>580</v>
      </c>
      <c r="P532" s="27">
        <v>64638</v>
      </c>
      <c r="Q532" s="27">
        <v>0</v>
      </c>
      <c r="R532" s="27">
        <v>0</v>
      </c>
      <c r="S532" s="27">
        <v>0</v>
      </c>
      <c r="T532" s="27">
        <v>0</v>
      </c>
      <c r="U532" s="27">
        <v>0</v>
      </c>
      <c r="V532" s="27">
        <v>0</v>
      </c>
    </row>
    <row r="533" spans="1:22" x14ac:dyDescent="0.25">
      <c r="A533" s="27" t="s">
        <v>69</v>
      </c>
      <c r="B533" s="27" t="s">
        <v>878</v>
      </c>
      <c r="C533" s="27" t="s">
        <v>581</v>
      </c>
      <c r="D533" s="32">
        <v>101548</v>
      </c>
      <c r="E533" s="32">
        <v>0</v>
      </c>
      <c r="F533" s="32">
        <v>0</v>
      </c>
      <c r="G533" s="32">
        <v>0</v>
      </c>
      <c r="H533" s="32">
        <v>0</v>
      </c>
      <c r="I533" s="32">
        <v>0</v>
      </c>
      <c r="J533" s="32">
        <v>0</v>
      </c>
      <c r="K533" s="32"/>
      <c r="M533" s="27" t="s">
        <v>69</v>
      </c>
      <c r="N533" s="27" t="s">
        <v>878</v>
      </c>
      <c r="O533" s="27" t="s">
        <v>581</v>
      </c>
      <c r="P533" s="27">
        <v>101548</v>
      </c>
      <c r="Q533" s="27">
        <v>0</v>
      </c>
      <c r="R533" s="27">
        <v>0</v>
      </c>
      <c r="S533" s="27">
        <v>0</v>
      </c>
      <c r="T533" s="27">
        <v>0</v>
      </c>
      <c r="U533" s="27">
        <v>0</v>
      </c>
      <c r="V533" s="27">
        <v>0</v>
      </c>
    </row>
    <row r="534" spans="1:22" x14ac:dyDescent="0.25">
      <c r="A534" s="27" t="s">
        <v>794</v>
      </c>
      <c r="B534" s="27" t="s">
        <v>878</v>
      </c>
      <c r="C534" s="27" t="s">
        <v>582</v>
      </c>
      <c r="D534" s="32">
        <v>38438</v>
      </c>
      <c r="E534" s="32">
        <v>0</v>
      </c>
      <c r="F534" s="32">
        <v>0</v>
      </c>
      <c r="G534" s="32">
        <v>0</v>
      </c>
      <c r="H534" s="32">
        <v>0</v>
      </c>
      <c r="I534" s="32">
        <v>0</v>
      </c>
      <c r="J534" s="32">
        <v>0</v>
      </c>
      <c r="K534" s="32"/>
      <c r="M534" s="27" t="s">
        <v>794</v>
      </c>
      <c r="N534" s="27" t="s">
        <v>878</v>
      </c>
      <c r="O534" s="27" t="s">
        <v>582</v>
      </c>
      <c r="P534" s="27">
        <v>38438</v>
      </c>
      <c r="Q534" s="27">
        <v>0</v>
      </c>
      <c r="R534" s="27">
        <v>0</v>
      </c>
      <c r="S534" s="27">
        <v>0</v>
      </c>
      <c r="T534" s="27">
        <v>0</v>
      </c>
      <c r="U534" s="27">
        <v>0</v>
      </c>
      <c r="V534" s="27">
        <v>0</v>
      </c>
    </row>
    <row r="535" spans="1:22" x14ac:dyDescent="0.25">
      <c r="A535" s="27" t="s">
        <v>794</v>
      </c>
      <c r="B535" s="27" t="s">
        <v>878</v>
      </c>
      <c r="C535" s="27" t="s">
        <v>583</v>
      </c>
      <c r="D535" s="32">
        <v>34562</v>
      </c>
      <c r="E535" s="32">
        <v>0</v>
      </c>
      <c r="F535" s="32">
        <v>0</v>
      </c>
      <c r="G535" s="32">
        <v>0</v>
      </c>
      <c r="H535" s="32">
        <v>0</v>
      </c>
      <c r="I535" s="32">
        <v>0</v>
      </c>
      <c r="J535" s="32">
        <v>0</v>
      </c>
      <c r="K535" s="32"/>
      <c r="M535" s="27" t="s">
        <v>794</v>
      </c>
      <c r="N535" s="27" t="s">
        <v>878</v>
      </c>
      <c r="O535" s="27" t="s">
        <v>583</v>
      </c>
      <c r="P535" s="27">
        <v>34562</v>
      </c>
      <c r="Q535" s="27">
        <v>0</v>
      </c>
      <c r="R535" s="27">
        <v>0</v>
      </c>
      <c r="S535" s="27">
        <v>0</v>
      </c>
      <c r="T535" s="27">
        <v>0</v>
      </c>
      <c r="U535" s="27">
        <v>0</v>
      </c>
      <c r="V535" s="27">
        <v>0</v>
      </c>
    </row>
    <row r="536" spans="1:22" x14ac:dyDescent="0.25">
      <c r="A536" s="27" t="s">
        <v>120</v>
      </c>
      <c r="B536" s="27" t="s">
        <v>878</v>
      </c>
      <c r="C536" s="27" t="s">
        <v>584</v>
      </c>
      <c r="D536" s="32">
        <v>9531</v>
      </c>
      <c r="E536" s="32">
        <v>0</v>
      </c>
      <c r="F536" s="32">
        <v>0</v>
      </c>
      <c r="G536" s="32">
        <v>0</v>
      </c>
      <c r="H536" s="32">
        <v>0</v>
      </c>
      <c r="I536" s="32">
        <v>0</v>
      </c>
      <c r="J536" s="32">
        <v>0</v>
      </c>
      <c r="K536" s="32"/>
      <c r="M536" s="27" t="s">
        <v>120</v>
      </c>
      <c r="N536" s="27" t="s">
        <v>878</v>
      </c>
      <c r="O536" s="27" t="s">
        <v>584</v>
      </c>
      <c r="P536" s="27">
        <v>9531</v>
      </c>
      <c r="Q536" s="27">
        <v>0</v>
      </c>
      <c r="R536" s="27">
        <v>0</v>
      </c>
      <c r="S536" s="27">
        <v>0</v>
      </c>
      <c r="T536" s="27">
        <v>0</v>
      </c>
      <c r="U536" s="27">
        <v>0</v>
      </c>
      <c r="V536" s="27">
        <v>0</v>
      </c>
    </row>
    <row r="537" spans="1:22" x14ac:dyDescent="0.25">
      <c r="A537" s="27" t="s">
        <v>837</v>
      </c>
      <c r="B537" s="27" t="s">
        <v>878</v>
      </c>
      <c r="C537" s="27" t="s">
        <v>585</v>
      </c>
      <c r="D537" s="32">
        <v>17643</v>
      </c>
      <c r="E537" s="32">
        <v>0</v>
      </c>
      <c r="F537" s="32">
        <v>0</v>
      </c>
      <c r="G537" s="32">
        <v>0</v>
      </c>
      <c r="H537" s="32">
        <v>0</v>
      </c>
      <c r="I537" s="32">
        <v>0</v>
      </c>
      <c r="J537" s="32">
        <v>0</v>
      </c>
      <c r="K537" s="32"/>
      <c r="M537" s="27" t="s">
        <v>837</v>
      </c>
      <c r="N537" s="27" t="s">
        <v>878</v>
      </c>
      <c r="O537" s="27" t="s">
        <v>585</v>
      </c>
      <c r="P537" s="27">
        <v>17643</v>
      </c>
      <c r="Q537" s="27">
        <v>0</v>
      </c>
      <c r="R537" s="27">
        <v>0</v>
      </c>
      <c r="S537" s="27">
        <v>0</v>
      </c>
      <c r="T537" s="27">
        <v>0</v>
      </c>
      <c r="U537" s="27">
        <v>0</v>
      </c>
      <c r="V537" s="27">
        <v>0</v>
      </c>
    </row>
    <row r="538" spans="1:22" x14ac:dyDescent="0.25">
      <c r="A538" s="27" t="s">
        <v>859</v>
      </c>
      <c r="B538" s="27" t="s">
        <v>878</v>
      </c>
      <c r="C538" s="27" t="s">
        <v>586</v>
      </c>
      <c r="D538" s="32">
        <v>44359</v>
      </c>
      <c r="E538" s="32">
        <v>0</v>
      </c>
      <c r="F538" s="32">
        <v>0</v>
      </c>
      <c r="G538" s="32">
        <v>0</v>
      </c>
      <c r="H538" s="32">
        <v>0</v>
      </c>
      <c r="I538" s="32">
        <v>0</v>
      </c>
      <c r="J538" s="32">
        <v>0</v>
      </c>
      <c r="K538" s="32"/>
      <c r="M538" s="27" t="s">
        <v>859</v>
      </c>
      <c r="N538" s="27" t="s">
        <v>878</v>
      </c>
      <c r="O538" s="27" t="s">
        <v>586</v>
      </c>
      <c r="P538" s="27">
        <v>44359</v>
      </c>
      <c r="Q538" s="27">
        <v>0</v>
      </c>
      <c r="R538" s="27">
        <v>0</v>
      </c>
      <c r="S538" s="27">
        <v>0</v>
      </c>
      <c r="T538" s="27">
        <v>0</v>
      </c>
      <c r="U538" s="27">
        <v>0</v>
      </c>
      <c r="V538" s="27">
        <v>0</v>
      </c>
    </row>
    <row r="539" spans="1:22" x14ac:dyDescent="0.25">
      <c r="A539" s="27" t="s">
        <v>836</v>
      </c>
      <c r="B539" s="27" t="s">
        <v>878</v>
      </c>
      <c r="C539" s="27" t="s">
        <v>587</v>
      </c>
      <c r="D539" s="32">
        <v>42857</v>
      </c>
      <c r="E539" s="32">
        <v>0</v>
      </c>
      <c r="F539" s="32">
        <v>0</v>
      </c>
      <c r="G539" s="32">
        <v>0</v>
      </c>
      <c r="H539" s="32">
        <v>0</v>
      </c>
      <c r="I539" s="32">
        <v>0</v>
      </c>
      <c r="J539" s="32">
        <v>0</v>
      </c>
      <c r="K539" s="32"/>
      <c r="M539" s="27" t="s">
        <v>836</v>
      </c>
      <c r="N539" s="27" t="s">
        <v>878</v>
      </c>
      <c r="O539" s="27" t="s">
        <v>587</v>
      </c>
      <c r="P539" s="27">
        <v>42857</v>
      </c>
      <c r="Q539" s="27">
        <v>0</v>
      </c>
      <c r="R539" s="27">
        <v>0</v>
      </c>
      <c r="S539" s="27">
        <v>0</v>
      </c>
      <c r="T539" s="27">
        <v>0</v>
      </c>
      <c r="U539" s="27">
        <v>0</v>
      </c>
      <c r="V539" s="27">
        <v>0</v>
      </c>
    </row>
    <row r="540" spans="1:22" x14ac:dyDescent="0.25">
      <c r="A540" s="27" t="s">
        <v>844</v>
      </c>
      <c r="B540" s="27" t="s">
        <v>878</v>
      </c>
      <c r="C540" s="27" t="s">
        <v>588</v>
      </c>
      <c r="D540" s="32">
        <v>24315</v>
      </c>
      <c r="E540" s="32">
        <v>0</v>
      </c>
      <c r="F540" s="32">
        <v>0</v>
      </c>
      <c r="G540" s="32">
        <v>0</v>
      </c>
      <c r="H540" s="32">
        <v>0</v>
      </c>
      <c r="I540" s="32">
        <v>0</v>
      </c>
      <c r="J540" s="32">
        <v>0</v>
      </c>
      <c r="K540" s="32"/>
      <c r="M540" s="27" t="s">
        <v>844</v>
      </c>
      <c r="N540" s="27" t="s">
        <v>878</v>
      </c>
      <c r="O540" s="27" t="s">
        <v>588</v>
      </c>
      <c r="P540" s="27">
        <v>24315</v>
      </c>
      <c r="Q540" s="27">
        <v>0</v>
      </c>
      <c r="R540" s="27">
        <v>0</v>
      </c>
      <c r="S540" s="27">
        <v>0</v>
      </c>
      <c r="T540" s="27">
        <v>0</v>
      </c>
      <c r="U540" s="27">
        <v>0</v>
      </c>
      <c r="V540" s="27">
        <v>0</v>
      </c>
    </row>
    <row r="541" spans="1:22" x14ac:dyDescent="0.25">
      <c r="A541" s="27" t="s">
        <v>838</v>
      </c>
      <c r="B541" s="27" t="s">
        <v>878</v>
      </c>
      <c r="C541" s="27" t="s">
        <v>589</v>
      </c>
      <c r="D541" s="32">
        <v>18956</v>
      </c>
      <c r="E541" s="32">
        <v>0</v>
      </c>
      <c r="F541" s="32">
        <v>0</v>
      </c>
      <c r="G541" s="32">
        <v>0</v>
      </c>
      <c r="H541" s="32">
        <v>0</v>
      </c>
      <c r="I541" s="32">
        <v>0</v>
      </c>
      <c r="J541" s="32">
        <v>0</v>
      </c>
      <c r="K541" s="32"/>
      <c r="M541" s="27" t="s">
        <v>838</v>
      </c>
      <c r="N541" s="27" t="s">
        <v>878</v>
      </c>
      <c r="O541" s="27" t="s">
        <v>589</v>
      </c>
      <c r="P541" s="27">
        <v>18956</v>
      </c>
      <c r="Q541" s="27">
        <v>0</v>
      </c>
      <c r="R541" s="27">
        <v>0</v>
      </c>
      <c r="S541" s="27">
        <v>0</v>
      </c>
      <c r="T541" s="27">
        <v>0</v>
      </c>
      <c r="U541" s="27">
        <v>0</v>
      </c>
      <c r="V541" s="27">
        <v>0</v>
      </c>
    </row>
    <row r="542" spans="1:22" x14ac:dyDescent="0.25">
      <c r="A542" s="27" t="s">
        <v>833</v>
      </c>
      <c r="B542" s="27" t="s">
        <v>878</v>
      </c>
      <c r="C542" s="27" t="s">
        <v>590</v>
      </c>
      <c r="D542" s="32">
        <v>20960</v>
      </c>
      <c r="E542" s="32">
        <v>0</v>
      </c>
      <c r="F542" s="32">
        <v>0</v>
      </c>
      <c r="G542" s="32">
        <v>0</v>
      </c>
      <c r="H542" s="32">
        <v>0</v>
      </c>
      <c r="I542" s="32">
        <v>0</v>
      </c>
      <c r="J542" s="32">
        <v>0</v>
      </c>
      <c r="K542" s="32"/>
      <c r="M542" s="27" t="s">
        <v>833</v>
      </c>
      <c r="N542" s="27" t="s">
        <v>878</v>
      </c>
      <c r="O542" s="27" t="s">
        <v>590</v>
      </c>
      <c r="P542" s="27">
        <v>20960</v>
      </c>
      <c r="Q542" s="27">
        <v>0</v>
      </c>
      <c r="R542" s="27">
        <v>0</v>
      </c>
      <c r="S542" s="27">
        <v>0</v>
      </c>
      <c r="T542" s="27">
        <v>0</v>
      </c>
      <c r="U542" s="27">
        <v>0</v>
      </c>
      <c r="V542" s="27">
        <v>0</v>
      </c>
    </row>
    <row r="543" spans="1:22" x14ac:dyDescent="0.25">
      <c r="A543" s="27" t="s">
        <v>845</v>
      </c>
      <c r="B543" s="27" t="s">
        <v>878</v>
      </c>
      <c r="C543" s="27" t="s">
        <v>591</v>
      </c>
      <c r="D543" s="32">
        <v>8992</v>
      </c>
      <c r="E543" s="32">
        <v>0</v>
      </c>
      <c r="F543" s="32">
        <v>0</v>
      </c>
      <c r="G543" s="32">
        <v>0</v>
      </c>
      <c r="H543" s="32">
        <v>0</v>
      </c>
      <c r="I543" s="32">
        <v>0</v>
      </c>
      <c r="J543" s="32">
        <v>0</v>
      </c>
      <c r="K543" s="32"/>
      <c r="M543" s="27" t="s">
        <v>845</v>
      </c>
      <c r="N543" s="27" t="s">
        <v>878</v>
      </c>
      <c r="O543" s="27" t="s">
        <v>591</v>
      </c>
      <c r="P543" s="27">
        <v>8992</v>
      </c>
      <c r="Q543" s="27">
        <v>0</v>
      </c>
      <c r="R543" s="27">
        <v>0</v>
      </c>
      <c r="S543" s="27">
        <v>0</v>
      </c>
      <c r="T543" s="27">
        <v>0</v>
      </c>
      <c r="U543" s="27">
        <v>0</v>
      </c>
      <c r="V543" s="27">
        <v>0</v>
      </c>
    </row>
    <row r="544" spans="1:22" x14ac:dyDescent="0.25">
      <c r="A544" s="27" t="s">
        <v>794</v>
      </c>
      <c r="B544" s="27" t="s">
        <v>878</v>
      </c>
      <c r="C544" s="27" t="s">
        <v>592</v>
      </c>
      <c r="D544" s="32">
        <v>20969</v>
      </c>
      <c r="E544" s="32">
        <v>0</v>
      </c>
      <c r="F544" s="32">
        <v>0</v>
      </c>
      <c r="G544" s="32">
        <v>0</v>
      </c>
      <c r="H544" s="32">
        <v>0</v>
      </c>
      <c r="I544" s="32">
        <v>0</v>
      </c>
      <c r="J544" s="32">
        <v>0</v>
      </c>
      <c r="K544" s="32"/>
      <c r="M544" s="27" t="s">
        <v>794</v>
      </c>
      <c r="N544" s="27" t="s">
        <v>878</v>
      </c>
      <c r="O544" s="27" t="s">
        <v>592</v>
      </c>
      <c r="P544" s="27">
        <v>20969</v>
      </c>
      <c r="Q544" s="27">
        <v>0</v>
      </c>
      <c r="R544" s="27">
        <v>0</v>
      </c>
      <c r="S544" s="27">
        <v>0</v>
      </c>
      <c r="T544" s="27">
        <v>0</v>
      </c>
      <c r="U544" s="27">
        <v>0</v>
      </c>
      <c r="V544" s="27">
        <v>0</v>
      </c>
    </row>
    <row r="545" spans="1:22" x14ac:dyDescent="0.25">
      <c r="A545" s="27" t="s">
        <v>843</v>
      </c>
      <c r="B545" s="27" t="s">
        <v>878</v>
      </c>
      <c r="C545" s="27" t="s">
        <v>593</v>
      </c>
      <c r="D545" s="32">
        <v>5712</v>
      </c>
      <c r="E545" s="32">
        <v>0</v>
      </c>
      <c r="F545" s="32">
        <v>0</v>
      </c>
      <c r="G545" s="32">
        <v>0</v>
      </c>
      <c r="H545" s="32">
        <v>0</v>
      </c>
      <c r="I545" s="32">
        <v>0</v>
      </c>
      <c r="J545" s="32">
        <v>0</v>
      </c>
      <c r="K545" s="32"/>
      <c r="M545" s="27" t="s">
        <v>843</v>
      </c>
      <c r="N545" s="27" t="s">
        <v>878</v>
      </c>
      <c r="O545" s="27" t="s">
        <v>593</v>
      </c>
      <c r="P545" s="27">
        <v>5712</v>
      </c>
      <c r="Q545" s="27">
        <v>0</v>
      </c>
      <c r="R545" s="27">
        <v>0</v>
      </c>
      <c r="S545" s="27">
        <v>0</v>
      </c>
      <c r="T545" s="27">
        <v>0</v>
      </c>
      <c r="U545" s="27">
        <v>0</v>
      </c>
      <c r="V545" s="27">
        <v>0</v>
      </c>
    </row>
    <row r="546" spans="1:22" x14ac:dyDescent="0.25">
      <c r="A546" s="27" t="s">
        <v>863</v>
      </c>
      <c r="B546" s="27" t="s">
        <v>878</v>
      </c>
      <c r="C546" s="27" t="s">
        <v>594</v>
      </c>
      <c r="D546" s="32">
        <v>17456</v>
      </c>
      <c r="E546" s="32">
        <v>0</v>
      </c>
      <c r="F546" s="32">
        <v>0</v>
      </c>
      <c r="G546" s="32">
        <v>0</v>
      </c>
      <c r="H546" s="32">
        <v>0</v>
      </c>
      <c r="I546" s="32">
        <v>0</v>
      </c>
      <c r="J546" s="32">
        <v>0</v>
      </c>
      <c r="K546" s="32"/>
      <c r="M546" s="27" t="s">
        <v>863</v>
      </c>
      <c r="N546" s="27" t="s">
        <v>878</v>
      </c>
      <c r="O546" s="27" t="s">
        <v>594</v>
      </c>
      <c r="P546" s="27">
        <v>17456</v>
      </c>
      <c r="Q546" s="27">
        <v>0</v>
      </c>
      <c r="R546" s="27">
        <v>0</v>
      </c>
      <c r="S546" s="27">
        <v>0</v>
      </c>
      <c r="T546" s="27">
        <v>0</v>
      </c>
      <c r="U546" s="27">
        <v>0</v>
      </c>
      <c r="V546" s="27">
        <v>0</v>
      </c>
    </row>
    <row r="547" spans="1:22" x14ac:dyDescent="0.25">
      <c r="A547" s="27" t="s">
        <v>804</v>
      </c>
      <c r="B547" s="27" t="s">
        <v>878</v>
      </c>
      <c r="C547" s="27" t="s">
        <v>595</v>
      </c>
      <c r="D547" s="32">
        <v>11997</v>
      </c>
      <c r="E547" s="32">
        <v>0</v>
      </c>
      <c r="F547" s="32">
        <v>0</v>
      </c>
      <c r="G547" s="32">
        <v>0</v>
      </c>
      <c r="H547" s="32">
        <v>0</v>
      </c>
      <c r="I547" s="32">
        <v>0</v>
      </c>
      <c r="J547" s="32">
        <v>0</v>
      </c>
      <c r="K547" s="32"/>
      <c r="M547" s="27" t="s">
        <v>804</v>
      </c>
      <c r="N547" s="27" t="s">
        <v>878</v>
      </c>
      <c r="O547" s="27" t="s">
        <v>595</v>
      </c>
      <c r="P547" s="27">
        <v>11997</v>
      </c>
      <c r="Q547" s="27">
        <v>0</v>
      </c>
      <c r="R547" s="27">
        <v>0</v>
      </c>
      <c r="S547" s="27">
        <v>0</v>
      </c>
      <c r="T547" s="27">
        <v>0</v>
      </c>
      <c r="U547" s="27">
        <v>0</v>
      </c>
      <c r="V547" s="27">
        <v>0</v>
      </c>
    </row>
    <row r="548" spans="1:22" x14ac:dyDescent="0.25">
      <c r="A548" s="27" t="s">
        <v>795</v>
      </c>
      <c r="B548" s="27" t="s">
        <v>878</v>
      </c>
      <c r="C548" s="27" t="s">
        <v>596</v>
      </c>
      <c r="D548" s="32">
        <v>48593</v>
      </c>
      <c r="E548" s="32">
        <v>0</v>
      </c>
      <c r="F548" s="32">
        <v>0</v>
      </c>
      <c r="G548" s="32">
        <v>0</v>
      </c>
      <c r="H548" s="32">
        <v>0</v>
      </c>
      <c r="I548" s="32">
        <v>0</v>
      </c>
      <c r="J548" s="32">
        <v>0</v>
      </c>
      <c r="K548" s="32"/>
      <c r="M548" s="27" t="s">
        <v>795</v>
      </c>
      <c r="N548" s="27" t="s">
        <v>878</v>
      </c>
      <c r="O548" s="27" t="s">
        <v>596</v>
      </c>
      <c r="P548" s="27">
        <v>48593</v>
      </c>
      <c r="Q548" s="27">
        <v>0</v>
      </c>
      <c r="R548" s="27">
        <v>0</v>
      </c>
      <c r="S548" s="27">
        <v>0</v>
      </c>
      <c r="T548" s="27">
        <v>0</v>
      </c>
      <c r="U548" s="27">
        <v>0</v>
      </c>
      <c r="V548" s="27">
        <v>0</v>
      </c>
    </row>
    <row r="549" spans="1:22" x14ac:dyDescent="0.25">
      <c r="A549" s="27" t="s">
        <v>101</v>
      </c>
      <c r="B549" s="27" t="s">
        <v>878</v>
      </c>
      <c r="C549" s="27" t="s">
        <v>597</v>
      </c>
      <c r="D549" s="32">
        <v>31100</v>
      </c>
      <c r="E549" s="32">
        <v>0</v>
      </c>
      <c r="F549" s="32">
        <v>0</v>
      </c>
      <c r="G549" s="32">
        <v>0</v>
      </c>
      <c r="H549" s="32">
        <v>0</v>
      </c>
      <c r="I549" s="32">
        <v>0</v>
      </c>
      <c r="J549" s="32">
        <v>0</v>
      </c>
      <c r="K549" s="32"/>
      <c r="M549" s="27" t="s">
        <v>101</v>
      </c>
      <c r="N549" s="27" t="s">
        <v>878</v>
      </c>
      <c r="O549" s="27" t="s">
        <v>597</v>
      </c>
      <c r="P549" s="27">
        <v>31100</v>
      </c>
      <c r="Q549" s="27">
        <v>0</v>
      </c>
      <c r="R549" s="27">
        <v>0</v>
      </c>
      <c r="S549" s="27">
        <v>0</v>
      </c>
      <c r="T549" s="27">
        <v>0</v>
      </c>
      <c r="U549" s="27">
        <v>0</v>
      </c>
      <c r="V549" s="27">
        <v>0</v>
      </c>
    </row>
    <row r="550" spans="1:22" x14ac:dyDescent="0.25">
      <c r="A550" s="27" t="s">
        <v>835</v>
      </c>
      <c r="B550" s="27" t="s">
        <v>878</v>
      </c>
      <c r="C550" s="27" t="s">
        <v>598</v>
      </c>
      <c r="D550" s="32">
        <v>11773</v>
      </c>
      <c r="E550" s="32">
        <v>0</v>
      </c>
      <c r="F550" s="32">
        <v>0</v>
      </c>
      <c r="G550" s="32">
        <v>0</v>
      </c>
      <c r="H550" s="32">
        <v>0</v>
      </c>
      <c r="I550" s="32">
        <v>0</v>
      </c>
      <c r="J550" s="32">
        <v>0</v>
      </c>
      <c r="K550" s="32"/>
      <c r="M550" s="27" t="s">
        <v>835</v>
      </c>
      <c r="N550" s="27" t="s">
        <v>878</v>
      </c>
      <c r="O550" s="27" t="s">
        <v>598</v>
      </c>
      <c r="P550" s="27">
        <v>11773</v>
      </c>
      <c r="Q550" s="27">
        <v>0</v>
      </c>
      <c r="R550" s="27">
        <v>0</v>
      </c>
      <c r="S550" s="27">
        <v>0</v>
      </c>
      <c r="T550" s="27">
        <v>0</v>
      </c>
      <c r="U550" s="27">
        <v>0</v>
      </c>
      <c r="V550" s="27">
        <v>0</v>
      </c>
    </row>
    <row r="551" spans="1:22" x14ac:dyDescent="0.25">
      <c r="A551" s="27" t="s">
        <v>842</v>
      </c>
      <c r="B551" s="27" t="s">
        <v>878</v>
      </c>
      <c r="C551" s="27" t="s">
        <v>599</v>
      </c>
      <c r="D551" s="32">
        <v>8260</v>
      </c>
      <c r="E551" s="32">
        <v>0</v>
      </c>
      <c r="F551" s="32">
        <v>0</v>
      </c>
      <c r="G551" s="32">
        <v>0</v>
      </c>
      <c r="H551" s="32">
        <v>0</v>
      </c>
      <c r="I551" s="32">
        <v>0</v>
      </c>
      <c r="J551" s="32">
        <v>0</v>
      </c>
      <c r="K551" s="32"/>
      <c r="M551" s="27" t="s">
        <v>842</v>
      </c>
      <c r="N551" s="27" t="s">
        <v>878</v>
      </c>
      <c r="O551" s="27" t="s">
        <v>599</v>
      </c>
      <c r="P551" s="27">
        <v>8260</v>
      </c>
      <c r="Q551" s="27">
        <v>0</v>
      </c>
      <c r="R551" s="27">
        <v>0</v>
      </c>
      <c r="S551" s="27">
        <v>0</v>
      </c>
      <c r="T551" s="27">
        <v>0</v>
      </c>
      <c r="U551" s="27">
        <v>0</v>
      </c>
      <c r="V551" s="27">
        <v>0</v>
      </c>
    </row>
    <row r="552" spans="1:22" x14ac:dyDescent="0.25">
      <c r="A552" s="27" t="s">
        <v>226</v>
      </c>
      <c r="B552" s="27" t="s">
        <v>878</v>
      </c>
      <c r="C552" s="27" t="s">
        <v>600</v>
      </c>
      <c r="D552" s="32">
        <v>4167</v>
      </c>
      <c r="E552" s="32">
        <v>0</v>
      </c>
      <c r="F552" s="32">
        <v>0</v>
      </c>
      <c r="G552" s="32">
        <v>0</v>
      </c>
      <c r="H552" s="32">
        <v>0</v>
      </c>
      <c r="I552" s="32">
        <v>0</v>
      </c>
      <c r="J552" s="32">
        <v>0</v>
      </c>
      <c r="K552" s="32"/>
      <c r="M552" s="27" t="s">
        <v>226</v>
      </c>
      <c r="N552" s="27" t="s">
        <v>878</v>
      </c>
      <c r="O552" s="27" t="s">
        <v>600</v>
      </c>
      <c r="P552" s="27">
        <v>4167</v>
      </c>
      <c r="Q552" s="27">
        <v>0</v>
      </c>
      <c r="R552" s="27">
        <v>0</v>
      </c>
      <c r="S552" s="27">
        <v>0</v>
      </c>
      <c r="T552" s="27">
        <v>0</v>
      </c>
      <c r="U552" s="27">
        <v>0</v>
      </c>
      <c r="V552" s="27">
        <v>0</v>
      </c>
    </row>
    <row r="553" spans="1:22" x14ac:dyDescent="0.25">
      <c r="A553" s="27" t="s">
        <v>817</v>
      </c>
      <c r="B553" s="27" t="s">
        <v>878</v>
      </c>
      <c r="C553" s="27" t="s">
        <v>601</v>
      </c>
      <c r="D553" s="32">
        <v>27425</v>
      </c>
      <c r="E553" s="32">
        <v>0</v>
      </c>
      <c r="F553" s="32">
        <v>0</v>
      </c>
      <c r="G553" s="32">
        <v>0</v>
      </c>
      <c r="H553" s="32">
        <v>0</v>
      </c>
      <c r="I553" s="32">
        <v>0</v>
      </c>
      <c r="J553" s="32">
        <v>0</v>
      </c>
      <c r="K553" s="32"/>
      <c r="M553" s="27" t="s">
        <v>817</v>
      </c>
      <c r="N553" s="27" t="s">
        <v>878</v>
      </c>
      <c r="O553" s="27" t="s">
        <v>601</v>
      </c>
      <c r="P553" s="27">
        <v>27425</v>
      </c>
      <c r="Q553" s="27">
        <v>0</v>
      </c>
      <c r="R553" s="27">
        <v>0</v>
      </c>
      <c r="S553" s="27">
        <v>0</v>
      </c>
      <c r="T553" s="27">
        <v>0</v>
      </c>
      <c r="U553" s="27">
        <v>0</v>
      </c>
      <c r="V553" s="27">
        <v>0</v>
      </c>
    </row>
    <row r="554" spans="1:22" x14ac:dyDescent="0.25">
      <c r="A554" s="27" t="s">
        <v>859</v>
      </c>
      <c r="B554" s="27" t="s">
        <v>878</v>
      </c>
      <c r="C554" s="27" t="s">
        <v>602</v>
      </c>
      <c r="D554" s="32">
        <v>59635</v>
      </c>
      <c r="E554" s="32">
        <v>0</v>
      </c>
      <c r="F554" s="32">
        <v>0</v>
      </c>
      <c r="G554" s="32">
        <v>0</v>
      </c>
      <c r="H554" s="32">
        <v>0</v>
      </c>
      <c r="I554" s="32">
        <v>0</v>
      </c>
      <c r="J554" s="32">
        <v>0</v>
      </c>
      <c r="K554" s="32"/>
      <c r="M554" s="27" t="s">
        <v>859</v>
      </c>
      <c r="N554" s="27" t="s">
        <v>878</v>
      </c>
      <c r="O554" s="27" t="s">
        <v>602</v>
      </c>
      <c r="P554" s="27">
        <v>59635</v>
      </c>
      <c r="Q554" s="27">
        <v>0</v>
      </c>
      <c r="R554" s="27">
        <v>0</v>
      </c>
      <c r="S554" s="27">
        <v>0</v>
      </c>
      <c r="T554" s="27">
        <v>0</v>
      </c>
      <c r="U554" s="27">
        <v>0</v>
      </c>
      <c r="V554" s="27">
        <v>0</v>
      </c>
    </row>
    <row r="555" spans="1:22" x14ac:dyDescent="0.25">
      <c r="A555" s="27" t="s">
        <v>859</v>
      </c>
      <c r="B555" s="27" t="s">
        <v>878</v>
      </c>
      <c r="C555" s="27" t="s">
        <v>603</v>
      </c>
      <c r="D555" s="32">
        <v>10357</v>
      </c>
      <c r="E555" s="32">
        <v>0</v>
      </c>
      <c r="F555" s="32">
        <v>0</v>
      </c>
      <c r="G555" s="32">
        <v>0</v>
      </c>
      <c r="H555" s="32">
        <v>0</v>
      </c>
      <c r="I555" s="32">
        <v>0</v>
      </c>
      <c r="J555" s="32">
        <v>0</v>
      </c>
      <c r="K555" s="32"/>
      <c r="M555" s="27" t="s">
        <v>859</v>
      </c>
      <c r="N555" s="27" t="s">
        <v>878</v>
      </c>
      <c r="O555" s="27" t="s">
        <v>603</v>
      </c>
      <c r="P555" s="27">
        <v>10357</v>
      </c>
      <c r="Q555" s="27">
        <v>0</v>
      </c>
      <c r="R555" s="27">
        <v>0</v>
      </c>
      <c r="S555" s="27">
        <v>0</v>
      </c>
      <c r="T555" s="27">
        <v>0</v>
      </c>
      <c r="U555" s="27">
        <v>0</v>
      </c>
      <c r="V555" s="27">
        <v>0</v>
      </c>
    </row>
    <row r="556" spans="1:22" x14ac:dyDescent="0.25">
      <c r="A556" s="27" t="s">
        <v>831</v>
      </c>
      <c r="B556" s="27" t="s">
        <v>878</v>
      </c>
      <c r="C556" s="27" t="s">
        <v>604</v>
      </c>
      <c r="D556" s="32">
        <v>23626</v>
      </c>
      <c r="E556" s="32">
        <v>0</v>
      </c>
      <c r="F556" s="32">
        <v>0</v>
      </c>
      <c r="G556" s="32">
        <v>0</v>
      </c>
      <c r="H556" s="32">
        <v>0</v>
      </c>
      <c r="I556" s="32">
        <v>0</v>
      </c>
      <c r="J556" s="32">
        <v>0</v>
      </c>
      <c r="K556" s="32"/>
      <c r="M556" s="27" t="s">
        <v>831</v>
      </c>
      <c r="N556" s="27" t="s">
        <v>878</v>
      </c>
      <c r="O556" s="27" t="s">
        <v>604</v>
      </c>
      <c r="P556" s="27">
        <v>23626</v>
      </c>
      <c r="Q556" s="27">
        <v>0</v>
      </c>
      <c r="R556" s="27">
        <v>0</v>
      </c>
      <c r="S556" s="27">
        <v>0</v>
      </c>
      <c r="T556" s="27">
        <v>0</v>
      </c>
      <c r="U556" s="27">
        <v>0</v>
      </c>
      <c r="V556" s="27">
        <v>0</v>
      </c>
    </row>
    <row r="557" spans="1:22" x14ac:dyDescent="0.25">
      <c r="A557" s="27" t="s">
        <v>809</v>
      </c>
      <c r="B557" s="27" t="s">
        <v>878</v>
      </c>
      <c r="C557" s="27" t="s">
        <v>605</v>
      </c>
      <c r="D557" s="32">
        <v>34761</v>
      </c>
      <c r="E557" s="32">
        <v>0</v>
      </c>
      <c r="F557" s="32">
        <v>0</v>
      </c>
      <c r="G557" s="32">
        <v>0</v>
      </c>
      <c r="H557" s="32">
        <v>0</v>
      </c>
      <c r="I557" s="32">
        <v>0</v>
      </c>
      <c r="J557" s="32">
        <v>0</v>
      </c>
      <c r="K557" s="32"/>
      <c r="M557" s="27" t="s">
        <v>809</v>
      </c>
      <c r="N557" s="27" t="s">
        <v>878</v>
      </c>
      <c r="O557" s="27" t="s">
        <v>605</v>
      </c>
      <c r="P557" s="27">
        <v>34761</v>
      </c>
      <c r="Q557" s="27">
        <v>0</v>
      </c>
      <c r="R557" s="27">
        <v>0</v>
      </c>
      <c r="S557" s="27">
        <v>0</v>
      </c>
      <c r="T557" s="27">
        <v>0</v>
      </c>
      <c r="U557" s="27">
        <v>0</v>
      </c>
      <c r="V557" s="27">
        <v>0</v>
      </c>
    </row>
    <row r="558" spans="1:22" x14ac:dyDescent="0.25">
      <c r="A558" s="27" t="s">
        <v>817</v>
      </c>
      <c r="B558" s="27" t="s">
        <v>878</v>
      </c>
      <c r="C558" s="27" t="s">
        <v>606</v>
      </c>
      <c r="D558" s="32">
        <v>113587</v>
      </c>
      <c r="E558" s="32">
        <v>0</v>
      </c>
      <c r="F558" s="32">
        <v>0</v>
      </c>
      <c r="G558" s="32">
        <v>0</v>
      </c>
      <c r="H558" s="32">
        <v>0</v>
      </c>
      <c r="I558" s="32">
        <v>0</v>
      </c>
      <c r="J558" s="32">
        <v>0</v>
      </c>
      <c r="K558" s="32"/>
      <c r="M558" s="27" t="s">
        <v>817</v>
      </c>
      <c r="N558" s="27" t="s">
        <v>878</v>
      </c>
      <c r="O558" s="27" t="s">
        <v>606</v>
      </c>
      <c r="P558" s="27">
        <v>113587</v>
      </c>
      <c r="Q558" s="27">
        <v>0</v>
      </c>
      <c r="R558" s="27">
        <v>0</v>
      </c>
      <c r="S558" s="27">
        <v>0</v>
      </c>
      <c r="T558" s="27">
        <v>0</v>
      </c>
      <c r="U558" s="27">
        <v>0</v>
      </c>
      <c r="V558" s="27">
        <v>0</v>
      </c>
    </row>
    <row r="559" spans="1:22" x14ac:dyDescent="0.25">
      <c r="A559" s="27" t="s">
        <v>824</v>
      </c>
      <c r="B559" s="27" t="s">
        <v>878</v>
      </c>
      <c r="C559" s="27" t="s">
        <v>607</v>
      </c>
      <c r="D559" s="32"/>
      <c r="E559" s="32"/>
      <c r="F559" s="32"/>
      <c r="G559" s="32"/>
      <c r="H559" s="32"/>
      <c r="I559" s="32"/>
      <c r="J559" s="32"/>
      <c r="K559" s="32"/>
      <c r="M559" s="27" t="s">
        <v>824</v>
      </c>
      <c r="N559" s="27" t="s">
        <v>878</v>
      </c>
      <c r="O559" s="27" t="s">
        <v>607</v>
      </c>
    </row>
    <row r="560" spans="1:22" x14ac:dyDescent="0.25">
      <c r="A560" s="27" t="s">
        <v>890</v>
      </c>
      <c r="B560" s="27" t="s">
        <v>878</v>
      </c>
      <c r="C560" s="27" t="s">
        <v>608</v>
      </c>
      <c r="D560" s="32">
        <v>44077</v>
      </c>
      <c r="E560" s="32">
        <v>0</v>
      </c>
      <c r="F560" s="32">
        <v>0</v>
      </c>
      <c r="G560" s="32">
        <v>0</v>
      </c>
      <c r="H560" s="32">
        <v>0</v>
      </c>
      <c r="I560" s="32">
        <v>0</v>
      </c>
      <c r="J560" s="32">
        <v>0</v>
      </c>
      <c r="K560" s="32"/>
      <c r="M560" s="27" t="s">
        <v>890</v>
      </c>
      <c r="N560" s="27" t="s">
        <v>878</v>
      </c>
      <c r="O560" s="27" t="s">
        <v>608</v>
      </c>
      <c r="P560" s="27">
        <v>44077</v>
      </c>
      <c r="Q560" s="27">
        <v>0</v>
      </c>
      <c r="R560" s="27">
        <v>0</v>
      </c>
      <c r="S560" s="27">
        <v>0</v>
      </c>
      <c r="T560" s="27">
        <v>0</v>
      </c>
      <c r="U560" s="27">
        <v>0</v>
      </c>
      <c r="V560" s="27">
        <v>0</v>
      </c>
    </row>
    <row r="561" spans="1:22" x14ac:dyDescent="0.25">
      <c r="A561" s="27" t="s">
        <v>859</v>
      </c>
      <c r="B561" s="27" t="s">
        <v>878</v>
      </c>
      <c r="C561" s="27" t="s">
        <v>609</v>
      </c>
      <c r="D561" s="32">
        <v>22581</v>
      </c>
      <c r="E561" s="32">
        <v>0</v>
      </c>
      <c r="F561" s="32">
        <v>0</v>
      </c>
      <c r="G561" s="32">
        <v>0</v>
      </c>
      <c r="H561" s="32">
        <v>0</v>
      </c>
      <c r="I561" s="32">
        <v>0</v>
      </c>
      <c r="J561" s="32">
        <v>0</v>
      </c>
      <c r="K561" s="32"/>
      <c r="M561" s="27" t="s">
        <v>859</v>
      </c>
      <c r="N561" s="27" t="s">
        <v>878</v>
      </c>
      <c r="O561" s="27" t="s">
        <v>609</v>
      </c>
      <c r="P561" s="27">
        <v>22581</v>
      </c>
      <c r="Q561" s="27">
        <v>0</v>
      </c>
      <c r="R561" s="27">
        <v>0</v>
      </c>
      <c r="S561" s="27">
        <v>0</v>
      </c>
      <c r="T561" s="27">
        <v>0</v>
      </c>
      <c r="U561" s="27">
        <v>0</v>
      </c>
      <c r="V561" s="27">
        <v>0</v>
      </c>
    </row>
    <row r="562" spans="1:22" x14ac:dyDescent="0.25">
      <c r="A562" s="27" t="s">
        <v>817</v>
      </c>
      <c r="B562" s="27" t="s">
        <v>878</v>
      </c>
      <c r="C562" s="27" t="s">
        <v>610</v>
      </c>
      <c r="D562" s="32">
        <v>119690</v>
      </c>
      <c r="E562" s="32">
        <v>0</v>
      </c>
      <c r="F562" s="32">
        <v>0</v>
      </c>
      <c r="G562" s="32">
        <v>0</v>
      </c>
      <c r="H562" s="32">
        <v>0</v>
      </c>
      <c r="I562" s="32">
        <v>0</v>
      </c>
      <c r="J562" s="32">
        <v>0</v>
      </c>
      <c r="K562" s="32"/>
      <c r="M562" s="27" t="s">
        <v>817</v>
      </c>
      <c r="N562" s="27" t="s">
        <v>878</v>
      </c>
      <c r="O562" s="27" t="s">
        <v>610</v>
      </c>
      <c r="P562" s="27">
        <v>119690</v>
      </c>
      <c r="Q562" s="27">
        <v>0</v>
      </c>
      <c r="R562" s="27">
        <v>0</v>
      </c>
      <c r="S562" s="27">
        <v>0</v>
      </c>
      <c r="T562" s="27">
        <v>0</v>
      </c>
      <c r="U562" s="27">
        <v>0</v>
      </c>
      <c r="V562" s="27">
        <v>0</v>
      </c>
    </row>
    <row r="563" spans="1:22" x14ac:dyDescent="0.25">
      <c r="A563" s="27" t="s">
        <v>817</v>
      </c>
      <c r="B563" s="27" t="s">
        <v>878</v>
      </c>
      <c r="C563" s="27" t="s">
        <v>611</v>
      </c>
      <c r="D563" s="32">
        <v>13000</v>
      </c>
      <c r="E563" s="32">
        <v>0</v>
      </c>
      <c r="F563" s="32">
        <v>0</v>
      </c>
      <c r="G563" s="32">
        <v>0</v>
      </c>
      <c r="H563" s="32">
        <v>0</v>
      </c>
      <c r="I563" s="32">
        <v>0</v>
      </c>
      <c r="J563" s="32">
        <v>0</v>
      </c>
      <c r="K563" s="32"/>
      <c r="M563" s="27" t="s">
        <v>817</v>
      </c>
      <c r="N563" s="27" t="s">
        <v>878</v>
      </c>
      <c r="O563" s="27" t="s">
        <v>611</v>
      </c>
      <c r="P563" s="27">
        <v>13000</v>
      </c>
      <c r="Q563" s="27">
        <v>0</v>
      </c>
      <c r="R563" s="27">
        <v>0</v>
      </c>
      <c r="S563" s="27">
        <v>0</v>
      </c>
      <c r="T563" s="27">
        <v>0</v>
      </c>
      <c r="U563" s="27">
        <v>0</v>
      </c>
      <c r="V563" s="27">
        <v>0</v>
      </c>
    </row>
    <row r="564" spans="1:22" x14ac:dyDescent="0.25">
      <c r="A564" s="27" t="s">
        <v>134</v>
      </c>
      <c r="B564" s="27" t="s">
        <v>878</v>
      </c>
      <c r="C564" s="27" t="s">
        <v>612</v>
      </c>
      <c r="D564" s="32">
        <v>62629</v>
      </c>
      <c r="E564" s="32">
        <v>0</v>
      </c>
      <c r="F564" s="32">
        <v>0</v>
      </c>
      <c r="G564" s="32">
        <v>0</v>
      </c>
      <c r="H564" s="32">
        <v>0</v>
      </c>
      <c r="I564" s="32">
        <v>0</v>
      </c>
      <c r="J564" s="32">
        <v>0</v>
      </c>
      <c r="K564" s="32"/>
      <c r="M564" s="27" t="s">
        <v>134</v>
      </c>
      <c r="N564" s="27" t="s">
        <v>878</v>
      </c>
      <c r="O564" s="27" t="s">
        <v>612</v>
      </c>
      <c r="P564" s="27">
        <v>62629</v>
      </c>
      <c r="Q564" s="27">
        <v>0</v>
      </c>
      <c r="R564" s="27">
        <v>0</v>
      </c>
      <c r="S564" s="27">
        <v>0</v>
      </c>
      <c r="T564" s="27">
        <v>0</v>
      </c>
      <c r="U564" s="27">
        <v>0</v>
      </c>
      <c r="V564" s="27">
        <v>0</v>
      </c>
    </row>
    <row r="565" spans="1:22" x14ac:dyDescent="0.25">
      <c r="A565" s="27" t="s">
        <v>817</v>
      </c>
      <c r="B565" s="27" t="s">
        <v>878</v>
      </c>
      <c r="C565" s="27" t="s">
        <v>613</v>
      </c>
      <c r="D565" s="32">
        <v>92349</v>
      </c>
      <c r="E565" s="32">
        <v>0</v>
      </c>
      <c r="F565" s="32">
        <v>0</v>
      </c>
      <c r="G565" s="32">
        <v>0</v>
      </c>
      <c r="H565" s="32">
        <v>0</v>
      </c>
      <c r="I565" s="32">
        <v>0</v>
      </c>
      <c r="J565" s="32">
        <v>0</v>
      </c>
      <c r="K565" s="32"/>
      <c r="M565" s="27" t="s">
        <v>817</v>
      </c>
      <c r="N565" s="27" t="s">
        <v>878</v>
      </c>
      <c r="O565" s="27" t="s">
        <v>613</v>
      </c>
      <c r="P565" s="27">
        <v>92349</v>
      </c>
      <c r="Q565" s="27">
        <v>0</v>
      </c>
      <c r="R565" s="27">
        <v>0</v>
      </c>
      <c r="S565" s="27">
        <v>0</v>
      </c>
      <c r="T565" s="27">
        <v>0</v>
      </c>
      <c r="U565" s="27">
        <v>0</v>
      </c>
      <c r="V565" s="27">
        <v>0</v>
      </c>
    </row>
    <row r="566" spans="1:22" x14ac:dyDescent="0.25">
      <c r="A566" s="27" t="s">
        <v>817</v>
      </c>
      <c r="B566" s="27" t="s">
        <v>878</v>
      </c>
      <c r="C566" s="27" t="s">
        <v>614</v>
      </c>
      <c r="D566" s="32">
        <v>12372</v>
      </c>
      <c r="E566" s="32">
        <v>0</v>
      </c>
      <c r="F566" s="32">
        <v>0</v>
      </c>
      <c r="G566" s="32">
        <v>0</v>
      </c>
      <c r="H566" s="32">
        <v>0</v>
      </c>
      <c r="I566" s="32">
        <v>0</v>
      </c>
      <c r="J566" s="32">
        <v>0</v>
      </c>
      <c r="K566" s="32"/>
      <c r="M566" s="27" t="s">
        <v>817</v>
      </c>
      <c r="N566" s="27" t="s">
        <v>878</v>
      </c>
      <c r="O566" s="27" t="s">
        <v>614</v>
      </c>
      <c r="P566" s="27">
        <v>12372</v>
      </c>
      <c r="Q566" s="27">
        <v>0</v>
      </c>
      <c r="R566" s="27">
        <v>0</v>
      </c>
      <c r="S566" s="27">
        <v>0</v>
      </c>
      <c r="T566" s="27">
        <v>0</v>
      </c>
      <c r="U566" s="27">
        <v>0</v>
      </c>
      <c r="V566" s="27">
        <v>0</v>
      </c>
    </row>
    <row r="567" spans="1:22" x14ac:dyDescent="0.25">
      <c r="A567" s="27" t="s">
        <v>826</v>
      </c>
      <c r="B567" s="27" t="s">
        <v>878</v>
      </c>
      <c r="C567" s="27" t="s">
        <v>615</v>
      </c>
      <c r="D567" s="32">
        <v>11236</v>
      </c>
      <c r="E567" s="32">
        <v>0</v>
      </c>
      <c r="F567" s="32">
        <v>0</v>
      </c>
      <c r="G567" s="32">
        <v>0</v>
      </c>
      <c r="H567" s="32">
        <v>0</v>
      </c>
      <c r="I567" s="32">
        <v>0</v>
      </c>
      <c r="J567" s="32">
        <v>0</v>
      </c>
      <c r="K567" s="32"/>
      <c r="M567" s="27" t="s">
        <v>826</v>
      </c>
      <c r="N567" s="27" t="s">
        <v>878</v>
      </c>
      <c r="O567" s="27" t="s">
        <v>615</v>
      </c>
      <c r="P567" s="27">
        <v>11236</v>
      </c>
      <c r="Q567" s="27">
        <v>0</v>
      </c>
      <c r="R567" s="27">
        <v>0</v>
      </c>
      <c r="S567" s="27">
        <v>0</v>
      </c>
      <c r="T567" s="27">
        <v>0</v>
      </c>
      <c r="U567" s="27">
        <v>0</v>
      </c>
      <c r="V567" s="27">
        <v>0</v>
      </c>
    </row>
    <row r="568" spans="1:22" x14ac:dyDescent="0.25">
      <c r="A568" s="27" t="s">
        <v>101</v>
      </c>
      <c r="B568" s="27" t="s">
        <v>878</v>
      </c>
      <c r="C568" s="27" t="s">
        <v>616</v>
      </c>
      <c r="D568" s="32">
        <v>18293</v>
      </c>
      <c r="E568" s="32">
        <v>0</v>
      </c>
      <c r="F568" s="32">
        <v>0</v>
      </c>
      <c r="G568" s="32">
        <v>0</v>
      </c>
      <c r="H568" s="32">
        <v>0</v>
      </c>
      <c r="I568" s="32">
        <v>0</v>
      </c>
      <c r="J568" s="32">
        <v>0</v>
      </c>
      <c r="K568" s="32"/>
      <c r="M568" s="27" t="s">
        <v>101</v>
      </c>
      <c r="N568" s="27" t="s">
        <v>878</v>
      </c>
      <c r="O568" s="27" t="s">
        <v>616</v>
      </c>
      <c r="P568" s="27">
        <v>18293</v>
      </c>
      <c r="Q568" s="27">
        <v>0</v>
      </c>
      <c r="R568" s="27">
        <v>0</v>
      </c>
      <c r="S568" s="27">
        <v>0</v>
      </c>
      <c r="T568" s="27">
        <v>0</v>
      </c>
      <c r="U568" s="27">
        <v>0</v>
      </c>
      <c r="V568" s="27">
        <v>0</v>
      </c>
    </row>
    <row r="569" spans="1:22" x14ac:dyDescent="0.25">
      <c r="A569" s="27" t="s">
        <v>811</v>
      </c>
      <c r="B569" s="27" t="s">
        <v>878</v>
      </c>
      <c r="C569" s="27" t="s">
        <v>617</v>
      </c>
      <c r="D569" s="32">
        <v>13470</v>
      </c>
      <c r="E569" s="32">
        <v>0</v>
      </c>
      <c r="F569" s="32">
        <v>0</v>
      </c>
      <c r="G569" s="32">
        <v>0</v>
      </c>
      <c r="H569" s="32">
        <v>0</v>
      </c>
      <c r="I569" s="32">
        <v>0</v>
      </c>
      <c r="J569" s="32">
        <v>0</v>
      </c>
      <c r="K569" s="32"/>
      <c r="M569" s="27" t="s">
        <v>811</v>
      </c>
      <c r="N569" s="27" t="s">
        <v>878</v>
      </c>
      <c r="O569" s="27" t="s">
        <v>617</v>
      </c>
      <c r="P569" s="27">
        <v>13470</v>
      </c>
      <c r="Q569" s="27">
        <v>0</v>
      </c>
      <c r="R569" s="27">
        <v>0</v>
      </c>
      <c r="S569" s="27">
        <v>0</v>
      </c>
      <c r="T569" s="27">
        <v>0</v>
      </c>
      <c r="U569" s="27">
        <v>0</v>
      </c>
      <c r="V569" s="27">
        <v>0</v>
      </c>
    </row>
    <row r="570" spans="1:22" x14ac:dyDescent="0.25">
      <c r="A570" s="27" t="s">
        <v>859</v>
      </c>
      <c r="B570" s="27" t="s">
        <v>878</v>
      </c>
      <c r="C570" s="27" t="s">
        <v>618</v>
      </c>
      <c r="D570" s="32">
        <v>56501</v>
      </c>
      <c r="E570" s="32">
        <v>0</v>
      </c>
      <c r="F570" s="32">
        <v>0</v>
      </c>
      <c r="G570" s="32">
        <v>0</v>
      </c>
      <c r="H570" s="32">
        <v>0</v>
      </c>
      <c r="I570" s="32">
        <v>0</v>
      </c>
      <c r="J570" s="32">
        <v>0</v>
      </c>
      <c r="K570" s="32"/>
      <c r="M570" s="27" t="s">
        <v>859</v>
      </c>
      <c r="N570" s="27" t="s">
        <v>878</v>
      </c>
      <c r="O570" s="27" t="s">
        <v>618</v>
      </c>
      <c r="P570" s="27">
        <v>56501</v>
      </c>
      <c r="Q570" s="27">
        <v>0</v>
      </c>
      <c r="R570" s="27">
        <v>0</v>
      </c>
      <c r="S570" s="27">
        <v>0</v>
      </c>
      <c r="T570" s="27">
        <v>0</v>
      </c>
      <c r="U570" s="27">
        <v>0</v>
      </c>
      <c r="V570" s="27">
        <v>0</v>
      </c>
    </row>
    <row r="571" spans="1:22" x14ac:dyDescent="0.25">
      <c r="A571" s="27" t="s">
        <v>788</v>
      </c>
      <c r="B571" s="27" t="s">
        <v>878</v>
      </c>
      <c r="C571" s="27" t="s">
        <v>619</v>
      </c>
      <c r="D571" s="32">
        <v>34060</v>
      </c>
      <c r="E571" s="32">
        <v>0</v>
      </c>
      <c r="F571" s="32">
        <v>0</v>
      </c>
      <c r="G571" s="32">
        <v>0</v>
      </c>
      <c r="H571" s="32">
        <v>0</v>
      </c>
      <c r="I571" s="32">
        <v>0</v>
      </c>
      <c r="J571" s="32">
        <v>0</v>
      </c>
      <c r="K571" s="32"/>
      <c r="M571" s="27" t="s">
        <v>788</v>
      </c>
      <c r="N571" s="27" t="s">
        <v>878</v>
      </c>
      <c r="O571" s="27" t="s">
        <v>619</v>
      </c>
      <c r="P571" s="27">
        <v>34060</v>
      </c>
      <c r="Q571" s="27">
        <v>0</v>
      </c>
      <c r="R571" s="27">
        <v>0</v>
      </c>
      <c r="S571" s="27">
        <v>0</v>
      </c>
      <c r="T571" s="27">
        <v>0</v>
      </c>
      <c r="U571" s="27">
        <v>0</v>
      </c>
      <c r="V571" s="27">
        <v>0</v>
      </c>
    </row>
    <row r="572" spans="1:22" x14ac:dyDescent="0.25">
      <c r="A572" s="27" t="s">
        <v>817</v>
      </c>
      <c r="B572" s="27" t="s">
        <v>878</v>
      </c>
      <c r="C572" s="27" t="s">
        <v>620</v>
      </c>
      <c r="D572" s="32">
        <v>29413</v>
      </c>
      <c r="E572" s="32">
        <v>0</v>
      </c>
      <c r="F572" s="32">
        <v>0</v>
      </c>
      <c r="G572" s="32">
        <v>0</v>
      </c>
      <c r="H572" s="32">
        <v>0</v>
      </c>
      <c r="I572" s="32">
        <v>0</v>
      </c>
      <c r="J572" s="32">
        <v>0</v>
      </c>
      <c r="K572" s="32"/>
      <c r="M572" s="27" t="s">
        <v>817</v>
      </c>
      <c r="N572" s="27" t="s">
        <v>878</v>
      </c>
      <c r="O572" s="27" t="s">
        <v>620</v>
      </c>
      <c r="P572" s="27">
        <v>29413</v>
      </c>
      <c r="Q572" s="27">
        <v>0</v>
      </c>
      <c r="R572" s="27">
        <v>0</v>
      </c>
      <c r="S572" s="27">
        <v>0</v>
      </c>
      <c r="T572" s="27">
        <v>0</v>
      </c>
      <c r="U572" s="27">
        <v>0</v>
      </c>
      <c r="V572" s="27">
        <v>0</v>
      </c>
    </row>
    <row r="573" spans="1:22" x14ac:dyDescent="0.25">
      <c r="A573" s="27" t="s">
        <v>248</v>
      </c>
      <c r="B573" s="27" t="s">
        <v>878</v>
      </c>
      <c r="C573" s="27" t="s">
        <v>621</v>
      </c>
      <c r="D573" s="32">
        <v>16861</v>
      </c>
      <c r="E573" s="32">
        <v>0</v>
      </c>
      <c r="F573" s="32">
        <v>0</v>
      </c>
      <c r="G573" s="32">
        <v>0</v>
      </c>
      <c r="H573" s="32">
        <v>0</v>
      </c>
      <c r="I573" s="32">
        <v>0</v>
      </c>
      <c r="J573" s="32">
        <v>0</v>
      </c>
      <c r="K573" s="32"/>
      <c r="M573" s="27" t="s">
        <v>248</v>
      </c>
      <c r="N573" s="27" t="s">
        <v>878</v>
      </c>
      <c r="O573" s="27" t="s">
        <v>621</v>
      </c>
      <c r="P573" s="27">
        <v>16861</v>
      </c>
      <c r="Q573" s="27">
        <v>0</v>
      </c>
      <c r="R573" s="27">
        <v>0</v>
      </c>
      <c r="S573" s="27">
        <v>0</v>
      </c>
      <c r="T573" s="27">
        <v>0</v>
      </c>
      <c r="U573" s="27">
        <v>0</v>
      </c>
      <c r="V573" s="27">
        <v>0</v>
      </c>
    </row>
    <row r="574" spans="1:22" x14ac:dyDescent="0.25">
      <c r="A574" s="27" t="s">
        <v>831</v>
      </c>
      <c r="B574" s="27" t="s">
        <v>878</v>
      </c>
      <c r="C574" s="27" t="s">
        <v>622</v>
      </c>
      <c r="D574" s="32">
        <v>42347</v>
      </c>
      <c r="E574" s="32">
        <v>0</v>
      </c>
      <c r="F574" s="32">
        <v>0</v>
      </c>
      <c r="G574" s="32">
        <v>0</v>
      </c>
      <c r="H574" s="32">
        <v>0</v>
      </c>
      <c r="I574" s="32">
        <v>0</v>
      </c>
      <c r="J574" s="32">
        <v>0</v>
      </c>
      <c r="K574" s="32"/>
      <c r="M574" s="27" t="s">
        <v>831</v>
      </c>
      <c r="N574" s="27" t="s">
        <v>878</v>
      </c>
      <c r="O574" s="27" t="s">
        <v>622</v>
      </c>
      <c r="P574" s="27">
        <v>42347</v>
      </c>
      <c r="Q574" s="27">
        <v>0</v>
      </c>
      <c r="R574" s="27">
        <v>0</v>
      </c>
      <c r="S574" s="27">
        <v>0</v>
      </c>
      <c r="T574" s="27">
        <v>0</v>
      </c>
      <c r="U574" s="27">
        <v>0</v>
      </c>
      <c r="V574" s="27">
        <v>0</v>
      </c>
    </row>
    <row r="575" spans="1:22" x14ac:dyDescent="0.25">
      <c r="A575" s="27" t="s">
        <v>823</v>
      </c>
      <c r="B575" s="27" t="s">
        <v>878</v>
      </c>
      <c r="C575" s="27" t="s">
        <v>623</v>
      </c>
      <c r="D575" s="32">
        <v>37329</v>
      </c>
      <c r="E575" s="32">
        <v>0</v>
      </c>
      <c r="F575" s="32">
        <v>0</v>
      </c>
      <c r="G575" s="32">
        <v>0</v>
      </c>
      <c r="H575" s="32">
        <v>0</v>
      </c>
      <c r="I575" s="32">
        <v>0</v>
      </c>
      <c r="J575" s="32">
        <v>0</v>
      </c>
      <c r="K575" s="32"/>
      <c r="M575" s="27" t="s">
        <v>823</v>
      </c>
      <c r="N575" s="27" t="s">
        <v>878</v>
      </c>
      <c r="O575" s="27" t="s">
        <v>623</v>
      </c>
      <c r="P575" s="27">
        <v>37329</v>
      </c>
      <c r="Q575" s="27">
        <v>0</v>
      </c>
      <c r="R575" s="27">
        <v>0</v>
      </c>
      <c r="S575" s="27">
        <v>0</v>
      </c>
      <c r="T575" s="27">
        <v>0</v>
      </c>
      <c r="U575" s="27">
        <v>0</v>
      </c>
      <c r="V575" s="27">
        <v>0</v>
      </c>
    </row>
    <row r="576" spans="1:22" x14ac:dyDescent="0.25">
      <c r="A576" s="27" t="s">
        <v>231</v>
      </c>
      <c r="B576" s="27" t="s">
        <v>878</v>
      </c>
      <c r="C576" s="27" t="s">
        <v>624</v>
      </c>
      <c r="D576" s="32">
        <v>16425</v>
      </c>
      <c r="E576" s="32">
        <v>0</v>
      </c>
      <c r="F576" s="32">
        <v>0</v>
      </c>
      <c r="G576" s="32">
        <v>0</v>
      </c>
      <c r="H576" s="32">
        <v>0</v>
      </c>
      <c r="I576" s="32">
        <v>0</v>
      </c>
      <c r="J576" s="32">
        <v>0</v>
      </c>
      <c r="K576" s="32"/>
      <c r="M576" s="27" t="s">
        <v>231</v>
      </c>
      <c r="N576" s="27" t="s">
        <v>878</v>
      </c>
      <c r="O576" s="27" t="s">
        <v>624</v>
      </c>
      <c r="P576" s="27">
        <v>16425</v>
      </c>
      <c r="Q576" s="27">
        <v>0</v>
      </c>
      <c r="R576" s="27">
        <v>0</v>
      </c>
      <c r="S576" s="27">
        <v>0</v>
      </c>
      <c r="T576" s="27">
        <v>0</v>
      </c>
      <c r="U576" s="27">
        <v>0</v>
      </c>
      <c r="V576" s="27">
        <v>0</v>
      </c>
    </row>
    <row r="577" spans="1:22" x14ac:dyDescent="0.25">
      <c r="A577" s="27" t="s">
        <v>76</v>
      </c>
      <c r="B577" s="27" t="s">
        <v>878</v>
      </c>
      <c r="C577" s="27" t="s">
        <v>625</v>
      </c>
      <c r="D577" s="32">
        <v>30845</v>
      </c>
      <c r="E577" s="32">
        <v>0</v>
      </c>
      <c r="F577" s="32">
        <v>0</v>
      </c>
      <c r="G577" s="32">
        <v>0</v>
      </c>
      <c r="H577" s="32">
        <v>0</v>
      </c>
      <c r="I577" s="32">
        <v>0</v>
      </c>
      <c r="J577" s="32">
        <v>0</v>
      </c>
      <c r="K577" s="32"/>
      <c r="M577" s="27" t="s">
        <v>76</v>
      </c>
      <c r="N577" s="27" t="s">
        <v>878</v>
      </c>
      <c r="O577" s="27" t="s">
        <v>625</v>
      </c>
      <c r="P577" s="27">
        <v>30845</v>
      </c>
      <c r="Q577" s="27">
        <v>0</v>
      </c>
      <c r="R577" s="27">
        <v>0</v>
      </c>
      <c r="S577" s="27">
        <v>0</v>
      </c>
      <c r="T577" s="27">
        <v>0</v>
      </c>
      <c r="U577" s="27">
        <v>0</v>
      </c>
      <c r="V577" s="27">
        <v>0</v>
      </c>
    </row>
    <row r="578" spans="1:22" x14ac:dyDescent="0.25">
      <c r="A578" s="27" t="s">
        <v>69</v>
      </c>
      <c r="B578" s="27" t="s">
        <v>878</v>
      </c>
      <c r="C578" s="27" t="s">
        <v>626</v>
      </c>
      <c r="D578" s="32">
        <v>78923</v>
      </c>
      <c r="E578" s="32">
        <v>0</v>
      </c>
      <c r="F578" s="32">
        <v>0</v>
      </c>
      <c r="G578" s="32">
        <v>0</v>
      </c>
      <c r="H578" s="32">
        <v>0</v>
      </c>
      <c r="I578" s="32">
        <v>0</v>
      </c>
      <c r="J578" s="32">
        <v>0</v>
      </c>
      <c r="K578" s="32"/>
      <c r="M578" s="27" t="s">
        <v>69</v>
      </c>
      <c r="N578" s="27" t="s">
        <v>878</v>
      </c>
      <c r="O578" s="27" t="s">
        <v>626</v>
      </c>
      <c r="P578" s="27">
        <v>78923</v>
      </c>
      <c r="Q578" s="27">
        <v>0</v>
      </c>
      <c r="R578" s="27">
        <v>0</v>
      </c>
      <c r="S578" s="27">
        <v>0</v>
      </c>
      <c r="T578" s="27">
        <v>0</v>
      </c>
      <c r="U578" s="27">
        <v>0</v>
      </c>
      <c r="V578" s="27">
        <v>0</v>
      </c>
    </row>
    <row r="579" spans="1:22" x14ac:dyDescent="0.25">
      <c r="A579" s="27" t="s">
        <v>83</v>
      </c>
      <c r="B579" s="27" t="s">
        <v>878</v>
      </c>
      <c r="C579" s="27" t="s">
        <v>627</v>
      </c>
      <c r="D579" s="32">
        <v>10321</v>
      </c>
      <c r="E579" s="32">
        <v>0</v>
      </c>
      <c r="F579" s="32">
        <v>0</v>
      </c>
      <c r="G579" s="32">
        <v>0</v>
      </c>
      <c r="H579" s="32">
        <v>0</v>
      </c>
      <c r="I579" s="32">
        <v>0</v>
      </c>
      <c r="J579" s="32">
        <v>0</v>
      </c>
      <c r="K579" s="32"/>
      <c r="M579" s="27" t="s">
        <v>83</v>
      </c>
      <c r="N579" s="27" t="s">
        <v>878</v>
      </c>
      <c r="O579" s="27" t="s">
        <v>627</v>
      </c>
      <c r="P579" s="27">
        <v>10321</v>
      </c>
      <c r="Q579" s="27">
        <v>0</v>
      </c>
      <c r="R579" s="27">
        <v>0</v>
      </c>
      <c r="S579" s="27">
        <v>0</v>
      </c>
      <c r="T579" s="27">
        <v>0</v>
      </c>
      <c r="U579" s="27">
        <v>0</v>
      </c>
      <c r="V579" s="27">
        <v>0</v>
      </c>
    </row>
    <row r="580" spans="1:22" x14ac:dyDescent="0.25">
      <c r="A580" s="27" t="s">
        <v>791</v>
      </c>
      <c r="B580" s="27" t="s">
        <v>878</v>
      </c>
      <c r="C580" s="27" t="s">
        <v>628</v>
      </c>
      <c r="D580" s="32">
        <v>8299</v>
      </c>
      <c r="E580" s="32">
        <v>0</v>
      </c>
      <c r="F580" s="32">
        <v>0</v>
      </c>
      <c r="G580" s="32">
        <v>0</v>
      </c>
      <c r="H580" s="32">
        <v>0</v>
      </c>
      <c r="I580" s="32">
        <v>0</v>
      </c>
      <c r="J580" s="32">
        <v>0</v>
      </c>
      <c r="K580" s="32"/>
      <c r="M580" s="27" t="s">
        <v>791</v>
      </c>
      <c r="N580" s="27" t="s">
        <v>878</v>
      </c>
      <c r="O580" s="27" t="s">
        <v>628</v>
      </c>
      <c r="P580" s="27">
        <v>8299</v>
      </c>
      <c r="Q580" s="27">
        <v>0</v>
      </c>
      <c r="R580" s="27">
        <v>0</v>
      </c>
      <c r="S580" s="27">
        <v>0</v>
      </c>
      <c r="T580" s="27">
        <v>0</v>
      </c>
      <c r="U580" s="27">
        <v>0</v>
      </c>
      <c r="V580" s="27">
        <v>0</v>
      </c>
    </row>
    <row r="581" spans="1:22" x14ac:dyDescent="0.25">
      <c r="A581" s="27" t="s">
        <v>797</v>
      </c>
      <c r="B581" s="27" t="s">
        <v>878</v>
      </c>
      <c r="C581" s="27" t="s">
        <v>629</v>
      </c>
      <c r="D581" s="32">
        <v>1134</v>
      </c>
      <c r="E581" s="32">
        <v>0</v>
      </c>
      <c r="F581" s="32">
        <v>0</v>
      </c>
      <c r="G581" s="32">
        <v>0</v>
      </c>
      <c r="H581" s="32">
        <v>0</v>
      </c>
      <c r="I581" s="32">
        <v>0</v>
      </c>
      <c r="J581" s="32">
        <v>0</v>
      </c>
      <c r="K581" s="32"/>
      <c r="M581" s="27" t="s">
        <v>797</v>
      </c>
      <c r="N581" s="27" t="s">
        <v>878</v>
      </c>
      <c r="O581" s="27" t="s">
        <v>629</v>
      </c>
      <c r="P581" s="27">
        <v>1134</v>
      </c>
      <c r="Q581" s="27">
        <v>0</v>
      </c>
      <c r="R581" s="27">
        <v>0</v>
      </c>
      <c r="S581" s="27">
        <v>0</v>
      </c>
      <c r="T581" s="27">
        <v>0</v>
      </c>
      <c r="U581" s="27">
        <v>0</v>
      </c>
      <c r="V581" s="27">
        <v>0</v>
      </c>
    </row>
    <row r="582" spans="1:22" x14ac:dyDescent="0.25">
      <c r="A582" s="27" t="s">
        <v>69</v>
      </c>
      <c r="B582" s="27" t="s">
        <v>878</v>
      </c>
      <c r="C582" s="27" t="s">
        <v>630</v>
      </c>
      <c r="D582" s="32">
        <v>44543</v>
      </c>
      <c r="E582" s="32">
        <v>0</v>
      </c>
      <c r="F582" s="32">
        <v>0</v>
      </c>
      <c r="G582" s="32">
        <v>0</v>
      </c>
      <c r="H582" s="32">
        <v>0</v>
      </c>
      <c r="I582" s="32">
        <v>0</v>
      </c>
      <c r="J582" s="32">
        <v>0</v>
      </c>
      <c r="K582" s="32"/>
      <c r="M582" s="27" t="s">
        <v>69</v>
      </c>
      <c r="N582" s="27" t="s">
        <v>878</v>
      </c>
      <c r="O582" s="27" t="s">
        <v>630</v>
      </c>
      <c r="P582" s="27">
        <v>44543</v>
      </c>
      <c r="Q582" s="27">
        <v>0</v>
      </c>
      <c r="R582" s="27">
        <v>0</v>
      </c>
      <c r="S582" s="27">
        <v>0</v>
      </c>
      <c r="T582" s="27">
        <v>0</v>
      </c>
      <c r="U582" s="27">
        <v>0</v>
      </c>
      <c r="V582" s="27">
        <v>0</v>
      </c>
    </row>
    <row r="583" spans="1:22" x14ac:dyDescent="0.25">
      <c r="A583" s="27" t="s">
        <v>69</v>
      </c>
      <c r="B583" s="27" t="s">
        <v>878</v>
      </c>
      <c r="C583" s="27" t="s">
        <v>631</v>
      </c>
      <c r="D583" s="32">
        <v>77723</v>
      </c>
      <c r="E583" s="32">
        <v>0</v>
      </c>
      <c r="F583" s="32">
        <v>0</v>
      </c>
      <c r="G583" s="32">
        <v>0</v>
      </c>
      <c r="H583" s="32">
        <v>0</v>
      </c>
      <c r="I583" s="32">
        <v>0</v>
      </c>
      <c r="J583" s="32">
        <v>0</v>
      </c>
      <c r="K583" s="32"/>
      <c r="M583" s="27" t="s">
        <v>69</v>
      </c>
      <c r="N583" s="27" t="s">
        <v>878</v>
      </c>
      <c r="O583" s="27" t="s">
        <v>631</v>
      </c>
      <c r="P583" s="27">
        <v>77723</v>
      </c>
      <c r="Q583" s="27">
        <v>0</v>
      </c>
      <c r="R583" s="27">
        <v>0</v>
      </c>
      <c r="S583" s="27">
        <v>0</v>
      </c>
      <c r="T583" s="27">
        <v>0</v>
      </c>
      <c r="U583" s="27">
        <v>0</v>
      </c>
      <c r="V583" s="27">
        <v>0</v>
      </c>
    </row>
    <row r="584" spans="1:22" x14ac:dyDescent="0.25">
      <c r="A584" s="27" t="s">
        <v>823</v>
      </c>
      <c r="B584" s="27" t="s">
        <v>878</v>
      </c>
      <c r="C584" s="27" t="s">
        <v>632</v>
      </c>
      <c r="D584" s="32">
        <v>21917</v>
      </c>
      <c r="E584" s="32">
        <v>0</v>
      </c>
      <c r="F584" s="32">
        <v>0</v>
      </c>
      <c r="G584" s="32">
        <v>0</v>
      </c>
      <c r="H584" s="32">
        <v>0</v>
      </c>
      <c r="I584" s="32">
        <v>0</v>
      </c>
      <c r="J584" s="32">
        <v>0</v>
      </c>
      <c r="K584" s="32"/>
      <c r="M584" s="27" t="s">
        <v>823</v>
      </c>
      <c r="N584" s="27" t="s">
        <v>878</v>
      </c>
      <c r="O584" s="27" t="s">
        <v>632</v>
      </c>
      <c r="P584" s="27">
        <v>21917</v>
      </c>
      <c r="Q584" s="27">
        <v>0</v>
      </c>
      <c r="R584" s="27">
        <v>0</v>
      </c>
      <c r="S584" s="27">
        <v>0</v>
      </c>
      <c r="T584" s="27">
        <v>0</v>
      </c>
      <c r="U584" s="27">
        <v>0</v>
      </c>
      <c r="V584" s="27">
        <v>0</v>
      </c>
    </row>
    <row r="585" spans="1:22" x14ac:dyDescent="0.25">
      <c r="A585" s="27" t="s">
        <v>76</v>
      </c>
      <c r="B585" s="27" t="s">
        <v>878</v>
      </c>
      <c r="C585" s="27" t="s">
        <v>633</v>
      </c>
      <c r="D585" s="32">
        <v>22807</v>
      </c>
      <c r="E585" s="32">
        <v>0</v>
      </c>
      <c r="F585" s="32">
        <v>0</v>
      </c>
      <c r="G585" s="32">
        <v>0</v>
      </c>
      <c r="H585" s="32">
        <v>0</v>
      </c>
      <c r="I585" s="32">
        <v>0</v>
      </c>
      <c r="J585" s="32">
        <v>0</v>
      </c>
      <c r="K585" s="32"/>
      <c r="M585" s="27" t="s">
        <v>76</v>
      </c>
      <c r="N585" s="27" t="s">
        <v>878</v>
      </c>
      <c r="O585" s="27" t="s">
        <v>633</v>
      </c>
      <c r="P585" s="27">
        <v>22807</v>
      </c>
      <c r="Q585" s="27">
        <v>0</v>
      </c>
      <c r="R585" s="27">
        <v>0</v>
      </c>
      <c r="S585" s="27">
        <v>0</v>
      </c>
      <c r="T585" s="27">
        <v>0</v>
      </c>
      <c r="U585" s="27">
        <v>0</v>
      </c>
      <c r="V585" s="27">
        <v>0</v>
      </c>
    </row>
    <row r="586" spans="1:22" x14ac:dyDescent="0.25">
      <c r="A586" s="27" t="s">
        <v>801</v>
      </c>
      <c r="B586" s="27" t="s">
        <v>878</v>
      </c>
      <c r="C586" s="27" t="s">
        <v>634</v>
      </c>
      <c r="D586" s="32">
        <v>9652</v>
      </c>
      <c r="E586" s="32">
        <v>0</v>
      </c>
      <c r="F586" s="32">
        <v>0</v>
      </c>
      <c r="G586" s="32">
        <v>0</v>
      </c>
      <c r="H586" s="32">
        <v>0</v>
      </c>
      <c r="I586" s="32">
        <v>0</v>
      </c>
      <c r="J586" s="32">
        <v>0</v>
      </c>
      <c r="K586" s="32"/>
      <c r="M586" s="27" t="s">
        <v>801</v>
      </c>
      <c r="N586" s="27" t="s">
        <v>878</v>
      </c>
      <c r="O586" s="27" t="s">
        <v>634</v>
      </c>
      <c r="P586" s="27">
        <v>9652</v>
      </c>
      <c r="Q586" s="27">
        <v>0</v>
      </c>
      <c r="R586" s="27">
        <v>0</v>
      </c>
      <c r="S586" s="27">
        <v>0</v>
      </c>
      <c r="T586" s="27">
        <v>0</v>
      </c>
      <c r="U586" s="27">
        <v>0</v>
      </c>
      <c r="V586" s="27">
        <v>0</v>
      </c>
    </row>
    <row r="587" spans="1:22" x14ac:dyDescent="0.25">
      <c r="A587" s="27" t="s">
        <v>801</v>
      </c>
      <c r="B587" s="27" t="s">
        <v>878</v>
      </c>
      <c r="C587" s="27" t="s">
        <v>635</v>
      </c>
      <c r="D587" s="32">
        <v>76719</v>
      </c>
      <c r="E587" s="32">
        <v>0</v>
      </c>
      <c r="F587" s="32">
        <v>0</v>
      </c>
      <c r="G587" s="32">
        <v>0</v>
      </c>
      <c r="H587" s="32">
        <v>0</v>
      </c>
      <c r="I587" s="32">
        <v>0</v>
      </c>
      <c r="J587" s="32">
        <v>0</v>
      </c>
      <c r="K587" s="32"/>
      <c r="M587" s="27" t="s">
        <v>801</v>
      </c>
      <c r="N587" s="27" t="s">
        <v>878</v>
      </c>
      <c r="O587" s="27" t="s">
        <v>635</v>
      </c>
      <c r="P587" s="27">
        <v>76719</v>
      </c>
      <c r="Q587" s="27">
        <v>0</v>
      </c>
      <c r="R587" s="27">
        <v>0</v>
      </c>
      <c r="S587" s="27">
        <v>0</v>
      </c>
      <c r="T587" s="27">
        <v>0</v>
      </c>
      <c r="U587" s="27">
        <v>0</v>
      </c>
      <c r="V587" s="27">
        <v>0</v>
      </c>
    </row>
    <row r="588" spans="1:22" x14ac:dyDescent="0.25">
      <c r="A588" s="27" t="s">
        <v>817</v>
      </c>
      <c r="B588" s="27" t="s">
        <v>878</v>
      </c>
      <c r="C588" s="27" t="s">
        <v>636</v>
      </c>
      <c r="D588" s="32">
        <v>18961</v>
      </c>
      <c r="E588" s="32">
        <v>0</v>
      </c>
      <c r="F588" s="32">
        <v>0</v>
      </c>
      <c r="G588" s="32">
        <v>0</v>
      </c>
      <c r="H588" s="32">
        <v>0</v>
      </c>
      <c r="I588" s="32">
        <v>0</v>
      </c>
      <c r="J588" s="32">
        <v>0</v>
      </c>
      <c r="K588" s="32"/>
      <c r="M588" s="27" t="s">
        <v>817</v>
      </c>
      <c r="N588" s="27" t="s">
        <v>878</v>
      </c>
      <c r="O588" s="27" t="s">
        <v>636</v>
      </c>
      <c r="P588" s="27">
        <v>18961</v>
      </c>
      <c r="Q588" s="27">
        <v>0</v>
      </c>
      <c r="R588" s="27">
        <v>0</v>
      </c>
      <c r="S588" s="27">
        <v>0</v>
      </c>
      <c r="T588" s="27">
        <v>0</v>
      </c>
      <c r="U588" s="27">
        <v>0</v>
      </c>
      <c r="V588" s="27">
        <v>0</v>
      </c>
    </row>
    <row r="589" spans="1:22" x14ac:dyDescent="0.25">
      <c r="A589" s="27" t="s">
        <v>824</v>
      </c>
      <c r="B589" s="27" t="s">
        <v>878</v>
      </c>
      <c r="C589" s="27" t="s">
        <v>637</v>
      </c>
      <c r="D589" s="32">
        <v>17266</v>
      </c>
      <c r="E589" s="32">
        <v>0</v>
      </c>
      <c r="F589" s="32">
        <v>0</v>
      </c>
      <c r="G589" s="32">
        <v>0</v>
      </c>
      <c r="H589" s="32">
        <v>0</v>
      </c>
      <c r="I589" s="32">
        <v>0</v>
      </c>
      <c r="J589" s="32">
        <v>0</v>
      </c>
      <c r="K589" s="32"/>
      <c r="M589" s="27" t="s">
        <v>824</v>
      </c>
      <c r="N589" s="27" t="s">
        <v>878</v>
      </c>
      <c r="O589" s="27" t="s">
        <v>637</v>
      </c>
      <c r="P589" s="27">
        <v>17266</v>
      </c>
      <c r="Q589" s="27">
        <v>0</v>
      </c>
      <c r="R589" s="27">
        <v>0</v>
      </c>
      <c r="S589" s="27">
        <v>0</v>
      </c>
      <c r="T589" s="27">
        <v>0</v>
      </c>
      <c r="U589" s="27">
        <v>0</v>
      </c>
      <c r="V589" s="27">
        <v>0</v>
      </c>
    </row>
    <row r="590" spans="1:22" x14ac:dyDescent="0.25">
      <c r="A590" s="27" t="s">
        <v>818</v>
      </c>
      <c r="B590" s="27" t="s">
        <v>878</v>
      </c>
      <c r="C590" s="27" t="s">
        <v>638</v>
      </c>
      <c r="D590" s="32">
        <v>44772</v>
      </c>
      <c r="E590" s="32">
        <v>0</v>
      </c>
      <c r="F590" s="32">
        <v>0</v>
      </c>
      <c r="G590" s="32">
        <v>0</v>
      </c>
      <c r="H590" s="32">
        <v>0</v>
      </c>
      <c r="I590" s="32">
        <v>0</v>
      </c>
      <c r="J590" s="32">
        <v>0</v>
      </c>
      <c r="K590" s="32"/>
      <c r="M590" s="27" t="s">
        <v>818</v>
      </c>
      <c r="N590" s="27" t="s">
        <v>878</v>
      </c>
      <c r="O590" s="27" t="s">
        <v>638</v>
      </c>
      <c r="P590" s="27">
        <v>44772</v>
      </c>
      <c r="Q590" s="27">
        <v>0</v>
      </c>
      <c r="R590" s="27">
        <v>0</v>
      </c>
      <c r="S590" s="27">
        <v>0</v>
      </c>
      <c r="T590" s="27">
        <v>0</v>
      </c>
      <c r="U590" s="27">
        <v>0</v>
      </c>
      <c r="V590" s="27">
        <v>0</v>
      </c>
    </row>
    <row r="591" spans="1:22" x14ac:dyDescent="0.25">
      <c r="A591" s="27" t="s">
        <v>817</v>
      </c>
      <c r="B591" s="27" t="s">
        <v>878</v>
      </c>
      <c r="C591" s="27" t="s">
        <v>639</v>
      </c>
      <c r="D591" s="32">
        <v>30211</v>
      </c>
      <c r="E591" s="32">
        <v>0</v>
      </c>
      <c r="F591" s="32">
        <v>0</v>
      </c>
      <c r="G591" s="32">
        <v>0</v>
      </c>
      <c r="H591" s="32">
        <v>0</v>
      </c>
      <c r="I591" s="32">
        <v>0</v>
      </c>
      <c r="J591" s="32">
        <v>0</v>
      </c>
      <c r="K591" s="32"/>
      <c r="M591" s="27" t="s">
        <v>817</v>
      </c>
      <c r="N591" s="27" t="s">
        <v>878</v>
      </c>
      <c r="O591" s="27" t="s">
        <v>639</v>
      </c>
      <c r="P591" s="27">
        <v>30211</v>
      </c>
      <c r="Q591" s="27">
        <v>0</v>
      </c>
      <c r="R591" s="27">
        <v>0</v>
      </c>
      <c r="S591" s="27">
        <v>0</v>
      </c>
      <c r="T591" s="27">
        <v>0</v>
      </c>
      <c r="U591" s="27">
        <v>0</v>
      </c>
      <c r="V591" s="27">
        <v>0</v>
      </c>
    </row>
    <row r="592" spans="1:22" x14ac:dyDescent="0.25">
      <c r="A592" s="27" t="s">
        <v>811</v>
      </c>
      <c r="B592" s="27" t="s">
        <v>878</v>
      </c>
      <c r="C592" s="27" t="s">
        <v>640</v>
      </c>
      <c r="D592" s="32">
        <v>174769</v>
      </c>
      <c r="E592" s="32">
        <v>0</v>
      </c>
      <c r="F592" s="32">
        <v>0</v>
      </c>
      <c r="G592" s="32">
        <v>0</v>
      </c>
      <c r="H592" s="32">
        <v>0</v>
      </c>
      <c r="I592" s="32">
        <v>0</v>
      </c>
      <c r="J592" s="32">
        <v>0</v>
      </c>
      <c r="K592" s="32"/>
      <c r="M592" s="27" t="s">
        <v>811</v>
      </c>
      <c r="N592" s="27" t="s">
        <v>878</v>
      </c>
      <c r="O592" s="27" t="s">
        <v>640</v>
      </c>
      <c r="P592" s="27">
        <v>174769</v>
      </c>
      <c r="Q592" s="27">
        <v>0</v>
      </c>
      <c r="R592" s="27">
        <v>0</v>
      </c>
      <c r="S592" s="27">
        <v>0</v>
      </c>
      <c r="T592" s="27">
        <v>0</v>
      </c>
      <c r="U592" s="27">
        <v>0</v>
      </c>
      <c r="V592" s="27">
        <v>0</v>
      </c>
    </row>
    <row r="593" spans="1:22" x14ac:dyDescent="0.25">
      <c r="A593" s="27" t="s">
        <v>811</v>
      </c>
      <c r="B593" s="27" t="s">
        <v>878</v>
      </c>
      <c r="C593" s="27" t="s">
        <v>641</v>
      </c>
      <c r="D593" s="32">
        <v>36485</v>
      </c>
      <c r="E593" s="32">
        <v>0</v>
      </c>
      <c r="F593" s="32">
        <v>0</v>
      </c>
      <c r="G593" s="32">
        <v>0</v>
      </c>
      <c r="H593" s="32">
        <v>0</v>
      </c>
      <c r="I593" s="32">
        <v>0</v>
      </c>
      <c r="J593" s="32">
        <v>0</v>
      </c>
      <c r="K593" s="32"/>
      <c r="M593" s="27" t="s">
        <v>811</v>
      </c>
      <c r="N593" s="27" t="s">
        <v>878</v>
      </c>
      <c r="O593" s="27" t="s">
        <v>641</v>
      </c>
      <c r="P593" s="27">
        <v>36485</v>
      </c>
      <c r="Q593" s="27">
        <v>0</v>
      </c>
      <c r="R593" s="27">
        <v>0</v>
      </c>
      <c r="S593" s="27">
        <v>0</v>
      </c>
      <c r="T593" s="27">
        <v>0</v>
      </c>
      <c r="U593" s="27">
        <v>0</v>
      </c>
      <c r="V593" s="27">
        <v>0</v>
      </c>
    </row>
    <row r="594" spans="1:22" x14ac:dyDescent="0.25">
      <c r="A594" s="27" t="s">
        <v>76</v>
      </c>
      <c r="B594" s="27" t="s">
        <v>878</v>
      </c>
      <c r="C594" s="27" t="s">
        <v>642</v>
      </c>
      <c r="D594" s="32">
        <v>23509</v>
      </c>
      <c r="E594" s="32">
        <v>0</v>
      </c>
      <c r="F594" s="32">
        <v>0</v>
      </c>
      <c r="G594" s="32">
        <v>0</v>
      </c>
      <c r="H594" s="32">
        <v>0</v>
      </c>
      <c r="I594" s="32">
        <v>0</v>
      </c>
      <c r="J594" s="32">
        <v>0</v>
      </c>
      <c r="K594" s="32"/>
      <c r="M594" s="27" t="s">
        <v>76</v>
      </c>
      <c r="N594" s="27" t="s">
        <v>878</v>
      </c>
      <c r="O594" s="27" t="s">
        <v>642</v>
      </c>
      <c r="P594" s="27">
        <v>23509</v>
      </c>
      <c r="Q594" s="27">
        <v>0</v>
      </c>
      <c r="R594" s="27">
        <v>0</v>
      </c>
      <c r="S594" s="27">
        <v>0</v>
      </c>
      <c r="T594" s="27">
        <v>0</v>
      </c>
      <c r="U594" s="27">
        <v>0</v>
      </c>
      <c r="V594" s="27">
        <v>0</v>
      </c>
    </row>
    <row r="595" spans="1:22" x14ac:dyDescent="0.25">
      <c r="A595" s="27" t="s">
        <v>791</v>
      </c>
      <c r="B595" s="27" t="s">
        <v>878</v>
      </c>
      <c r="C595" s="27" t="s">
        <v>643</v>
      </c>
      <c r="D595" s="32">
        <v>1898</v>
      </c>
      <c r="E595" s="32">
        <v>0</v>
      </c>
      <c r="F595" s="32">
        <v>0</v>
      </c>
      <c r="G595" s="32">
        <v>0</v>
      </c>
      <c r="H595" s="32">
        <v>0</v>
      </c>
      <c r="I595" s="32">
        <v>0</v>
      </c>
      <c r="J595" s="32">
        <v>0</v>
      </c>
      <c r="K595" s="32"/>
      <c r="M595" s="27" t="s">
        <v>791</v>
      </c>
      <c r="N595" s="27" t="s">
        <v>878</v>
      </c>
      <c r="O595" s="27" t="s">
        <v>643</v>
      </c>
      <c r="P595" s="27">
        <v>1898</v>
      </c>
      <c r="Q595" s="27">
        <v>0</v>
      </c>
      <c r="R595" s="27">
        <v>0</v>
      </c>
      <c r="S595" s="27">
        <v>0</v>
      </c>
      <c r="T595" s="27">
        <v>0</v>
      </c>
      <c r="U595" s="27">
        <v>0</v>
      </c>
      <c r="V595" s="27">
        <v>0</v>
      </c>
    </row>
    <row r="596" spans="1:22" x14ac:dyDescent="0.25">
      <c r="A596" s="27" t="s">
        <v>76</v>
      </c>
      <c r="B596" s="27" t="s">
        <v>878</v>
      </c>
      <c r="C596" s="27" t="s">
        <v>644</v>
      </c>
      <c r="D596" s="32">
        <v>12017</v>
      </c>
      <c r="E596" s="32">
        <v>0</v>
      </c>
      <c r="F596" s="32">
        <v>0</v>
      </c>
      <c r="G596" s="32">
        <v>0</v>
      </c>
      <c r="H596" s="32">
        <v>0</v>
      </c>
      <c r="I596" s="32">
        <v>0</v>
      </c>
      <c r="J596" s="32">
        <v>0</v>
      </c>
      <c r="K596" s="32"/>
      <c r="M596" s="27" t="s">
        <v>76</v>
      </c>
      <c r="N596" s="27" t="s">
        <v>878</v>
      </c>
      <c r="O596" s="27" t="s">
        <v>644</v>
      </c>
      <c r="P596" s="27">
        <v>12017</v>
      </c>
      <c r="Q596" s="27">
        <v>0</v>
      </c>
      <c r="R596" s="27">
        <v>0</v>
      </c>
      <c r="S596" s="27">
        <v>0</v>
      </c>
      <c r="T596" s="27">
        <v>0</v>
      </c>
      <c r="U596" s="27">
        <v>0</v>
      </c>
      <c r="V596" s="27">
        <v>0</v>
      </c>
    </row>
    <row r="597" spans="1:22" x14ac:dyDescent="0.25">
      <c r="A597" s="27" t="s">
        <v>817</v>
      </c>
      <c r="B597" s="27" t="s">
        <v>878</v>
      </c>
      <c r="C597" s="27" t="s">
        <v>645</v>
      </c>
      <c r="D597" s="32">
        <v>42091</v>
      </c>
      <c r="E597" s="32">
        <v>0</v>
      </c>
      <c r="F597" s="32">
        <v>0</v>
      </c>
      <c r="G597" s="32">
        <v>0</v>
      </c>
      <c r="H597" s="32">
        <v>0</v>
      </c>
      <c r="I597" s="32">
        <v>0</v>
      </c>
      <c r="J597" s="32">
        <v>0</v>
      </c>
      <c r="K597" s="32"/>
      <c r="M597" s="27" t="s">
        <v>817</v>
      </c>
      <c r="N597" s="27" t="s">
        <v>878</v>
      </c>
      <c r="O597" s="27" t="s">
        <v>645</v>
      </c>
      <c r="P597" s="27">
        <v>42091</v>
      </c>
      <c r="Q597" s="27">
        <v>0</v>
      </c>
      <c r="R597" s="27">
        <v>0</v>
      </c>
      <c r="S597" s="27">
        <v>0</v>
      </c>
      <c r="T597" s="27">
        <v>0</v>
      </c>
      <c r="U597" s="27">
        <v>0</v>
      </c>
      <c r="V597" s="27">
        <v>0</v>
      </c>
    </row>
    <row r="598" spans="1:22" x14ac:dyDescent="0.25">
      <c r="A598" s="27" t="s">
        <v>817</v>
      </c>
      <c r="B598" s="27" t="s">
        <v>878</v>
      </c>
      <c r="C598" s="27" t="s">
        <v>646</v>
      </c>
      <c r="D598" s="32">
        <v>27879</v>
      </c>
      <c r="E598" s="32">
        <v>0</v>
      </c>
      <c r="F598" s="32">
        <v>0</v>
      </c>
      <c r="G598" s="32">
        <v>0</v>
      </c>
      <c r="H598" s="32">
        <v>0</v>
      </c>
      <c r="I598" s="32">
        <v>0</v>
      </c>
      <c r="J598" s="32">
        <v>0</v>
      </c>
      <c r="K598" s="32"/>
      <c r="M598" s="27" t="s">
        <v>817</v>
      </c>
      <c r="N598" s="27" t="s">
        <v>878</v>
      </c>
      <c r="O598" s="27" t="s">
        <v>646</v>
      </c>
      <c r="P598" s="27">
        <v>27879</v>
      </c>
      <c r="Q598" s="27">
        <v>0</v>
      </c>
      <c r="R598" s="27">
        <v>0</v>
      </c>
      <c r="S598" s="27">
        <v>0</v>
      </c>
      <c r="T598" s="27">
        <v>0</v>
      </c>
      <c r="U598" s="27">
        <v>0</v>
      </c>
      <c r="V598" s="27">
        <v>0</v>
      </c>
    </row>
    <row r="599" spans="1:22" x14ac:dyDescent="0.25">
      <c r="A599" s="27" t="s">
        <v>226</v>
      </c>
      <c r="B599" s="27" t="s">
        <v>878</v>
      </c>
      <c r="C599" s="27" t="s">
        <v>647</v>
      </c>
      <c r="D599" s="32">
        <v>750</v>
      </c>
      <c r="E599" s="32">
        <v>0</v>
      </c>
      <c r="F599" s="32">
        <v>0</v>
      </c>
      <c r="G599" s="32">
        <v>0</v>
      </c>
      <c r="H599" s="32">
        <v>0</v>
      </c>
      <c r="I599" s="32">
        <v>0</v>
      </c>
      <c r="J599" s="32">
        <v>0</v>
      </c>
      <c r="K599" s="32"/>
      <c r="M599" s="27" t="s">
        <v>226</v>
      </c>
      <c r="N599" s="27" t="s">
        <v>878</v>
      </c>
      <c r="O599" s="27" t="s">
        <v>647</v>
      </c>
      <c r="P599" s="27">
        <v>750</v>
      </c>
      <c r="Q599" s="27">
        <v>0</v>
      </c>
      <c r="R599" s="27">
        <v>0</v>
      </c>
      <c r="S599" s="27">
        <v>0</v>
      </c>
      <c r="T599" s="27">
        <v>0</v>
      </c>
      <c r="U599" s="27">
        <v>0</v>
      </c>
      <c r="V599" s="27">
        <v>0</v>
      </c>
    </row>
    <row r="600" spans="1:22" x14ac:dyDescent="0.25">
      <c r="A600" s="27" t="s">
        <v>831</v>
      </c>
      <c r="B600" s="27" t="s">
        <v>878</v>
      </c>
      <c r="C600" s="27" t="s">
        <v>648</v>
      </c>
      <c r="D600" s="32">
        <v>35608</v>
      </c>
      <c r="E600" s="32">
        <v>0</v>
      </c>
      <c r="F600" s="32">
        <v>0</v>
      </c>
      <c r="G600" s="32">
        <v>0</v>
      </c>
      <c r="H600" s="32">
        <v>0</v>
      </c>
      <c r="I600" s="32">
        <v>0</v>
      </c>
      <c r="J600" s="32">
        <v>0</v>
      </c>
      <c r="K600" s="32"/>
      <c r="M600" s="27" t="s">
        <v>831</v>
      </c>
      <c r="N600" s="27" t="s">
        <v>878</v>
      </c>
      <c r="O600" s="27" t="s">
        <v>648</v>
      </c>
      <c r="P600" s="27">
        <v>35608</v>
      </c>
      <c r="Q600" s="27">
        <v>0</v>
      </c>
      <c r="R600" s="27">
        <v>0</v>
      </c>
      <c r="S600" s="27">
        <v>0</v>
      </c>
      <c r="T600" s="27">
        <v>0</v>
      </c>
      <c r="U600" s="27">
        <v>0</v>
      </c>
      <c r="V600" s="27">
        <v>0</v>
      </c>
    </row>
    <row r="601" spans="1:22" x14ac:dyDescent="0.25">
      <c r="A601" s="27" t="s">
        <v>818</v>
      </c>
      <c r="B601" s="27" t="s">
        <v>878</v>
      </c>
      <c r="C601" s="27" t="s">
        <v>649</v>
      </c>
      <c r="D601" s="32">
        <v>18004</v>
      </c>
      <c r="E601" s="32">
        <v>0</v>
      </c>
      <c r="F601" s="32">
        <v>0</v>
      </c>
      <c r="G601" s="32">
        <v>0</v>
      </c>
      <c r="H601" s="32">
        <v>0</v>
      </c>
      <c r="I601" s="32">
        <v>0</v>
      </c>
      <c r="J601" s="32">
        <v>0</v>
      </c>
      <c r="K601" s="32"/>
      <c r="M601" s="27" t="s">
        <v>818</v>
      </c>
      <c r="N601" s="27" t="s">
        <v>878</v>
      </c>
      <c r="O601" s="27" t="s">
        <v>649</v>
      </c>
      <c r="P601" s="27">
        <v>18004</v>
      </c>
      <c r="Q601" s="27">
        <v>0</v>
      </c>
      <c r="R601" s="27">
        <v>0</v>
      </c>
      <c r="S601" s="27">
        <v>0</v>
      </c>
      <c r="T601" s="27">
        <v>0</v>
      </c>
      <c r="U601" s="27">
        <v>0</v>
      </c>
      <c r="V601" s="27">
        <v>0</v>
      </c>
    </row>
    <row r="602" spans="1:22" x14ac:dyDescent="0.25">
      <c r="A602" s="27" t="s">
        <v>817</v>
      </c>
      <c r="B602" s="27" t="s">
        <v>878</v>
      </c>
      <c r="C602" s="27" t="s">
        <v>650</v>
      </c>
      <c r="D602" s="32">
        <v>38471</v>
      </c>
      <c r="E602" s="32">
        <v>0</v>
      </c>
      <c r="F602" s="32">
        <v>0</v>
      </c>
      <c r="G602" s="32">
        <v>0</v>
      </c>
      <c r="H602" s="32">
        <v>0</v>
      </c>
      <c r="I602" s="32">
        <v>0</v>
      </c>
      <c r="J602" s="32">
        <v>0</v>
      </c>
      <c r="K602" s="32"/>
      <c r="M602" s="27" t="s">
        <v>817</v>
      </c>
      <c r="N602" s="27" t="s">
        <v>878</v>
      </c>
      <c r="O602" s="27" t="s">
        <v>650</v>
      </c>
      <c r="P602" s="27">
        <v>38471</v>
      </c>
      <c r="Q602" s="27">
        <v>0</v>
      </c>
      <c r="R602" s="27">
        <v>0</v>
      </c>
      <c r="S602" s="27">
        <v>0</v>
      </c>
      <c r="T602" s="27">
        <v>0</v>
      </c>
      <c r="U602" s="27">
        <v>0</v>
      </c>
      <c r="V602" s="27">
        <v>0</v>
      </c>
    </row>
    <row r="603" spans="1:22" x14ac:dyDescent="0.25">
      <c r="A603" s="27" t="s">
        <v>817</v>
      </c>
      <c r="B603" s="27" t="s">
        <v>878</v>
      </c>
      <c r="C603" s="27" t="s">
        <v>651</v>
      </c>
      <c r="D603" s="32">
        <v>20438</v>
      </c>
      <c r="E603" s="32">
        <v>0</v>
      </c>
      <c r="F603" s="32">
        <v>0</v>
      </c>
      <c r="G603" s="32">
        <v>0</v>
      </c>
      <c r="H603" s="32">
        <v>0</v>
      </c>
      <c r="I603" s="32">
        <v>0</v>
      </c>
      <c r="J603" s="32">
        <v>0</v>
      </c>
      <c r="K603" s="32"/>
      <c r="M603" s="27" t="s">
        <v>817</v>
      </c>
      <c r="N603" s="27" t="s">
        <v>878</v>
      </c>
      <c r="O603" s="27" t="s">
        <v>651</v>
      </c>
      <c r="P603" s="27">
        <v>20438</v>
      </c>
      <c r="Q603" s="27">
        <v>0</v>
      </c>
      <c r="R603" s="27">
        <v>0</v>
      </c>
      <c r="S603" s="27">
        <v>0</v>
      </c>
      <c r="T603" s="27">
        <v>0</v>
      </c>
      <c r="U603" s="27">
        <v>0</v>
      </c>
      <c r="V603" s="27">
        <v>0</v>
      </c>
    </row>
    <row r="604" spans="1:22" x14ac:dyDescent="0.25">
      <c r="A604" s="27" t="s">
        <v>796</v>
      </c>
      <c r="B604" s="27" t="s">
        <v>878</v>
      </c>
      <c r="C604" s="27" t="s">
        <v>652</v>
      </c>
      <c r="D604" s="32">
        <v>1396</v>
      </c>
      <c r="E604" s="32">
        <v>0</v>
      </c>
      <c r="F604" s="32">
        <v>0</v>
      </c>
      <c r="G604" s="32">
        <v>0</v>
      </c>
      <c r="H604" s="32">
        <v>0</v>
      </c>
      <c r="I604" s="32">
        <v>0</v>
      </c>
      <c r="J604" s="32">
        <v>0</v>
      </c>
      <c r="K604" s="32"/>
      <c r="M604" s="27" t="s">
        <v>796</v>
      </c>
      <c r="N604" s="27" t="s">
        <v>878</v>
      </c>
      <c r="O604" s="27" t="s">
        <v>652</v>
      </c>
      <c r="P604" s="27">
        <v>1396</v>
      </c>
      <c r="Q604" s="27">
        <v>0</v>
      </c>
      <c r="R604" s="27">
        <v>0</v>
      </c>
      <c r="S604" s="27">
        <v>0</v>
      </c>
      <c r="T604" s="27">
        <v>0</v>
      </c>
      <c r="U604" s="27">
        <v>0</v>
      </c>
      <c r="V604" s="27">
        <v>0</v>
      </c>
    </row>
    <row r="605" spans="1:22" x14ac:dyDescent="0.25">
      <c r="A605" s="27" t="s">
        <v>817</v>
      </c>
      <c r="B605" s="27" t="s">
        <v>878</v>
      </c>
      <c r="C605" s="27" t="s">
        <v>653</v>
      </c>
      <c r="D605" s="32">
        <v>59009</v>
      </c>
      <c r="E605" s="32">
        <v>0</v>
      </c>
      <c r="F605" s="32">
        <v>0</v>
      </c>
      <c r="G605" s="32">
        <v>0</v>
      </c>
      <c r="H605" s="32">
        <v>0</v>
      </c>
      <c r="I605" s="32">
        <v>0</v>
      </c>
      <c r="J605" s="32">
        <v>0</v>
      </c>
      <c r="K605" s="32"/>
      <c r="M605" s="27" t="s">
        <v>817</v>
      </c>
      <c r="N605" s="27" t="s">
        <v>878</v>
      </c>
      <c r="O605" s="27" t="s">
        <v>653</v>
      </c>
      <c r="P605" s="27">
        <v>59009</v>
      </c>
      <c r="Q605" s="27">
        <v>0</v>
      </c>
      <c r="R605" s="27">
        <v>0</v>
      </c>
      <c r="S605" s="27">
        <v>0</v>
      </c>
      <c r="T605" s="27">
        <v>0</v>
      </c>
      <c r="U605" s="27">
        <v>0</v>
      </c>
      <c r="V605" s="27">
        <v>0</v>
      </c>
    </row>
    <row r="606" spans="1:22" x14ac:dyDescent="0.25">
      <c r="A606" s="27" t="s">
        <v>817</v>
      </c>
      <c r="B606" s="27" t="s">
        <v>878</v>
      </c>
      <c r="C606" s="27" t="s">
        <v>654</v>
      </c>
      <c r="D606" s="32">
        <v>51066</v>
      </c>
      <c r="E606" s="32">
        <v>0</v>
      </c>
      <c r="F606" s="32">
        <v>0</v>
      </c>
      <c r="G606" s="32">
        <v>0</v>
      </c>
      <c r="H606" s="32">
        <v>0</v>
      </c>
      <c r="I606" s="32">
        <v>0</v>
      </c>
      <c r="J606" s="32">
        <v>0</v>
      </c>
      <c r="K606" s="32"/>
      <c r="M606" s="27" t="s">
        <v>817</v>
      </c>
      <c r="N606" s="27" t="s">
        <v>878</v>
      </c>
      <c r="O606" s="27" t="s">
        <v>654</v>
      </c>
      <c r="P606" s="27">
        <v>51066</v>
      </c>
      <c r="Q606" s="27">
        <v>0</v>
      </c>
      <c r="R606" s="27">
        <v>0</v>
      </c>
      <c r="S606" s="27">
        <v>0</v>
      </c>
      <c r="T606" s="27">
        <v>0</v>
      </c>
      <c r="U606" s="27">
        <v>0</v>
      </c>
      <c r="V606" s="27">
        <v>0</v>
      </c>
    </row>
    <row r="607" spans="1:22" x14ac:dyDescent="0.25">
      <c r="A607" s="27" t="s">
        <v>10</v>
      </c>
      <c r="B607" s="27" t="s">
        <v>878</v>
      </c>
      <c r="C607" s="27" t="s">
        <v>655</v>
      </c>
      <c r="D607" s="32"/>
      <c r="E607" s="32"/>
      <c r="F607" s="32"/>
      <c r="G607" s="32"/>
      <c r="H607" s="32"/>
      <c r="I607" s="32"/>
      <c r="J607" s="32"/>
      <c r="K607" s="32"/>
      <c r="M607" s="27" t="s">
        <v>10</v>
      </c>
      <c r="N607" s="27" t="s">
        <v>878</v>
      </c>
      <c r="O607" s="27" t="s">
        <v>655</v>
      </c>
    </row>
    <row r="608" spans="1:22" x14ac:dyDescent="0.25">
      <c r="A608" s="27" t="s">
        <v>817</v>
      </c>
      <c r="B608" s="27" t="s">
        <v>878</v>
      </c>
      <c r="C608" s="27" t="s">
        <v>656</v>
      </c>
      <c r="D608" s="32"/>
      <c r="E608" s="32"/>
      <c r="F608" s="32"/>
      <c r="G608" s="32"/>
      <c r="H608" s="32"/>
      <c r="I608" s="32"/>
      <c r="J608" s="32"/>
      <c r="K608" s="32"/>
      <c r="M608" s="27" t="s">
        <v>817</v>
      </c>
      <c r="N608" s="27" t="s">
        <v>878</v>
      </c>
      <c r="O608" s="27" t="s">
        <v>656</v>
      </c>
    </row>
    <row r="609" spans="1:22" x14ac:dyDescent="0.25">
      <c r="A609" s="27" t="s">
        <v>811</v>
      </c>
      <c r="B609" s="27" t="s">
        <v>878</v>
      </c>
      <c r="C609" s="27" t="s">
        <v>657</v>
      </c>
      <c r="D609" s="32">
        <v>52015</v>
      </c>
      <c r="E609" s="32">
        <v>0</v>
      </c>
      <c r="F609" s="32">
        <v>0</v>
      </c>
      <c r="G609" s="32">
        <v>0</v>
      </c>
      <c r="H609" s="32">
        <v>0</v>
      </c>
      <c r="I609" s="32">
        <v>0</v>
      </c>
      <c r="J609" s="32">
        <v>0</v>
      </c>
      <c r="K609" s="32"/>
      <c r="M609" s="27" t="s">
        <v>811</v>
      </c>
      <c r="N609" s="27" t="s">
        <v>878</v>
      </c>
      <c r="O609" s="27" t="s">
        <v>657</v>
      </c>
      <c r="P609" s="27">
        <v>52015</v>
      </c>
      <c r="Q609" s="27">
        <v>0</v>
      </c>
      <c r="R609" s="27">
        <v>0</v>
      </c>
      <c r="S609" s="27">
        <v>0</v>
      </c>
      <c r="T609" s="27">
        <v>0</v>
      </c>
      <c r="U609" s="27">
        <v>0</v>
      </c>
      <c r="V609" s="27">
        <v>0</v>
      </c>
    </row>
    <row r="610" spans="1:22" x14ac:dyDescent="0.25">
      <c r="A610" s="27" t="s">
        <v>817</v>
      </c>
      <c r="B610" s="27" t="s">
        <v>878</v>
      </c>
      <c r="C610" s="27" t="s">
        <v>658</v>
      </c>
      <c r="D610" s="32">
        <v>59531</v>
      </c>
      <c r="E610" s="32">
        <v>0</v>
      </c>
      <c r="F610" s="32">
        <v>0</v>
      </c>
      <c r="G610" s="32">
        <v>0</v>
      </c>
      <c r="H610" s="32">
        <v>0</v>
      </c>
      <c r="I610" s="32">
        <v>0</v>
      </c>
      <c r="J610" s="32">
        <v>0</v>
      </c>
      <c r="K610" s="32"/>
      <c r="M610" s="27" t="s">
        <v>817</v>
      </c>
      <c r="N610" s="27" t="s">
        <v>878</v>
      </c>
      <c r="O610" s="27" t="s">
        <v>658</v>
      </c>
      <c r="P610" s="27">
        <v>59531</v>
      </c>
      <c r="Q610" s="27">
        <v>0</v>
      </c>
      <c r="R610" s="27">
        <v>0</v>
      </c>
      <c r="S610" s="27">
        <v>0</v>
      </c>
      <c r="T610" s="27">
        <v>0</v>
      </c>
      <c r="U610" s="27">
        <v>0</v>
      </c>
      <c r="V610" s="27">
        <v>0</v>
      </c>
    </row>
    <row r="611" spans="1:22" x14ac:dyDescent="0.25">
      <c r="A611" s="27" t="s">
        <v>860</v>
      </c>
      <c r="B611" s="27" t="s">
        <v>878</v>
      </c>
      <c r="C611" s="27" t="s">
        <v>659</v>
      </c>
      <c r="D611" s="32">
        <v>11088</v>
      </c>
      <c r="E611" s="32">
        <v>0</v>
      </c>
      <c r="F611" s="32">
        <v>0</v>
      </c>
      <c r="G611" s="32">
        <v>0</v>
      </c>
      <c r="H611" s="32">
        <v>0</v>
      </c>
      <c r="I611" s="32">
        <v>0</v>
      </c>
      <c r="J611" s="32">
        <v>0</v>
      </c>
      <c r="K611" s="32"/>
      <c r="M611" s="27" t="s">
        <v>860</v>
      </c>
      <c r="N611" s="27" t="s">
        <v>878</v>
      </c>
      <c r="O611" s="27" t="s">
        <v>659</v>
      </c>
      <c r="P611" s="27">
        <v>11088</v>
      </c>
      <c r="Q611" s="27">
        <v>0</v>
      </c>
      <c r="R611" s="27">
        <v>0</v>
      </c>
      <c r="S611" s="27">
        <v>0</v>
      </c>
      <c r="T611" s="27">
        <v>0</v>
      </c>
      <c r="U611" s="27">
        <v>0</v>
      </c>
      <c r="V611" s="27">
        <v>0</v>
      </c>
    </row>
    <row r="612" spans="1:22" x14ac:dyDescent="0.25">
      <c r="A612" s="27" t="s">
        <v>248</v>
      </c>
      <c r="B612" s="27" t="s">
        <v>878</v>
      </c>
      <c r="C612" s="27" t="s">
        <v>660</v>
      </c>
      <c r="D612" s="32">
        <v>19529</v>
      </c>
      <c r="E612" s="32">
        <v>0</v>
      </c>
      <c r="F612" s="32">
        <v>0</v>
      </c>
      <c r="G612" s="32">
        <v>0</v>
      </c>
      <c r="H612" s="32">
        <v>0</v>
      </c>
      <c r="I612" s="32">
        <v>0</v>
      </c>
      <c r="J612" s="32">
        <v>0</v>
      </c>
      <c r="K612" s="32"/>
      <c r="M612" s="27" t="s">
        <v>248</v>
      </c>
      <c r="N612" s="27" t="s">
        <v>878</v>
      </c>
      <c r="O612" s="27" t="s">
        <v>660</v>
      </c>
      <c r="P612" s="27">
        <v>19529</v>
      </c>
      <c r="Q612" s="27">
        <v>0</v>
      </c>
      <c r="R612" s="27">
        <v>0</v>
      </c>
      <c r="S612" s="27">
        <v>0</v>
      </c>
      <c r="T612" s="27">
        <v>0</v>
      </c>
      <c r="U612" s="27">
        <v>0</v>
      </c>
      <c r="V612" s="27">
        <v>0</v>
      </c>
    </row>
    <row r="613" spans="1:22" x14ac:dyDescent="0.25">
      <c r="A613" s="27" t="s">
        <v>861</v>
      </c>
      <c r="B613" s="27" t="s">
        <v>878</v>
      </c>
      <c r="C613" s="27" t="s">
        <v>661</v>
      </c>
      <c r="D613" s="32">
        <v>12169</v>
      </c>
      <c r="E613" s="32">
        <v>0</v>
      </c>
      <c r="F613" s="32">
        <v>0</v>
      </c>
      <c r="G613" s="32">
        <v>0</v>
      </c>
      <c r="H613" s="32">
        <v>0</v>
      </c>
      <c r="I613" s="32">
        <v>0</v>
      </c>
      <c r="J613" s="32">
        <v>0</v>
      </c>
      <c r="K613" s="32"/>
      <c r="M613" s="27" t="s">
        <v>861</v>
      </c>
      <c r="N613" s="27" t="s">
        <v>878</v>
      </c>
      <c r="O613" s="27" t="s">
        <v>661</v>
      </c>
      <c r="P613" s="27">
        <v>12169</v>
      </c>
      <c r="Q613" s="27">
        <v>0</v>
      </c>
      <c r="R613" s="27">
        <v>0</v>
      </c>
      <c r="S613" s="27">
        <v>0</v>
      </c>
      <c r="T613" s="27">
        <v>0</v>
      </c>
      <c r="U613" s="27">
        <v>0</v>
      </c>
      <c r="V613" s="27">
        <v>0</v>
      </c>
    </row>
    <row r="614" spans="1:22" x14ac:dyDescent="0.25">
      <c r="A614" s="27" t="s">
        <v>229</v>
      </c>
      <c r="B614" s="27" t="s">
        <v>878</v>
      </c>
      <c r="C614" s="27" t="s">
        <v>662</v>
      </c>
      <c r="D614" s="32">
        <v>21347</v>
      </c>
      <c r="E614" s="32">
        <v>0</v>
      </c>
      <c r="F614" s="32">
        <v>0</v>
      </c>
      <c r="G614" s="32">
        <v>0</v>
      </c>
      <c r="H614" s="32">
        <v>0</v>
      </c>
      <c r="I614" s="32">
        <v>0</v>
      </c>
      <c r="J614" s="32">
        <v>0</v>
      </c>
      <c r="K614" s="32"/>
      <c r="M614" s="27" t="s">
        <v>229</v>
      </c>
      <c r="N614" s="27" t="s">
        <v>878</v>
      </c>
      <c r="O614" s="27" t="s">
        <v>662</v>
      </c>
      <c r="P614" s="27">
        <v>21347</v>
      </c>
      <c r="Q614" s="27">
        <v>0</v>
      </c>
      <c r="R614" s="27">
        <v>0</v>
      </c>
      <c r="S614" s="27">
        <v>0</v>
      </c>
      <c r="T614" s="27">
        <v>0</v>
      </c>
      <c r="U614" s="27">
        <v>0</v>
      </c>
      <c r="V614" s="27">
        <v>0</v>
      </c>
    </row>
    <row r="615" spans="1:22" x14ac:dyDescent="0.25">
      <c r="A615" s="27" t="s">
        <v>101</v>
      </c>
      <c r="B615" s="27" t="s">
        <v>878</v>
      </c>
      <c r="C615" s="27" t="s">
        <v>663</v>
      </c>
      <c r="D615" s="32">
        <v>14714</v>
      </c>
      <c r="E615" s="32">
        <v>0</v>
      </c>
      <c r="F615" s="32">
        <v>0</v>
      </c>
      <c r="G615" s="32">
        <v>0</v>
      </c>
      <c r="H615" s="32">
        <v>0</v>
      </c>
      <c r="I615" s="32">
        <v>0</v>
      </c>
      <c r="J615" s="32">
        <v>0</v>
      </c>
      <c r="K615" s="32"/>
      <c r="M615" s="27" t="s">
        <v>101</v>
      </c>
      <c r="N615" s="27" t="s">
        <v>878</v>
      </c>
      <c r="O615" s="27" t="s">
        <v>663</v>
      </c>
      <c r="P615" s="27">
        <v>14714</v>
      </c>
      <c r="Q615" s="27">
        <v>0</v>
      </c>
      <c r="R615" s="27">
        <v>0</v>
      </c>
      <c r="S615" s="27">
        <v>0</v>
      </c>
      <c r="T615" s="27">
        <v>0</v>
      </c>
      <c r="U615" s="27">
        <v>0</v>
      </c>
      <c r="V615" s="27">
        <v>0</v>
      </c>
    </row>
    <row r="616" spans="1:22" x14ac:dyDescent="0.25">
      <c r="A616" s="27" t="s">
        <v>69</v>
      </c>
      <c r="B616" s="27" t="s">
        <v>878</v>
      </c>
      <c r="C616" s="27" t="s">
        <v>664</v>
      </c>
      <c r="D616" s="32">
        <v>42140</v>
      </c>
      <c r="E616" s="32">
        <v>0</v>
      </c>
      <c r="F616" s="32">
        <v>0</v>
      </c>
      <c r="G616" s="32">
        <v>0</v>
      </c>
      <c r="H616" s="32">
        <v>0</v>
      </c>
      <c r="I616" s="32">
        <v>0</v>
      </c>
      <c r="J616" s="32">
        <v>0</v>
      </c>
      <c r="K616" s="32"/>
      <c r="M616" s="27" t="s">
        <v>69</v>
      </c>
      <c r="N616" s="27" t="s">
        <v>878</v>
      </c>
      <c r="O616" s="27" t="s">
        <v>664</v>
      </c>
      <c r="P616" s="27">
        <v>42140</v>
      </c>
      <c r="Q616" s="27">
        <v>0</v>
      </c>
      <c r="R616" s="27">
        <v>0</v>
      </c>
      <c r="S616" s="27">
        <v>0</v>
      </c>
      <c r="T616" s="27">
        <v>0</v>
      </c>
      <c r="U616" s="27">
        <v>0</v>
      </c>
      <c r="V616" s="27">
        <v>0</v>
      </c>
    </row>
    <row r="617" spans="1:22" x14ac:dyDescent="0.25">
      <c r="A617" s="27" t="s">
        <v>859</v>
      </c>
      <c r="B617" s="27" t="s">
        <v>878</v>
      </c>
      <c r="C617" s="27" t="s">
        <v>665</v>
      </c>
      <c r="D617" s="32">
        <v>24589</v>
      </c>
      <c r="E617" s="32">
        <v>0</v>
      </c>
      <c r="F617" s="32">
        <v>0</v>
      </c>
      <c r="G617" s="32">
        <v>0</v>
      </c>
      <c r="H617" s="32">
        <v>0</v>
      </c>
      <c r="I617" s="32">
        <v>0</v>
      </c>
      <c r="J617" s="32">
        <v>0</v>
      </c>
      <c r="K617" s="32"/>
      <c r="M617" s="27" t="s">
        <v>859</v>
      </c>
      <c r="N617" s="27" t="s">
        <v>878</v>
      </c>
      <c r="O617" s="27" t="s">
        <v>665</v>
      </c>
      <c r="P617" s="27">
        <v>24589</v>
      </c>
      <c r="Q617" s="27">
        <v>0</v>
      </c>
      <c r="R617" s="27">
        <v>0</v>
      </c>
      <c r="S617" s="27">
        <v>0</v>
      </c>
      <c r="T617" s="27">
        <v>0</v>
      </c>
      <c r="U617" s="27">
        <v>0</v>
      </c>
      <c r="V617" s="27">
        <v>0</v>
      </c>
    </row>
    <row r="618" spans="1:22" x14ac:dyDescent="0.25">
      <c r="A618" s="27" t="s">
        <v>10</v>
      </c>
      <c r="B618" s="27" t="s">
        <v>878</v>
      </c>
      <c r="C618" s="27" t="s">
        <v>666</v>
      </c>
      <c r="D618" s="32"/>
      <c r="E618" s="32"/>
      <c r="F618" s="32"/>
      <c r="G618" s="32"/>
      <c r="H618" s="32"/>
      <c r="I618" s="32"/>
      <c r="J618" s="32"/>
      <c r="K618" s="32"/>
      <c r="M618" s="27" t="s">
        <v>10</v>
      </c>
      <c r="N618" s="27" t="s">
        <v>878</v>
      </c>
      <c r="O618" s="27" t="s">
        <v>666</v>
      </c>
    </row>
    <row r="619" spans="1:22" x14ac:dyDescent="0.25">
      <c r="A619" s="27" t="s">
        <v>853</v>
      </c>
      <c r="B619" s="27" t="s">
        <v>878</v>
      </c>
      <c r="C619" s="27" t="s">
        <v>667</v>
      </c>
      <c r="D619" s="32">
        <v>9081</v>
      </c>
      <c r="E619" s="32">
        <v>0</v>
      </c>
      <c r="F619" s="32">
        <v>0</v>
      </c>
      <c r="G619" s="32">
        <v>0</v>
      </c>
      <c r="H619" s="32">
        <v>0</v>
      </c>
      <c r="I619" s="32">
        <v>0</v>
      </c>
      <c r="J619" s="32">
        <v>0</v>
      </c>
      <c r="K619" s="32"/>
      <c r="M619" s="27" t="s">
        <v>853</v>
      </c>
      <c r="N619" s="27" t="s">
        <v>878</v>
      </c>
      <c r="O619" s="27" t="s">
        <v>667</v>
      </c>
      <c r="P619" s="27">
        <v>9081</v>
      </c>
      <c r="Q619" s="27">
        <v>0</v>
      </c>
      <c r="R619" s="27">
        <v>0</v>
      </c>
      <c r="S619" s="27">
        <v>0</v>
      </c>
      <c r="T619" s="27">
        <v>0</v>
      </c>
      <c r="U619" s="27">
        <v>0</v>
      </c>
      <c r="V619" s="27">
        <v>0</v>
      </c>
    </row>
    <row r="620" spans="1:22" x14ac:dyDescent="0.25">
      <c r="A620" s="27" t="s">
        <v>862</v>
      </c>
      <c r="B620" s="27" t="s">
        <v>878</v>
      </c>
      <c r="C620" s="27" t="s">
        <v>668</v>
      </c>
      <c r="D620" s="32">
        <v>16847</v>
      </c>
      <c r="E620" s="32">
        <v>0</v>
      </c>
      <c r="F620" s="32">
        <v>0</v>
      </c>
      <c r="G620" s="32">
        <v>0</v>
      </c>
      <c r="H620" s="32">
        <v>0</v>
      </c>
      <c r="I620" s="32">
        <v>0</v>
      </c>
      <c r="J620" s="32">
        <v>0</v>
      </c>
      <c r="K620" s="32"/>
      <c r="M620" s="27" t="s">
        <v>862</v>
      </c>
      <c r="N620" s="27" t="s">
        <v>878</v>
      </c>
      <c r="O620" s="27" t="s">
        <v>668</v>
      </c>
      <c r="P620" s="27">
        <v>16847</v>
      </c>
      <c r="Q620" s="27">
        <v>0</v>
      </c>
      <c r="R620" s="27">
        <v>0</v>
      </c>
      <c r="S620" s="27">
        <v>0</v>
      </c>
      <c r="T620" s="27">
        <v>0</v>
      </c>
      <c r="U620" s="27">
        <v>0</v>
      </c>
      <c r="V620" s="27">
        <v>0</v>
      </c>
    </row>
    <row r="621" spans="1:22" x14ac:dyDescent="0.25">
      <c r="A621" s="27" t="s">
        <v>847</v>
      </c>
      <c r="B621" s="27" t="s">
        <v>878</v>
      </c>
      <c r="C621" s="27" t="s">
        <v>669</v>
      </c>
      <c r="D621" s="32">
        <v>19339</v>
      </c>
      <c r="E621" s="32">
        <v>0</v>
      </c>
      <c r="F621" s="32">
        <v>0</v>
      </c>
      <c r="G621" s="32">
        <v>0</v>
      </c>
      <c r="H621" s="32">
        <v>0</v>
      </c>
      <c r="I621" s="32">
        <v>0</v>
      </c>
      <c r="J621" s="32">
        <v>0</v>
      </c>
      <c r="K621" s="32"/>
      <c r="M621" s="27" t="s">
        <v>847</v>
      </c>
      <c r="N621" s="27" t="s">
        <v>878</v>
      </c>
      <c r="O621" s="27" t="s">
        <v>669</v>
      </c>
      <c r="P621" s="27">
        <v>19339</v>
      </c>
      <c r="Q621" s="27">
        <v>0</v>
      </c>
      <c r="R621" s="27">
        <v>0</v>
      </c>
      <c r="S621" s="27">
        <v>0</v>
      </c>
      <c r="T621" s="27">
        <v>0</v>
      </c>
      <c r="U621" s="27">
        <v>0</v>
      </c>
      <c r="V621" s="27">
        <v>0</v>
      </c>
    </row>
    <row r="622" spans="1:22" x14ac:dyDescent="0.25">
      <c r="A622" s="27" t="s">
        <v>849</v>
      </c>
      <c r="B622" s="27" t="s">
        <v>878</v>
      </c>
      <c r="C622" s="27" t="s">
        <v>670</v>
      </c>
      <c r="D622" s="32">
        <v>5785</v>
      </c>
      <c r="E622" s="32">
        <v>0</v>
      </c>
      <c r="F622" s="32">
        <v>0</v>
      </c>
      <c r="G622" s="32">
        <v>0</v>
      </c>
      <c r="H622" s="32">
        <v>0</v>
      </c>
      <c r="I622" s="32">
        <v>0</v>
      </c>
      <c r="J622" s="32">
        <v>0</v>
      </c>
      <c r="K622" s="32"/>
      <c r="M622" s="27" t="s">
        <v>849</v>
      </c>
      <c r="N622" s="27" t="s">
        <v>878</v>
      </c>
      <c r="O622" s="27" t="s">
        <v>670</v>
      </c>
      <c r="P622" s="27">
        <v>5785</v>
      </c>
      <c r="Q622" s="27">
        <v>0</v>
      </c>
      <c r="R622" s="27">
        <v>0</v>
      </c>
      <c r="S622" s="27">
        <v>0</v>
      </c>
      <c r="T622" s="27">
        <v>0</v>
      </c>
      <c r="U622" s="27">
        <v>0</v>
      </c>
      <c r="V622" s="27">
        <v>0</v>
      </c>
    </row>
    <row r="623" spans="1:22" x14ac:dyDescent="0.25">
      <c r="A623" s="27" t="s">
        <v>226</v>
      </c>
      <c r="B623" s="27" t="s">
        <v>878</v>
      </c>
      <c r="C623" s="27" t="s">
        <v>671</v>
      </c>
      <c r="D623" s="32">
        <v>2793</v>
      </c>
      <c r="E623" s="32">
        <v>0</v>
      </c>
      <c r="F623" s="32">
        <v>0</v>
      </c>
      <c r="G623" s="32">
        <v>0</v>
      </c>
      <c r="H623" s="32">
        <v>0</v>
      </c>
      <c r="I623" s="32">
        <v>0</v>
      </c>
      <c r="J623" s="32">
        <v>0</v>
      </c>
      <c r="K623" s="32"/>
      <c r="M623" s="27" t="s">
        <v>226</v>
      </c>
      <c r="N623" s="27" t="s">
        <v>878</v>
      </c>
      <c r="O623" s="27" t="s">
        <v>671</v>
      </c>
      <c r="P623" s="27">
        <v>2793</v>
      </c>
      <c r="Q623" s="27">
        <v>0</v>
      </c>
      <c r="R623" s="27">
        <v>0</v>
      </c>
      <c r="S623" s="27">
        <v>0</v>
      </c>
      <c r="T623" s="27">
        <v>0</v>
      </c>
      <c r="U623" s="27">
        <v>0</v>
      </c>
      <c r="V623" s="27">
        <v>0</v>
      </c>
    </row>
    <row r="624" spans="1:22" x14ac:dyDescent="0.25">
      <c r="A624" s="27" t="s">
        <v>859</v>
      </c>
      <c r="B624" s="27" t="s">
        <v>878</v>
      </c>
      <c r="C624" s="27" t="s">
        <v>672</v>
      </c>
      <c r="D624" s="32">
        <v>54587</v>
      </c>
      <c r="E624" s="32">
        <v>0</v>
      </c>
      <c r="F624" s="32">
        <v>0</v>
      </c>
      <c r="G624" s="32">
        <v>0</v>
      </c>
      <c r="H624" s="32">
        <v>0</v>
      </c>
      <c r="I624" s="32">
        <v>0</v>
      </c>
      <c r="J624" s="32">
        <v>0</v>
      </c>
      <c r="K624" s="32"/>
      <c r="M624" s="27" t="s">
        <v>859</v>
      </c>
      <c r="N624" s="27" t="s">
        <v>878</v>
      </c>
      <c r="O624" s="27" t="s">
        <v>672</v>
      </c>
      <c r="P624" s="27">
        <v>54587</v>
      </c>
      <c r="Q624" s="27">
        <v>0</v>
      </c>
      <c r="R624" s="27">
        <v>0</v>
      </c>
      <c r="S624" s="27">
        <v>0</v>
      </c>
      <c r="T624" s="27">
        <v>0</v>
      </c>
      <c r="U624" s="27">
        <v>0</v>
      </c>
      <c r="V624" s="27">
        <v>0</v>
      </c>
    </row>
    <row r="625" spans="1:22" x14ac:dyDescent="0.25">
      <c r="A625" s="27" t="s">
        <v>830</v>
      </c>
      <c r="B625" s="27" t="s">
        <v>878</v>
      </c>
      <c r="C625" s="27" t="s">
        <v>673</v>
      </c>
      <c r="D625" s="32">
        <v>15551</v>
      </c>
      <c r="E625" s="32">
        <v>0</v>
      </c>
      <c r="F625" s="32">
        <v>0</v>
      </c>
      <c r="G625" s="32">
        <v>0</v>
      </c>
      <c r="H625" s="32">
        <v>0</v>
      </c>
      <c r="I625" s="32">
        <v>0</v>
      </c>
      <c r="J625" s="32">
        <v>0</v>
      </c>
      <c r="K625" s="32"/>
      <c r="M625" s="27" t="s">
        <v>830</v>
      </c>
      <c r="N625" s="27" t="s">
        <v>878</v>
      </c>
      <c r="O625" s="27" t="s">
        <v>673</v>
      </c>
      <c r="P625" s="27">
        <v>15551</v>
      </c>
      <c r="Q625" s="27">
        <v>0</v>
      </c>
      <c r="R625" s="27">
        <v>0</v>
      </c>
      <c r="S625" s="27">
        <v>0</v>
      </c>
      <c r="T625" s="27">
        <v>0</v>
      </c>
      <c r="U625" s="27">
        <v>0</v>
      </c>
      <c r="V625" s="27">
        <v>0</v>
      </c>
    </row>
    <row r="626" spans="1:22" x14ac:dyDescent="0.25">
      <c r="A626" s="27" t="s">
        <v>796</v>
      </c>
      <c r="B626" s="27" t="s">
        <v>878</v>
      </c>
      <c r="C626" s="27" t="s">
        <v>674</v>
      </c>
      <c r="D626" s="32">
        <v>31555</v>
      </c>
      <c r="E626" s="32">
        <v>0</v>
      </c>
      <c r="F626" s="32">
        <v>0</v>
      </c>
      <c r="G626" s="32">
        <v>0</v>
      </c>
      <c r="H626" s="32">
        <v>0</v>
      </c>
      <c r="I626" s="32">
        <v>0</v>
      </c>
      <c r="J626" s="32">
        <v>0</v>
      </c>
      <c r="K626" s="32"/>
      <c r="M626" s="27" t="s">
        <v>796</v>
      </c>
      <c r="N626" s="27" t="s">
        <v>878</v>
      </c>
      <c r="O626" s="27" t="s">
        <v>674</v>
      </c>
      <c r="P626" s="27">
        <v>31555</v>
      </c>
      <c r="Q626" s="27">
        <v>0</v>
      </c>
      <c r="R626" s="27">
        <v>0</v>
      </c>
      <c r="S626" s="27">
        <v>0</v>
      </c>
      <c r="T626" s="27">
        <v>0</v>
      </c>
      <c r="U626" s="27">
        <v>0</v>
      </c>
      <c r="V626" s="27">
        <v>0</v>
      </c>
    </row>
    <row r="627" spans="1:22" x14ac:dyDescent="0.25">
      <c r="A627" s="27" t="s">
        <v>854</v>
      </c>
      <c r="B627" s="27" t="s">
        <v>878</v>
      </c>
      <c r="C627" s="27" t="s">
        <v>675</v>
      </c>
      <c r="D627" s="32">
        <v>17850</v>
      </c>
      <c r="E627" s="32">
        <v>0</v>
      </c>
      <c r="F627" s="32">
        <v>0</v>
      </c>
      <c r="G627" s="32">
        <v>0</v>
      </c>
      <c r="H627" s="32">
        <v>0</v>
      </c>
      <c r="I627" s="32">
        <v>0</v>
      </c>
      <c r="J627" s="32">
        <v>0</v>
      </c>
      <c r="K627" s="32"/>
      <c r="M627" s="27" t="s">
        <v>854</v>
      </c>
      <c r="N627" s="27" t="s">
        <v>878</v>
      </c>
      <c r="O627" s="27" t="s">
        <v>675</v>
      </c>
      <c r="P627" s="27">
        <v>17850</v>
      </c>
      <c r="Q627" s="27">
        <v>0</v>
      </c>
      <c r="R627" s="27">
        <v>0</v>
      </c>
      <c r="S627" s="27">
        <v>0</v>
      </c>
      <c r="T627" s="27">
        <v>0</v>
      </c>
      <c r="U627" s="27">
        <v>0</v>
      </c>
      <c r="V627" s="27">
        <v>0</v>
      </c>
    </row>
    <row r="628" spans="1:22" x14ac:dyDescent="0.25">
      <c r="A628" s="27" t="s">
        <v>796</v>
      </c>
      <c r="B628" s="27" t="s">
        <v>878</v>
      </c>
      <c r="C628" s="27" t="s">
        <v>676</v>
      </c>
      <c r="D628" s="32"/>
      <c r="E628" s="32">
        <v>0</v>
      </c>
      <c r="F628" s="32">
        <v>0</v>
      </c>
      <c r="G628" s="32">
        <v>0</v>
      </c>
      <c r="H628" s="32">
        <v>0</v>
      </c>
      <c r="I628" s="32">
        <v>0</v>
      </c>
      <c r="J628" s="32">
        <v>0</v>
      </c>
      <c r="K628" s="32"/>
      <c r="M628" s="27" t="s">
        <v>796</v>
      </c>
      <c r="N628" s="27" t="s">
        <v>878</v>
      </c>
      <c r="O628" s="27" t="s">
        <v>676</v>
      </c>
    </row>
    <row r="629" spans="1:22" x14ac:dyDescent="0.25">
      <c r="A629" s="27" t="s">
        <v>226</v>
      </c>
      <c r="B629" s="27" t="s">
        <v>878</v>
      </c>
      <c r="C629" s="27" t="s">
        <v>677</v>
      </c>
      <c r="D629" s="32">
        <v>10315</v>
      </c>
      <c r="E629" s="32">
        <v>0</v>
      </c>
      <c r="F629" s="32">
        <v>0</v>
      </c>
      <c r="G629" s="32">
        <v>0</v>
      </c>
      <c r="H629" s="32">
        <v>0</v>
      </c>
      <c r="I629" s="32">
        <v>0</v>
      </c>
      <c r="J629" s="32">
        <v>0</v>
      </c>
      <c r="K629" s="32"/>
      <c r="M629" s="27" t="s">
        <v>226</v>
      </c>
      <c r="N629" s="27" t="s">
        <v>878</v>
      </c>
      <c r="O629" s="27" t="s">
        <v>677</v>
      </c>
      <c r="P629" s="27">
        <v>10315</v>
      </c>
      <c r="Q629" s="27">
        <v>0</v>
      </c>
      <c r="R629" s="27">
        <v>0</v>
      </c>
      <c r="S629" s="27">
        <v>0</v>
      </c>
      <c r="T629" s="27">
        <v>0</v>
      </c>
      <c r="U629" s="27">
        <v>0</v>
      </c>
      <c r="V629" s="27">
        <v>0</v>
      </c>
    </row>
    <row r="630" spans="1:22" x14ac:dyDescent="0.25">
      <c r="A630" s="27" t="s">
        <v>890</v>
      </c>
      <c r="B630" s="27" t="s">
        <v>878</v>
      </c>
      <c r="C630" s="27" t="s">
        <v>678</v>
      </c>
      <c r="D630" s="32"/>
      <c r="E630" s="32"/>
      <c r="F630" s="32"/>
      <c r="G630" s="32"/>
      <c r="H630" s="32"/>
      <c r="I630" s="32"/>
      <c r="J630" s="32"/>
      <c r="K630" s="32"/>
      <c r="M630" s="27" t="s">
        <v>890</v>
      </c>
      <c r="N630" s="27" t="s">
        <v>878</v>
      </c>
      <c r="O630" s="27" t="s">
        <v>678</v>
      </c>
    </row>
    <row r="631" spans="1:22" x14ac:dyDescent="0.25">
      <c r="A631" s="27" t="s">
        <v>804</v>
      </c>
      <c r="B631" s="27" t="s">
        <v>878</v>
      </c>
      <c r="C631" s="27" t="s">
        <v>679</v>
      </c>
      <c r="D631" s="32">
        <v>103949</v>
      </c>
      <c r="E631" s="32">
        <v>0</v>
      </c>
      <c r="F631" s="32">
        <v>0</v>
      </c>
      <c r="G631" s="32">
        <v>0</v>
      </c>
      <c r="H631" s="32">
        <v>0</v>
      </c>
      <c r="I631" s="32">
        <v>0</v>
      </c>
      <c r="J631" s="32">
        <v>0</v>
      </c>
      <c r="K631" s="32"/>
      <c r="M631" s="27" t="s">
        <v>804</v>
      </c>
      <c r="N631" s="27" t="s">
        <v>878</v>
      </c>
      <c r="O631" s="27" t="s">
        <v>679</v>
      </c>
      <c r="P631" s="27">
        <v>103949</v>
      </c>
      <c r="Q631" s="27">
        <v>0</v>
      </c>
      <c r="R631" s="27">
        <v>0</v>
      </c>
      <c r="S631" s="27">
        <v>0</v>
      </c>
      <c r="T631" s="27">
        <v>0</v>
      </c>
      <c r="U631" s="27">
        <v>0</v>
      </c>
      <c r="V631" s="27">
        <v>0</v>
      </c>
    </row>
    <row r="632" spans="1:22" x14ac:dyDescent="0.25">
      <c r="A632" s="27" t="s">
        <v>823</v>
      </c>
      <c r="B632" s="27" t="s">
        <v>878</v>
      </c>
      <c r="C632" s="27" t="s">
        <v>680</v>
      </c>
      <c r="D632" s="32">
        <v>58152</v>
      </c>
      <c r="E632" s="32">
        <v>0</v>
      </c>
      <c r="F632" s="32">
        <v>0</v>
      </c>
      <c r="G632" s="32">
        <v>0</v>
      </c>
      <c r="H632" s="32">
        <v>0</v>
      </c>
      <c r="I632" s="32">
        <v>0</v>
      </c>
      <c r="J632" s="32">
        <v>0</v>
      </c>
      <c r="K632" s="32"/>
      <c r="M632" s="27" t="s">
        <v>823</v>
      </c>
      <c r="N632" s="27" t="s">
        <v>878</v>
      </c>
      <c r="O632" s="27" t="s">
        <v>680</v>
      </c>
      <c r="P632" s="27">
        <v>58152</v>
      </c>
      <c r="Q632" s="27">
        <v>0</v>
      </c>
      <c r="R632" s="27">
        <v>0</v>
      </c>
      <c r="S632" s="27">
        <v>0</v>
      </c>
      <c r="T632" s="27">
        <v>0</v>
      </c>
      <c r="U632" s="27">
        <v>0</v>
      </c>
      <c r="V632" s="27">
        <v>0</v>
      </c>
    </row>
    <row r="633" spans="1:22" x14ac:dyDescent="0.25">
      <c r="A633" s="27" t="s">
        <v>809</v>
      </c>
      <c r="B633" s="27" t="s">
        <v>878</v>
      </c>
      <c r="C633" s="27" t="s">
        <v>681</v>
      </c>
      <c r="D633" s="32">
        <v>67759</v>
      </c>
      <c r="E633" s="32">
        <v>0</v>
      </c>
      <c r="F633" s="32">
        <v>0</v>
      </c>
      <c r="G633" s="32">
        <v>0</v>
      </c>
      <c r="H633" s="32">
        <v>0</v>
      </c>
      <c r="I633" s="32">
        <v>0</v>
      </c>
      <c r="J633" s="32">
        <v>0</v>
      </c>
      <c r="K633" s="32"/>
      <c r="M633" s="27" t="s">
        <v>809</v>
      </c>
      <c r="N633" s="27" t="s">
        <v>878</v>
      </c>
      <c r="O633" s="27" t="s">
        <v>681</v>
      </c>
      <c r="P633" s="27">
        <v>67759</v>
      </c>
      <c r="Q633" s="27">
        <v>0</v>
      </c>
      <c r="R633" s="27">
        <v>0</v>
      </c>
      <c r="S633" s="27">
        <v>0</v>
      </c>
      <c r="T633" s="27">
        <v>0</v>
      </c>
      <c r="U633" s="27">
        <v>0</v>
      </c>
      <c r="V633" s="27">
        <v>0</v>
      </c>
    </row>
    <row r="634" spans="1:22" x14ac:dyDescent="0.25">
      <c r="A634" s="27" t="s">
        <v>248</v>
      </c>
      <c r="B634" s="27" t="s">
        <v>878</v>
      </c>
      <c r="C634" s="27" t="s">
        <v>682</v>
      </c>
      <c r="D634" s="32">
        <v>75578</v>
      </c>
      <c r="E634" s="32">
        <v>0</v>
      </c>
      <c r="F634" s="32">
        <v>0</v>
      </c>
      <c r="G634" s="32">
        <v>0</v>
      </c>
      <c r="H634" s="32">
        <v>0</v>
      </c>
      <c r="I634" s="32">
        <v>0</v>
      </c>
      <c r="J634" s="32">
        <v>0</v>
      </c>
      <c r="K634" s="32"/>
      <c r="M634" s="27" t="s">
        <v>248</v>
      </c>
      <c r="N634" s="27" t="s">
        <v>878</v>
      </c>
      <c r="O634" s="27" t="s">
        <v>682</v>
      </c>
      <c r="P634" s="27">
        <v>75578</v>
      </c>
      <c r="Q634" s="27">
        <v>0</v>
      </c>
      <c r="R634" s="27">
        <v>0</v>
      </c>
      <c r="S634" s="27">
        <v>0</v>
      </c>
      <c r="T634" s="27">
        <v>0</v>
      </c>
      <c r="U634" s="27">
        <v>0</v>
      </c>
      <c r="V634" s="27">
        <v>0</v>
      </c>
    </row>
    <row r="635" spans="1:22" x14ac:dyDescent="0.25">
      <c r="A635" s="27" t="s">
        <v>795</v>
      </c>
      <c r="B635" s="27" t="s">
        <v>878</v>
      </c>
      <c r="C635" s="27" t="s">
        <v>683</v>
      </c>
      <c r="D635" s="32">
        <v>33222</v>
      </c>
      <c r="E635" s="32">
        <v>0</v>
      </c>
      <c r="F635" s="32">
        <v>0</v>
      </c>
      <c r="G635" s="32">
        <v>0</v>
      </c>
      <c r="H635" s="32">
        <v>0</v>
      </c>
      <c r="I635" s="32">
        <v>0</v>
      </c>
      <c r="J635" s="32">
        <v>0</v>
      </c>
      <c r="K635" s="32"/>
      <c r="M635" s="27" t="s">
        <v>795</v>
      </c>
      <c r="N635" s="27" t="s">
        <v>878</v>
      </c>
      <c r="O635" s="27" t="s">
        <v>683</v>
      </c>
      <c r="P635" s="27">
        <v>33222</v>
      </c>
      <c r="Q635" s="27">
        <v>0</v>
      </c>
      <c r="R635" s="27">
        <v>0</v>
      </c>
      <c r="S635" s="27">
        <v>0</v>
      </c>
      <c r="T635" s="27">
        <v>0</v>
      </c>
      <c r="U635" s="27">
        <v>0</v>
      </c>
      <c r="V635" s="27">
        <v>0</v>
      </c>
    </row>
    <row r="636" spans="1:22" x14ac:dyDescent="0.25">
      <c r="A636" s="27" t="s">
        <v>795</v>
      </c>
      <c r="B636" s="27" t="s">
        <v>878</v>
      </c>
      <c r="C636" s="27" t="s">
        <v>684</v>
      </c>
      <c r="D636" s="32">
        <v>113055</v>
      </c>
      <c r="E636" s="32">
        <v>0</v>
      </c>
      <c r="F636" s="32">
        <v>0</v>
      </c>
      <c r="G636" s="32">
        <v>0</v>
      </c>
      <c r="H636" s="32">
        <v>0</v>
      </c>
      <c r="I636" s="32">
        <v>0</v>
      </c>
      <c r="J636" s="32">
        <v>0</v>
      </c>
      <c r="K636" s="32"/>
      <c r="M636" s="27" t="s">
        <v>795</v>
      </c>
      <c r="N636" s="27" t="s">
        <v>878</v>
      </c>
      <c r="O636" s="27" t="s">
        <v>684</v>
      </c>
      <c r="P636" s="27">
        <v>113055</v>
      </c>
      <c r="Q636" s="27">
        <v>0</v>
      </c>
      <c r="R636" s="27">
        <v>0</v>
      </c>
      <c r="S636" s="27">
        <v>0</v>
      </c>
      <c r="T636" s="27">
        <v>0</v>
      </c>
      <c r="U636" s="27">
        <v>0</v>
      </c>
      <c r="V636" s="27">
        <v>0</v>
      </c>
    </row>
    <row r="637" spans="1:22" x14ac:dyDescent="0.25">
      <c r="A637" s="27" t="s">
        <v>795</v>
      </c>
      <c r="B637" s="27" t="s">
        <v>878</v>
      </c>
      <c r="C637" s="27" t="s">
        <v>685</v>
      </c>
      <c r="D637" s="32">
        <v>23047</v>
      </c>
      <c r="E637" s="32">
        <v>0</v>
      </c>
      <c r="F637" s="32">
        <v>0</v>
      </c>
      <c r="G637" s="32">
        <v>0</v>
      </c>
      <c r="H637" s="32">
        <v>0</v>
      </c>
      <c r="I637" s="32">
        <v>0</v>
      </c>
      <c r="J637" s="32">
        <v>0</v>
      </c>
      <c r="K637" s="32"/>
      <c r="M637" s="27" t="s">
        <v>795</v>
      </c>
      <c r="N637" s="27" t="s">
        <v>878</v>
      </c>
      <c r="O637" s="27" t="s">
        <v>685</v>
      </c>
      <c r="P637" s="27">
        <v>23047</v>
      </c>
      <c r="Q637" s="27">
        <v>0</v>
      </c>
      <c r="R637" s="27">
        <v>0</v>
      </c>
      <c r="S637" s="27">
        <v>0</v>
      </c>
      <c r="T637" s="27">
        <v>0</v>
      </c>
      <c r="U637" s="27">
        <v>0</v>
      </c>
      <c r="V637" s="27">
        <v>0</v>
      </c>
    </row>
    <row r="638" spans="1:22" x14ac:dyDescent="0.25">
      <c r="A638" s="27" t="s">
        <v>851</v>
      </c>
      <c r="B638" s="27" t="s">
        <v>878</v>
      </c>
      <c r="C638" s="27" t="s">
        <v>686</v>
      </c>
      <c r="D638" s="32">
        <v>8514</v>
      </c>
      <c r="E638" s="32">
        <v>0</v>
      </c>
      <c r="F638" s="32">
        <v>0</v>
      </c>
      <c r="G638" s="32">
        <v>0</v>
      </c>
      <c r="H638" s="32">
        <v>0</v>
      </c>
      <c r="I638" s="32">
        <v>0</v>
      </c>
      <c r="J638" s="32">
        <v>0</v>
      </c>
      <c r="K638" s="32"/>
      <c r="M638" s="27" t="s">
        <v>851</v>
      </c>
      <c r="N638" s="27" t="s">
        <v>878</v>
      </c>
      <c r="O638" s="27" t="s">
        <v>686</v>
      </c>
      <c r="P638" s="27">
        <v>8514</v>
      </c>
      <c r="Q638" s="27">
        <v>0</v>
      </c>
      <c r="R638" s="27">
        <v>0</v>
      </c>
      <c r="S638" s="27">
        <v>0</v>
      </c>
      <c r="T638" s="27">
        <v>0</v>
      </c>
      <c r="U638" s="27">
        <v>0</v>
      </c>
      <c r="V638" s="27">
        <v>0</v>
      </c>
    </row>
    <row r="639" spans="1:22" x14ac:dyDescent="0.25">
      <c r="A639" s="27" t="s">
        <v>841</v>
      </c>
      <c r="B639" s="27" t="s">
        <v>878</v>
      </c>
      <c r="C639" s="27" t="s">
        <v>687</v>
      </c>
      <c r="D639" s="32">
        <v>22686</v>
      </c>
      <c r="E639" s="32">
        <v>0</v>
      </c>
      <c r="F639" s="32">
        <v>0</v>
      </c>
      <c r="G639" s="32">
        <v>0</v>
      </c>
      <c r="H639" s="32">
        <v>0</v>
      </c>
      <c r="I639" s="32">
        <v>0</v>
      </c>
      <c r="J639" s="32">
        <v>0</v>
      </c>
      <c r="K639" s="32"/>
      <c r="M639" s="27" t="s">
        <v>841</v>
      </c>
      <c r="N639" s="27" t="s">
        <v>878</v>
      </c>
      <c r="O639" s="27" t="s">
        <v>687</v>
      </c>
      <c r="P639" s="27">
        <v>22686</v>
      </c>
      <c r="Q639" s="27">
        <v>0</v>
      </c>
      <c r="R639" s="27">
        <v>0</v>
      </c>
      <c r="S639" s="27">
        <v>0</v>
      </c>
      <c r="T639" s="27">
        <v>0</v>
      </c>
      <c r="U639" s="27">
        <v>0</v>
      </c>
      <c r="V639" s="27">
        <v>0</v>
      </c>
    </row>
    <row r="640" spans="1:22" x14ac:dyDescent="0.25">
      <c r="A640" s="27" t="s">
        <v>859</v>
      </c>
      <c r="B640" s="27" t="s">
        <v>878</v>
      </c>
      <c r="C640" s="27" t="s">
        <v>688</v>
      </c>
      <c r="D640" s="32">
        <v>13804</v>
      </c>
      <c r="E640" s="32">
        <v>0</v>
      </c>
      <c r="F640" s="32">
        <v>0</v>
      </c>
      <c r="G640" s="32">
        <v>0</v>
      </c>
      <c r="H640" s="32">
        <v>0</v>
      </c>
      <c r="I640" s="32">
        <v>0</v>
      </c>
      <c r="J640" s="32">
        <v>0</v>
      </c>
      <c r="K640" s="32"/>
      <c r="M640" s="27" t="s">
        <v>859</v>
      </c>
      <c r="N640" s="27" t="s">
        <v>878</v>
      </c>
      <c r="O640" s="27" t="s">
        <v>688</v>
      </c>
      <c r="P640" s="27">
        <v>13804</v>
      </c>
      <c r="Q640" s="27">
        <v>0</v>
      </c>
      <c r="R640" s="27">
        <v>0</v>
      </c>
      <c r="S640" s="27">
        <v>0</v>
      </c>
      <c r="T640" s="27">
        <v>0</v>
      </c>
      <c r="U640" s="27">
        <v>0</v>
      </c>
      <c r="V640" s="27">
        <v>0</v>
      </c>
    </row>
    <row r="641" spans="1:22" x14ac:dyDescent="0.25">
      <c r="A641" s="27" t="s">
        <v>248</v>
      </c>
      <c r="B641" s="27" t="s">
        <v>878</v>
      </c>
      <c r="C641" s="27" t="s">
        <v>689</v>
      </c>
      <c r="D641" s="32">
        <v>59226</v>
      </c>
      <c r="E641" s="32">
        <v>0</v>
      </c>
      <c r="F641" s="32">
        <v>0</v>
      </c>
      <c r="G641" s="32">
        <v>0</v>
      </c>
      <c r="H641" s="32">
        <v>0</v>
      </c>
      <c r="I641" s="32">
        <v>0</v>
      </c>
      <c r="J641" s="32">
        <v>0</v>
      </c>
      <c r="K641" s="32"/>
      <c r="M641" s="27" t="s">
        <v>248</v>
      </c>
      <c r="N641" s="27" t="s">
        <v>878</v>
      </c>
      <c r="O641" s="27" t="s">
        <v>689</v>
      </c>
      <c r="P641" s="27">
        <v>59226</v>
      </c>
      <c r="Q641" s="27">
        <v>0</v>
      </c>
      <c r="R641" s="27">
        <v>0</v>
      </c>
      <c r="S641" s="27">
        <v>0</v>
      </c>
      <c r="T641" s="27">
        <v>0</v>
      </c>
      <c r="U641" s="27">
        <v>0</v>
      </c>
      <c r="V641" s="27">
        <v>0</v>
      </c>
    </row>
    <row r="642" spans="1:22" x14ac:dyDescent="0.25">
      <c r="A642" s="27" t="s">
        <v>831</v>
      </c>
      <c r="B642" s="27" t="s">
        <v>878</v>
      </c>
      <c r="C642" s="27" t="s">
        <v>690</v>
      </c>
      <c r="D642" s="32">
        <v>18594</v>
      </c>
      <c r="E642" s="32">
        <v>0</v>
      </c>
      <c r="F642" s="32">
        <v>0</v>
      </c>
      <c r="G642" s="32">
        <v>0</v>
      </c>
      <c r="H642" s="32">
        <v>0</v>
      </c>
      <c r="I642" s="32">
        <v>0</v>
      </c>
      <c r="J642" s="32">
        <v>0</v>
      </c>
      <c r="K642" s="32"/>
      <c r="M642" s="27" t="s">
        <v>831</v>
      </c>
      <c r="N642" s="27" t="s">
        <v>878</v>
      </c>
      <c r="O642" s="27" t="s">
        <v>690</v>
      </c>
      <c r="P642" s="27">
        <v>18594</v>
      </c>
      <c r="Q642" s="27">
        <v>0</v>
      </c>
      <c r="R642" s="27">
        <v>0</v>
      </c>
      <c r="S642" s="27">
        <v>0</v>
      </c>
      <c r="T642" s="27">
        <v>0</v>
      </c>
      <c r="U642" s="27">
        <v>0</v>
      </c>
      <c r="V642" s="27">
        <v>0</v>
      </c>
    </row>
    <row r="643" spans="1:22" x14ac:dyDescent="0.25">
      <c r="A643" s="27" t="s">
        <v>840</v>
      </c>
      <c r="B643" s="27" t="s">
        <v>878</v>
      </c>
      <c r="C643" s="27" t="s">
        <v>691</v>
      </c>
      <c r="D643" s="32">
        <v>28070</v>
      </c>
      <c r="E643" s="32">
        <v>0</v>
      </c>
      <c r="F643" s="32">
        <v>0</v>
      </c>
      <c r="G643" s="32">
        <v>0</v>
      </c>
      <c r="H643" s="32">
        <v>0</v>
      </c>
      <c r="I643" s="32">
        <v>0</v>
      </c>
      <c r="J643" s="32">
        <v>0</v>
      </c>
      <c r="K643" s="32"/>
      <c r="M643" s="27" t="s">
        <v>840</v>
      </c>
      <c r="N643" s="27" t="s">
        <v>878</v>
      </c>
      <c r="O643" s="27" t="s">
        <v>691</v>
      </c>
      <c r="P643" s="27">
        <v>28070</v>
      </c>
      <c r="Q643" s="27">
        <v>0</v>
      </c>
      <c r="R643" s="27">
        <v>0</v>
      </c>
      <c r="S643" s="27">
        <v>0</v>
      </c>
      <c r="T643" s="27">
        <v>0</v>
      </c>
      <c r="U643" s="27">
        <v>0</v>
      </c>
      <c r="V643" s="27">
        <v>0</v>
      </c>
    </row>
    <row r="644" spans="1:22" x14ac:dyDescent="0.25">
      <c r="A644" s="27" t="s">
        <v>495</v>
      </c>
      <c r="B644" s="27" t="s">
        <v>878</v>
      </c>
      <c r="C644" s="27" t="s">
        <v>692</v>
      </c>
      <c r="D644" s="32">
        <v>31095</v>
      </c>
      <c r="E644" s="32">
        <v>0</v>
      </c>
      <c r="F644" s="32">
        <v>0</v>
      </c>
      <c r="G644" s="32">
        <v>0</v>
      </c>
      <c r="H644" s="32">
        <v>0</v>
      </c>
      <c r="I644" s="32">
        <v>0</v>
      </c>
      <c r="J644" s="32">
        <v>0</v>
      </c>
      <c r="K644" s="32"/>
      <c r="M644" s="27" t="s">
        <v>495</v>
      </c>
      <c r="N644" s="27" t="s">
        <v>878</v>
      </c>
      <c r="O644" s="27" t="s">
        <v>692</v>
      </c>
      <c r="P644" s="27">
        <v>31095</v>
      </c>
      <c r="Q644" s="27">
        <v>0</v>
      </c>
      <c r="R644" s="27">
        <v>0</v>
      </c>
      <c r="S644" s="27">
        <v>0</v>
      </c>
      <c r="T644" s="27">
        <v>0</v>
      </c>
      <c r="U644" s="27">
        <v>0</v>
      </c>
      <c r="V644" s="27">
        <v>0</v>
      </c>
    </row>
    <row r="645" spans="1:22" x14ac:dyDescent="0.25">
      <c r="A645" s="27" t="s">
        <v>824</v>
      </c>
      <c r="B645" s="27" t="s">
        <v>878</v>
      </c>
      <c r="C645" s="27" t="s">
        <v>693</v>
      </c>
      <c r="D645" s="32">
        <v>38819</v>
      </c>
      <c r="E645" s="32">
        <v>0</v>
      </c>
      <c r="F645" s="32">
        <v>0</v>
      </c>
      <c r="G645" s="32">
        <v>0</v>
      </c>
      <c r="H645" s="32">
        <v>0</v>
      </c>
      <c r="I645" s="32">
        <v>0</v>
      </c>
      <c r="J645" s="32">
        <v>0</v>
      </c>
      <c r="K645" s="32"/>
      <c r="M645" s="27" t="s">
        <v>824</v>
      </c>
      <c r="N645" s="27" t="s">
        <v>878</v>
      </c>
      <c r="O645" s="27" t="s">
        <v>693</v>
      </c>
      <c r="P645" s="27">
        <v>38819</v>
      </c>
      <c r="Q645" s="27">
        <v>0</v>
      </c>
      <c r="R645" s="27">
        <v>0</v>
      </c>
      <c r="S645" s="27">
        <v>0</v>
      </c>
      <c r="T645" s="27">
        <v>0</v>
      </c>
      <c r="U645" s="27">
        <v>0</v>
      </c>
      <c r="V645" s="27">
        <v>0</v>
      </c>
    </row>
    <row r="646" spans="1:22" x14ac:dyDescent="0.25">
      <c r="A646" s="27" t="s">
        <v>806</v>
      </c>
      <c r="B646" s="27" t="s">
        <v>878</v>
      </c>
      <c r="C646" s="27" t="s">
        <v>694</v>
      </c>
      <c r="D646" s="32">
        <v>10564</v>
      </c>
      <c r="E646" s="32">
        <v>0</v>
      </c>
      <c r="F646" s="32">
        <v>0</v>
      </c>
      <c r="G646" s="32">
        <v>0</v>
      </c>
      <c r="H646" s="32">
        <v>0</v>
      </c>
      <c r="I646" s="32">
        <v>0</v>
      </c>
      <c r="J646" s="32">
        <v>0</v>
      </c>
      <c r="K646" s="32"/>
      <c r="M646" s="27" t="s">
        <v>806</v>
      </c>
      <c r="N646" s="27" t="s">
        <v>878</v>
      </c>
      <c r="O646" s="27" t="s">
        <v>694</v>
      </c>
      <c r="P646" s="27">
        <v>10564</v>
      </c>
      <c r="Q646" s="27">
        <v>0</v>
      </c>
      <c r="R646" s="27">
        <v>0</v>
      </c>
      <c r="S646" s="27">
        <v>0</v>
      </c>
      <c r="T646" s="27">
        <v>0</v>
      </c>
      <c r="U646" s="27">
        <v>0</v>
      </c>
      <c r="V646" s="27">
        <v>0</v>
      </c>
    </row>
    <row r="647" spans="1:22" x14ac:dyDescent="0.25">
      <c r="A647" s="27" t="s">
        <v>806</v>
      </c>
      <c r="B647" s="27" t="s">
        <v>878</v>
      </c>
      <c r="C647" s="27" t="s">
        <v>695</v>
      </c>
      <c r="D647" s="32">
        <v>4329</v>
      </c>
      <c r="E647" s="32">
        <v>0</v>
      </c>
      <c r="F647" s="32">
        <v>0</v>
      </c>
      <c r="G647" s="32">
        <v>0</v>
      </c>
      <c r="H647" s="32">
        <v>0</v>
      </c>
      <c r="I647" s="32">
        <v>0</v>
      </c>
      <c r="J647" s="32">
        <v>0</v>
      </c>
      <c r="K647" s="32"/>
      <c r="M647" s="27" t="s">
        <v>806</v>
      </c>
      <c r="N647" s="27" t="s">
        <v>878</v>
      </c>
      <c r="O647" s="27" t="s">
        <v>695</v>
      </c>
      <c r="P647" s="27">
        <v>4329</v>
      </c>
      <c r="Q647" s="27">
        <v>0</v>
      </c>
      <c r="R647" s="27">
        <v>0</v>
      </c>
      <c r="S647" s="27">
        <v>0</v>
      </c>
      <c r="T647" s="27">
        <v>0</v>
      </c>
      <c r="U647" s="27">
        <v>0</v>
      </c>
      <c r="V647" s="27">
        <v>0</v>
      </c>
    </row>
    <row r="648" spans="1:22" x14ac:dyDescent="0.25">
      <c r="A648" s="27" t="s">
        <v>795</v>
      </c>
      <c r="B648" s="27" t="s">
        <v>878</v>
      </c>
      <c r="C648" s="27" t="s">
        <v>696</v>
      </c>
      <c r="D648" s="32">
        <v>14165</v>
      </c>
      <c r="E648" s="32">
        <v>0</v>
      </c>
      <c r="F648" s="32">
        <v>0</v>
      </c>
      <c r="G648" s="32">
        <v>0</v>
      </c>
      <c r="H648" s="32">
        <v>0</v>
      </c>
      <c r="I648" s="32">
        <v>0</v>
      </c>
      <c r="J648" s="32">
        <v>0</v>
      </c>
      <c r="K648" s="32"/>
      <c r="M648" s="27" t="s">
        <v>795</v>
      </c>
      <c r="N648" s="27" t="s">
        <v>878</v>
      </c>
      <c r="O648" s="27" t="s">
        <v>696</v>
      </c>
      <c r="P648" s="27">
        <v>14165</v>
      </c>
      <c r="Q648" s="27">
        <v>0</v>
      </c>
      <c r="R648" s="27">
        <v>0</v>
      </c>
      <c r="S648" s="27">
        <v>0</v>
      </c>
      <c r="T648" s="27">
        <v>0</v>
      </c>
      <c r="U648" s="27">
        <v>0</v>
      </c>
      <c r="V648" s="27">
        <v>0</v>
      </c>
    </row>
    <row r="649" spans="1:22" x14ac:dyDescent="0.25">
      <c r="A649" s="27" t="s">
        <v>831</v>
      </c>
      <c r="B649" s="27" t="s">
        <v>878</v>
      </c>
      <c r="C649" s="27" t="s">
        <v>697</v>
      </c>
      <c r="D649" s="32">
        <v>22521</v>
      </c>
      <c r="E649" s="32">
        <v>0</v>
      </c>
      <c r="F649" s="32">
        <v>0</v>
      </c>
      <c r="G649" s="32">
        <v>0</v>
      </c>
      <c r="H649" s="32">
        <v>0</v>
      </c>
      <c r="I649" s="32">
        <v>0</v>
      </c>
      <c r="J649" s="32">
        <v>0</v>
      </c>
      <c r="K649" s="32"/>
      <c r="M649" s="27" t="s">
        <v>831</v>
      </c>
      <c r="N649" s="27" t="s">
        <v>878</v>
      </c>
      <c r="O649" s="27" t="s">
        <v>697</v>
      </c>
      <c r="P649" s="27">
        <v>22521</v>
      </c>
      <c r="Q649" s="27">
        <v>0</v>
      </c>
      <c r="R649" s="27">
        <v>0</v>
      </c>
      <c r="S649" s="27">
        <v>0</v>
      </c>
      <c r="T649" s="27">
        <v>0</v>
      </c>
      <c r="U649" s="27">
        <v>0</v>
      </c>
      <c r="V649" s="27">
        <v>0</v>
      </c>
    </row>
    <row r="650" spans="1:22" x14ac:dyDescent="0.25">
      <c r="A650" s="27" t="s">
        <v>829</v>
      </c>
      <c r="B650" s="27" t="s">
        <v>878</v>
      </c>
      <c r="C650" s="27" t="s">
        <v>698</v>
      </c>
      <c r="D650" s="32">
        <v>31212</v>
      </c>
      <c r="E650" s="32">
        <v>0</v>
      </c>
      <c r="F650" s="32">
        <v>0</v>
      </c>
      <c r="G650" s="32">
        <v>0</v>
      </c>
      <c r="H650" s="32">
        <v>0</v>
      </c>
      <c r="I650" s="32">
        <v>0</v>
      </c>
      <c r="J650" s="32">
        <v>0</v>
      </c>
      <c r="K650" s="32"/>
      <c r="M650" s="27" t="s">
        <v>829</v>
      </c>
      <c r="N650" s="27" t="s">
        <v>878</v>
      </c>
      <c r="O650" s="27" t="s">
        <v>698</v>
      </c>
      <c r="P650" s="27">
        <v>31212</v>
      </c>
      <c r="Q650" s="27">
        <v>0</v>
      </c>
      <c r="R650" s="27">
        <v>0</v>
      </c>
      <c r="S650" s="27">
        <v>0</v>
      </c>
      <c r="T650" s="27">
        <v>0</v>
      </c>
      <c r="U650" s="27">
        <v>0</v>
      </c>
      <c r="V650" s="27">
        <v>0</v>
      </c>
    </row>
    <row r="651" spans="1:22" x14ac:dyDescent="0.25">
      <c r="A651" s="27" t="s">
        <v>811</v>
      </c>
      <c r="B651" s="27" t="s">
        <v>878</v>
      </c>
      <c r="C651" s="27" t="s">
        <v>699</v>
      </c>
      <c r="D651" s="32">
        <v>27663</v>
      </c>
      <c r="E651" s="32">
        <v>0</v>
      </c>
      <c r="F651" s="32">
        <v>0</v>
      </c>
      <c r="G651" s="32">
        <v>0</v>
      </c>
      <c r="H651" s="32">
        <v>0</v>
      </c>
      <c r="I651" s="32">
        <v>0</v>
      </c>
      <c r="J651" s="32">
        <v>0</v>
      </c>
      <c r="K651" s="32"/>
      <c r="M651" s="27" t="s">
        <v>811</v>
      </c>
      <c r="N651" s="27" t="s">
        <v>878</v>
      </c>
      <c r="O651" s="27" t="s">
        <v>699</v>
      </c>
      <c r="P651" s="27">
        <v>27663</v>
      </c>
      <c r="Q651" s="27">
        <v>0</v>
      </c>
      <c r="R651" s="27">
        <v>0</v>
      </c>
      <c r="S651" s="27">
        <v>0</v>
      </c>
      <c r="T651" s="27">
        <v>0</v>
      </c>
      <c r="U651" s="27">
        <v>0</v>
      </c>
      <c r="V651" s="27">
        <v>0</v>
      </c>
    </row>
    <row r="652" spans="1:22" x14ac:dyDescent="0.25">
      <c r="A652" s="27" t="s">
        <v>856</v>
      </c>
      <c r="B652" s="27" t="s">
        <v>878</v>
      </c>
      <c r="C652" s="27" t="s">
        <v>700</v>
      </c>
      <c r="D652" s="32">
        <v>39262</v>
      </c>
      <c r="E652" s="32">
        <v>0</v>
      </c>
      <c r="F652" s="32">
        <v>0</v>
      </c>
      <c r="G652" s="32">
        <v>0</v>
      </c>
      <c r="H652" s="32">
        <v>0</v>
      </c>
      <c r="I652" s="32">
        <v>0</v>
      </c>
      <c r="J652" s="32">
        <v>0</v>
      </c>
      <c r="K652" s="32"/>
      <c r="M652" s="27" t="s">
        <v>856</v>
      </c>
      <c r="N652" s="27" t="s">
        <v>878</v>
      </c>
      <c r="O652" s="27" t="s">
        <v>700</v>
      </c>
      <c r="P652" s="27">
        <v>39262</v>
      </c>
      <c r="Q652" s="27">
        <v>0</v>
      </c>
      <c r="R652" s="27">
        <v>0</v>
      </c>
      <c r="S652" s="27">
        <v>0</v>
      </c>
      <c r="T652" s="27">
        <v>0</v>
      </c>
      <c r="U652" s="27">
        <v>0</v>
      </c>
      <c r="V652" s="27">
        <v>0</v>
      </c>
    </row>
    <row r="653" spans="1:22" x14ac:dyDescent="0.25">
      <c r="A653" s="27" t="s">
        <v>796</v>
      </c>
      <c r="B653" s="27" t="s">
        <v>878</v>
      </c>
      <c r="C653" s="27" t="s">
        <v>701</v>
      </c>
      <c r="D653" s="32">
        <v>26686</v>
      </c>
      <c r="E653" s="32">
        <v>0</v>
      </c>
      <c r="F653" s="32">
        <v>0</v>
      </c>
      <c r="G653" s="32">
        <v>0</v>
      </c>
      <c r="H653" s="32">
        <v>0</v>
      </c>
      <c r="I653" s="32">
        <v>0</v>
      </c>
      <c r="J653" s="32">
        <v>0</v>
      </c>
      <c r="K653" s="32"/>
      <c r="M653" s="27" t="s">
        <v>796</v>
      </c>
      <c r="N653" s="27" t="s">
        <v>878</v>
      </c>
      <c r="O653" s="27" t="s">
        <v>701</v>
      </c>
      <c r="P653" s="27">
        <v>26686</v>
      </c>
      <c r="Q653" s="27">
        <v>0</v>
      </c>
      <c r="R653" s="27">
        <v>0</v>
      </c>
      <c r="S653" s="27">
        <v>0</v>
      </c>
      <c r="T653" s="27">
        <v>0</v>
      </c>
      <c r="U653" s="27">
        <v>0</v>
      </c>
      <c r="V653" s="27">
        <v>0</v>
      </c>
    </row>
    <row r="654" spans="1:22" x14ac:dyDescent="0.25">
      <c r="A654" s="27" t="s">
        <v>791</v>
      </c>
      <c r="B654" s="27" t="s">
        <v>878</v>
      </c>
      <c r="C654" s="27" t="s">
        <v>702</v>
      </c>
      <c r="D654" s="32">
        <v>5993</v>
      </c>
      <c r="E654" s="32">
        <v>0</v>
      </c>
      <c r="F654" s="32">
        <v>0</v>
      </c>
      <c r="G654" s="32">
        <v>0</v>
      </c>
      <c r="H654" s="32">
        <v>0</v>
      </c>
      <c r="I654" s="32">
        <v>0</v>
      </c>
      <c r="J654" s="32">
        <v>0</v>
      </c>
      <c r="K654" s="32"/>
      <c r="M654" s="27" t="s">
        <v>791</v>
      </c>
      <c r="N654" s="27" t="s">
        <v>878</v>
      </c>
      <c r="O654" s="27" t="s">
        <v>702</v>
      </c>
      <c r="P654" s="27">
        <v>5993</v>
      </c>
      <c r="Q654" s="27">
        <v>0</v>
      </c>
      <c r="R654" s="27">
        <v>0</v>
      </c>
      <c r="S654" s="27">
        <v>0</v>
      </c>
      <c r="T654" s="27">
        <v>0</v>
      </c>
      <c r="U654" s="27">
        <v>0</v>
      </c>
      <c r="V654" s="27">
        <v>0</v>
      </c>
    </row>
    <row r="655" spans="1:22" x14ac:dyDescent="0.25">
      <c r="A655" s="27" t="s">
        <v>850</v>
      </c>
      <c r="B655" s="27" t="s">
        <v>878</v>
      </c>
      <c r="C655" s="27" t="s">
        <v>703</v>
      </c>
      <c r="D655" s="32">
        <v>4832</v>
      </c>
      <c r="E655" s="32">
        <v>0</v>
      </c>
      <c r="F655" s="32">
        <v>0</v>
      </c>
      <c r="G655" s="32">
        <v>0</v>
      </c>
      <c r="H655" s="32">
        <v>0</v>
      </c>
      <c r="I655" s="32">
        <v>0</v>
      </c>
      <c r="J655" s="32">
        <v>0</v>
      </c>
      <c r="K655" s="32"/>
      <c r="M655" s="27" t="s">
        <v>850</v>
      </c>
      <c r="N655" s="27" t="s">
        <v>878</v>
      </c>
      <c r="O655" s="27" t="s">
        <v>703</v>
      </c>
      <c r="P655" s="27">
        <v>4832</v>
      </c>
      <c r="Q655" s="27">
        <v>0</v>
      </c>
      <c r="R655" s="27">
        <v>0</v>
      </c>
      <c r="S655" s="27">
        <v>0</v>
      </c>
      <c r="T655" s="27">
        <v>0</v>
      </c>
      <c r="U655" s="27">
        <v>0</v>
      </c>
      <c r="V655" s="27">
        <v>0</v>
      </c>
    </row>
    <row r="656" spans="1:22" x14ac:dyDescent="0.25">
      <c r="A656" s="27" t="s">
        <v>146</v>
      </c>
      <c r="B656" s="27" t="s">
        <v>878</v>
      </c>
      <c r="C656" s="27" t="s">
        <v>704</v>
      </c>
      <c r="D656" s="32">
        <v>35079</v>
      </c>
      <c r="E656" s="32">
        <v>0</v>
      </c>
      <c r="F656" s="32">
        <v>0</v>
      </c>
      <c r="G656" s="32">
        <v>0</v>
      </c>
      <c r="H656" s="32">
        <v>0</v>
      </c>
      <c r="I656" s="32">
        <v>0</v>
      </c>
      <c r="J656" s="32">
        <v>0</v>
      </c>
      <c r="K656" s="32"/>
      <c r="M656" s="27" t="s">
        <v>146</v>
      </c>
      <c r="N656" s="27" t="s">
        <v>878</v>
      </c>
      <c r="O656" s="27" t="s">
        <v>704</v>
      </c>
      <c r="P656" s="27">
        <v>35079</v>
      </c>
      <c r="Q656" s="27">
        <v>0</v>
      </c>
      <c r="R656" s="27">
        <v>0</v>
      </c>
      <c r="S656" s="27">
        <v>0</v>
      </c>
      <c r="T656" s="27">
        <v>0</v>
      </c>
      <c r="U656" s="27">
        <v>0</v>
      </c>
      <c r="V656" s="27">
        <v>0</v>
      </c>
    </row>
    <row r="657" spans="1:22" x14ac:dyDescent="0.25">
      <c r="A657" s="27" t="s">
        <v>846</v>
      </c>
      <c r="B657" s="27" t="s">
        <v>878</v>
      </c>
      <c r="C657" s="27" t="s">
        <v>705</v>
      </c>
      <c r="D657" s="32">
        <v>9884</v>
      </c>
      <c r="E657" s="32">
        <v>0</v>
      </c>
      <c r="F657" s="32">
        <v>0</v>
      </c>
      <c r="G657" s="32">
        <v>0</v>
      </c>
      <c r="H657" s="32">
        <v>0</v>
      </c>
      <c r="I657" s="32">
        <v>0</v>
      </c>
      <c r="J657" s="32">
        <v>0</v>
      </c>
      <c r="K657" s="32"/>
      <c r="M657" s="27" t="s">
        <v>846</v>
      </c>
      <c r="N657" s="27" t="s">
        <v>878</v>
      </c>
      <c r="O657" s="27" t="s">
        <v>705</v>
      </c>
      <c r="P657" s="27">
        <v>9884</v>
      </c>
      <c r="Q657" s="27">
        <v>0</v>
      </c>
      <c r="R657" s="27">
        <v>0</v>
      </c>
      <c r="S657" s="27">
        <v>0</v>
      </c>
      <c r="T657" s="27">
        <v>0</v>
      </c>
      <c r="U657" s="27">
        <v>0</v>
      </c>
      <c r="V657" s="27">
        <v>0</v>
      </c>
    </row>
    <row r="658" spans="1:22" x14ac:dyDescent="0.25">
      <c r="A658" s="27" t="s">
        <v>855</v>
      </c>
      <c r="B658" s="27" t="s">
        <v>878</v>
      </c>
      <c r="C658" s="27" t="s">
        <v>706</v>
      </c>
      <c r="D658" s="32">
        <v>10449</v>
      </c>
      <c r="E658" s="32">
        <v>0</v>
      </c>
      <c r="F658" s="32">
        <v>0</v>
      </c>
      <c r="G658" s="32">
        <v>0</v>
      </c>
      <c r="H658" s="32">
        <v>0</v>
      </c>
      <c r="I658" s="32">
        <v>0</v>
      </c>
      <c r="J658" s="32">
        <v>0</v>
      </c>
      <c r="K658" s="32"/>
      <c r="M658" s="27" t="s">
        <v>855</v>
      </c>
      <c r="N658" s="27" t="s">
        <v>878</v>
      </c>
      <c r="O658" s="27" t="s">
        <v>706</v>
      </c>
      <c r="P658" s="27">
        <v>10449</v>
      </c>
      <c r="Q658" s="27">
        <v>0</v>
      </c>
      <c r="R658" s="27">
        <v>0</v>
      </c>
      <c r="S658" s="27">
        <v>0</v>
      </c>
      <c r="T658" s="27">
        <v>0</v>
      </c>
      <c r="U658" s="27">
        <v>0</v>
      </c>
      <c r="V658" s="27">
        <v>0</v>
      </c>
    </row>
    <row r="659" spans="1:22" x14ac:dyDescent="0.25">
      <c r="A659" s="27" t="s">
        <v>794</v>
      </c>
      <c r="B659" s="27" t="s">
        <v>878</v>
      </c>
      <c r="C659" s="27" t="s">
        <v>707</v>
      </c>
      <c r="D659" s="32">
        <v>17979</v>
      </c>
      <c r="E659" s="32">
        <v>0</v>
      </c>
      <c r="F659" s="32">
        <v>0</v>
      </c>
      <c r="G659" s="32">
        <v>0</v>
      </c>
      <c r="H659" s="32">
        <v>0</v>
      </c>
      <c r="I659" s="32">
        <v>0</v>
      </c>
      <c r="J659" s="32">
        <v>0</v>
      </c>
      <c r="K659" s="32"/>
      <c r="M659" s="27" t="s">
        <v>794</v>
      </c>
      <c r="N659" s="27" t="s">
        <v>878</v>
      </c>
      <c r="O659" s="27" t="s">
        <v>707</v>
      </c>
      <c r="P659" s="27">
        <v>17979</v>
      </c>
      <c r="Q659" s="27">
        <v>0</v>
      </c>
      <c r="R659" s="27">
        <v>0</v>
      </c>
      <c r="S659" s="27">
        <v>0</v>
      </c>
      <c r="T659" s="27">
        <v>0</v>
      </c>
      <c r="U659" s="27">
        <v>0</v>
      </c>
      <c r="V659" s="27">
        <v>0</v>
      </c>
    </row>
    <row r="660" spans="1:22" x14ac:dyDescent="0.25">
      <c r="A660" s="27" t="s">
        <v>803</v>
      </c>
      <c r="B660" s="27" t="s">
        <v>878</v>
      </c>
      <c r="C660" s="27" t="s">
        <v>708</v>
      </c>
      <c r="D660" s="32"/>
      <c r="E660" s="32"/>
      <c r="F660" s="32"/>
      <c r="G660" s="32"/>
      <c r="H660" s="32"/>
      <c r="I660" s="32"/>
      <c r="J660" s="32"/>
      <c r="K660" s="32"/>
      <c r="M660" s="27" t="s">
        <v>803</v>
      </c>
      <c r="N660" s="27" t="s">
        <v>878</v>
      </c>
      <c r="O660" s="27" t="s">
        <v>708</v>
      </c>
    </row>
    <row r="661" spans="1:22" x14ac:dyDescent="0.25">
      <c r="A661" s="27" t="s">
        <v>834</v>
      </c>
      <c r="B661" s="27" t="s">
        <v>878</v>
      </c>
      <c r="C661" s="27" t="s">
        <v>709</v>
      </c>
      <c r="D661" s="32">
        <v>13427</v>
      </c>
      <c r="E661" s="32">
        <v>0</v>
      </c>
      <c r="F661" s="32">
        <v>0</v>
      </c>
      <c r="G661" s="32">
        <v>0</v>
      </c>
      <c r="H661" s="32">
        <v>0</v>
      </c>
      <c r="I661" s="32">
        <v>0</v>
      </c>
      <c r="J661" s="32">
        <v>0</v>
      </c>
      <c r="K661" s="32"/>
      <c r="M661" s="27" t="s">
        <v>834</v>
      </c>
      <c r="N661" s="27" t="s">
        <v>878</v>
      </c>
      <c r="O661" s="27" t="s">
        <v>709</v>
      </c>
      <c r="P661" s="27">
        <v>13427</v>
      </c>
      <c r="Q661" s="27">
        <v>0</v>
      </c>
      <c r="R661" s="27">
        <v>0</v>
      </c>
      <c r="S661" s="27">
        <v>0</v>
      </c>
      <c r="T661" s="27">
        <v>0</v>
      </c>
      <c r="U661" s="27">
        <v>0</v>
      </c>
      <c r="V661" s="27">
        <v>0</v>
      </c>
    </row>
    <row r="662" spans="1:22" x14ac:dyDescent="0.25">
      <c r="A662" s="27" t="s">
        <v>852</v>
      </c>
      <c r="B662" s="27" t="s">
        <v>878</v>
      </c>
      <c r="C662" s="27" t="s">
        <v>710</v>
      </c>
      <c r="D662" s="32">
        <v>13098</v>
      </c>
      <c r="E662" s="32">
        <v>0</v>
      </c>
      <c r="F662" s="32">
        <v>0</v>
      </c>
      <c r="G662" s="32">
        <v>0</v>
      </c>
      <c r="H662" s="32">
        <v>0</v>
      </c>
      <c r="I662" s="32">
        <v>0</v>
      </c>
      <c r="J662" s="32">
        <v>0</v>
      </c>
      <c r="K662" s="32"/>
      <c r="M662" s="27" t="s">
        <v>852</v>
      </c>
      <c r="N662" s="27" t="s">
        <v>878</v>
      </c>
      <c r="O662" s="27" t="s">
        <v>710</v>
      </c>
      <c r="P662" s="27">
        <v>13098</v>
      </c>
      <c r="Q662" s="27">
        <v>0</v>
      </c>
      <c r="R662" s="27">
        <v>0</v>
      </c>
      <c r="S662" s="27">
        <v>0</v>
      </c>
      <c r="T662" s="27">
        <v>0</v>
      </c>
      <c r="U662" s="27">
        <v>0</v>
      </c>
      <c r="V662" s="27">
        <v>0</v>
      </c>
    </row>
    <row r="663" spans="1:22" x14ac:dyDescent="0.25">
      <c r="A663" s="27" t="s">
        <v>824</v>
      </c>
      <c r="B663" s="27" t="s">
        <v>878</v>
      </c>
      <c r="C663" s="27" t="s">
        <v>711</v>
      </c>
      <c r="D663" s="32">
        <v>21486</v>
      </c>
      <c r="E663" s="32">
        <v>0</v>
      </c>
      <c r="F663" s="32">
        <v>0</v>
      </c>
      <c r="G663" s="32">
        <v>0</v>
      </c>
      <c r="H663" s="32">
        <v>0</v>
      </c>
      <c r="I663" s="32">
        <v>0</v>
      </c>
      <c r="J663" s="32">
        <v>0</v>
      </c>
      <c r="K663" s="32"/>
      <c r="M663" s="27" t="s">
        <v>824</v>
      </c>
      <c r="N663" s="27" t="s">
        <v>878</v>
      </c>
      <c r="O663" s="27" t="s">
        <v>711</v>
      </c>
      <c r="P663" s="27">
        <v>21486</v>
      </c>
      <c r="Q663" s="27">
        <v>0</v>
      </c>
      <c r="R663" s="27">
        <v>0</v>
      </c>
      <c r="S663" s="27">
        <v>0</v>
      </c>
      <c r="T663" s="27">
        <v>0</v>
      </c>
      <c r="U663" s="27">
        <v>0</v>
      </c>
      <c r="V663" s="27">
        <v>0</v>
      </c>
    </row>
    <row r="664" spans="1:22" x14ac:dyDescent="0.25">
      <c r="A664" s="27" t="s">
        <v>817</v>
      </c>
      <c r="B664" s="27" t="s">
        <v>878</v>
      </c>
      <c r="C664" s="27" t="s">
        <v>712</v>
      </c>
      <c r="D664" s="32"/>
      <c r="E664" s="32"/>
      <c r="F664" s="32"/>
      <c r="G664" s="32"/>
      <c r="H664" s="32"/>
      <c r="I664" s="32"/>
      <c r="J664" s="32"/>
      <c r="K664" s="32"/>
      <c r="M664" s="27" t="s">
        <v>817</v>
      </c>
      <c r="N664" s="27" t="s">
        <v>878</v>
      </c>
      <c r="O664" s="27" t="s">
        <v>712</v>
      </c>
    </row>
    <row r="665" spans="1:22" x14ac:dyDescent="0.25">
      <c r="A665" s="27" t="s">
        <v>857</v>
      </c>
      <c r="B665" s="27" t="s">
        <v>878</v>
      </c>
      <c r="C665" s="27" t="s">
        <v>713</v>
      </c>
      <c r="D665" s="32">
        <v>10795</v>
      </c>
      <c r="E665" s="32">
        <v>0</v>
      </c>
      <c r="F665" s="32">
        <v>0</v>
      </c>
      <c r="G665" s="32">
        <v>0</v>
      </c>
      <c r="H665" s="32">
        <v>0</v>
      </c>
      <c r="I665" s="32">
        <v>0</v>
      </c>
      <c r="J665" s="32">
        <v>0</v>
      </c>
      <c r="K665" s="32"/>
      <c r="M665" s="27" t="s">
        <v>857</v>
      </c>
      <c r="N665" s="27" t="s">
        <v>878</v>
      </c>
      <c r="O665" s="27" t="s">
        <v>713</v>
      </c>
      <c r="P665" s="27">
        <v>10795</v>
      </c>
      <c r="Q665" s="27">
        <v>0</v>
      </c>
      <c r="R665" s="27">
        <v>0</v>
      </c>
      <c r="S665" s="27">
        <v>0</v>
      </c>
      <c r="T665" s="27">
        <v>0</v>
      </c>
      <c r="U665" s="27">
        <v>0</v>
      </c>
      <c r="V665" s="27">
        <v>0</v>
      </c>
    </row>
    <row r="666" spans="1:22" x14ac:dyDescent="0.25">
      <c r="A666" s="27" t="s">
        <v>146</v>
      </c>
      <c r="B666" s="27" t="s">
        <v>878</v>
      </c>
      <c r="C666" s="27" t="s">
        <v>714</v>
      </c>
      <c r="D666" s="32">
        <v>52200</v>
      </c>
      <c r="E666" s="32">
        <v>0</v>
      </c>
      <c r="F666" s="32">
        <v>0</v>
      </c>
      <c r="G666" s="32">
        <v>0</v>
      </c>
      <c r="H666" s="32">
        <v>0</v>
      </c>
      <c r="I666" s="32">
        <v>0</v>
      </c>
      <c r="J666" s="32">
        <v>0</v>
      </c>
      <c r="K666" s="32"/>
      <c r="M666" s="27" t="s">
        <v>146</v>
      </c>
      <c r="N666" s="27" t="s">
        <v>878</v>
      </c>
      <c r="O666" s="27" t="s">
        <v>714</v>
      </c>
      <c r="P666" s="27">
        <v>52200</v>
      </c>
      <c r="Q666" s="27">
        <v>0</v>
      </c>
      <c r="R666" s="27">
        <v>0</v>
      </c>
      <c r="S666" s="27">
        <v>0</v>
      </c>
      <c r="T666" s="27">
        <v>0</v>
      </c>
      <c r="U666" s="27">
        <v>0</v>
      </c>
      <c r="V666" s="27">
        <v>0</v>
      </c>
    </row>
    <row r="667" spans="1:22" x14ac:dyDescent="0.25">
      <c r="A667" s="27" t="s">
        <v>120</v>
      </c>
      <c r="B667" s="27" t="s">
        <v>878</v>
      </c>
      <c r="C667" s="27" t="s">
        <v>715</v>
      </c>
      <c r="D667" s="32">
        <v>15748</v>
      </c>
      <c r="E667" s="32">
        <v>0</v>
      </c>
      <c r="F667" s="32">
        <v>0</v>
      </c>
      <c r="G667" s="32">
        <v>0</v>
      </c>
      <c r="H667" s="32">
        <v>0</v>
      </c>
      <c r="I667" s="32">
        <v>0</v>
      </c>
      <c r="J667" s="32">
        <v>0</v>
      </c>
      <c r="K667" s="32"/>
      <c r="M667" s="27" t="s">
        <v>120</v>
      </c>
      <c r="N667" s="27" t="s">
        <v>878</v>
      </c>
      <c r="O667" s="27" t="s">
        <v>715</v>
      </c>
      <c r="P667" s="27">
        <v>15748</v>
      </c>
      <c r="Q667" s="27">
        <v>0</v>
      </c>
      <c r="R667" s="27">
        <v>0</v>
      </c>
      <c r="S667" s="27">
        <v>0</v>
      </c>
      <c r="T667" s="27">
        <v>0</v>
      </c>
      <c r="U667" s="27">
        <v>0</v>
      </c>
      <c r="V667" s="27">
        <v>0</v>
      </c>
    </row>
    <row r="668" spans="1:22" x14ac:dyDescent="0.25">
      <c r="A668" s="27" t="s">
        <v>146</v>
      </c>
      <c r="B668" s="27" t="s">
        <v>878</v>
      </c>
      <c r="C668" s="27" t="s">
        <v>716</v>
      </c>
      <c r="D668" s="32">
        <v>11859</v>
      </c>
      <c r="E668" s="32">
        <v>0</v>
      </c>
      <c r="F668" s="32">
        <v>0</v>
      </c>
      <c r="G668" s="32">
        <v>0</v>
      </c>
      <c r="H668" s="32">
        <v>0</v>
      </c>
      <c r="I668" s="32">
        <v>0</v>
      </c>
      <c r="J668" s="32">
        <v>0</v>
      </c>
      <c r="K668" s="32"/>
      <c r="M668" s="27" t="s">
        <v>146</v>
      </c>
      <c r="N668" s="27" t="s">
        <v>878</v>
      </c>
      <c r="O668" s="27" t="s">
        <v>716</v>
      </c>
      <c r="P668" s="27">
        <v>11859</v>
      </c>
      <c r="Q668" s="27">
        <v>0</v>
      </c>
      <c r="R668" s="27">
        <v>0</v>
      </c>
      <c r="S668" s="27">
        <v>0</v>
      </c>
      <c r="T668" s="27">
        <v>0</v>
      </c>
      <c r="U668" s="27">
        <v>0</v>
      </c>
      <c r="V668" s="27">
        <v>0</v>
      </c>
    </row>
    <row r="669" spans="1:22" x14ac:dyDescent="0.25">
      <c r="A669" s="27" t="s">
        <v>811</v>
      </c>
      <c r="B669" s="27" t="s">
        <v>878</v>
      </c>
      <c r="C669" s="27" t="s">
        <v>717</v>
      </c>
      <c r="D669" s="32">
        <v>14542</v>
      </c>
      <c r="E669" s="32">
        <v>0</v>
      </c>
      <c r="F669" s="32">
        <v>0</v>
      </c>
      <c r="G669" s="32">
        <v>0</v>
      </c>
      <c r="H669" s="32">
        <v>0</v>
      </c>
      <c r="I669" s="32">
        <v>0</v>
      </c>
      <c r="J669" s="32">
        <v>0</v>
      </c>
      <c r="K669" s="32"/>
      <c r="M669" s="27" t="s">
        <v>811</v>
      </c>
      <c r="N669" s="27" t="s">
        <v>878</v>
      </c>
      <c r="O669" s="27" t="s">
        <v>717</v>
      </c>
      <c r="P669" s="27">
        <v>14542</v>
      </c>
      <c r="Q669" s="27">
        <v>0</v>
      </c>
      <c r="R669" s="27">
        <v>0</v>
      </c>
      <c r="S669" s="27">
        <v>0</v>
      </c>
      <c r="T669" s="27">
        <v>0</v>
      </c>
      <c r="U669" s="27">
        <v>0</v>
      </c>
      <c r="V669" s="27">
        <v>0</v>
      </c>
    </row>
    <row r="670" spans="1:22" x14ac:dyDescent="0.25">
      <c r="A670" s="27" t="s">
        <v>146</v>
      </c>
      <c r="B670" s="27" t="s">
        <v>878</v>
      </c>
      <c r="C670" s="27" t="s">
        <v>718</v>
      </c>
      <c r="D670" s="32">
        <v>33805</v>
      </c>
      <c r="E670" s="32">
        <v>0</v>
      </c>
      <c r="F670" s="32">
        <v>0</v>
      </c>
      <c r="G670" s="32">
        <v>0</v>
      </c>
      <c r="H670" s="32">
        <v>0</v>
      </c>
      <c r="I670" s="32">
        <v>0</v>
      </c>
      <c r="J670" s="32">
        <v>0</v>
      </c>
      <c r="K670" s="32"/>
      <c r="M670" s="27" t="s">
        <v>146</v>
      </c>
      <c r="N670" s="27" t="s">
        <v>878</v>
      </c>
      <c r="O670" s="27" t="s">
        <v>718</v>
      </c>
      <c r="P670" s="27">
        <v>33805</v>
      </c>
      <c r="Q670" s="27">
        <v>0</v>
      </c>
      <c r="R670" s="27">
        <v>0</v>
      </c>
      <c r="S670" s="27">
        <v>0</v>
      </c>
      <c r="T670" s="27">
        <v>0</v>
      </c>
      <c r="U670" s="27">
        <v>0</v>
      </c>
      <c r="V670" s="27">
        <v>0</v>
      </c>
    </row>
    <row r="671" spans="1:22" x14ac:dyDescent="0.25">
      <c r="A671" s="27" t="s">
        <v>816</v>
      </c>
      <c r="B671" s="27" t="s">
        <v>878</v>
      </c>
      <c r="C671" s="27" t="s">
        <v>719</v>
      </c>
      <c r="D671" s="32">
        <v>18628</v>
      </c>
      <c r="E671" s="32">
        <v>0</v>
      </c>
      <c r="F671" s="32">
        <v>0</v>
      </c>
      <c r="G671" s="32">
        <v>0</v>
      </c>
      <c r="H671" s="32">
        <v>0</v>
      </c>
      <c r="I671" s="32">
        <v>0</v>
      </c>
      <c r="J671" s="32">
        <v>0</v>
      </c>
      <c r="K671" s="32"/>
      <c r="M671" s="27" t="s">
        <v>816</v>
      </c>
      <c r="N671" s="27" t="s">
        <v>878</v>
      </c>
      <c r="O671" s="27" t="s">
        <v>719</v>
      </c>
      <c r="P671" s="27">
        <v>18628</v>
      </c>
      <c r="Q671" s="27">
        <v>0</v>
      </c>
      <c r="R671" s="27">
        <v>0</v>
      </c>
      <c r="S671" s="27">
        <v>0</v>
      </c>
      <c r="T671" s="27">
        <v>0</v>
      </c>
      <c r="U671" s="27">
        <v>0</v>
      </c>
      <c r="V671" s="27">
        <v>0</v>
      </c>
    </row>
    <row r="672" spans="1:22" x14ac:dyDescent="0.25">
      <c r="A672" s="27" t="s">
        <v>817</v>
      </c>
      <c r="B672" s="27" t="s">
        <v>878</v>
      </c>
      <c r="C672" s="27" t="s">
        <v>720</v>
      </c>
      <c r="D672" s="32">
        <v>60759</v>
      </c>
      <c r="E672" s="32">
        <v>0</v>
      </c>
      <c r="F672" s="32">
        <v>0</v>
      </c>
      <c r="G672" s="32">
        <v>0</v>
      </c>
      <c r="H672" s="32">
        <v>0</v>
      </c>
      <c r="I672" s="32">
        <v>0</v>
      </c>
      <c r="J672" s="32">
        <v>0</v>
      </c>
      <c r="K672" s="32"/>
      <c r="M672" s="27" t="s">
        <v>817</v>
      </c>
      <c r="N672" s="27" t="s">
        <v>878</v>
      </c>
      <c r="O672" s="27" t="s">
        <v>720</v>
      </c>
      <c r="P672" s="27">
        <v>60759</v>
      </c>
      <c r="Q672" s="27">
        <v>0</v>
      </c>
      <c r="R672" s="27">
        <v>0</v>
      </c>
      <c r="S672" s="27">
        <v>0</v>
      </c>
      <c r="T672" s="27">
        <v>0</v>
      </c>
      <c r="U672" s="27">
        <v>0</v>
      </c>
      <c r="V672" s="27">
        <v>0</v>
      </c>
    </row>
    <row r="673" spans="1:22" x14ac:dyDescent="0.25">
      <c r="A673" s="27" t="s">
        <v>864</v>
      </c>
      <c r="B673" s="27" t="s">
        <v>878</v>
      </c>
      <c r="C673" s="27" t="s">
        <v>721</v>
      </c>
      <c r="D673" s="32">
        <v>77215</v>
      </c>
      <c r="E673" s="32">
        <v>0</v>
      </c>
      <c r="F673" s="32">
        <v>0</v>
      </c>
      <c r="G673" s="32">
        <v>0</v>
      </c>
      <c r="H673" s="32">
        <v>0</v>
      </c>
      <c r="I673" s="32">
        <v>0</v>
      </c>
      <c r="J673" s="32">
        <v>0</v>
      </c>
      <c r="K673" s="32"/>
      <c r="M673" s="27" t="s">
        <v>864</v>
      </c>
      <c r="N673" s="27" t="s">
        <v>882</v>
      </c>
      <c r="O673" s="27" t="s">
        <v>721</v>
      </c>
      <c r="P673" s="27">
        <v>77215</v>
      </c>
      <c r="Q673" s="27">
        <v>0</v>
      </c>
      <c r="R673" s="27">
        <v>0</v>
      </c>
      <c r="S673" s="27">
        <v>0</v>
      </c>
      <c r="T673" s="27">
        <v>0</v>
      </c>
      <c r="U673" s="27">
        <v>0</v>
      </c>
      <c r="V673" s="27">
        <v>0</v>
      </c>
    </row>
    <row r="674" spans="1:22" x14ac:dyDescent="0.25">
      <c r="A674" s="27" t="s">
        <v>146</v>
      </c>
      <c r="B674" s="27" t="s">
        <v>878</v>
      </c>
      <c r="C674" s="27" t="s">
        <v>722</v>
      </c>
      <c r="D674" s="32">
        <v>17953</v>
      </c>
      <c r="E674" s="32">
        <v>0</v>
      </c>
      <c r="F674" s="32">
        <v>0</v>
      </c>
      <c r="G674" s="32">
        <v>0</v>
      </c>
      <c r="H674" s="32">
        <v>0</v>
      </c>
      <c r="I674" s="32">
        <v>0</v>
      </c>
      <c r="J674" s="32">
        <v>0</v>
      </c>
      <c r="K674" s="32"/>
      <c r="M674" s="27" t="s">
        <v>146</v>
      </c>
      <c r="N674" s="27" t="s">
        <v>878</v>
      </c>
      <c r="O674" s="27" t="s">
        <v>722</v>
      </c>
      <c r="P674" s="27">
        <v>17953</v>
      </c>
      <c r="Q674" s="27">
        <v>0</v>
      </c>
      <c r="R674" s="27">
        <v>0</v>
      </c>
      <c r="S674" s="27">
        <v>0</v>
      </c>
      <c r="T674" s="27">
        <v>0</v>
      </c>
      <c r="U674" s="27">
        <v>0</v>
      </c>
      <c r="V674" s="27">
        <v>0</v>
      </c>
    </row>
    <row r="675" spans="1:22" x14ac:dyDescent="0.25">
      <c r="A675" s="27" t="s">
        <v>858</v>
      </c>
      <c r="B675" s="27" t="s">
        <v>878</v>
      </c>
      <c r="C675" s="27" t="s">
        <v>723</v>
      </c>
      <c r="D675" s="32">
        <v>16419</v>
      </c>
      <c r="E675" s="32">
        <v>0</v>
      </c>
      <c r="F675" s="32">
        <v>0</v>
      </c>
      <c r="G675" s="32">
        <v>0</v>
      </c>
      <c r="H675" s="32">
        <v>0</v>
      </c>
      <c r="I675" s="32">
        <v>0</v>
      </c>
      <c r="J675" s="32">
        <v>0</v>
      </c>
      <c r="K675" s="32"/>
      <c r="M675" s="27" t="s">
        <v>858</v>
      </c>
      <c r="N675" s="27" t="s">
        <v>878</v>
      </c>
      <c r="O675" s="27" t="s">
        <v>723</v>
      </c>
      <c r="P675" s="27">
        <v>16419</v>
      </c>
      <c r="Q675" s="27">
        <v>0</v>
      </c>
      <c r="R675" s="27">
        <v>0</v>
      </c>
      <c r="S675" s="27">
        <v>0</v>
      </c>
      <c r="T675" s="27">
        <v>0</v>
      </c>
      <c r="U675" s="27">
        <v>0</v>
      </c>
      <c r="V675" s="27">
        <v>0</v>
      </c>
    </row>
    <row r="676" spans="1:22" x14ac:dyDescent="0.25">
      <c r="A676" s="27" t="s">
        <v>859</v>
      </c>
      <c r="B676" s="27" t="s">
        <v>878</v>
      </c>
      <c r="C676" s="27" t="s">
        <v>724</v>
      </c>
      <c r="D676" s="32">
        <v>114806</v>
      </c>
      <c r="E676" s="32">
        <v>0</v>
      </c>
      <c r="F676" s="32">
        <v>0</v>
      </c>
      <c r="G676" s="32">
        <v>0</v>
      </c>
      <c r="H676" s="32">
        <v>0</v>
      </c>
      <c r="I676" s="32">
        <v>0</v>
      </c>
      <c r="J676" s="32">
        <v>0</v>
      </c>
      <c r="K676" s="32"/>
      <c r="M676" s="27" t="s">
        <v>859</v>
      </c>
      <c r="N676" s="27" t="s">
        <v>878</v>
      </c>
      <c r="O676" s="27" t="s">
        <v>724</v>
      </c>
      <c r="P676" s="27">
        <v>114806</v>
      </c>
      <c r="Q676" s="27">
        <v>0</v>
      </c>
      <c r="R676" s="27">
        <v>0</v>
      </c>
      <c r="S676" s="27">
        <v>0</v>
      </c>
      <c r="T676" s="27">
        <v>0</v>
      </c>
      <c r="U676" s="27">
        <v>0</v>
      </c>
      <c r="V676" s="27">
        <v>0</v>
      </c>
    </row>
    <row r="677" spans="1:22" x14ac:dyDescent="0.25">
      <c r="A677" s="27" t="s">
        <v>794</v>
      </c>
      <c r="B677" s="27" t="s">
        <v>878</v>
      </c>
      <c r="C677" s="27" t="s">
        <v>725</v>
      </c>
      <c r="D677" s="32">
        <v>67203</v>
      </c>
      <c r="E677" s="32">
        <v>0</v>
      </c>
      <c r="F677" s="32">
        <v>0</v>
      </c>
      <c r="G677" s="32">
        <v>0</v>
      </c>
      <c r="H677" s="32">
        <v>0</v>
      </c>
      <c r="I677" s="32">
        <v>0</v>
      </c>
      <c r="J677" s="32">
        <v>0</v>
      </c>
      <c r="K677" s="32"/>
      <c r="M677" s="27" t="s">
        <v>794</v>
      </c>
      <c r="N677" s="27" t="s">
        <v>878</v>
      </c>
      <c r="O677" s="27" t="s">
        <v>725</v>
      </c>
      <c r="P677" s="27">
        <v>67203</v>
      </c>
      <c r="Q677" s="27">
        <v>0</v>
      </c>
      <c r="R677" s="27">
        <v>0</v>
      </c>
      <c r="S677" s="27">
        <v>0</v>
      </c>
      <c r="T677" s="27">
        <v>0</v>
      </c>
      <c r="U677" s="27">
        <v>0</v>
      </c>
      <c r="V677" s="27">
        <v>0</v>
      </c>
    </row>
    <row r="678" spans="1:22" x14ac:dyDescent="0.25">
      <c r="A678" s="27" t="s">
        <v>864</v>
      </c>
      <c r="B678" s="27" t="s">
        <v>878</v>
      </c>
      <c r="C678" s="27" t="s">
        <v>726</v>
      </c>
      <c r="D678" s="32">
        <v>67290</v>
      </c>
      <c r="E678" s="32">
        <v>0</v>
      </c>
      <c r="F678" s="32">
        <v>0</v>
      </c>
      <c r="G678" s="32">
        <v>0</v>
      </c>
      <c r="H678" s="32">
        <v>0</v>
      </c>
      <c r="I678" s="32">
        <v>0</v>
      </c>
      <c r="J678" s="32">
        <v>0</v>
      </c>
      <c r="K678" s="32"/>
      <c r="M678" s="27" t="s">
        <v>864</v>
      </c>
      <c r="N678" s="27" t="s">
        <v>878</v>
      </c>
      <c r="O678" s="27" t="s">
        <v>726</v>
      </c>
      <c r="P678" s="27">
        <v>67290</v>
      </c>
      <c r="Q678" s="27">
        <v>0</v>
      </c>
      <c r="R678" s="27">
        <v>0</v>
      </c>
      <c r="S678" s="27">
        <v>0</v>
      </c>
      <c r="T678" s="27">
        <v>0</v>
      </c>
      <c r="U678" s="27">
        <v>0</v>
      </c>
      <c r="V678" s="27">
        <v>0</v>
      </c>
    </row>
    <row r="679" spans="1:22" x14ac:dyDescent="0.25">
      <c r="A679" s="27" t="s">
        <v>824</v>
      </c>
      <c r="B679" s="27" t="s">
        <v>878</v>
      </c>
      <c r="C679" s="27" t="s">
        <v>727</v>
      </c>
      <c r="D679" s="32">
        <v>19301</v>
      </c>
      <c r="E679" s="32">
        <v>0</v>
      </c>
      <c r="F679" s="32">
        <v>0</v>
      </c>
      <c r="G679" s="32">
        <v>0</v>
      </c>
      <c r="H679" s="32">
        <v>0</v>
      </c>
      <c r="I679" s="32">
        <v>0</v>
      </c>
      <c r="J679" s="32">
        <v>0</v>
      </c>
      <c r="K679" s="32"/>
      <c r="M679" s="27" t="s">
        <v>824</v>
      </c>
      <c r="N679" s="27" t="s">
        <v>878</v>
      </c>
      <c r="O679" s="27" t="s">
        <v>727</v>
      </c>
      <c r="P679" s="27">
        <v>19301</v>
      </c>
      <c r="Q679" s="27">
        <v>0</v>
      </c>
      <c r="R679" s="27">
        <v>0</v>
      </c>
      <c r="S679" s="27">
        <v>0</v>
      </c>
      <c r="T679" s="27">
        <v>0</v>
      </c>
      <c r="U679" s="27">
        <v>0</v>
      </c>
      <c r="V679" s="27">
        <v>0</v>
      </c>
    </row>
    <row r="680" spans="1:22" x14ac:dyDescent="0.25">
      <c r="A680" s="27" t="s">
        <v>134</v>
      </c>
      <c r="B680" s="27" t="s">
        <v>878</v>
      </c>
      <c r="C680" s="27" t="s">
        <v>728</v>
      </c>
      <c r="D680" s="32">
        <v>5562</v>
      </c>
      <c r="E680" s="32">
        <v>0</v>
      </c>
      <c r="F680" s="32">
        <v>0</v>
      </c>
      <c r="G680" s="32">
        <v>0</v>
      </c>
      <c r="H680" s="32">
        <v>0</v>
      </c>
      <c r="I680" s="32">
        <v>0</v>
      </c>
      <c r="J680" s="32">
        <v>0</v>
      </c>
      <c r="K680" s="32"/>
      <c r="M680" s="27" t="s">
        <v>134</v>
      </c>
      <c r="N680" s="27" t="s">
        <v>878</v>
      </c>
      <c r="O680" s="27" t="s">
        <v>728</v>
      </c>
      <c r="P680" s="27">
        <v>5562</v>
      </c>
      <c r="Q680" s="27">
        <v>0</v>
      </c>
      <c r="R680" s="27">
        <v>0</v>
      </c>
      <c r="S680" s="27">
        <v>0</v>
      </c>
      <c r="T680" s="27">
        <v>0</v>
      </c>
      <c r="U680" s="27">
        <v>0</v>
      </c>
      <c r="V680" s="27">
        <v>0</v>
      </c>
    </row>
    <row r="681" spans="1:22" x14ac:dyDescent="0.25">
      <c r="A681" s="27" t="s">
        <v>890</v>
      </c>
      <c r="B681" s="27" t="s">
        <v>878</v>
      </c>
      <c r="C681" s="27" t="s">
        <v>729</v>
      </c>
      <c r="D681" s="32">
        <v>48057</v>
      </c>
      <c r="E681" s="32">
        <v>0</v>
      </c>
      <c r="F681" s="32">
        <v>0</v>
      </c>
      <c r="G681" s="32">
        <v>0</v>
      </c>
      <c r="H681" s="32">
        <v>0</v>
      </c>
      <c r="I681" s="32">
        <v>0</v>
      </c>
      <c r="J681" s="32">
        <v>0</v>
      </c>
      <c r="K681" s="32"/>
      <c r="M681" s="27" t="s">
        <v>890</v>
      </c>
      <c r="N681" s="27" t="s">
        <v>878</v>
      </c>
      <c r="O681" s="27" t="s">
        <v>729</v>
      </c>
      <c r="P681" s="27">
        <v>48057</v>
      </c>
      <c r="Q681" s="27">
        <v>0</v>
      </c>
      <c r="R681" s="27">
        <v>0</v>
      </c>
      <c r="S681" s="27">
        <v>0</v>
      </c>
      <c r="T681" s="27">
        <v>0</v>
      </c>
      <c r="U681" s="27">
        <v>0</v>
      </c>
      <c r="V681" s="27">
        <v>0</v>
      </c>
    </row>
    <row r="682" spans="1:22" x14ac:dyDescent="0.25">
      <c r="A682" s="27" t="s">
        <v>788</v>
      </c>
      <c r="B682" s="27" t="s">
        <v>878</v>
      </c>
      <c r="C682" s="27" t="s">
        <v>730</v>
      </c>
      <c r="D682" s="32">
        <v>3553</v>
      </c>
      <c r="E682" s="32">
        <v>0</v>
      </c>
      <c r="F682" s="32">
        <v>0</v>
      </c>
      <c r="G682" s="32">
        <v>0</v>
      </c>
      <c r="H682" s="32">
        <v>0</v>
      </c>
      <c r="I682" s="32">
        <v>0</v>
      </c>
      <c r="J682" s="32">
        <v>0</v>
      </c>
      <c r="K682" s="32"/>
      <c r="M682" s="27" t="s">
        <v>788</v>
      </c>
      <c r="N682" s="27" t="s">
        <v>878</v>
      </c>
      <c r="O682" s="27" t="s">
        <v>730</v>
      </c>
      <c r="P682" s="27">
        <v>3553</v>
      </c>
      <c r="Q682" s="27">
        <v>0</v>
      </c>
      <c r="R682" s="27">
        <v>0</v>
      </c>
      <c r="S682" s="27">
        <v>0</v>
      </c>
      <c r="T682" s="27">
        <v>0</v>
      </c>
      <c r="U682" s="27">
        <v>0</v>
      </c>
      <c r="V682" s="27">
        <v>0</v>
      </c>
    </row>
    <row r="683" spans="1:22" x14ac:dyDescent="0.25">
      <c r="A683" s="27" t="s">
        <v>831</v>
      </c>
      <c r="B683" s="27" t="s">
        <v>878</v>
      </c>
      <c r="C683" s="27" t="s">
        <v>731</v>
      </c>
      <c r="D683" s="32">
        <v>4024</v>
      </c>
      <c r="E683" s="32">
        <v>0</v>
      </c>
      <c r="F683" s="32">
        <v>0</v>
      </c>
      <c r="G683" s="32">
        <v>0</v>
      </c>
      <c r="H683" s="32">
        <v>0</v>
      </c>
      <c r="I683" s="32">
        <v>0</v>
      </c>
      <c r="J683" s="32">
        <v>0</v>
      </c>
      <c r="K683" s="32"/>
      <c r="M683" s="27" t="s">
        <v>831</v>
      </c>
      <c r="N683" s="27" t="s">
        <v>878</v>
      </c>
      <c r="O683" s="27" t="s">
        <v>731</v>
      </c>
      <c r="P683" s="27">
        <v>4024</v>
      </c>
      <c r="Q683" s="27">
        <v>0</v>
      </c>
      <c r="R683" s="27">
        <v>0</v>
      </c>
      <c r="S683" s="27">
        <v>0</v>
      </c>
      <c r="T683" s="27">
        <v>0</v>
      </c>
      <c r="U683" s="27">
        <v>0</v>
      </c>
      <c r="V683" s="27">
        <v>0</v>
      </c>
    </row>
    <row r="684" spans="1:22" x14ac:dyDescent="0.25">
      <c r="A684" s="27" t="s">
        <v>76</v>
      </c>
      <c r="B684" s="27" t="s">
        <v>878</v>
      </c>
      <c r="C684" s="27" t="s">
        <v>732</v>
      </c>
      <c r="D684" s="32">
        <v>22419</v>
      </c>
      <c r="E684" s="32">
        <v>0</v>
      </c>
      <c r="F684" s="32">
        <v>0</v>
      </c>
      <c r="G684" s="32">
        <v>0</v>
      </c>
      <c r="H684" s="32">
        <v>0</v>
      </c>
      <c r="I684" s="32">
        <v>0</v>
      </c>
      <c r="J684" s="32">
        <v>0</v>
      </c>
      <c r="K684" s="32"/>
      <c r="M684" s="27" t="s">
        <v>76</v>
      </c>
      <c r="N684" s="27" t="s">
        <v>878</v>
      </c>
      <c r="O684" s="27" t="s">
        <v>732</v>
      </c>
      <c r="P684" s="27">
        <v>22419</v>
      </c>
      <c r="Q684" s="27">
        <v>0</v>
      </c>
      <c r="R684" s="27">
        <v>0</v>
      </c>
      <c r="S684" s="27">
        <v>0</v>
      </c>
      <c r="T684" s="27">
        <v>0</v>
      </c>
      <c r="U684" s="27">
        <v>0</v>
      </c>
      <c r="V684" s="27">
        <v>0</v>
      </c>
    </row>
    <row r="685" spans="1:22" x14ac:dyDescent="0.25">
      <c r="A685" s="27" t="s">
        <v>809</v>
      </c>
      <c r="B685" s="27" t="s">
        <v>878</v>
      </c>
      <c r="C685" s="27" t="s">
        <v>733</v>
      </c>
      <c r="D685" s="32">
        <v>40930</v>
      </c>
      <c r="E685" s="32">
        <v>0</v>
      </c>
      <c r="F685" s="32">
        <v>0</v>
      </c>
      <c r="G685" s="32">
        <v>0</v>
      </c>
      <c r="H685" s="32">
        <v>0</v>
      </c>
      <c r="I685" s="32">
        <v>0</v>
      </c>
      <c r="J685" s="32">
        <v>0</v>
      </c>
      <c r="K685" s="32"/>
      <c r="M685" s="27" t="s">
        <v>809</v>
      </c>
      <c r="N685" s="27" t="s">
        <v>878</v>
      </c>
      <c r="O685" s="27" t="s">
        <v>733</v>
      </c>
      <c r="P685" s="27">
        <v>40930</v>
      </c>
      <c r="Q685" s="27">
        <v>0</v>
      </c>
      <c r="R685" s="27">
        <v>0</v>
      </c>
      <c r="S685" s="27">
        <v>0</v>
      </c>
      <c r="T685" s="27">
        <v>0</v>
      </c>
      <c r="U685" s="27">
        <v>0</v>
      </c>
      <c r="V685" s="27">
        <v>0</v>
      </c>
    </row>
    <row r="686" spans="1:22" x14ac:dyDescent="0.25">
      <c r="A686" s="27" t="s">
        <v>120</v>
      </c>
      <c r="B686" s="27" t="s">
        <v>878</v>
      </c>
      <c r="C686" s="27" t="s">
        <v>734</v>
      </c>
      <c r="D686" s="32">
        <v>12885</v>
      </c>
      <c r="E686" s="32">
        <v>0</v>
      </c>
      <c r="F686" s="32">
        <v>0</v>
      </c>
      <c r="G686" s="32">
        <v>0</v>
      </c>
      <c r="H686" s="32">
        <v>0</v>
      </c>
      <c r="I686" s="32">
        <v>0</v>
      </c>
      <c r="J686" s="32">
        <v>0</v>
      </c>
      <c r="K686" s="32"/>
      <c r="M686" s="27" t="s">
        <v>120</v>
      </c>
      <c r="N686" s="27" t="s">
        <v>878</v>
      </c>
      <c r="O686" s="27" t="s">
        <v>734</v>
      </c>
      <c r="P686" s="27">
        <v>12885</v>
      </c>
      <c r="Q686" s="27">
        <v>0</v>
      </c>
      <c r="R686" s="27">
        <v>0</v>
      </c>
      <c r="S686" s="27">
        <v>0</v>
      </c>
      <c r="T686" s="27">
        <v>0</v>
      </c>
      <c r="U686" s="27">
        <v>0</v>
      </c>
      <c r="V686" s="27">
        <v>0</v>
      </c>
    </row>
    <row r="687" spans="1:22" x14ac:dyDescent="0.25">
      <c r="A687" s="27" t="s">
        <v>817</v>
      </c>
      <c r="B687" s="27" t="s">
        <v>878</v>
      </c>
      <c r="C687" s="27" t="s">
        <v>735</v>
      </c>
      <c r="D687" s="32">
        <v>14444</v>
      </c>
      <c r="E687" s="32">
        <v>0</v>
      </c>
      <c r="F687" s="32">
        <v>0</v>
      </c>
      <c r="G687" s="32">
        <v>0</v>
      </c>
      <c r="H687" s="32">
        <v>0</v>
      </c>
      <c r="I687" s="32">
        <v>0</v>
      </c>
      <c r="J687" s="32">
        <v>0</v>
      </c>
      <c r="K687" s="32"/>
      <c r="M687" s="27" t="s">
        <v>817</v>
      </c>
      <c r="N687" s="27" t="s">
        <v>878</v>
      </c>
      <c r="O687" s="27" t="s">
        <v>735</v>
      </c>
      <c r="P687" s="27">
        <v>14444</v>
      </c>
      <c r="Q687" s="27">
        <v>0</v>
      </c>
      <c r="R687" s="27">
        <v>0</v>
      </c>
      <c r="S687" s="27">
        <v>0</v>
      </c>
      <c r="T687" s="27">
        <v>0</v>
      </c>
      <c r="U687" s="27">
        <v>0</v>
      </c>
      <c r="V687" s="27">
        <v>0</v>
      </c>
    </row>
    <row r="688" spans="1:22" x14ac:dyDescent="0.25">
      <c r="A688" s="27" t="s">
        <v>801</v>
      </c>
      <c r="B688" s="27" t="s">
        <v>878</v>
      </c>
      <c r="C688" s="27" t="s">
        <v>736</v>
      </c>
      <c r="D688" s="32">
        <v>2762</v>
      </c>
      <c r="E688" s="32">
        <v>0</v>
      </c>
      <c r="F688" s="32">
        <v>0</v>
      </c>
      <c r="G688" s="32">
        <v>0</v>
      </c>
      <c r="H688" s="32">
        <v>0</v>
      </c>
      <c r="I688" s="32">
        <v>0</v>
      </c>
      <c r="J688" s="32">
        <v>0</v>
      </c>
      <c r="K688" s="32"/>
      <c r="M688" s="27" t="s">
        <v>801</v>
      </c>
      <c r="N688" s="27" t="s">
        <v>878</v>
      </c>
      <c r="O688" s="27" t="s">
        <v>736</v>
      </c>
      <c r="P688" s="27">
        <v>2762</v>
      </c>
      <c r="Q688" s="27">
        <v>0</v>
      </c>
      <c r="R688" s="27">
        <v>0</v>
      </c>
      <c r="S688" s="27">
        <v>0</v>
      </c>
      <c r="T688" s="27">
        <v>0</v>
      </c>
      <c r="U688" s="27">
        <v>0</v>
      </c>
      <c r="V688" s="27">
        <v>0</v>
      </c>
    </row>
    <row r="689" spans="1:22" x14ac:dyDescent="0.25">
      <c r="A689" s="27" t="s">
        <v>890</v>
      </c>
      <c r="B689" s="27" t="s">
        <v>878</v>
      </c>
      <c r="C689" s="27" t="s">
        <v>737</v>
      </c>
      <c r="D689" s="32">
        <v>21676</v>
      </c>
      <c r="E689" s="32">
        <v>0</v>
      </c>
      <c r="F689" s="32">
        <v>0</v>
      </c>
      <c r="G689" s="32">
        <v>0</v>
      </c>
      <c r="H689" s="32">
        <v>0</v>
      </c>
      <c r="I689" s="32">
        <v>0</v>
      </c>
      <c r="J689" s="32">
        <v>0</v>
      </c>
      <c r="K689" s="32"/>
      <c r="M689" s="27" t="s">
        <v>890</v>
      </c>
      <c r="N689" s="27" t="s">
        <v>878</v>
      </c>
      <c r="O689" s="27" t="s">
        <v>737</v>
      </c>
      <c r="P689" s="27">
        <v>21676</v>
      </c>
      <c r="Q689" s="27">
        <v>0</v>
      </c>
      <c r="R689" s="27">
        <v>0</v>
      </c>
      <c r="S689" s="27">
        <v>0</v>
      </c>
      <c r="T689" s="27">
        <v>0</v>
      </c>
      <c r="U689" s="27">
        <v>0</v>
      </c>
      <c r="V689" s="27">
        <v>0</v>
      </c>
    </row>
    <row r="690" spans="1:22" x14ac:dyDescent="0.25">
      <c r="A690" s="27" t="s">
        <v>890</v>
      </c>
      <c r="B690" s="27" t="s">
        <v>878</v>
      </c>
      <c r="C690" s="27" t="s">
        <v>738</v>
      </c>
      <c r="D690" s="32">
        <v>15829</v>
      </c>
      <c r="E690" s="32">
        <v>0</v>
      </c>
      <c r="F690" s="32">
        <v>0</v>
      </c>
      <c r="G690" s="32">
        <v>0</v>
      </c>
      <c r="H690" s="32">
        <v>0</v>
      </c>
      <c r="I690" s="32">
        <v>0</v>
      </c>
      <c r="J690" s="32">
        <v>0</v>
      </c>
      <c r="K690" s="32"/>
      <c r="M690" s="27" t="s">
        <v>890</v>
      </c>
      <c r="N690" s="27" t="s">
        <v>878</v>
      </c>
      <c r="O690" s="27" t="s">
        <v>738</v>
      </c>
      <c r="P690" s="27">
        <v>15829</v>
      </c>
      <c r="Q690" s="27">
        <v>0</v>
      </c>
      <c r="R690" s="27">
        <v>0</v>
      </c>
      <c r="S690" s="27">
        <v>0</v>
      </c>
      <c r="T690" s="27">
        <v>0</v>
      </c>
      <c r="U690" s="27">
        <v>0</v>
      </c>
      <c r="V690" s="27">
        <v>0</v>
      </c>
    </row>
    <row r="691" spans="1:22" x14ac:dyDescent="0.25">
      <c r="A691" s="27" t="s">
        <v>248</v>
      </c>
      <c r="B691" s="27" t="s">
        <v>878</v>
      </c>
      <c r="C691" s="27" t="s">
        <v>739</v>
      </c>
      <c r="D691" s="32">
        <v>30179</v>
      </c>
      <c r="E691" s="32">
        <v>0</v>
      </c>
      <c r="F691" s="32">
        <v>0</v>
      </c>
      <c r="G691" s="32">
        <v>0</v>
      </c>
      <c r="H691" s="32">
        <v>0</v>
      </c>
      <c r="I691" s="32">
        <v>0</v>
      </c>
      <c r="J691" s="32">
        <v>0</v>
      </c>
      <c r="K691" s="32"/>
      <c r="M691" s="27" t="s">
        <v>248</v>
      </c>
      <c r="N691" s="27" t="s">
        <v>878</v>
      </c>
      <c r="O691" s="27" t="s">
        <v>739</v>
      </c>
      <c r="P691" s="27">
        <v>30179</v>
      </c>
      <c r="Q691" s="27">
        <v>0</v>
      </c>
      <c r="R691" s="27">
        <v>0</v>
      </c>
      <c r="S691" s="27">
        <v>0</v>
      </c>
      <c r="T691" s="27">
        <v>0</v>
      </c>
      <c r="U691" s="27">
        <v>0</v>
      </c>
      <c r="V691" s="27">
        <v>0</v>
      </c>
    </row>
    <row r="692" spans="1:22" x14ac:dyDescent="0.25">
      <c r="A692" s="27" t="s">
        <v>890</v>
      </c>
      <c r="B692" s="27" t="s">
        <v>878</v>
      </c>
      <c r="C692" s="27" t="s">
        <v>740</v>
      </c>
      <c r="D692" s="32">
        <v>11946</v>
      </c>
      <c r="E692" s="32">
        <v>0</v>
      </c>
      <c r="F692" s="32">
        <v>0</v>
      </c>
      <c r="G692" s="32">
        <v>0</v>
      </c>
      <c r="H692" s="32">
        <v>0</v>
      </c>
      <c r="I692" s="32">
        <v>0</v>
      </c>
      <c r="J692" s="32">
        <v>0</v>
      </c>
      <c r="K692" s="32"/>
      <c r="M692" s="27" t="s">
        <v>890</v>
      </c>
      <c r="N692" s="27" t="s">
        <v>878</v>
      </c>
      <c r="O692" s="27" t="s">
        <v>740</v>
      </c>
      <c r="P692" s="27">
        <v>11946</v>
      </c>
      <c r="Q692" s="27">
        <v>0</v>
      </c>
      <c r="R692" s="27">
        <v>0</v>
      </c>
      <c r="S692" s="27">
        <v>0</v>
      </c>
      <c r="T692" s="27">
        <v>0</v>
      </c>
      <c r="U692" s="27">
        <v>0</v>
      </c>
      <c r="V692" s="27">
        <v>0</v>
      </c>
    </row>
    <row r="693" spans="1:22" x14ac:dyDescent="0.25">
      <c r="A693" s="27" t="s">
        <v>134</v>
      </c>
      <c r="B693" s="27" t="s">
        <v>878</v>
      </c>
      <c r="C693" s="27" t="s">
        <v>741</v>
      </c>
      <c r="D693" s="32">
        <v>10305</v>
      </c>
      <c r="E693" s="32">
        <v>0</v>
      </c>
      <c r="F693" s="32">
        <v>0</v>
      </c>
      <c r="G693" s="32">
        <v>0</v>
      </c>
      <c r="H693" s="32">
        <v>0</v>
      </c>
      <c r="I693" s="32">
        <v>0</v>
      </c>
      <c r="J693" s="32">
        <v>0</v>
      </c>
      <c r="K693" s="32"/>
      <c r="M693" s="27" t="s">
        <v>134</v>
      </c>
      <c r="N693" s="27" t="s">
        <v>878</v>
      </c>
      <c r="O693" s="27" t="s">
        <v>741</v>
      </c>
      <c r="P693" s="27">
        <v>10305</v>
      </c>
      <c r="Q693" s="27">
        <v>0</v>
      </c>
      <c r="R693" s="27">
        <v>0</v>
      </c>
      <c r="S693" s="27">
        <v>0</v>
      </c>
      <c r="T693" s="27">
        <v>0</v>
      </c>
      <c r="U693" s="27">
        <v>0</v>
      </c>
      <c r="V693" s="27">
        <v>0</v>
      </c>
    </row>
    <row r="694" spans="1:22" x14ac:dyDescent="0.25">
      <c r="A694" s="27" t="s">
        <v>231</v>
      </c>
      <c r="B694" s="27" t="s">
        <v>878</v>
      </c>
      <c r="C694" s="27" t="s">
        <v>742</v>
      </c>
      <c r="D694" s="32">
        <v>47796</v>
      </c>
      <c r="E694" s="32">
        <v>0</v>
      </c>
      <c r="F694" s="32">
        <v>0</v>
      </c>
      <c r="G694" s="32">
        <v>0</v>
      </c>
      <c r="H694" s="32">
        <v>0</v>
      </c>
      <c r="I694" s="32">
        <v>0</v>
      </c>
      <c r="J694" s="32">
        <v>0</v>
      </c>
      <c r="K694" s="32"/>
      <c r="M694" s="27" t="s">
        <v>231</v>
      </c>
      <c r="N694" s="27" t="s">
        <v>878</v>
      </c>
      <c r="O694" s="27" t="s">
        <v>742</v>
      </c>
      <c r="P694" s="27">
        <v>47796</v>
      </c>
      <c r="Q694" s="27">
        <v>0</v>
      </c>
      <c r="R694" s="27">
        <v>0</v>
      </c>
      <c r="S694" s="27">
        <v>0</v>
      </c>
      <c r="T694" s="27">
        <v>0</v>
      </c>
      <c r="U694" s="27">
        <v>0</v>
      </c>
      <c r="V694" s="27">
        <v>0</v>
      </c>
    </row>
    <row r="695" spans="1:22" x14ac:dyDescent="0.25">
      <c r="A695" s="27" t="s">
        <v>83</v>
      </c>
      <c r="B695" s="27" t="s">
        <v>878</v>
      </c>
      <c r="C695" s="27" t="s">
        <v>743</v>
      </c>
      <c r="D695" s="32">
        <v>3778</v>
      </c>
      <c r="E695" s="32">
        <v>0</v>
      </c>
      <c r="F695" s="32">
        <v>0</v>
      </c>
      <c r="G695" s="32">
        <v>0</v>
      </c>
      <c r="H695" s="32">
        <v>0</v>
      </c>
      <c r="I695" s="32">
        <v>0</v>
      </c>
      <c r="J695" s="32">
        <v>0</v>
      </c>
      <c r="K695" s="32"/>
      <c r="M695" s="27" t="s">
        <v>83</v>
      </c>
      <c r="N695" s="27" t="s">
        <v>878</v>
      </c>
      <c r="O695" s="27" t="s">
        <v>743</v>
      </c>
      <c r="P695" s="27">
        <v>3778</v>
      </c>
      <c r="Q695" s="27">
        <v>0</v>
      </c>
      <c r="R695" s="27">
        <v>0</v>
      </c>
      <c r="S695" s="27">
        <v>0</v>
      </c>
      <c r="T695" s="27">
        <v>0</v>
      </c>
      <c r="U695" s="27">
        <v>0</v>
      </c>
      <c r="V695" s="27">
        <v>0</v>
      </c>
    </row>
    <row r="696" spans="1:22" x14ac:dyDescent="0.25">
      <c r="A696" s="27" t="s">
        <v>826</v>
      </c>
      <c r="B696" s="27" t="s">
        <v>878</v>
      </c>
      <c r="C696" s="27" t="s">
        <v>744</v>
      </c>
      <c r="D696" s="32">
        <v>3772</v>
      </c>
      <c r="E696" s="32">
        <v>0</v>
      </c>
      <c r="F696" s="32">
        <v>0</v>
      </c>
      <c r="G696" s="32">
        <v>0</v>
      </c>
      <c r="H696" s="32">
        <v>0</v>
      </c>
      <c r="I696" s="32">
        <v>0</v>
      </c>
      <c r="J696" s="32">
        <v>0</v>
      </c>
      <c r="K696" s="32"/>
      <c r="M696" s="27" t="s">
        <v>826</v>
      </c>
      <c r="N696" s="27" t="s">
        <v>878</v>
      </c>
      <c r="O696" s="27" t="s">
        <v>744</v>
      </c>
      <c r="P696" s="27">
        <v>3772</v>
      </c>
      <c r="Q696" s="27">
        <v>0</v>
      </c>
      <c r="R696" s="27">
        <v>0</v>
      </c>
      <c r="S696" s="27">
        <v>0</v>
      </c>
      <c r="T696" s="27">
        <v>0</v>
      </c>
      <c r="U696" s="27">
        <v>0</v>
      </c>
      <c r="V696" s="27">
        <v>0</v>
      </c>
    </row>
    <row r="697" spans="1:22" x14ac:dyDescent="0.25">
      <c r="A697" s="27" t="s">
        <v>811</v>
      </c>
      <c r="B697" s="27" t="s">
        <v>878</v>
      </c>
      <c r="C697" s="27" t="s">
        <v>745</v>
      </c>
      <c r="D697" s="32">
        <v>23522</v>
      </c>
      <c r="E697" s="32">
        <v>0</v>
      </c>
      <c r="F697" s="32">
        <v>0</v>
      </c>
      <c r="G697" s="32">
        <v>0</v>
      </c>
      <c r="H697" s="32">
        <v>0</v>
      </c>
      <c r="I697" s="32">
        <v>0</v>
      </c>
      <c r="J697" s="32">
        <v>0</v>
      </c>
      <c r="K697" s="32"/>
      <c r="M697" s="27" t="s">
        <v>811</v>
      </c>
      <c r="N697" s="27" t="s">
        <v>878</v>
      </c>
      <c r="O697" s="27" t="s">
        <v>745</v>
      </c>
      <c r="P697" s="27">
        <v>23522</v>
      </c>
      <c r="Q697" s="27">
        <v>0</v>
      </c>
      <c r="R697" s="27">
        <v>0</v>
      </c>
      <c r="S697" s="27">
        <v>0</v>
      </c>
      <c r="T697" s="27">
        <v>0</v>
      </c>
      <c r="U697" s="27">
        <v>0</v>
      </c>
      <c r="V697" s="27">
        <v>0</v>
      </c>
    </row>
    <row r="698" spans="1:22" x14ac:dyDescent="0.25">
      <c r="A698" s="27" t="s">
        <v>248</v>
      </c>
      <c r="B698" s="27" t="s">
        <v>878</v>
      </c>
      <c r="C698" s="27" t="s">
        <v>746</v>
      </c>
      <c r="D698" s="32">
        <v>147346</v>
      </c>
      <c r="E698" s="32">
        <v>0</v>
      </c>
      <c r="F698" s="32">
        <v>0</v>
      </c>
      <c r="G698" s="32">
        <v>0</v>
      </c>
      <c r="H698" s="32">
        <v>0</v>
      </c>
      <c r="I698" s="32">
        <v>0</v>
      </c>
      <c r="J698" s="32">
        <v>0</v>
      </c>
      <c r="K698" s="32"/>
      <c r="M698" s="27" t="s">
        <v>248</v>
      </c>
      <c r="N698" s="27" t="s">
        <v>878</v>
      </c>
      <c r="O698" s="27" t="s">
        <v>746</v>
      </c>
      <c r="P698" s="27">
        <v>147346</v>
      </c>
      <c r="Q698" s="27">
        <v>0</v>
      </c>
      <c r="R698" s="27">
        <v>0</v>
      </c>
      <c r="S698" s="27">
        <v>0</v>
      </c>
      <c r="T698" s="27">
        <v>0</v>
      </c>
      <c r="U698" s="27">
        <v>0</v>
      </c>
      <c r="V698" s="27">
        <v>0</v>
      </c>
    </row>
    <row r="699" spans="1:22" x14ac:dyDescent="0.25">
      <c r="A699" s="27" t="s">
        <v>10</v>
      </c>
      <c r="B699" s="27" t="s">
        <v>879</v>
      </c>
      <c r="C699" s="27" t="s">
        <v>747</v>
      </c>
      <c r="D699" s="32"/>
      <c r="E699" s="32"/>
      <c r="F699" s="32"/>
      <c r="G699" s="32"/>
      <c r="H699" s="32"/>
      <c r="I699" s="32"/>
      <c r="J699" s="32"/>
      <c r="K699" s="32"/>
      <c r="M699" s="27" t="s">
        <v>10</v>
      </c>
      <c r="N699" s="27" t="s">
        <v>879</v>
      </c>
      <c r="O699" s="27" t="s">
        <v>747</v>
      </c>
    </row>
    <row r="700" spans="1:22" x14ac:dyDescent="0.25">
      <c r="A700" s="27" t="s">
        <v>809</v>
      </c>
      <c r="B700" s="27" t="s">
        <v>879</v>
      </c>
      <c r="C700" s="27" t="s">
        <v>748</v>
      </c>
      <c r="D700" s="32">
        <f>39778+3+6+2+455+5+1+1+16+536</f>
        <v>40803</v>
      </c>
      <c r="E700" s="32">
        <f>578+84+11</f>
        <v>673</v>
      </c>
      <c r="F700" s="32">
        <v>0</v>
      </c>
      <c r="G700" s="32">
        <v>0</v>
      </c>
      <c r="H700" s="32">
        <v>0</v>
      </c>
      <c r="I700" s="32">
        <v>0</v>
      </c>
      <c r="J700" s="32">
        <v>0</v>
      </c>
      <c r="K700" s="32"/>
      <c r="M700" s="27" t="s">
        <v>809</v>
      </c>
      <c r="N700" s="27" t="s">
        <v>879</v>
      </c>
      <c r="O700" s="27" t="s">
        <v>748</v>
      </c>
      <c r="P700" s="27">
        <v>40803</v>
      </c>
      <c r="Q700" s="27">
        <v>673</v>
      </c>
      <c r="R700" s="27">
        <v>0</v>
      </c>
      <c r="S700" s="27">
        <v>0</v>
      </c>
      <c r="T700" s="27">
        <v>0</v>
      </c>
      <c r="U700" s="27">
        <v>0</v>
      </c>
      <c r="V700" s="27">
        <v>0</v>
      </c>
    </row>
    <row r="701" spans="1:22" x14ac:dyDescent="0.25">
      <c r="A701" s="27" t="s">
        <v>823</v>
      </c>
      <c r="B701" s="27" t="s">
        <v>879</v>
      </c>
      <c r="C701" s="27" t="s">
        <v>749</v>
      </c>
      <c r="D701" s="32">
        <f>50426+12+307+2</f>
        <v>50747</v>
      </c>
      <c r="E701" s="32">
        <f>11+30</f>
        <v>41</v>
      </c>
      <c r="F701" s="32">
        <v>0</v>
      </c>
      <c r="G701" s="32">
        <v>0</v>
      </c>
      <c r="H701" s="32">
        <v>0</v>
      </c>
      <c r="I701" s="32">
        <v>0</v>
      </c>
      <c r="J701" s="32">
        <v>0</v>
      </c>
      <c r="K701" s="32"/>
      <c r="M701" s="27" t="s">
        <v>823</v>
      </c>
      <c r="N701" s="27" t="s">
        <v>879</v>
      </c>
      <c r="O701" s="27" t="s">
        <v>749</v>
      </c>
      <c r="P701" s="27">
        <v>50747</v>
      </c>
      <c r="Q701" s="27">
        <v>41</v>
      </c>
      <c r="R701" s="27">
        <v>0</v>
      </c>
      <c r="S701" s="27">
        <v>0</v>
      </c>
      <c r="T701" s="27">
        <v>0</v>
      </c>
      <c r="U701" s="27">
        <v>0</v>
      </c>
      <c r="V701" s="27">
        <v>0</v>
      </c>
    </row>
    <row r="702" spans="1:22" x14ac:dyDescent="0.25">
      <c r="A702" s="27" t="s">
        <v>226</v>
      </c>
      <c r="B702" s="27" t="s">
        <v>879</v>
      </c>
      <c r="C702" s="27" t="s">
        <v>750</v>
      </c>
      <c r="D702" s="32">
        <f>5098+7+10</f>
        <v>5115</v>
      </c>
      <c r="E702" s="32">
        <v>56</v>
      </c>
      <c r="F702" s="32">
        <v>0</v>
      </c>
      <c r="G702" s="32">
        <v>0</v>
      </c>
      <c r="H702" s="32">
        <v>0</v>
      </c>
      <c r="I702" s="32">
        <v>0</v>
      </c>
      <c r="J702" s="32">
        <v>0</v>
      </c>
      <c r="K702" s="32"/>
      <c r="M702" s="27" t="s">
        <v>226</v>
      </c>
      <c r="N702" s="27" t="s">
        <v>879</v>
      </c>
      <c r="O702" s="27" t="s">
        <v>750</v>
      </c>
      <c r="P702" s="27">
        <v>5115</v>
      </c>
      <c r="Q702" s="27">
        <v>56</v>
      </c>
      <c r="R702" s="27">
        <v>0</v>
      </c>
      <c r="S702" s="27">
        <v>0</v>
      </c>
      <c r="T702" s="27">
        <v>0</v>
      </c>
      <c r="U702" s="27">
        <v>0</v>
      </c>
      <c r="V702" s="27">
        <v>0</v>
      </c>
    </row>
    <row r="703" spans="1:22" x14ac:dyDescent="0.25">
      <c r="A703" s="27" t="s">
        <v>864</v>
      </c>
      <c r="B703" s="27" t="s">
        <v>879</v>
      </c>
      <c r="C703" s="27" t="s">
        <v>751</v>
      </c>
      <c r="D703" s="32">
        <f>30394+158+8</f>
        <v>30560</v>
      </c>
      <c r="E703" s="32">
        <f>45+7</f>
        <v>52</v>
      </c>
      <c r="F703" s="32">
        <v>0</v>
      </c>
      <c r="G703" s="32">
        <v>0</v>
      </c>
      <c r="H703" s="32">
        <v>0</v>
      </c>
      <c r="I703" s="32">
        <v>0</v>
      </c>
      <c r="J703" s="32">
        <v>0</v>
      </c>
      <c r="K703" s="32"/>
      <c r="M703" s="27" t="s">
        <v>864</v>
      </c>
      <c r="N703" s="27" t="s">
        <v>879</v>
      </c>
      <c r="O703" s="27" t="s">
        <v>751</v>
      </c>
      <c r="P703" s="27">
        <v>30560</v>
      </c>
      <c r="Q703" s="27">
        <v>52</v>
      </c>
      <c r="R703" s="27">
        <v>0</v>
      </c>
      <c r="S703" s="27">
        <v>0</v>
      </c>
      <c r="T703" s="27">
        <v>0</v>
      </c>
      <c r="U703" s="27">
        <v>0</v>
      </c>
      <c r="V703" s="27">
        <v>0</v>
      </c>
    </row>
    <row r="704" spans="1:22" x14ac:dyDescent="0.25">
      <c r="A704" s="27" t="s">
        <v>797</v>
      </c>
      <c r="B704" s="27" t="s">
        <v>879</v>
      </c>
      <c r="C704" s="27" t="s">
        <v>752</v>
      </c>
      <c r="D704" s="32">
        <f>46341+1+1+18+3+26</f>
        <v>46390</v>
      </c>
      <c r="E704" s="32">
        <f>111+6</f>
        <v>117</v>
      </c>
      <c r="F704" s="32">
        <v>0</v>
      </c>
      <c r="G704" s="32">
        <v>0</v>
      </c>
      <c r="H704" s="32">
        <v>0</v>
      </c>
      <c r="I704" s="32">
        <v>0</v>
      </c>
      <c r="J704" s="32">
        <v>0</v>
      </c>
      <c r="K704" s="32"/>
      <c r="M704" s="27" t="s">
        <v>797</v>
      </c>
      <c r="N704" s="27" t="s">
        <v>879</v>
      </c>
      <c r="O704" s="27" t="s">
        <v>752</v>
      </c>
      <c r="P704" s="27">
        <v>46390</v>
      </c>
      <c r="Q704" s="27">
        <v>117</v>
      </c>
      <c r="R704" s="27">
        <v>0</v>
      </c>
      <c r="S704" s="27">
        <v>0</v>
      </c>
      <c r="T704" s="27">
        <v>0</v>
      </c>
      <c r="U704" s="27">
        <v>0</v>
      </c>
      <c r="V704" s="27">
        <v>0</v>
      </c>
    </row>
    <row r="705" spans="1:22" x14ac:dyDescent="0.25">
      <c r="A705" s="27" t="s">
        <v>69</v>
      </c>
      <c r="B705" s="27" t="s">
        <v>879</v>
      </c>
      <c r="C705" s="27" t="s">
        <v>753</v>
      </c>
      <c r="D705" s="32">
        <f>90866+5+1+5+5+1+14</f>
        <v>90897</v>
      </c>
      <c r="E705" s="32">
        <f>24+4</f>
        <v>28</v>
      </c>
      <c r="F705" s="32">
        <v>0</v>
      </c>
      <c r="G705" s="32">
        <v>0</v>
      </c>
      <c r="H705" s="32">
        <v>0</v>
      </c>
      <c r="I705" s="32">
        <v>0</v>
      </c>
      <c r="J705" s="32">
        <v>0</v>
      </c>
      <c r="K705" s="32"/>
      <c r="M705" s="27" t="s">
        <v>69</v>
      </c>
      <c r="N705" s="27" t="s">
        <v>879</v>
      </c>
      <c r="O705" s="27" t="s">
        <v>753</v>
      </c>
      <c r="P705" s="27">
        <v>90897</v>
      </c>
      <c r="Q705" s="27">
        <v>28</v>
      </c>
      <c r="R705" s="27">
        <v>0</v>
      </c>
      <c r="S705" s="27">
        <v>0</v>
      </c>
      <c r="T705" s="27">
        <v>0</v>
      </c>
      <c r="U705" s="27">
        <v>0</v>
      </c>
      <c r="V705" s="27">
        <v>0</v>
      </c>
    </row>
    <row r="706" spans="1:22" x14ac:dyDescent="0.25">
      <c r="A706" s="27" t="s">
        <v>824</v>
      </c>
      <c r="B706" s="27" t="s">
        <v>879</v>
      </c>
      <c r="C706" s="27" t="s">
        <v>754</v>
      </c>
      <c r="D706" s="32">
        <f>25251+34</f>
        <v>25285</v>
      </c>
      <c r="E706" s="32">
        <f>85+11</f>
        <v>96</v>
      </c>
      <c r="F706" s="32">
        <v>0</v>
      </c>
      <c r="G706" s="32">
        <v>0</v>
      </c>
      <c r="H706" s="32">
        <v>0</v>
      </c>
      <c r="I706" s="32">
        <v>0</v>
      </c>
      <c r="J706" s="32">
        <v>0</v>
      </c>
      <c r="K706" s="32"/>
      <c r="M706" s="27" t="s">
        <v>824</v>
      </c>
      <c r="N706" s="27" t="s">
        <v>879</v>
      </c>
      <c r="O706" s="27" t="s">
        <v>754</v>
      </c>
      <c r="P706" s="27">
        <v>25285</v>
      </c>
      <c r="Q706" s="27">
        <v>96</v>
      </c>
      <c r="R706" s="27">
        <v>0</v>
      </c>
      <c r="S706" s="27">
        <v>0</v>
      </c>
      <c r="T706" s="27">
        <v>0</v>
      </c>
      <c r="U706" s="27">
        <v>0</v>
      </c>
      <c r="V706" s="27">
        <v>0</v>
      </c>
    </row>
    <row r="707" spans="1:22" x14ac:dyDescent="0.25">
      <c r="A707" s="27" t="s">
        <v>817</v>
      </c>
      <c r="B707" s="27" t="s">
        <v>879</v>
      </c>
      <c r="C707" s="27" t="s">
        <v>755</v>
      </c>
      <c r="D707" s="32">
        <f>84667+1+5+1+176+1+61+4+1+1+65</f>
        <v>84983</v>
      </c>
      <c r="E707" s="32">
        <f>100+1+5+27</f>
        <v>133</v>
      </c>
      <c r="F707" s="32">
        <v>0</v>
      </c>
      <c r="G707" s="32">
        <v>0</v>
      </c>
      <c r="H707" s="32">
        <v>0</v>
      </c>
      <c r="I707" s="32">
        <v>0</v>
      </c>
      <c r="J707" s="32">
        <v>0</v>
      </c>
      <c r="K707" s="32"/>
      <c r="M707" s="27" t="s">
        <v>817</v>
      </c>
      <c r="N707" s="27" t="s">
        <v>879</v>
      </c>
      <c r="O707" s="27" t="s">
        <v>755</v>
      </c>
      <c r="P707" s="27">
        <v>84983</v>
      </c>
      <c r="Q707" s="27">
        <v>133</v>
      </c>
      <c r="R707" s="27">
        <v>0</v>
      </c>
      <c r="S707" s="27">
        <v>0</v>
      </c>
      <c r="T707" s="27">
        <v>0</v>
      </c>
      <c r="U707" s="27">
        <v>0</v>
      </c>
      <c r="V707" s="27">
        <v>0</v>
      </c>
    </row>
    <row r="708" spans="1:22" x14ac:dyDescent="0.25">
      <c r="A708" s="27" t="s">
        <v>794</v>
      </c>
      <c r="B708" s="27" t="s">
        <v>879</v>
      </c>
      <c r="C708" s="27" t="s">
        <v>756</v>
      </c>
      <c r="D708" s="32">
        <f>87874+5+72+1+4</f>
        <v>87956</v>
      </c>
      <c r="E708" s="32">
        <f>438+2+8</f>
        <v>448</v>
      </c>
      <c r="F708" s="32">
        <v>0</v>
      </c>
      <c r="G708" s="32">
        <v>0</v>
      </c>
      <c r="H708" s="32">
        <v>0</v>
      </c>
      <c r="I708" s="32">
        <v>0</v>
      </c>
      <c r="J708" s="32">
        <v>0</v>
      </c>
      <c r="K708" s="32"/>
      <c r="M708" s="27" t="s">
        <v>794</v>
      </c>
      <c r="N708" s="27" t="s">
        <v>879</v>
      </c>
      <c r="O708" s="27" t="s">
        <v>756</v>
      </c>
      <c r="P708" s="27">
        <v>87956</v>
      </c>
      <c r="Q708" s="27">
        <v>448</v>
      </c>
      <c r="R708" s="27">
        <v>0</v>
      </c>
      <c r="S708" s="27">
        <v>0</v>
      </c>
      <c r="T708" s="27">
        <v>0</v>
      </c>
      <c r="U708" s="27">
        <v>0</v>
      </c>
      <c r="V708" s="27">
        <v>0</v>
      </c>
    </row>
    <row r="709" spans="1:22" x14ac:dyDescent="0.25">
      <c r="A709" s="27" t="s">
        <v>10</v>
      </c>
      <c r="B709" s="27" t="s">
        <v>879</v>
      </c>
      <c r="C709" s="27" t="s">
        <v>757</v>
      </c>
      <c r="D709" s="32"/>
      <c r="E709" s="32"/>
      <c r="F709" s="32"/>
      <c r="G709" s="32"/>
      <c r="H709" s="32"/>
      <c r="I709" s="32"/>
      <c r="J709" s="32"/>
      <c r="K709" s="32"/>
      <c r="M709" s="27" t="s">
        <v>10</v>
      </c>
      <c r="N709" s="27" t="s">
        <v>879</v>
      </c>
      <c r="O709" s="27" t="s">
        <v>757</v>
      </c>
    </row>
    <row r="710" spans="1:22" x14ac:dyDescent="0.25">
      <c r="A710" s="27" t="s">
        <v>788</v>
      </c>
      <c r="B710" s="27" t="s">
        <v>879</v>
      </c>
      <c r="C710" s="27" t="s">
        <v>758</v>
      </c>
      <c r="D710" s="32">
        <f>42438+1111+20</f>
        <v>43569</v>
      </c>
      <c r="E710" s="32">
        <v>1</v>
      </c>
      <c r="F710" s="32">
        <v>0</v>
      </c>
      <c r="G710" s="32">
        <v>0</v>
      </c>
      <c r="H710" s="32">
        <v>0</v>
      </c>
      <c r="I710" s="32">
        <v>0</v>
      </c>
      <c r="J710" s="32">
        <v>0</v>
      </c>
      <c r="K710" s="32"/>
      <c r="M710" s="27" t="s">
        <v>788</v>
      </c>
      <c r="N710" s="27" t="s">
        <v>879</v>
      </c>
      <c r="O710" s="27" t="s">
        <v>758</v>
      </c>
      <c r="P710" s="27">
        <v>43569</v>
      </c>
      <c r="Q710" s="27">
        <v>1</v>
      </c>
      <c r="R710" s="27">
        <v>0</v>
      </c>
      <c r="S710" s="27">
        <v>0</v>
      </c>
      <c r="T710" s="27">
        <v>0</v>
      </c>
      <c r="U710" s="27">
        <v>0</v>
      </c>
      <c r="V710" s="27">
        <v>0</v>
      </c>
    </row>
    <row r="711" spans="1:22" x14ac:dyDescent="0.25">
      <c r="A711" s="27" t="s">
        <v>146</v>
      </c>
      <c r="B711" s="27" t="s">
        <v>879</v>
      </c>
      <c r="C711" s="27" t="s">
        <v>759</v>
      </c>
      <c r="D711" s="32">
        <v>133634</v>
      </c>
      <c r="E711" s="32">
        <v>0</v>
      </c>
      <c r="F711" s="32">
        <v>0</v>
      </c>
      <c r="G711" s="32">
        <v>0</v>
      </c>
      <c r="H711" s="32">
        <v>0</v>
      </c>
      <c r="I711" s="32">
        <v>0</v>
      </c>
      <c r="J711" s="32">
        <v>0</v>
      </c>
      <c r="K711" s="32"/>
      <c r="M711" s="27" t="s">
        <v>146</v>
      </c>
      <c r="N711" s="27" t="s">
        <v>879</v>
      </c>
      <c r="O711" s="27" t="s">
        <v>759</v>
      </c>
      <c r="P711" s="27">
        <v>133634</v>
      </c>
      <c r="Q711" s="27">
        <v>0</v>
      </c>
      <c r="R711" s="27">
        <v>0</v>
      </c>
      <c r="S711" s="27">
        <v>0</v>
      </c>
      <c r="T711" s="27">
        <v>0</v>
      </c>
      <c r="U711" s="27">
        <v>0</v>
      </c>
      <c r="V711" s="27">
        <v>0</v>
      </c>
    </row>
    <row r="712" spans="1:22" x14ac:dyDescent="0.25">
      <c r="A712" s="27" t="s">
        <v>795</v>
      </c>
      <c r="B712" s="27" t="s">
        <v>879</v>
      </c>
      <c r="C712" s="27" t="s">
        <v>760</v>
      </c>
      <c r="D712" s="32">
        <f>104292+2</f>
        <v>104294</v>
      </c>
      <c r="E712" s="32">
        <v>90</v>
      </c>
      <c r="F712" s="32">
        <v>0</v>
      </c>
      <c r="G712" s="32">
        <v>0</v>
      </c>
      <c r="H712" s="32">
        <v>0</v>
      </c>
      <c r="I712" s="32">
        <v>0</v>
      </c>
      <c r="J712" s="32">
        <v>0</v>
      </c>
      <c r="K712" s="32"/>
      <c r="M712" s="27" t="s">
        <v>795</v>
      </c>
      <c r="N712" s="27" t="s">
        <v>879</v>
      </c>
      <c r="O712" s="27" t="s">
        <v>760</v>
      </c>
      <c r="P712" s="27">
        <v>104294</v>
      </c>
      <c r="Q712" s="27">
        <v>90</v>
      </c>
      <c r="R712" s="27">
        <v>0</v>
      </c>
      <c r="S712" s="27">
        <v>0</v>
      </c>
      <c r="T712" s="27">
        <v>0</v>
      </c>
      <c r="U712" s="27">
        <v>0</v>
      </c>
      <c r="V712" s="27">
        <v>0</v>
      </c>
    </row>
    <row r="713" spans="1:22" x14ac:dyDescent="0.25">
      <c r="A713" s="27" t="s">
        <v>248</v>
      </c>
      <c r="B713" s="27" t="s">
        <v>879</v>
      </c>
      <c r="C713" s="27" t="s">
        <v>761</v>
      </c>
      <c r="D713" s="32">
        <f>59052+6+7+40</f>
        <v>59105</v>
      </c>
      <c r="E713" s="32">
        <v>6</v>
      </c>
      <c r="F713" s="32">
        <v>0</v>
      </c>
      <c r="G713" s="32">
        <v>0</v>
      </c>
      <c r="H713" s="32">
        <v>0</v>
      </c>
      <c r="I713" s="32">
        <v>0</v>
      </c>
      <c r="J713" s="32">
        <v>0</v>
      </c>
      <c r="K713" s="32"/>
      <c r="M713" s="27" t="s">
        <v>248</v>
      </c>
      <c r="N713" s="27" t="s">
        <v>879</v>
      </c>
      <c r="O713" s="27" t="s">
        <v>761</v>
      </c>
      <c r="P713" s="27">
        <v>59105</v>
      </c>
      <c r="Q713" s="27">
        <v>6</v>
      </c>
      <c r="R713" s="27">
        <v>0</v>
      </c>
      <c r="S713" s="27">
        <v>0</v>
      </c>
      <c r="T713" s="27">
        <v>0</v>
      </c>
      <c r="U713" s="27">
        <v>0</v>
      </c>
      <c r="V713" s="27">
        <v>0</v>
      </c>
    </row>
    <row r="714" spans="1:22" x14ac:dyDescent="0.25">
      <c r="A714" s="27" t="s">
        <v>796</v>
      </c>
      <c r="B714" s="27" t="s">
        <v>879</v>
      </c>
      <c r="C714" s="27" t="s">
        <v>762</v>
      </c>
      <c r="D714" s="32">
        <f>20334+10+1+1+49+12</f>
        <v>20407</v>
      </c>
      <c r="E714" s="32">
        <f>6+10</f>
        <v>16</v>
      </c>
      <c r="F714" s="32">
        <v>0</v>
      </c>
      <c r="G714" s="32">
        <v>0</v>
      </c>
      <c r="H714" s="32">
        <v>0</v>
      </c>
      <c r="I714" s="32">
        <v>0</v>
      </c>
      <c r="J714" s="32">
        <v>0</v>
      </c>
      <c r="K714" s="32"/>
      <c r="M714" s="27" t="s">
        <v>796</v>
      </c>
      <c r="N714" s="27" t="s">
        <v>879</v>
      </c>
      <c r="O714" s="27" t="s">
        <v>762</v>
      </c>
      <c r="P714" s="27">
        <v>20407</v>
      </c>
      <c r="Q714" s="27">
        <v>16</v>
      </c>
      <c r="R714" s="27">
        <v>0</v>
      </c>
      <c r="S714" s="27">
        <v>0</v>
      </c>
      <c r="T714" s="27">
        <v>0</v>
      </c>
      <c r="U714" s="27">
        <v>0</v>
      </c>
      <c r="V714" s="27">
        <v>0</v>
      </c>
    </row>
    <row r="715" spans="1:22" x14ac:dyDescent="0.25">
      <c r="A715" s="27" t="s">
        <v>890</v>
      </c>
      <c r="B715" s="27" t="s">
        <v>879</v>
      </c>
      <c r="C715" s="27" t="s">
        <v>763</v>
      </c>
      <c r="D715" s="32">
        <f>39979+7+4</f>
        <v>39990</v>
      </c>
      <c r="E715" s="32">
        <f>273+20</f>
        <v>293</v>
      </c>
      <c r="F715" s="32">
        <v>0</v>
      </c>
      <c r="G715" s="32">
        <v>0</v>
      </c>
      <c r="H715" s="32">
        <v>0</v>
      </c>
      <c r="I715" s="32">
        <v>0</v>
      </c>
      <c r="J715" s="32">
        <v>0</v>
      </c>
      <c r="K715" s="32"/>
      <c r="M715" s="27" t="s">
        <v>890</v>
      </c>
      <c r="N715" s="27" t="s">
        <v>879</v>
      </c>
      <c r="O715" s="27" t="s">
        <v>763</v>
      </c>
      <c r="P715" s="27">
        <v>39990</v>
      </c>
      <c r="Q715" s="27">
        <v>293</v>
      </c>
      <c r="R715" s="27">
        <v>0</v>
      </c>
      <c r="S715" s="27">
        <v>0</v>
      </c>
      <c r="T715" s="27">
        <v>0</v>
      </c>
      <c r="U715" s="27">
        <v>0</v>
      </c>
      <c r="V715" s="27">
        <v>0</v>
      </c>
    </row>
    <row r="716" spans="1:22" x14ac:dyDescent="0.25">
      <c r="A716" s="27" t="s">
        <v>248</v>
      </c>
      <c r="B716" s="27" t="s">
        <v>879</v>
      </c>
      <c r="C716" s="27" t="s">
        <v>764</v>
      </c>
      <c r="D716" s="32">
        <f>36044+3+145+2+27</f>
        <v>36221</v>
      </c>
      <c r="E716" s="32">
        <f>36+2</f>
        <v>38</v>
      </c>
      <c r="F716" s="32">
        <v>0</v>
      </c>
      <c r="G716" s="32">
        <v>0</v>
      </c>
      <c r="H716" s="32">
        <v>0</v>
      </c>
      <c r="I716" s="32">
        <v>0</v>
      </c>
      <c r="J716" s="32">
        <v>0</v>
      </c>
      <c r="K716" s="32"/>
      <c r="M716" s="27" t="s">
        <v>248</v>
      </c>
      <c r="N716" s="27" t="s">
        <v>879</v>
      </c>
      <c r="O716" s="27" t="s">
        <v>764</v>
      </c>
      <c r="P716" s="27">
        <v>36221</v>
      </c>
      <c r="Q716" s="27">
        <v>38</v>
      </c>
      <c r="R716" s="27">
        <v>0</v>
      </c>
      <c r="S716" s="27">
        <v>0</v>
      </c>
      <c r="T716" s="27">
        <v>0</v>
      </c>
      <c r="U716" s="27">
        <v>0</v>
      </c>
      <c r="V716" s="27">
        <v>0</v>
      </c>
    </row>
    <row r="717" spans="1:22" x14ac:dyDescent="0.25">
      <c r="A717" s="27" t="s">
        <v>823</v>
      </c>
      <c r="B717" s="27" t="s">
        <v>879</v>
      </c>
      <c r="C717" s="27" t="s">
        <v>765</v>
      </c>
      <c r="D717" s="32">
        <f>39519+18+4</f>
        <v>39541</v>
      </c>
      <c r="E717" s="32">
        <f>554+1</f>
        <v>555</v>
      </c>
      <c r="F717" s="32">
        <v>0</v>
      </c>
      <c r="G717" s="32">
        <v>0</v>
      </c>
      <c r="H717" s="32">
        <v>0</v>
      </c>
      <c r="I717" s="32">
        <v>0</v>
      </c>
      <c r="J717" s="32">
        <v>0</v>
      </c>
      <c r="K717" s="32"/>
      <c r="M717" s="27" t="s">
        <v>823</v>
      </c>
      <c r="N717" s="27" t="s">
        <v>879</v>
      </c>
      <c r="O717" s="27" t="s">
        <v>765</v>
      </c>
      <c r="P717" s="27">
        <v>39541</v>
      </c>
      <c r="Q717" s="27">
        <v>555</v>
      </c>
      <c r="R717" s="27">
        <v>0</v>
      </c>
      <c r="S717" s="27">
        <v>0</v>
      </c>
      <c r="T717" s="27">
        <v>0</v>
      </c>
      <c r="U717" s="27">
        <v>0</v>
      </c>
      <c r="V717" s="27">
        <v>0</v>
      </c>
    </row>
    <row r="718" spans="1:22" x14ac:dyDescent="0.25">
      <c r="A718" s="27" t="s">
        <v>83</v>
      </c>
      <c r="B718" s="27" t="s">
        <v>879</v>
      </c>
      <c r="C718" s="27" t="s">
        <v>766</v>
      </c>
      <c r="D718" s="32">
        <f>12738+9</f>
        <v>12747</v>
      </c>
      <c r="E718" s="32">
        <v>0</v>
      </c>
      <c r="F718" s="32">
        <v>0</v>
      </c>
      <c r="G718" s="32">
        <v>0</v>
      </c>
      <c r="H718" s="32">
        <v>0</v>
      </c>
      <c r="I718" s="32">
        <v>0</v>
      </c>
      <c r="J718" s="32">
        <v>0</v>
      </c>
      <c r="K718" s="32"/>
      <c r="M718" s="27" t="s">
        <v>83</v>
      </c>
      <c r="N718" s="27" t="s">
        <v>879</v>
      </c>
      <c r="O718" s="27" t="s">
        <v>766</v>
      </c>
      <c r="P718" s="27">
        <v>12747</v>
      </c>
      <c r="Q718" s="27">
        <v>0</v>
      </c>
      <c r="R718" s="27">
        <v>0</v>
      </c>
      <c r="S718" s="27">
        <v>0</v>
      </c>
      <c r="T718" s="27">
        <v>0</v>
      </c>
      <c r="U718" s="27">
        <v>0</v>
      </c>
      <c r="V718" s="27">
        <v>0</v>
      </c>
    </row>
    <row r="719" spans="1:22" x14ac:dyDescent="0.25">
      <c r="A719" s="27" t="s">
        <v>864</v>
      </c>
      <c r="B719" s="27" t="s">
        <v>879</v>
      </c>
      <c r="C719" s="27" t="s">
        <v>767</v>
      </c>
      <c r="D719" s="32">
        <f>35124+2+1+40+7</f>
        <v>35174</v>
      </c>
      <c r="E719" s="32">
        <f>63+12+16</f>
        <v>91</v>
      </c>
      <c r="F719" s="32">
        <v>0</v>
      </c>
      <c r="G719" s="32">
        <v>0</v>
      </c>
      <c r="H719" s="32">
        <v>0</v>
      </c>
      <c r="I719" s="32">
        <v>0</v>
      </c>
      <c r="J719" s="32">
        <v>0</v>
      </c>
      <c r="K719" s="32"/>
      <c r="M719" s="27" t="s">
        <v>864</v>
      </c>
      <c r="N719" s="27" t="s">
        <v>879</v>
      </c>
      <c r="O719" s="27" t="s">
        <v>767</v>
      </c>
      <c r="P719" s="27">
        <v>35174</v>
      </c>
      <c r="Q719" s="27">
        <v>91</v>
      </c>
      <c r="R719" s="27">
        <v>0</v>
      </c>
      <c r="S719" s="27">
        <v>0</v>
      </c>
      <c r="T719" s="27">
        <v>0</v>
      </c>
      <c r="U719" s="27">
        <v>0</v>
      </c>
      <c r="V719" s="27">
        <v>0</v>
      </c>
    </row>
    <row r="720" spans="1:22" x14ac:dyDescent="0.25">
      <c r="A720" s="27" t="s">
        <v>10</v>
      </c>
      <c r="B720" s="27" t="s">
        <v>879</v>
      </c>
      <c r="C720" s="27" t="s">
        <v>768</v>
      </c>
      <c r="D720" s="32"/>
      <c r="E720" s="32"/>
      <c r="F720" s="32"/>
      <c r="G720" s="32"/>
      <c r="H720" s="32"/>
      <c r="I720" s="32"/>
      <c r="J720" s="32"/>
      <c r="K720" s="32"/>
      <c r="M720" s="27" t="s">
        <v>10</v>
      </c>
      <c r="N720" s="27" t="s">
        <v>879</v>
      </c>
      <c r="O720" s="27" t="s">
        <v>768</v>
      </c>
    </row>
    <row r="721" spans="1:22" x14ac:dyDescent="0.25">
      <c r="A721" s="27" t="s">
        <v>101</v>
      </c>
      <c r="B721" s="27" t="s">
        <v>879</v>
      </c>
      <c r="C721" s="27" t="s">
        <v>769</v>
      </c>
      <c r="D721" s="32">
        <f>29457+1</f>
        <v>29458</v>
      </c>
      <c r="E721" s="32">
        <v>19</v>
      </c>
      <c r="F721" s="32">
        <v>0</v>
      </c>
      <c r="G721" s="32">
        <v>0</v>
      </c>
      <c r="H721" s="32">
        <v>0</v>
      </c>
      <c r="I721" s="32">
        <v>0</v>
      </c>
      <c r="J721" s="32">
        <v>0</v>
      </c>
      <c r="K721" s="32"/>
      <c r="M721" s="27" t="s">
        <v>101</v>
      </c>
      <c r="N721" s="27" t="s">
        <v>879</v>
      </c>
      <c r="O721" s="27" t="s">
        <v>769</v>
      </c>
      <c r="P721" s="27">
        <v>29458</v>
      </c>
      <c r="Q721" s="27">
        <v>19</v>
      </c>
      <c r="R721" s="27">
        <v>0</v>
      </c>
      <c r="S721" s="27">
        <v>0</v>
      </c>
      <c r="T721" s="27">
        <v>0</v>
      </c>
      <c r="U721" s="27">
        <v>0</v>
      </c>
      <c r="V721" s="27">
        <v>0</v>
      </c>
    </row>
    <row r="722" spans="1:22" x14ac:dyDescent="0.25">
      <c r="A722" s="27" t="s">
        <v>831</v>
      </c>
      <c r="B722" s="27" t="s">
        <v>879</v>
      </c>
      <c r="C722" s="27" t="s">
        <v>770</v>
      </c>
      <c r="D722" s="32">
        <f>12648+3+2+3</f>
        <v>12656</v>
      </c>
      <c r="E722" s="32">
        <f>394+4+68</f>
        <v>466</v>
      </c>
      <c r="F722" s="32">
        <v>0</v>
      </c>
      <c r="G722" s="32">
        <v>0</v>
      </c>
      <c r="H722" s="32">
        <v>0</v>
      </c>
      <c r="I722" s="32">
        <v>0</v>
      </c>
      <c r="J722" s="32">
        <v>0</v>
      </c>
      <c r="K722" s="32"/>
      <c r="M722" s="27" t="s">
        <v>831</v>
      </c>
      <c r="N722" s="27" t="s">
        <v>879</v>
      </c>
      <c r="O722" s="27" t="s">
        <v>770</v>
      </c>
      <c r="P722" s="27">
        <v>12656</v>
      </c>
      <c r="Q722" s="27">
        <v>466</v>
      </c>
      <c r="R722" s="27">
        <v>0</v>
      </c>
      <c r="S722" s="27">
        <v>0</v>
      </c>
      <c r="T722" s="27">
        <v>0</v>
      </c>
      <c r="U722" s="27">
        <v>0</v>
      </c>
      <c r="V722" s="27">
        <v>0</v>
      </c>
    </row>
    <row r="723" spans="1:22" x14ac:dyDescent="0.25">
      <c r="A723" s="27" t="s">
        <v>512</v>
      </c>
      <c r="B723" s="27" t="s">
        <v>879</v>
      </c>
      <c r="C723" s="27" t="s">
        <v>771</v>
      </c>
      <c r="D723" s="32">
        <f>27262+1+1</f>
        <v>27264</v>
      </c>
      <c r="E723" s="32">
        <v>1</v>
      </c>
      <c r="F723" s="32">
        <v>0</v>
      </c>
      <c r="G723" s="32">
        <v>0</v>
      </c>
      <c r="H723" s="32">
        <v>0</v>
      </c>
      <c r="I723" s="32">
        <v>0</v>
      </c>
      <c r="J723" s="32">
        <v>0</v>
      </c>
      <c r="K723" s="32"/>
      <c r="M723" s="27" t="s">
        <v>512</v>
      </c>
      <c r="N723" s="27" t="s">
        <v>879</v>
      </c>
      <c r="O723" s="27" t="s">
        <v>771</v>
      </c>
      <c r="P723" s="27">
        <v>27264</v>
      </c>
      <c r="Q723" s="27">
        <v>1</v>
      </c>
      <c r="R723" s="27">
        <v>0</v>
      </c>
      <c r="S723" s="27">
        <v>0</v>
      </c>
      <c r="T723" s="27">
        <v>0</v>
      </c>
      <c r="U723" s="27">
        <v>0</v>
      </c>
      <c r="V723" s="27">
        <v>0</v>
      </c>
    </row>
    <row r="724" spans="1:22" x14ac:dyDescent="0.25">
      <c r="A724" s="27" t="s">
        <v>10</v>
      </c>
      <c r="B724" s="27" t="s">
        <v>879</v>
      </c>
      <c r="C724" s="27" t="s">
        <v>772</v>
      </c>
      <c r="D724" s="32"/>
      <c r="E724" s="32"/>
      <c r="F724" s="32"/>
      <c r="G724" s="32"/>
      <c r="H724" s="32"/>
      <c r="I724" s="32"/>
      <c r="J724" s="32"/>
      <c r="K724" s="32"/>
      <c r="M724" s="27" t="s">
        <v>10</v>
      </c>
      <c r="N724" s="27" t="s">
        <v>879</v>
      </c>
      <c r="O724" s="27" t="s">
        <v>772</v>
      </c>
    </row>
    <row r="725" spans="1:22" x14ac:dyDescent="0.25">
      <c r="A725" s="27" t="s">
        <v>794</v>
      </c>
      <c r="B725" s="27" t="s">
        <v>879</v>
      </c>
      <c r="C725" s="27" t="s">
        <v>773</v>
      </c>
      <c r="D725" s="32">
        <f>59856+11+244+3+133+1+1+18+7</f>
        <v>60274</v>
      </c>
      <c r="E725" s="32">
        <f>117+7+2+12</f>
        <v>138</v>
      </c>
      <c r="F725" s="32">
        <v>0</v>
      </c>
      <c r="G725" s="32">
        <v>0</v>
      </c>
      <c r="H725" s="32">
        <v>0</v>
      </c>
      <c r="I725" s="32">
        <v>0</v>
      </c>
      <c r="J725" s="32">
        <v>0</v>
      </c>
      <c r="K725" s="32"/>
      <c r="M725" s="27" t="s">
        <v>794</v>
      </c>
      <c r="N725" s="27" t="s">
        <v>879</v>
      </c>
      <c r="O725" s="27" t="s">
        <v>773</v>
      </c>
      <c r="P725" s="27">
        <v>60274</v>
      </c>
      <c r="Q725" s="27">
        <v>138</v>
      </c>
      <c r="R725" s="27">
        <v>0</v>
      </c>
      <c r="S725" s="27">
        <v>0</v>
      </c>
      <c r="T725" s="27">
        <v>0</v>
      </c>
      <c r="U725" s="27">
        <v>0</v>
      </c>
      <c r="V725" s="27">
        <v>0</v>
      </c>
    </row>
    <row r="726" spans="1:22" x14ac:dyDescent="0.25">
      <c r="A726" s="27" t="s">
        <v>826</v>
      </c>
      <c r="B726" s="27" t="s">
        <v>879</v>
      </c>
      <c r="C726" s="27" t="s">
        <v>774</v>
      </c>
      <c r="D726" s="32">
        <f>6430+3+331+5+17</f>
        <v>6786</v>
      </c>
      <c r="E726" s="32">
        <v>895</v>
      </c>
      <c r="F726" s="32">
        <v>0</v>
      </c>
      <c r="G726" s="32">
        <v>0</v>
      </c>
      <c r="H726" s="32">
        <v>0</v>
      </c>
      <c r="I726" s="32">
        <v>0</v>
      </c>
      <c r="J726" s="32">
        <v>0</v>
      </c>
      <c r="K726" s="32"/>
      <c r="M726" s="27" t="s">
        <v>826</v>
      </c>
      <c r="N726" s="27" t="s">
        <v>879</v>
      </c>
      <c r="O726" s="27" t="s">
        <v>774</v>
      </c>
      <c r="P726" s="27">
        <v>6786</v>
      </c>
      <c r="Q726" s="27">
        <v>895</v>
      </c>
      <c r="R726" s="27">
        <v>0</v>
      </c>
      <c r="S726" s="27">
        <v>0</v>
      </c>
      <c r="T726" s="27">
        <v>0</v>
      </c>
      <c r="U726" s="27">
        <v>0</v>
      </c>
      <c r="V726" s="27">
        <v>0</v>
      </c>
    </row>
    <row r="727" spans="1:22" x14ac:dyDescent="0.25">
      <c r="A727" s="27" t="s">
        <v>806</v>
      </c>
      <c r="B727" s="27" t="s">
        <v>877</v>
      </c>
      <c r="C727" s="27" t="s">
        <v>775</v>
      </c>
      <c r="D727" s="32">
        <f>2164+91+2+6+3</f>
        <v>2266</v>
      </c>
      <c r="E727" s="32">
        <v>10</v>
      </c>
      <c r="F727" s="32">
        <v>0</v>
      </c>
      <c r="G727" s="32">
        <f>16784+14+340+30+120+102+84+15+31</f>
        <v>17520</v>
      </c>
      <c r="H727" s="32">
        <f>118+5+28</f>
        <v>151</v>
      </c>
      <c r="I727" s="32">
        <v>0</v>
      </c>
      <c r="J727" s="32">
        <v>0</v>
      </c>
      <c r="K727" s="32"/>
      <c r="M727" s="27" t="s">
        <v>806</v>
      </c>
      <c r="N727" s="27" t="s">
        <v>877</v>
      </c>
      <c r="O727" s="27" t="s">
        <v>775</v>
      </c>
      <c r="P727" s="27">
        <v>2266</v>
      </c>
      <c r="Q727" s="27">
        <v>10</v>
      </c>
      <c r="R727" s="27">
        <v>0</v>
      </c>
      <c r="S727" s="27">
        <v>17520</v>
      </c>
      <c r="T727" s="27">
        <v>151</v>
      </c>
      <c r="U727" s="27">
        <v>0</v>
      </c>
      <c r="V727" s="27">
        <v>0</v>
      </c>
    </row>
    <row r="728" spans="1:22" x14ac:dyDescent="0.25">
      <c r="A728" s="27" t="s">
        <v>823</v>
      </c>
      <c r="B728" s="27" t="s">
        <v>877</v>
      </c>
      <c r="C728" s="27" t="s">
        <v>776</v>
      </c>
      <c r="D728" s="32">
        <v>1593</v>
      </c>
      <c r="E728" s="32">
        <v>0</v>
      </c>
      <c r="F728" s="32">
        <v>0</v>
      </c>
      <c r="G728" s="32">
        <f>5583+13+54</f>
        <v>5650</v>
      </c>
      <c r="H728" s="32">
        <v>44</v>
      </c>
      <c r="I728" s="32">
        <v>0</v>
      </c>
      <c r="J728" s="32">
        <v>0</v>
      </c>
      <c r="K728" s="32"/>
      <c r="M728" s="27" t="s">
        <v>823</v>
      </c>
      <c r="N728" s="27" t="s">
        <v>877</v>
      </c>
      <c r="O728" s="27" t="s">
        <v>776</v>
      </c>
      <c r="P728" s="27">
        <v>1593</v>
      </c>
      <c r="Q728" s="27">
        <v>0</v>
      </c>
      <c r="R728" s="27">
        <v>0</v>
      </c>
      <c r="S728" s="27">
        <v>5650</v>
      </c>
      <c r="T728" s="27">
        <v>44</v>
      </c>
      <c r="U728" s="27">
        <v>0</v>
      </c>
      <c r="V728" s="27">
        <v>0</v>
      </c>
    </row>
    <row r="729" spans="1:22" x14ac:dyDescent="0.25">
      <c r="A729" s="27" t="s">
        <v>791</v>
      </c>
      <c r="B729" s="27" t="s">
        <v>877</v>
      </c>
      <c r="C729" s="27" t="s">
        <v>777</v>
      </c>
      <c r="D729" s="32">
        <f>2583+1346</f>
        <v>3929</v>
      </c>
      <c r="E729" s="32">
        <v>0</v>
      </c>
      <c r="F729" s="32">
        <v>0</v>
      </c>
      <c r="G729" s="32">
        <f>7516+1683</f>
        <v>9199</v>
      </c>
      <c r="H729" s="32">
        <v>2</v>
      </c>
      <c r="I729" s="32">
        <v>0</v>
      </c>
      <c r="J729" s="32">
        <v>0</v>
      </c>
      <c r="K729" s="32"/>
      <c r="M729" s="27" t="s">
        <v>791</v>
      </c>
      <c r="N729" s="27" t="s">
        <v>877</v>
      </c>
      <c r="O729" s="27" t="s">
        <v>777</v>
      </c>
      <c r="P729" s="27">
        <v>3929</v>
      </c>
      <c r="Q729" s="27">
        <v>0</v>
      </c>
      <c r="R729" s="27">
        <v>0</v>
      </c>
      <c r="S729" s="27">
        <v>9199</v>
      </c>
      <c r="T729" s="27">
        <v>2</v>
      </c>
      <c r="U729" s="27">
        <v>0</v>
      </c>
      <c r="V729" s="27">
        <v>0</v>
      </c>
    </row>
  </sheetData>
  <sheetProtection formatCells="0" formatColumns="0" sort="0" autoFilter="0" pivotTables="0"/>
  <phoneticPr fontId="2" type="noConversion"/>
  <conditionalFormatting sqref="A2:J729">
    <cfRule type="expression" dxfId="1" priority="2">
      <formula>A2&lt;&gt;M2</formula>
    </cfRule>
  </conditionalFormatting>
  <conditionalFormatting sqref="M2:V729">
    <cfRule type="expression" dxfId="0" priority="1">
      <formula>A2&lt;&gt;M2</formula>
    </cfRule>
  </conditionalFormatting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5EA909D02A97942B8D9DDAE41BDB811" ma:contentTypeVersion="12" ma:contentTypeDescription="Crear nuevo documento." ma:contentTypeScope="" ma:versionID="e2031d0e75063459d53fe88a8b66decc">
  <xsd:schema xmlns:xsd="http://www.w3.org/2001/XMLSchema" xmlns:xs="http://www.w3.org/2001/XMLSchema" xmlns:p="http://schemas.microsoft.com/office/2006/metadata/properties" xmlns:ns2="d458fc4e-ffc7-4362-be3d-080f0cea313d" xmlns:ns3="54e83bb8-72af-483b-ad6f-dcfe99f6b6d3" targetNamespace="http://schemas.microsoft.com/office/2006/metadata/properties" ma:root="true" ma:fieldsID="9bb17aa822584dde88ec50befd9ff85e" ns2:_="" ns3:_="">
    <xsd:import namespace="d458fc4e-ffc7-4362-be3d-080f0cea313d"/>
    <xsd:import namespace="54e83bb8-72af-483b-ad6f-dcfe99f6b6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8fc4e-ffc7-4362-be3d-080f0cea31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e12ec81f-e61c-4bae-aab2-eb9a05a2283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e83bb8-72af-483b-ad6f-dcfe99f6b6d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776dc3ab-a894-42ba-9cec-7df8b9fda8a6}" ma:internalName="TaxCatchAll" ma:showField="CatchAllData" ma:web="54e83bb8-72af-483b-ad6f-dcfe99f6b6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458fc4e-ffc7-4362-be3d-080f0cea313d">
      <Terms xmlns="http://schemas.microsoft.com/office/infopath/2007/PartnerControls"/>
    </lcf76f155ced4ddcb4097134ff3c332f>
    <TaxCatchAll xmlns="54e83bb8-72af-483b-ad6f-dcfe99f6b6d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5EAD188-32F1-46EA-88E4-D8557C739D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458fc4e-ffc7-4362-be3d-080f0cea313d"/>
    <ds:schemaRef ds:uri="54e83bb8-72af-483b-ad6f-dcfe99f6b6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1C1DFA9-D4E2-4AF5-841D-8FBA7CF2F45F}">
  <ds:schemaRefs>
    <ds:schemaRef ds:uri="http://schemas.microsoft.com/office/2006/metadata/properties"/>
    <ds:schemaRef ds:uri="http://schemas.microsoft.com/office/infopath/2007/PartnerControls"/>
    <ds:schemaRef ds:uri="d458fc4e-ffc7-4362-be3d-080f0cea313d"/>
    <ds:schemaRef ds:uri="54e83bb8-72af-483b-ad6f-dcfe99f6b6d3"/>
  </ds:schemaRefs>
</ds:datastoreItem>
</file>

<file path=customXml/itemProps3.xml><?xml version="1.0" encoding="utf-8"?>
<ds:datastoreItem xmlns:ds="http://schemas.openxmlformats.org/officeDocument/2006/customXml" ds:itemID="{960A09AC-BD8C-4232-BACC-E8CB2338599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202106 JUNIO</vt:lpstr>
      <vt:lpstr>202107 JULIO</vt:lpstr>
      <vt:lpstr>202108 AGOSTO</vt:lpstr>
      <vt:lpstr>202109 SEPTIEMBRE</vt:lpstr>
      <vt:lpstr>202110 OCTUBRE</vt:lpstr>
      <vt:lpstr>202111 NOVIEMBRE</vt:lpstr>
      <vt:lpstr>202112 DICIEMBRE</vt:lpstr>
      <vt:lpstr>202201 ENERO</vt:lpstr>
      <vt:lpstr>202202 FEBRERO</vt:lpstr>
      <vt:lpstr>202203 MARZO </vt:lpstr>
      <vt:lpstr>202204 ABRIL</vt:lpstr>
      <vt:lpstr>202205 MAYO</vt:lpstr>
      <vt:lpstr>202206 JUNIO</vt:lpstr>
      <vt:lpstr>202207 JULIO</vt:lpstr>
      <vt:lpstr>202208 AGOSTO</vt:lpstr>
      <vt:lpstr>202209 SEPTIEMBRE</vt:lpstr>
      <vt:lpstr>202210 OCTUBRE</vt:lpstr>
      <vt:lpstr>202211 NOVIEMBRE</vt:lpstr>
      <vt:lpstr>202212 DICIEMBRE</vt:lpstr>
      <vt:lpstr>202301 ENERO</vt:lpstr>
      <vt:lpstr>202302 FEBRERO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2022-05-10T15:43:33Z</dcterms:created>
  <dcterms:modified xsi:type="dcterms:W3CDTF">2023-03-24T18:31:40Z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0x01010015EA909D02A97942B8D9DDAE41BDB811</vt:lpwstr>
  </property>
  <property fmtid="{D5CDD505-2E9C-101B-9397-08002B2CF9AE}" pid="3" name="MediaServiceImageTags">
    <vt:lpwstr/>
  </property>
</Properties>
</file>